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tart Here" sheetId="1" r:id="rId1"/>
    <sheet name="Origination" sheetId="2" r:id="rId2"/>
  </sheets>
  <definedNames>
    <definedName name="_xlnm._FilterDatabase" localSheetId="1" hidden="1">Origination!$A$1:$J$10001</definedName>
  </definedNames>
  <calcPr calcId="124519" calcMode="manual" calcOnSave="0"/>
</workbook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<sst xmlns="http://schemas.openxmlformats.org/spreadsheetml/2006/main" count="30037" uniqueCount="11869">
  <si>
    <t>10,000 valuations at origination</t>
  </si>
  <si>
    <t>Open and calculate</t>
  </si>
  <si>
    <t>Load quantsupport.xll and its matching QuantSupport.Ribbon64.xll in 64-bit Windows Excel. This workbook opens in Manual mode. Use QuantSupport &gt; Refresh Pricing and wait for the pending results to finish.</t>
  </si>
  <si>
    <t>What is being valued</t>
  </si>
  <si>
    <t>10,000 different five-year receive-fixed USD SOFR swaps, 10,000 distinct origination dates and 10,000 separate contexts. Every PV uses its own row's origination date, from 1990-01-01 through 2017-05-18.</t>
  </si>
  <si>
    <t>Follow one row</t>
  </si>
  <si>
    <t>A: valuation/origination date. C: dated context. D: owned curve contribution. E: swap. F: trade. G: PV. One QS.EVALUATE.RANGE formula in G2 pairs all C and F rows and spills the prices in row order; Rust distributes the dated markets across workers.</t>
  </si>
  <si>
    <t>Synthetic market</t>
  </si>
  <si>
    <t>All dates use the same six synthetic calibration rates in K2:L7. Each context independently bootstraps its own dated SOFR curve. These are illustrative rates, not historical observations.</t>
  </si>
  <si>
    <t>Editable assumptions</t>
  </si>
  <si>
    <t>Blue cells hold dates, notionals, fixed rates and market rates. Swap effective dates are seven days after origination to avoid requiring past fixings. Origination remains the valuation date.</t>
  </si>
  <si>
    <t>Background results</t>
  </si>
  <si>
    <t>Blank prices in an uncalculated file and #N/A while pending are expected. Green cells show completed prices. Context handles stay stable when market inputs change. Manual mode is retained; Refresh Pricing also updates dependent formulas.</t>
  </si>
  <si>
    <t>Benchmark this workbook</t>
  </si>
  <si>
    <t>Run examples/scripts/benchmark_async.py with --count 10000 and paths to the matching XLL and a JSON report. It measures cold and unchanged recalculation, context/curve builds, worksheet delivery, memory and COM responsiveness.</t>
  </si>
  <si>
    <t>Open the 10,000 valuation rows →</t>
  </si>
  <si>
    <t>Completed numeric PVs</t>
  </si>
  <si>
    <t>Sum of PVs (USD)</t>
  </si>
  <si>
    <t>Engine status</t>
  </si>
  <si>
    <t>Origination / as of</t>
  </si>
  <si>
    <t>Maturity</t>
  </si>
  <si>
    <t>Context</t>
  </si>
  <si>
    <t>Market contribution</t>
  </si>
  <si>
    <t>Instrument</t>
  </si>
  <si>
    <t>Trade</t>
  </si>
  <si>
    <t>PV at origination (USD)</t>
  </si>
  <si>
    <t>Effective date</t>
  </si>
  <si>
    <t>Notional (USD)</t>
  </si>
  <si>
    <t>Fixed rate</t>
  </si>
  <si>
    <t>Calibration instrument</t>
  </si>
  <si>
    <t>Market rate</t>
  </si>
  <si>
    <t>FixedRateDeposit_USD_SOFR_1D</t>
  </si>
  <si>
    <t>OIS_USD_SOFR_1Y</t>
  </si>
  <si>
    <t>OIS_USD_SOFR_2Y</t>
  </si>
  <si>
    <t>OIS_USD_SOFR_5Y</t>
  </si>
  <si>
    <t>OIS_USD_SOFR_10Y</t>
  </si>
  <si>
    <t>OIS_USD_SOFR_20Y</t>
  </si>
  <si>
    <t>1990-01-01</t>
  </si>
  <si>
    <t>1995-01-08</t>
  </si>
  <si>
    <t>1990-01-08</t>
  </si>
  <si>
    <t>1990-01-02</t>
  </si>
  <si>
    <t>1995-01-09</t>
  </si>
  <si>
    <t>1990-01-09</t>
  </si>
  <si>
    <t>1990-01-03</t>
  </si>
  <si>
    <t>1995-01-10</t>
  </si>
  <si>
    <t>1990-01-10</t>
  </si>
  <si>
    <t>1990-01-04</t>
  </si>
  <si>
    <t>1995-01-11</t>
  </si>
  <si>
    <t>1990-01-11</t>
  </si>
  <si>
    <t>1990-01-05</t>
  </si>
  <si>
    <t>1995-01-12</t>
  </si>
  <si>
    <t>1990-01-12</t>
  </si>
  <si>
    <t>1990-01-06</t>
  </si>
  <si>
    <t>1995-01-13</t>
  </si>
  <si>
    <t>1990-01-13</t>
  </si>
  <si>
    <t>1990-01-07</t>
  </si>
  <si>
    <t>1995-01-14</t>
  </si>
  <si>
    <t>1990-01-14</t>
  </si>
  <si>
    <t>1995-01-15</t>
  </si>
  <si>
    <t>1990-01-15</t>
  </si>
  <si>
    <t>1995-01-16</t>
  </si>
  <si>
    <t>1990-01-16</t>
  </si>
  <si>
    <t>1995-01-17</t>
  </si>
  <si>
    <t>1990-01-17</t>
  </si>
  <si>
    <t>1995-01-18</t>
  </si>
  <si>
    <t>1990-01-18</t>
  </si>
  <si>
    <t>1995-01-19</t>
  </si>
  <si>
    <t>1990-01-19</t>
  </si>
  <si>
    <t>1995-01-20</t>
  </si>
  <si>
    <t>1990-01-20</t>
  </si>
  <si>
    <t>1995-01-21</t>
  </si>
  <si>
    <t>1990-01-21</t>
  </si>
  <si>
    <t>1995-01-22</t>
  </si>
  <si>
    <t>1990-01-22</t>
  </si>
  <si>
    <t>1995-01-23</t>
  </si>
  <si>
    <t>1990-01-23</t>
  </si>
  <si>
    <t>1995-01-24</t>
  </si>
  <si>
    <t>1990-01-24</t>
  </si>
  <si>
    <t>1995-01-25</t>
  </si>
  <si>
    <t>1990-01-25</t>
  </si>
  <si>
    <t>1995-01-26</t>
  </si>
  <si>
    <t>1990-01-26</t>
  </si>
  <si>
    <t>1995-01-27</t>
  </si>
  <si>
    <t>1990-01-27</t>
  </si>
  <si>
    <t>1995-01-28</t>
  </si>
  <si>
    <t>1990-01-28</t>
  </si>
  <si>
    <t>1995-01-29</t>
  </si>
  <si>
    <t>1990-01-29</t>
  </si>
  <si>
    <t>1995-01-30</t>
  </si>
  <si>
    <t>1990-01-30</t>
  </si>
  <si>
    <t>1995-01-31</t>
  </si>
  <si>
    <t>1990-01-31</t>
  </si>
  <si>
    <t>1995-02-01</t>
  </si>
  <si>
    <t>1990-02-01</t>
  </si>
  <si>
    <t>1995-02-02</t>
  </si>
  <si>
    <t>1990-02-02</t>
  </si>
  <si>
    <t>1995-02-03</t>
  </si>
  <si>
    <t>1990-02-03</t>
  </si>
  <si>
    <t>1995-02-04</t>
  </si>
  <si>
    <t>1990-02-04</t>
  </si>
  <si>
    <t>1995-02-05</t>
  </si>
  <si>
    <t>1990-02-05</t>
  </si>
  <si>
    <t>1995-02-06</t>
  </si>
  <si>
    <t>1990-02-06</t>
  </si>
  <si>
    <t>1995-02-07</t>
  </si>
  <si>
    <t>1990-02-07</t>
  </si>
  <si>
    <t>1995-02-08</t>
  </si>
  <si>
    <t>1990-02-08</t>
  </si>
  <si>
    <t>1995-02-09</t>
  </si>
  <si>
    <t>1990-02-09</t>
  </si>
  <si>
    <t>1995-02-10</t>
  </si>
  <si>
    <t>1990-02-10</t>
  </si>
  <si>
    <t>1995-02-11</t>
  </si>
  <si>
    <t>1990-02-11</t>
  </si>
  <si>
    <t>1995-02-12</t>
  </si>
  <si>
    <t>1990-02-12</t>
  </si>
  <si>
    <t>1995-02-13</t>
  </si>
  <si>
    <t>1990-02-13</t>
  </si>
  <si>
    <t>1995-02-14</t>
  </si>
  <si>
    <t>1990-02-14</t>
  </si>
  <si>
    <t>1995-02-15</t>
  </si>
  <si>
    <t>1990-02-15</t>
  </si>
  <si>
    <t>1995-02-16</t>
  </si>
  <si>
    <t>1990-02-16</t>
  </si>
  <si>
    <t>1995-02-17</t>
  </si>
  <si>
    <t>1990-02-17</t>
  </si>
  <si>
    <t>1995-02-18</t>
  </si>
  <si>
    <t>1990-02-18</t>
  </si>
  <si>
    <t>1995-02-19</t>
  </si>
  <si>
    <t>1990-02-19</t>
  </si>
  <si>
    <t>1995-02-20</t>
  </si>
  <si>
    <t>1990-02-20</t>
  </si>
  <si>
    <t>1995-02-21</t>
  </si>
  <si>
    <t>1990-02-21</t>
  </si>
  <si>
    <t>1995-02-22</t>
  </si>
  <si>
    <t>1990-02-22</t>
  </si>
  <si>
    <t>1995-02-23</t>
  </si>
  <si>
    <t>1990-02-23</t>
  </si>
  <si>
    <t>1995-02-24</t>
  </si>
  <si>
    <t>1990-02-24</t>
  </si>
  <si>
    <t>1995-02-25</t>
  </si>
  <si>
    <t>1990-02-25</t>
  </si>
  <si>
    <t>1995-02-26</t>
  </si>
  <si>
    <t>1990-02-26</t>
  </si>
  <si>
    <t>1995-02-27</t>
  </si>
  <si>
    <t>1990-02-27</t>
  </si>
  <si>
    <t>1995-02-28</t>
  </si>
  <si>
    <t>1990-02-28</t>
  </si>
  <si>
    <t>1995-03-01</t>
  </si>
  <si>
    <t>1990-03-01</t>
  </si>
  <si>
    <t>1995-03-02</t>
  </si>
  <si>
    <t>1990-03-02</t>
  </si>
  <si>
    <t>1995-03-03</t>
  </si>
  <si>
    <t>1990-03-03</t>
  </si>
  <si>
    <t>1995-03-04</t>
  </si>
  <si>
    <t>1990-03-04</t>
  </si>
  <si>
    <t>1995-03-05</t>
  </si>
  <si>
    <t>1990-03-05</t>
  </si>
  <si>
    <t>1995-03-06</t>
  </si>
  <si>
    <t>1990-03-06</t>
  </si>
  <si>
    <t>1995-03-07</t>
  </si>
  <si>
    <t>1990-03-07</t>
  </si>
  <si>
    <t>1995-03-08</t>
  </si>
  <si>
    <t>1990-03-08</t>
  </si>
  <si>
    <t>1995-03-09</t>
  </si>
  <si>
    <t>1990-03-09</t>
  </si>
  <si>
    <t>1995-03-10</t>
  </si>
  <si>
    <t>1990-03-10</t>
  </si>
  <si>
    <t>1995-03-11</t>
  </si>
  <si>
    <t>1990-03-11</t>
  </si>
  <si>
    <t>1995-03-12</t>
  </si>
  <si>
    <t>1990-03-12</t>
  </si>
  <si>
    <t>1995-03-13</t>
  </si>
  <si>
    <t>1990-03-13</t>
  </si>
  <si>
    <t>1995-03-14</t>
  </si>
  <si>
    <t>1990-03-14</t>
  </si>
  <si>
    <t>1995-03-15</t>
  </si>
  <si>
    <t>1990-03-15</t>
  </si>
  <si>
    <t>1995-03-16</t>
  </si>
  <si>
    <t>1990-03-16</t>
  </si>
  <si>
    <t>1995-03-17</t>
  </si>
  <si>
    <t>1990-03-17</t>
  </si>
  <si>
    <t>1995-03-18</t>
  </si>
  <si>
    <t>1990-03-18</t>
  </si>
  <si>
    <t>1995-03-19</t>
  </si>
  <si>
    <t>1990-03-19</t>
  </si>
  <si>
    <t>1995-03-20</t>
  </si>
  <si>
    <t>1990-03-20</t>
  </si>
  <si>
    <t>1995-03-21</t>
  </si>
  <si>
    <t>1990-03-21</t>
  </si>
  <si>
    <t>1995-03-22</t>
  </si>
  <si>
    <t>1990-03-22</t>
  </si>
  <si>
    <t>1995-03-23</t>
  </si>
  <si>
    <t>1990-03-23</t>
  </si>
  <si>
    <t>1995-03-24</t>
  </si>
  <si>
    <t>1990-03-24</t>
  </si>
  <si>
    <t>1995-03-25</t>
  </si>
  <si>
    <t>1990-03-25</t>
  </si>
  <si>
    <t>1995-03-26</t>
  </si>
  <si>
    <t>1990-03-26</t>
  </si>
  <si>
    <t>1995-03-27</t>
  </si>
  <si>
    <t>1990-03-27</t>
  </si>
  <si>
    <t>1995-03-28</t>
  </si>
  <si>
    <t>1990-03-28</t>
  </si>
  <si>
    <t>1995-03-29</t>
  </si>
  <si>
    <t>1990-03-29</t>
  </si>
  <si>
    <t>1995-03-30</t>
  </si>
  <si>
    <t>1990-03-30</t>
  </si>
  <si>
    <t>1995-03-31</t>
  </si>
  <si>
    <t>1990-03-31</t>
  </si>
  <si>
    <t>1995-04-01</t>
  </si>
  <si>
    <t>1990-04-01</t>
  </si>
  <si>
    <t>1995-04-02</t>
  </si>
  <si>
    <t>1990-04-02</t>
  </si>
  <si>
    <t>1995-04-03</t>
  </si>
  <si>
    <t>1990-04-03</t>
  </si>
  <si>
    <t>1995-04-04</t>
  </si>
  <si>
    <t>1990-04-04</t>
  </si>
  <si>
    <t>1995-04-05</t>
  </si>
  <si>
    <t>1990-04-05</t>
  </si>
  <si>
    <t>1995-04-06</t>
  </si>
  <si>
    <t>1990-04-06</t>
  </si>
  <si>
    <t>1995-04-07</t>
  </si>
  <si>
    <t>1990-04-07</t>
  </si>
  <si>
    <t>1995-04-08</t>
  </si>
  <si>
    <t>1990-04-08</t>
  </si>
  <si>
    <t>1995-04-09</t>
  </si>
  <si>
    <t>1990-04-09</t>
  </si>
  <si>
    <t>1995-04-10</t>
  </si>
  <si>
    <t>1990-04-10</t>
  </si>
  <si>
    <t>1995-04-11</t>
  </si>
  <si>
    <t>1990-04-11</t>
  </si>
  <si>
    <t>1995-04-12</t>
  </si>
  <si>
    <t>1990-04-12</t>
  </si>
  <si>
    <t>1995-04-13</t>
  </si>
  <si>
    <t>1990-04-13</t>
  </si>
  <si>
    <t>1995-04-14</t>
  </si>
  <si>
    <t>1990-04-14</t>
  </si>
  <si>
    <t>1995-04-15</t>
  </si>
  <si>
    <t>1990-04-15</t>
  </si>
  <si>
    <t>1995-04-16</t>
  </si>
  <si>
    <t>1990-04-16</t>
  </si>
  <si>
    <t>1995-04-17</t>
  </si>
  <si>
    <t>1990-04-17</t>
  </si>
  <si>
    <t>1995-04-18</t>
  </si>
  <si>
    <t>1990-04-18</t>
  </si>
  <si>
    <t>1995-04-19</t>
  </si>
  <si>
    <t>1990-04-19</t>
  </si>
  <si>
    <t>1995-04-20</t>
  </si>
  <si>
    <t>1990-04-20</t>
  </si>
  <si>
    <t>1995-04-21</t>
  </si>
  <si>
    <t>1990-04-21</t>
  </si>
  <si>
    <t>1995-04-22</t>
  </si>
  <si>
    <t>1990-04-22</t>
  </si>
  <si>
    <t>1995-04-23</t>
  </si>
  <si>
    <t>1990-04-23</t>
  </si>
  <si>
    <t>1995-04-24</t>
  </si>
  <si>
    <t>1990-04-24</t>
  </si>
  <si>
    <t>1995-04-25</t>
  </si>
  <si>
    <t>1990-04-25</t>
  </si>
  <si>
    <t>1995-04-26</t>
  </si>
  <si>
    <t>1990-04-26</t>
  </si>
  <si>
    <t>1995-04-27</t>
  </si>
  <si>
    <t>1990-04-27</t>
  </si>
  <si>
    <t>1995-04-28</t>
  </si>
  <si>
    <t>1990-04-28</t>
  </si>
  <si>
    <t>1995-04-29</t>
  </si>
  <si>
    <t>1990-04-29</t>
  </si>
  <si>
    <t>1995-04-30</t>
  </si>
  <si>
    <t>1990-04-30</t>
  </si>
  <si>
    <t>1995-05-01</t>
  </si>
  <si>
    <t>1990-05-01</t>
  </si>
  <si>
    <t>1995-05-02</t>
  </si>
  <si>
    <t>1990-05-02</t>
  </si>
  <si>
    <t>1995-05-03</t>
  </si>
  <si>
    <t>1990-05-03</t>
  </si>
  <si>
    <t>1995-05-04</t>
  </si>
  <si>
    <t>1990-05-04</t>
  </si>
  <si>
    <t>1995-05-05</t>
  </si>
  <si>
    <t>1990-05-05</t>
  </si>
  <si>
    <t>1995-05-06</t>
  </si>
  <si>
    <t>1990-05-06</t>
  </si>
  <si>
    <t>1995-05-07</t>
  </si>
  <si>
    <t>1990-05-07</t>
  </si>
  <si>
    <t>1995-05-08</t>
  </si>
  <si>
    <t>1990-05-08</t>
  </si>
  <si>
    <t>1995-05-09</t>
  </si>
  <si>
    <t>1990-05-09</t>
  </si>
  <si>
    <t>1995-05-10</t>
  </si>
  <si>
    <t>1990-05-10</t>
  </si>
  <si>
    <t>1995-05-11</t>
  </si>
  <si>
    <t>1990-05-11</t>
  </si>
  <si>
    <t>1995-05-12</t>
  </si>
  <si>
    <t>1990-05-12</t>
  </si>
  <si>
    <t>1995-05-13</t>
  </si>
  <si>
    <t>1990-05-13</t>
  </si>
  <si>
    <t>1995-05-14</t>
  </si>
  <si>
    <t>1990-05-14</t>
  </si>
  <si>
    <t>1995-05-15</t>
  </si>
  <si>
    <t>1990-05-15</t>
  </si>
  <si>
    <t>1995-05-16</t>
  </si>
  <si>
    <t>1990-05-16</t>
  </si>
  <si>
    <t>1995-05-17</t>
  </si>
  <si>
    <t>1990-05-17</t>
  </si>
  <si>
    <t>1995-05-18</t>
  </si>
  <si>
    <t>1990-05-18</t>
  </si>
  <si>
    <t>1995-05-19</t>
  </si>
  <si>
    <t>1990-05-19</t>
  </si>
  <si>
    <t>1995-05-20</t>
  </si>
  <si>
    <t>1990-05-20</t>
  </si>
  <si>
    <t>1995-05-21</t>
  </si>
  <si>
    <t>1990-05-21</t>
  </si>
  <si>
    <t>1995-05-22</t>
  </si>
  <si>
    <t>1990-05-22</t>
  </si>
  <si>
    <t>1995-05-23</t>
  </si>
  <si>
    <t>1990-05-23</t>
  </si>
  <si>
    <t>1995-05-24</t>
  </si>
  <si>
    <t>1990-05-24</t>
  </si>
  <si>
    <t>1995-05-25</t>
  </si>
  <si>
    <t>1990-05-25</t>
  </si>
  <si>
    <t>1995-05-26</t>
  </si>
  <si>
    <t>1990-05-26</t>
  </si>
  <si>
    <t>1995-05-27</t>
  </si>
  <si>
    <t>1990-05-27</t>
  </si>
  <si>
    <t>1995-05-28</t>
  </si>
  <si>
    <t>1990-05-28</t>
  </si>
  <si>
    <t>1995-05-29</t>
  </si>
  <si>
    <t>1990-05-29</t>
  </si>
  <si>
    <t>1995-05-30</t>
  </si>
  <si>
    <t>1990-05-30</t>
  </si>
  <si>
    <t>1995-05-31</t>
  </si>
  <si>
    <t>1990-05-31</t>
  </si>
  <si>
    <t>1995-06-01</t>
  </si>
  <si>
    <t>1990-06-01</t>
  </si>
  <si>
    <t>1995-06-02</t>
  </si>
  <si>
    <t>1990-06-02</t>
  </si>
  <si>
    <t>1995-06-03</t>
  </si>
  <si>
    <t>1990-06-03</t>
  </si>
  <si>
    <t>1995-06-04</t>
  </si>
  <si>
    <t>1990-06-04</t>
  </si>
  <si>
    <t>1995-06-05</t>
  </si>
  <si>
    <t>1990-06-05</t>
  </si>
  <si>
    <t>1995-06-06</t>
  </si>
  <si>
    <t>1990-06-06</t>
  </si>
  <si>
    <t>1995-06-07</t>
  </si>
  <si>
    <t>1990-06-07</t>
  </si>
  <si>
    <t>1995-06-08</t>
  </si>
  <si>
    <t>1990-06-08</t>
  </si>
  <si>
    <t>1995-06-09</t>
  </si>
  <si>
    <t>1990-06-09</t>
  </si>
  <si>
    <t>1995-06-10</t>
  </si>
  <si>
    <t>1990-06-10</t>
  </si>
  <si>
    <t>1995-06-11</t>
  </si>
  <si>
    <t>1990-06-11</t>
  </si>
  <si>
    <t>1995-06-12</t>
  </si>
  <si>
    <t>1990-06-12</t>
  </si>
  <si>
    <t>1995-06-13</t>
  </si>
  <si>
    <t>1990-06-13</t>
  </si>
  <si>
    <t>1995-06-14</t>
  </si>
  <si>
    <t>1990-06-14</t>
  </si>
  <si>
    <t>1995-06-15</t>
  </si>
  <si>
    <t>1990-06-15</t>
  </si>
  <si>
    <t>1995-06-16</t>
  </si>
  <si>
    <t>1990-06-16</t>
  </si>
  <si>
    <t>1995-06-17</t>
  </si>
  <si>
    <t>1990-06-17</t>
  </si>
  <si>
    <t>1995-06-18</t>
  </si>
  <si>
    <t>1990-06-18</t>
  </si>
  <si>
    <t>1995-06-19</t>
  </si>
  <si>
    <t>1990-06-19</t>
  </si>
  <si>
    <t>1995-06-20</t>
  </si>
  <si>
    <t>1990-06-20</t>
  </si>
  <si>
    <t>1995-06-21</t>
  </si>
  <si>
    <t>1990-06-21</t>
  </si>
  <si>
    <t>1995-06-22</t>
  </si>
  <si>
    <t>1990-06-22</t>
  </si>
  <si>
    <t>1995-06-23</t>
  </si>
  <si>
    <t>1990-06-23</t>
  </si>
  <si>
    <t>1995-06-24</t>
  </si>
  <si>
    <t>1990-06-24</t>
  </si>
  <si>
    <t>1995-06-25</t>
  </si>
  <si>
    <t>1990-06-25</t>
  </si>
  <si>
    <t>1995-06-26</t>
  </si>
  <si>
    <t>1990-06-26</t>
  </si>
  <si>
    <t>1995-06-27</t>
  </si>
  <si>
    <t>1990-06-27</t>
  </si>
  <si>
    <t>1995-06-28</t>
  </si>
  <si>
    <t>1990-06-28</t>
  </si>
  <si>
    <t>1995-06-29</t>
  </si>
  <si>
    <t>1990-06-29</t>
  </si>
  <si>
    <t>1995-06-30</t>
  </si>
  <si>
    <t>1990-06-30</t>
  </si>
  <si>
    <t>1995-07-01</t>
  </si>
  <si>
    <t>1990-07-01</t>
  </si>
  <si>
    <t>1995-07-02</t>
  </si>
  <si>
    <t>1990-07-02</t>
  </si>
  <si>
    <t>1995-07-03</t>
  </si>
  <si>
    <t>1990-07-03</t>
  </si>
  <si>
    <t>1995-07-04</t>
  </si>
  <si>
    <t>1990-07-04</t>
  </si>
  <si>
    <t>1995-07-05</t>
  </si>
  <si>
    <t>1990-07-05</t>
  </si>
  <si>
    <t>1995-07-06</t>
  </si>
  <si>
    <t>1990-07-06</t>
  </si>
  <si>
    <t>1995-07-07</t>
  </si>
  <si>
    <t>1990-07-07</t>
  </si>
  <si>
    <t>1995-07-08</t>
  </si>
  <si>
    <t>1990-07-08</t>
  </si>
  <si>
    <t>1995-07-09</t>
  </si>
  <si>
    <t>1990-07-09</t>
  </si>
  <si>
    <t>1995-07-10</t>
  </si>
  <si>
    <t>1990-07-10</t>
  </si>
  <si>
    <t>1995-07-11</t>
  </si>
  <si>
    <t>1990-07-11</t>
  </si>
  <si>
    <t>1995-07-12</t>
  </si>
  <si>
    <t>1990-07-12</t>
  </si>
  <si>
    <t>1995-07-13</t>
  </si>
  <si>
    <t>1990-07-13</t>
  </si>
  <si>
    <t>1995-07-14</t>
  </si>
  <si>
    <t>1990-07-14</t>
  </si>
  <si>
    <t>1995-07-15</t>
  </si>
  <si>
    <t>1990-07-15</t>
  </si>
  <si>
    <t>1995-07-16</t>
  </si>
  <si>
    <t>1990-07-16</t>
  </si>
  <si>
    <t>1995-07-17</t>
  </si>
  <si>
    <t>1990-07-17</t>
  </si>
  <si>
    <t>1995-07-18</t>
  </si>
  <si>
    <t>1990-07-18</t>
  </si>
  <si>
    <t>1995-07-19</t>
  </si>
  <si>
    <t>1990-07-19</t>
  </si>
  <si>
    <t>1995-07-20</t>
  </si>
  <si>
    <t>1990-07-20</t>
  </si>
  <si>
    <t>1995-07-21</t>
  </si>
  <si>
    <t>1990-07-21</t>
  </si>
  <si>
    <t>1995-07-22</t>
  </si>
  <si>
    <t>1990-07-22</t>
  </si>
  <si>
    <t>1995-07-23</t>
  </si>
  <si>
    <t>1990-07-23</t>
  </si>
  <si>
    <t>1995-07-24</t>
  </si>
  <si>
    <t>1990-07-24</t>
  </si>
  <si>
    <t>1995-07-25</t>
  </si>
  <si>
    <t>1990-07-25</t>
  </si>
  <si>
    <t>1995-07-26</t>
  </si>
  <si>
    <t>1990-07-26</t>
  </si>
  <si>
    <t>1995-07-27</t>
  </si>
  <si>
    <t>1990-07-27</t>
  </si>
  <si>
    <t>1995-07-28</t>
  </si>
  <si>
    <t>1990-07-28</t>
  </si>
  <si>
    <t>1995-07-29</t>
  </si>
  <si>
    <t>1990-07-29</t>
  </si>
  <si>
    <t>1995-07-30</t>
  </si>
  <si>
    <t>1990-07-30</t>
  </si>
  <si>
    <t>1995-07-31</t>
  </si>
  <si>
    <t>1990-07-31</t>
  </si>
  <si>
    <t>1995-08-01</t>
  </si>
  <si>
    <t>1990-08-01</t>
  </si>
  <si>
    <t>1995-08-02</t>
  </si>
  <si>
    <t>1990-08-02</t>
  </si>
  <si>
    <t>1995-08-03</t>
  </si>
  <si>
    <t>1990-08-03</t>
  </si>
  <si>
    <t>1995-08-04</t>
  </si>
  <si>
    <t>1990-08-04</t>
  </si>
  <si>
    <t>1995-08-05</t>
  </si>
  <si>
    <t>1990-08-05</t>
  </si>
  <si>
    <t>1995-08-06</t>
  </si>
  <si>
    <t>1990-08-06</t>
  </si>
  <si>
    <t>1995-08-07</t>
  </si>
  <si>
    <t>1990-08-07</t>
  </si>
  <si>
    <t>1995-08-08</t>
  </si>
  <si>
    <t>1990-08-08</t>
  </si>
  <si>
    <t>1995-08-09</t>
  </si>
  <si>
    <t>1990-08-09</t>
  </si>
  <si>
    <t>1995-08-10</t>
  </si>
  <si>
    <t>1990-08-10</t>
  </si>
  <si>
    <t>1995-08-11</t>
  </si>
  <si>
    <t>1990-08-11</t>
  </si>
  <si>
    <t>1995-08-12</t>
  </si>
  <si>
    <t>1990-08-12</t>
  </si>
  <si>
    <t>1995-08-13</t>
  </si>
  <si>
    <t>1990-08-13</t>
  </si>
  <si>
    <t>1995-08-14</t>
  </si>
  <si>
    <t>1990-08-14</t>
  </si>
  <si>
    <t>1995-08-15</t>
  </si>
  <si>
    <t>1990-08-15</t>
  </si>
  <si>
    <t>1995-08-16</t>
  </si>
  <si>
    <t>1990-08-16</t>
  </si>
  <si>
    <t>1995-08-17</t>
  </si>
  <si>
    <t>1990-08-17</t>
  </si>
  <si>
    <t>1995-08-18</t>
  </si>
  <si>
    <t>1990-08-18</t>
  </si>
  <si>
    <t>1995-08-19</t>
  </si>
  <si>
    <t>1990-08-19</t>
  </si>
  <si>
    <t>1995-08-20</t>
  </si>
  <si>
    <t>1990-08-20</t>
  </si>
  <si>
    <t>1995-08-21</t>
  </si>
  <si>
    <t>1990-08-21</t>
  </si>
  <si>
    <t>1995-08-22</t>
  </si>
  <si>
    <t>1990-08-22</t>
  </si>
  <si>
    <t>1995-08-23</t>
  </si>
  <si>
    <t>1990-08-23</t>
  </si>
  <si>
    <t>1995-08-24</t>
  </si>
  <si>
    <t>1990-08-24</t>
  </si>
  <si>
    <t>1995-08-25</t>
  </si>
  <si>
    <t>1990-08-25</t>
  </si>
  <si>
    <t>1995-08-26</t>
  </si>
  <si>
    <t>1990-08-26</t>
  </si>
  <si>
    <t>1995-08-27</t>
  </si>
  <si>
    <t>1990-08-27</t>
  </si>
  <si>
    <t>1995-08-28</t>
  </si>
  <si>
    <t>1990-08-28</t>
  </si>
  <si>
    <t>1995-08-29</t>
  </si>
  <si>
    <t>1990-08-29</t>
  </si>
  <si>
    <t>1995-08-30</t>
  </si>
  <si>
    <t>1990-08-30</t>
  </si>
  <si>
    <t>1995-08-31</t>
  </si>
  <si>
    <t>1990-08-31</t>
  </si>
  <si>
    <t>1995-09-01</t>
  </si>
  <si>
    <t>1990-09-01</t>
  </si>
  <si>
    <t>1995-09-02</t>
  </si>
  <si>
    <t>1990-09-02</t>
  </si>
  <si>
    <t>1995-09-03</t>
  </si>
  <si>
    <t>1990-09-03</t>
  </si>
  <si>
    <t>1995-09-04</t>
  </si>
  <si>
    <t>1990-09-04</t>
  </si>
  <si>
    <t>1995-09-05</t>
  </si>
  <si>
    <t>1990-09-05</t>
  </si>
  <si>
    <t>1995-09-06</t>
  </si>
  <si>
    <t>1990-09-06</t>
  </si>
  <si>
    <t>1995-09-07</t>
  </si>
  <si>
    <t>1990-09-07</t>
  </si>
  <si>
    <t>1995-09-08</t>
  </si>
  <si>
    <t>1990-09-08</t>
  </si>
  <si>
    <t>1995-09-09</t>
  </si>
  <si>
    <t>1990-09-09</t>
  </si>
  <si>
    <t>1995-09-10</t>
  </si>
  <si>
    <t>1990-09-10</t>
  </si>
  <si>
    <t>1995-09-11</t>
  </si>
  <si>
    <t>1990-09-11</t>
  </si>
  <si>
    <t>1995-09-12</t>
  </si>
  <si>
    <t>1990-09-12</t>
  </si>
  <si>
    <t>1995-09-13</t>
  </si>
  <si>
    <t>1990-09-13</t>
  </si>
  <si>
    <t>1995-09-14</t>
  </si>
  <si>
    <t>1990-09-14</t>
  </si>
  <si>
    <t>1995-09-15</t>
  </si>
  <si>
    <t>1990-09-15</t>
  </si>
  <si>
    <t>1995-09-16</t>
  </si>
  <si>
    <t>1990-09-16</t>
  </si>
  <si>
    <t>1995-09-17</t>
  </si>
  <si>
    <t>1990-09-17</t>
  </si>
  <si>
    <t>1995-09-18</t>
  </si>
  <si>
    <t>1990-09-18</t>
  </si>
  <si>
    <t>1995-09-19</t>
  </si>
  <si>
    <t>1990-09-19</t>
  </si>
  <si>
    <t>1995-09-20</t>
  </si>
  <si>
    <t>1990-09-20</t>
  </si>
  <si>
    <t>1995-09-21</t>
  </si>
  <si>
    <t>1990-09-21</t>
  </si>
  <si>
    <t>1995-09-22</t>
  </si>
  <si>
    <t>1990-09-22</t>
  </si>
  <si>
    <t>1995-09-23</t>
  </si>
  <si>
    <t>1990-09-23</t>
  </si>
  <si>
    <t>1995-09-24</t>
  </si>
  <si>
    <t>1990-09-24</t>
  </si>
  <si>
    <t>1995-09-25</t>
  </si>
  <si>
    <t>1990-09-25</t>
  </si>
  <si>
    <t>1995-09-26</t>
  </si>
  <si>
    <t>1990-09-26</t>
  </si>
  <si>
    <t>1995-09-27</t>
  </si>
  <si>
    <t>1990-09-27</t>
  </si>
  <si>
    <t>1995-09-28</t>
  </si>
  <si>
    <t>1990-09-28</t>
  </si>
  <si>
    <t>1995-09-29</t>
  </si>
  <si>
    <t>1990-09-29</t>
  </si>
  <si>
    <t>1995-09-30</t>
  </si>
  <si>
    <t>1990-09-30</t>
  </si>
  <si>
    <t>1995-10-01</t>
  </si>
  <si>
    <t>1990-10-01</t>
  </si>
  <si>
    <t>1995-10-02</t>
  </si>
  <si>
    <t>1990-10-02</t>
  </si>
  <si>
    <t>1995-10-03</t>
  </si>
  <si>
    <t>1990-10-03</t>
  </si>
  <si>
    <t>1995-10-04</t>
  </si>
  <si>
    <t>1990-10-04</t>
  </si>
  <si>
    <t>1995-10-05</t>
  </si>
  <si>
    <t>1990-10-05</t>
  </si>
  <si>
    <t>1995-10-06</t>
  </si>
  <si>
    <t>1990-10-06</t>
  </si>
  <si>
    <t>1995-10-07</t>
  </si>
  <si>
    <t>1990-10-07</t>
  </si>
  <si>
    <t>1995-10-08</t>
  </si>
  <si>
    <t>1990-10-08</t>
  </si>
  <si>
    <t>1995-10-09</t>
  </si>
  <si>
    <t>1990-10-09</t>
  </si>
  <si>
    <t>1995-10-10</t>
  </si>
  <si>
    <t>1990-10-10</t>
  </si>
  <si>
    <t>1995-10-11</t>
  </si>
  <si>
    <t>1990-10-11</t>
  </si>
  <si>
    <t>1995-10-12</t>
  </si>
  <si>
    <t>1990-10-12</t>
  </si>
  <si>
    <t>1995-10-13</t>
  </si>
  <si>
    <t>1990-10-13</t>
  </si>
  <si>
    <t>1995-10-14</t>
  </si>
  <si>
    <t>1990-10-14</t>
  </si>
  <si>
    <t>1995-10-15</t>
  </si>
  <si>
    <t>1990-10-15</t>
  </si>
  <si>
    <t>1995-10-16</t>
  </si>
  <si>
    <t>1990-10-16</t>
  </si>
  <si>
    <t>1995-10-17</t>
  </si>
  <si>
    <t>1990-10-17</t>
  </si>
  <si>
    <t>1995-10-18</t>
  </si>
  <si>
    <t>1990-10-18</t>
  </si>
  <si>
    <t>1995-10-19</t>
  </si>
  <si>
    <t>1990-10-19</t>
  </si>
  <si>
    <t>1995-10-20</t>
  </si>
  <si>
    <t>1990-10-20</t>
  </si>
  <si>
    <t>1995-10-21</t>
  </si>
  <si>
    <t>1990-10-21</t>
  </si>
  <si>
    <t>1995-10-22</t>
  </si>
  <si>
    <t>1990-10-22</t>
  </si>
  <si>
    <t>1995-10-23</t>
  </si>
  <si>
    <t>1990-10-23</t>
  </si>
  <si>
    <t>1995-10-24</t>
  </si>
  <si>
    <t>1990-10-24</t>
  </si>
  <si>
    <t>1995-10-25</t>
  </si>
  <si>
    <t>1990-10-25</t>
  </si>
  <si>
    <t>1995-10-26</t>
  </si>
  <si>
    <t>1990-10-26</t>
  </si>
  <si>
    <t>1995-10-27</t>
  </si>
  <si>
    <t>1990-10-27</t>
  </si>
  <si>
    <t>1995-10-28</t>
  </si>
  <si>
    <t>1990-10-28</t>
  </si>
  <si>
    <t>1995-10-29</t>
  </si>
  <si>
    <t>1990-10-29</t>
  </si>
  <si>
    <t>1995-10-30</t>
  </si>
  <si>
    <t>1990-10-30</t>
  </si>
  <si>
    <t>1995-10-31</t>
  </si>
  <si>
    <t>1990-10-31</t>
  </si>
  <si>
    <t>1995-11-01</t>
  </si>
  <si>
    <t>1990-11-01</t>
  </si>
  <si>
    <t>1995-11-02</t>
  </si>
  <si>
    <t>1990-11-02</t>
  </si>
  <si>
    <t>1995-11-03</t>
  </si>
  <si>
    <t>1990-11-03</t>
  </si>
  <si>
    <t>1995-11-04</t>
  </si>
  <si>
    <t>1990-11-04</t>
  </si>
  <si>
    <t>1995-11-05</t>
  </si>
  <si>
    <t>1990-11-05</t>
  </si>
  <si>
    <t>1995-11-06</t>
  </si>
  <si>
    <t>1990-11-06</t>
  </si>
  <si>
    <t>1995-11-07</t>
  </si>
  <si>
    <t>1990-11-07</t>
  </si>
  <si>
    <t>1995-11-08</t>
  </si>
  <si>
    <t>1990-11-08</t>
  </si>
  <si>
    <t>1995-11-09</t>
  </si>
  <si>
    <t>1990-11-09</t>
  </si>
  <si>
    <t>1995-11-10</t>
  </si>
  <si>
    <t>1990-11-10</t>
  </si>
  <si>
    <t>1995-11-11</t>
  </si>
  <si>
    <t>1990-11-11</t>
  </si>
  <si>
    <t>1995-11-12</t>
  </si>
  <si>
    <t>1990-11-12</t>
  </si>
  <si>
    <t>1995-11-13</t>
  </si>
  <si>
    <t>1990-11-13</t>
  </si>
  <si>
    <t>1995-11-14</t>
  </si>
  <si>
    <t>1990-11-14</t>
  </si>
  <si>
    <t>1995-11-15</t>
  </si>
  <si>
    <t>1990-11-15</t>
  </si>
  <si>
    <t>1995-11-16</t>
  </si>
  <si>
    <t>1990-11-16</t>
  </si>
  <si>
    <t>1995-11-17</t>
  </si>
  <si>
    <t>1990-11-17</t>
  </si>
  <si>
    <t>1995-11-18</t>
  </si>
  <si>
    <t>1990-11-18</t>
  </si>
  <si>
    <t>1995-11-19</t>
  </si>
  <si>
    <t>1990-11-19</t>
  </si>
  <si>
    <t>1995-11-20</t>
  </si>
  <si>
    <t>1990-11-20</t>
  </si>
  <si>
    <t>1995-11-21</t>
  </si>
  <si>
    <t>1990-11-21</t>
  </si>
  <si>
    <t>1995-11-22</t>
  </si>
  <si>
    <t>1990-11-22</t>
  </si>
  <si>
    <t>1995-11-23</t>
  </si>
  <si>
    <t>1990-11-23</t>
  </si>
  <si>
    <t>1995-11-24</t>
  </si>
  <si>
    <t>1990-11-24</t>
  </si>
  <si>
    <t>1995-11-25</t>
  </si>
  <si>
    <t>1990-11-25</t>
  </si>
  <si>
    <t>1995-11-26</t>
  </si>
  <si>
    <t>1990-11-26</t>
  </si>
  <si>
    <t>1995-11-27</t>
  </si>
  <si>
    <t>1990-11-27</t>
  </si>
  <si>
    <t>1995-11-28</t>
  </si>
  <si>
    <t>1990-11-28</t>
  </si>
  <si>
    <t>1995-11-29</t>
  </si>
  <si>
    <t>1990-11-29</t>
  </si>
  <si>
    <t>1995-11-30</t>
  </si>
  <si>
    <t>1990-11-30</t>
  </si>
  <si>
    <t>1995-12-01</t>
  </si>
  <si>
    <t>1990-12-01</t>
  </si>
  <si>
    <t>1995-12-02</t>
  </si>
  <si>
    <t>1990-12-02</t>
  </si>
  <si>
    <t>1995-12-03</t>
  </si>
  <si>
    <t>1990-12-03</t>
  </si>
  <si>
    <t>1995-12-04</t>
  </si>
  <si>
    <t>1990-12-04</t>
  </si>
  <si>
    <t>1995-12-05</t>
  </si>
  <si>
    <t>1990-12-05</t>
  </si>
  <si>
    <t>1995-12-06</t>
  </si>
  <si>
    <t>1990-12-06</t>
  </si>
  <si>
    <t>1995-12-07</t>
  </si>
  <si>
    <t>1990-12-07</t>
  </si>
  <si>
    <t>1995-12-08</t>
  </si>
  <si>
    <t>1990-12-08</t>
  </si>
  <si>
    <t>1995-12-09</t>
  </si>
  <si>
    <t>1990-12-09</t>
  </si>
  <si>
    <t>1995-12-10</t>
  </si>
  <si>
    <t>1990-12-10</t>
  </si>
  <si>
    <t>1995-12-11</t>
  </si>
  <si>
    <t>1990-12-11</t>
  </si>
  <si>
    <t>1995-12-12</t>
  </si>
  <si>
    <t>1990-12-12</t>
  </si>
  <si>
    <t>1995-12-13</t>
  </si>
  <si>
    <t>1990-12-13</t>
  </si>
  <si>
    <t>1995-12-14</t>
  </si>
  <si>
    <t>1990-12-14</t>
  </si>
  <si>
    <t>1995-12-15</t>
  </si>
  <si>
    <t>1990-12-15</t>
  </si>
  <si>
    <t>1995-12-16</t>
  </si>
  <si>
    <t>1990-12-16</t>
  </si>
  <si>
    <t>1995-12-17</t>
  </si>
  <si>
    <t>1990-12-17</t>
  </si>
  <si>
    <t>1995-12-18</t>
  </si>
  <si>
    <t>1990-12-18</t>
  </si>
  <si>
    <t>1995-12-19</t>
  </si>
  <si>
    <t>1990-12-19</t>
  </si>
  <si>
    <t>1995-12-20</t>
  </si>
  <si>
    <t>1990-12-20</t>
  </si>
  <si>
    <t>1995-12-21</t>
  </si>
  <si>
    <t>1990-12-21</t>
  </si>
  <si>
    <t>1995-12-22</t>
  </si>
  <si>
    <t>1990-12-22</t>
  </si>
  <si>
    <t>1995-12-23</t>
  </si>
  <si>
    <t>1990-12-23</t>
  </si>
  <si>
    <t>1995-12-24</t>
  </si>
  <si>
    <t>1990-12-24</t>
  </si>
  <si>
    <t>1995-12-25</t>
  </si>
  <si>
    <t>1990-12-25</t>
  </si>
  <si>
    <t>1995-12-26</t>
  </si>
  <si>
    <t>1990-12-26</t>
  </si>
  <si>
    <t>1995-12-27</t>
  </si>
  <si>
    <t>1990-12-27</t>
  </si>
  <si>
    <t>1995-12-28</t>
  </si>
  <si>
    <t>1990-12-28</t>
  </si>
  <si>
    <t>1995-12-29</t>
  </si>
  <si>
    <t>1990-12-29</t>
  </si>
  <si>
    <t>1995-12-30</t>
  </si>
  <si>
    <t>1990-12-30</t>
  </si>
  <si>
    <t>1995-12-31</t>
  </si>
  <si>
    <t>1990-12-31</t>
  </si>
  <si>
    <t>1996-01-01</t>
  </si>
  <si>
    <t>1991-01-01</t>
  </si>
  <si>
    <t>1996-01-02</t>
  </si>
  <si>
    <t>1991-01-02</t>
  </si>
  <si>
    <t>1996-01-03</t>
  </si>
  <si>
    <t>1991-01-03</t>
  </si>
  <si>
    <t>1996-01-04</t>
  </si>
  <si>
    <t>1991-01-04</t>
  </si>
  <si>
    <t>1996-01-05</t>
  </si>
  <si>
    <t>1991-01-05</t>
  </si>
  <si>
    <t>1996-01-06</t>
  </si>
  <si>
    <t>1991-01-06</t>
  </si>
  <si>
    <t>1996-01-07</t>
  </si>
  <si>
    <t>1991-01-07</t>
  </si>
  <si>
    <t>1996-01-08</t>
  </si>
  <si>
    <t>1991-01-08</t>
  </si>
  <si>
    <t>1996-01-09</t>
  </si>
  <si>
    <t>1991-01-09</t>
  </si>
  <si>
    <t>1996-01-10</t>
  </si>
  <si>
    <t>1991-01-10</t>
  </si>
  <si>
    <t>1996-01-11</t>
  </si>
  <si>
    <t>1991-01-11</t>
  </si>
  <si>
    <t>1996-01-12</t>
  </si>
  <si>
    <t>1991-01-12</t>
  </si>
  <si>
    <t>1996-01-13</t>
  </si>
  <si>
    <t>1991-01-13</t>
  </si>
  <si>
    <t>1996-01-14</t>
  </si>
  <si>
    <t>1991-01-14</t>
  </si>
  <si>
    <t>1996-01-15</t>
  </si>
  <si>
    <t>1991-01-15</t>
  </si>
  <si>
    <t>1996-01-16</t>
  </si>
  <si>
    <t>1991-01-16</t>
  </si>
  <si>
    <t>1996-01-17</t>
  </si>
  <si>
    <t>1991-01-17</t>
  </si>
  <si>
    <t>1996-01-18</t>
  </si>
  <si>
    <t>1991-01-18</t>
  </si>
  <si>
    <t>1996-01-19</t>
  </si>
  <si>
    <t>1991-01-19</t>
  </si>
  <si>
    <t>1996-01-20</t>
  </si>
  <si>
    <t>1991-01-20</t>
  </si>
  <si>
    <t>1996-01-21</t>
  </si>
  <si>
    <t>1991-01-21</t>
  </si>
  <si>
    <t>1996-01-22</t>
  </si>
  <si>
    <t>1991-01-22</t>
  </si>
  <si>
    <t>1996-01-23</t>
  </si>
  <si>
    <t>1991-01-23</t>
  </si>
  <si>
    <t>1996-01-24</t>
  </si>
  <si>
    <t>1991-01-24</t>
  </si>
  <si>
    <t>1996-01-25</t>
  </si>
  <si>
    <t>1991-01-25</t>
  </si>
  <si>
    <t>1996-01-26</t>
  </si>
  <si>
    <t>1991-01-26</t>
  </si>
  <si>
    <t>1996-01-27</t>
  </si>
  <si>
    <t>1991-01-27</t>
  </si>
  <si>
    <t>1996-01-28</t>
  </si>
  <si>
    <t>1991-01-28</t>
  </si>
  <si>
    <t>1996-01-29</t>
  </si>
  <si>
    <t>1991-01-29</t>
  </si>
  <si>
    <t>1996-01-30</t>
  </si>
  <si>
    <t>1991-01-30</t>
  </si>
  <si>
    <t>1996-01-31</t>
  </si>
  <si>
    <t>1991-01-31</t>
  </si>
  <si>
    <t>1996-02-01</t>
  </si>
  <si>
    <t>1991-02-01</t>
  </si>
  <si>
    <t>1996-02-02</t>
  </si>
  <si>
    <t>1991-02-02</t>
  </si>
  <si>
    <t>1996-02-03</t>
  </si>
  <si>
    <t>1991-02-03</t>
  </si>
  <si>
    <t>1996-02-04</t>
  </si>
  <si>
    <t>1991-02-04</t>
  </si>
  <si>
    <t>1996-02-05</t>
  </si>
  <si>
    <t>1991-02-05</t>
  </si>
  <si>
    <t>1996-02-06</t>
  </si>
  <si>
    <t>1991-02-06</t>
  </si>
  <si>
    <t>1996-02-07</t>
  </si>
  <si>
    <t>1991-02-07</t>
  </si>
  <si>
    <t>1996-02-08</t>
  </si>
  <si>
    <t>1991-02-08</t>
  </si>
  <si>
    <t>1996-02-09</t>
  </si>
  <si>
    <t>1991-02-09</t>
  </si>
  <si>
    <t>1996-02-10</t>
  </si>
  <si>
    <t>1991-02-10</t>
  </si>
  <si>
    <t>1996-02-11</t>
  </si>
  <si>
    <t>1991-02-11</t>
  </si>
  <si>
    <t>1996-02-12</t>
  </si>
  <si>
    <t>1991-02-12</t>
  </si>
  <si>
    <t>1996-02-13</t>
  </si>
  <si>
    <t>1991-02-13</t>
  </si>
  <si>
    <t>1996-02-14</t>
  </si>
  <si>
    <t>1991-02-14</t>
  </si>
  <si>
    <t>1996-02-15</t>
  </si>
  <si>
    <t>1991-02-15</t>
  </si>
  <si>
    <t>1996-02-16</t>
  </si>
  <si>
    <t>1991-02-16</t>
  </si>
  <si>
    <t>1996-02-17</t>
  </si>
  <si>
    <t>1991-02-17</t>
  </si>
  <si>
    <t>1996-02-18</t>
  </si>
  <si>
    <t>1991-02-18</t>
  </si>
  <si>
    <t>1996-02-19</t>
  </si>
  <si>
    <t>1991-02-19</t>
  </si>
  <si>
    <t>1996-02-20</t>
  </si>
  <si>
    <t>1991-02-20</t>
  </si>
  <si>
    <t>1996-02-21</t>
  </si>
  <si>
    <t>1991-02-21</t>
  </si>
  <si>
    <t>1996-02-22</t>
  </si>
  <si>
    <t>1991-02-22</t>
  </si>
  <si>
    <t>1996-02-23</t>
  </si>
  <si>
    <t>1991-02-23</t>
  </si>
  <si>
    <t>1996-02-24</t>
  </si>
  <si>
    <t>1991-02-24</t>
  </si>
  <si>
    <t>1996-02-25</t>
  </si>
  <si>
    <t>1991-02-25</t>
  </si>
  <si>
    <t>1996-02-26</t>
  </si>
  <si>
    <t>1991-02-26</t>
  </si>
  <si>
    <t>1996-02-27</t>
  </si>
  <si>
    <t>1991-02-27</t>
  </si>
  <si>
    <t>1996-02-28</t>
  </si>
  <si>
    <t>1991-02-28</t>
  </si>
  <si>
    <t>1996-03-01</t>
  </si>
  <si>
    <t>1991-03-01</t>
  </si>
  <si>
    <t>1996-03-02</t>
  </si>
  <si>
    <t>1991-03-02</t>
  </si>
  <si>
    <t>1996-03-03</t>
  </si>
  <si>
    <t>1991-03-03</t>
  </si>
  <si>
    <t>1996-03-04</t>
  </si>
  <si>
    <t>1991-03-04</t>
  </si>
  <si>
    <t>1996-03-05</t>
  </si>
  <si>
    <t>1991-03-05</t>
  </si>
  <si>
    <t>1996-03-06</t>
  </si>
  <si>
    <t>1991-03-06</t>
  </si>
  <si>
    <t>1996-03-07</t>
  </si>
  <si>
    <t>1991-03-07</t>
  </si>
  <si>
    <t>1996-03-08</t>
  </si>
  <si>
    <t>1991-03-08</t>
  </si>
  <si>
    <t>1996-03-09</t>
  </si>
  <si>
    <t>1991-03-09</t>
  </si>
  <si>
    <t>1996-03-10</t>
  </si>
  <si>
    <t>1991-03-10</t>
  </si>
  <si>
    <t>1996-03-11</t>
  </si>
  <si>
    <t>1991-03-11</t>
  </si>
  <si>
    <t>1996-03-12</t>
  </si>
  <si>
    <t>1991-03-12</t>
  </si>
  <si>
    <t>1996-03-13</t>
  </si>
  <si>
    <t>1991-03-13</t>
  </si>
  <si>
    <t>1996-03-14</t>
  </si>
  <si>
    <t>1991-03-14</t>
  </si>
  <si>
    <t>1996-03-15</t>
  </si>
  <si>
    <t>1991-03-15</t>
  </si>
  <si>
    <t>1996-03-16</t>
  </si>
  <si>
    <t>1991-03-16</t>
  </si>
  <si>
    <t>1996-03-17</t>
  </si>
  <si>
    <t>1991-03-17</t>
  </si>
  <si>
    <t>1996-03-18</t>
  </si>
  <si>
    <t>1991-03-18</t>
  </si>
  <si>
    <t>1996-03-19</t>
  </si>
  <si>
    <t>1991-03-19</t>
  </si>
  <si>
    <t>1996-03-20</t>
  </si>
  <si>
    <t>1991-03-20</t>
  </si>
  <si>
    <t>1996-03-21</t>
  </si>
  <si>
    <t>1991-03-21</t>
  </si>
  <si>
    <t>1996-03-22</t>
  </si>
  <si>
    <t>1991-03-22</t>
  </si>
  <si>
    <t>1996-03-23</t>
  </si>
  <si>
    <t>1991-03-23</t>
  </si>
  <si>
    <t>1996-03-24</t>
  </si>
  <si>
    <t>1991-03-24</t>
  </si>
  <si>
    <t>1996-03-25</t>
  </si>
  <si>
    <t>1991-03-25</t>
  </si>
  <si>
    <t>1996-03-26</t>
  </si>
  <si>
    <t>1991-03-26</t>
  </si>
  <si>
    <t>1996-03-27</t>
  </si>
  <si>
    <t>1991-03-27</t>
  </si>
  <si>
    <t>1996-03-28</t>
  </si>
  <si>
    <t>1991-03-28</t>
  </si>
  <si>
    <t>1996-03-29</t>
  </si>
  <si>
    <t>1991-03-29</t>
  </si>
  <si>
    <t>1996-03-30</t>
  </si>
  <si>
    <t>1991-03-30</t>
  </si>
  <si>
    <t>1996-03-31</t>
  </si>
  <si>
    <t>1991-03-31</t>
  </si>
  <si>
    <t>1996-04-01</t>
  </si>
  <si>
    <t>1991-04-01</t>
  </si>
  <si>
    <t>1996-04-02</t>
  </si>
  <si>
    <t>1991-04-02</t>
  </si>
  <si>
    <t>1996-04-03</t>
  </si>
  <si>
    <t>1991-04-03</t>
  </si>
  <si>
    <t>1996-04-04</t>
  </si>
  <si>
    <t>1991-04-04</t>
  </si>
  <si>
    <t>1996-04-05</t>
  </si>
  <si>
    <t>1991-04-05</t>
  </si>
  <si>
    <t>1996-04-06</t>
  </si>
  <si>
    <t>1991-04-06</t>
  </si>
  <si>
    <t>1996-04-07</t>
  </si>
  <si>
    <t>1991-04-07</t>
  </si>
  <si>
    <t>1996-04-08</t>
  </si>
  <si>
    <t>1991-04-08</t>
  </si>
  <si>
    <t>1996-04-09</t>
  </si>
  <si>
    <t>1991-04-09</t>
  </si>
  <si>
    <t>1996-04-10</t>
  </si>
  <si>
    <t>1991-04-10</t>
  </si>
  <si>
    <t>1996-04-11</t>
  </si>
  <si>
    <t>1991-04-11</t>
  </si>
  <si>
    <t>1996-04-12</t>
  </si>
  <si>
    <t>1991-04-12</t>
  </si>
  <si>
    <t>1996-04-13</t>
  </si>
  <si>
    <t>1991-04-13</t>
  </si>
  <si>
    <t>1996-04-14</t>
  </si>
  <si>
    <t>1991-04-14</t>
  </si>
  <si>
    <t>1996-04-15</t>
  </si>
  <si>
    <t>1991-04-15</t>
  </si>
  <si>
    <t>1996-04-16</t>
  </si>
  <si>
    <t>1991-04-16</t>
  </si>
  <si>
    <t>1996-04-17</t>
  </si>
  <si>
    <t>1991-04-17</t>
  </si>
  <si>
    <t>1996-04-18</t>
  </si>
  <si>
    <t>1991-04-18</t>
  </si>
  <si>
    <t>1996-04-19</t>
  </si>
  <si>
    <t>1991-04-19</t>
  </si>
  <si>
    <t>1996-04-20</t>
  </si>
  <si>
    <t>1991-04-20</t>
  </si>
  <si>
    <t>1996-04-21</t>
  </si>
  <si>
    <t>1991-04-21</t>
  </si>
  <si>
    <t>1996-04-22</t>
  </si>
  <si>
    <t>1991-04-22</t>
  </si>
  <si>
    <t>1996-04-23</t>
  </si>
  <si>
    <t>1991-04-23</t>
  </si>
  <si>
    <t>1996-04-24</t>
  </si>
  <si>
    <t>1991-04-24</t>
  </si>
  <si>
    <t>1996-04-25</t>
  </si>
  <si>
    <t>1991-04-25</t>
  </si>
  <si>
    <t>1996-04-26</t>
  </si>
  <si>
    <t>1991-04-26</t>
  </si>
  <si>
    <t>1996-04-27</t>
  </si>
  <si>
    <t>1991-04-27</t>
  </si>
  <si>
    <t>1996-04-28</t>
  </si>
  <si>
    <t>1991-04-28</t>
  </si>
  <si>
    <t>1996-04-29</t>
  </si>
  <si>
    <t>1991-04-29</t>
  </si>
  <si>
    <t>1996-04-30</t>
  </si>
  <si>
    <t>1991-04-30</t>
  </si>
  <si>
    <t>1996-05-01</t>
  </si>
  <si>
    <t>1991-05-01</t>
  </si>
  <si>
    <t>1996-05-02</t>
  </si>
  <si>
    <t>1991-05-02</t>
  </si>
  <si>
    <t>1996-05-03</t>
  </si>
  <si>
    <t>1991-05-03</t>
  </si>
  <si>
    <t>1996-05-04</t>
  </si>
  <si>
    <t>1991-05-04</t>
  </si>
  <si>
    <t>1996-05-05</t>
  </si>
  <si>
    <t>1991-05-05</t>
  </si>
  <si>
    <t>1996-05-06</t>
  </si>
  <si>
    <t>1991-05-06</t>
  </si>
  <si>
    <t>1996-05-07</t>
  </si>
  <si>
    <t>1991-05-07</t>
  </si>
  <si>
    <t>1996-05-08</t>
  </si>
  <si>
    <t>1991-05-08</t>
  </si>
  <si>
    <t>1996-05-09</t>
  </si>
  <si>
    <t>1991-05-09</t>
  </si>
  <si>
    <t>1996-05-10</t>
  </si>
  <si>
    <t>1991-05-10</t>
  </si>
  <si>
    <t>1996-05-11</t>
  </si>
  <si>
    <t>1991-05-11</t>
  </si>
  <si>
    <t>1996-05-12</t>
  </si>
  <si>
    <t>1991-05-12</t>
  </si>
  <si>
    <t>1996-05-13</t>
  </si>
  <si>
    <t>1991-05-13</t>
  </si>
  <si>
    <t>1996-05-14</t>
  </si>
  <si>
    <t>1991-05-14</t>
  </si>
  <si>
    <t>1996-05-15</t>
  </si>
  <si>
    <t>1991-05-15</t>
  </si>
  <si>
    <t>1996-05-16</t>
  </si>
  <si>
    <t>1991-05-16</t>
  </si>
  <si>
    <t>1996-05-17</t>
  </si>
  <si>
    <t>1991-05-17</t>
  </si>
  <si>
    <t>1996-05-18</t>
  </si>
  <si>
    <t>1991-05-18</t>
  </si>
  <si>
    <t>1996-05-19</t>
  </si>
  <si>
    <t>1991-05-19</t>
  </si>
  <si>
    <t>1996-05-20</t>
  </si>
  <si>
    <t>1991-05-20</t>
  </si>
  <si>
    <t>1996-05-21</t>
  </si>
  <si>
    <t>1991-05-21</t>
  </si>
  <si>
    <t>1996-05-22</t>
  </si>
  <si>
    <t>1991-05-22</t>
  </si>
  <si>
    <t>1996-05-23</t>
  </si>
  <si>
    <t>1991-05-23</t>
  </si>
  <si>
    <t>1996-05-24</t>
  </si>
  <si>
    <t>1991-05-24</t>
  </si>
  <si>
    <t>1996-05-25</t>
  </si>
  <si>
    <t>1991-05-25</t>
  </si>
  <si>
    <t>1996-05-26</t>
  </si>
  <si>
    <t>1991-05-26</t>
  </si>
  <si>
    <t>1996-05-27</t>
  </si>
  <si>
    <t>1991-05-27</t>
  </si>
  <si>
    <t>1996-05-28</t>
  </si>
  <si>
    <t>1991-05-28</t>
  </si>
  <si>
    <t>1996-05-29</t>
  </si>
  <si>
    <t>1991-05-29</t>
  </si>
  <si>
    <t>1996-05-30</t>
  </si>
  <si>
    <t>1991-05-30</t>
  </si>
  <si>
    <t>1996-05-31</t>
  </si>
  <si>
    <t>1991-05-31</t>
  </si>
  <si>
    <t>1996-06-01</t>
  </si>
  <si>
    <t>1991-06-01</t>
  </si>
  <si>
    <t>1996-06-02</t>
  </si>
  <si>
    <t>1991-06-02</t>
  </si>
  <si>
    <t>1996-06-03</t>
  </si>
  <si>
    <t>1991-06-03</t>
  </si>
  <si>
    <t>1996-06-04</t>
  </si>
  <si>
    <t>1991-06-04</t>
  </si>
  <si>
    <t>1996-06-05</t>
  </si>
  <si>
    <t>1991-06-05</t>
  </si>
  <si>
    <t>1996-06-06</t>
  </si>
  <si>
    <t>1991-06-06</t>
  </si>
  <si>
    <t>1996-06-07</t>
  </si>
  <si>
    <t>1991-06-07</t>
  </si>
  <si>
    <t>1996-06-08</t>
  </si>
  <si>
    <t>1991-06-08</t>
  </si>
  <si>
    <t>1996-06-09</t>
  </si>
  <si>
    <t>1991-06-09</t>
  </si>
  <si>
    <t>1996-06-10</t>
  </si>
  <si>
    <t>1991-06-10</t>
  </si>
  <si>
    <t>1996-06-11</t>
  </si>
  <si>
    <t>1991-06-11</t>
  </si>
  <si>
    <t>1996-06-12</t>
  </si>
  <si>
    <t>1991-06-12</t>
  </si>
  <si>
    <t>1996-06-13</t>
  </si>
  <si>
    <t>1991-06-13</t>
  </si>
  <si>
    <t>1996-06-14</t>
  </si>
  <si>
    <t>1991-06-14</t>
  </si>
  <si>
    <t>1996-06-15</t>
  </si>
  <si>
    <t>1991-06-15</t>
  </si>
  <si>
    <t>1996-06-16</t>
  </si>
  <si>
    <t>1991-06-16</t>
  </si>
  <si>
    <t>1996-06-17</t>
  </si>
  <si>
    <t>1991-06-17</t>
  </si>
  <si>
    <t>1996-06-18</t>
  </si>
  <si>
    <t>1991-06-18</t>
  </si>
  <si>
    <t>1996-06-19</t>
  </si>
  <si>
    <t>1991-06-19</t>
  </si>
  <si>
    <t>1996-06-20</t>
  </si>
  <si>
    <t>1991-06-20</t>
  </si>
  <si>
    <t>1996-06-21</t>
  </si>
  <si>
    <t>1991-06-21</t>
  </si>
  <si>
    <t>1996-06-22</t>
  </si>
  <si>
    <t>1991-06-22</t>
  </si>
  <si>
    <t>1996-06-23</t>
  </si>
  <si>
    <t>1991-06-23</t>
  </si>
  <si>
    <t>1996-06-24</t>
  </si>
  <si>
    <t>1991-06-24</t>
  </si>
  <si>
    <t>1996-06-25</t>
  </si>
  <si>
    <t>1991-06-25</t>
  </si>
  <si>
    <t>1996-06-26</t>
  </si>
  <si>
    <t>1991-06-26</t>
  </si>
  <si>
    <t>1996-06-27</t>
  </si>
  <si>
    <t>1991-06-27</t>
  </si>
  <si>
    <t>1996-06-28</t>
  </si>
  <si>
    <t>1991-06-28</t>
  </si>
  <si>
    <t>1996-06-29</t>
  </si>
  <si>
    <t>1991-06-29</t>
  </si>
  <si>
    <t>1996-06-30</t>
  </si>
  <si>
    <t>1991-06-30</t>
  </si>
  <si>
    <t>1996-07-01</t>
  </si>
  <si>
    <t>1991-07-01</t>
  </si>
  <si>
    <t>1996-07-02</t>
  </si>
  <si>
    <t>1991-07-02</t>
  </si>
  <si>
    <t>1996-07-03</t>
  </si>
  <si>
    <t>1991-07-03</t>
  </si>
  <si>
    <t>1996-07-04</t>
  </si>
  <si>
    <t>1991-07-04</t>
  </si>
  <si>
    <t>1996-07-05</t>
  </si>
  <si>
    <t>1991-07-05</t>
  </si>
  <si>
    <t>1996-07-06</t>
  </si>
  <si>
    <t>1991-07-06</t>
  </si>
  <si>
    <t>1996-07-07</t>
  </si>
  <si>
    <t>1991-07-07</t>
  </si>
  <si>
    <t>1996-07-08</t>
  </si>
  <si>
    <t>1991-07-08</t>
  </si>
  <si>
    <t>1996-07-09</t>
  </si>
  <si>
    <t>1991-07-09</t>
  </si>
  <si>
    <t>1996-07-10</t>
  </si>
  <si>
    <t>1991-07-10</t>
  </si>
  <si>
    <t>1996-07-11</t>
  </si>
  <si>
    <t>1991-07-11</t>
  </si>
  <si>
    <t>1996-07-12</t>
  </si>
  <si>
    <t>1991-07-12</t>
  </si>
  <si>
    <t>1996-07-13</t>
  </si>
  <si>
    <t>1991-07-13</t>
  </si>
  <si>
    <t>1996-07-14</t>
  </si>
  <si>
    <t>1991-07-14</t>
  </si>
  <si>
    <t>1996-07-15</t>
  </si>
  <si>
    <t>1991-07-15</t>
  </si>
  <si>
    <t>1996-07-16</t>
  </si>
  <si>
    <t>1991-07-16</t>
  </si>
  <si>
    <t>1996-07-17</t>
  </si>
  <si>
    <t>1991-07-17</t>
  </si>
  <si>
    <t>1996-07-18</t>
  </si>
  <si>
    <t>1991-07-18</t>
  </si>
  <si>
    <t>1996-07-19</t>
  </si>
  <si>
    <t>1991-07-19</t>
  </si>
  <si>
    <t>1996-07-20</t>
  </si>
  <si>
    <t>1991-07-20</t>
  </si>
  <si>
    <t>1996-07-21</t>
  </si>
  <si>
    <t>1991-07-21</t>
  </si>
  <si>
    <t>1996-07-22</t>
  </si>
  <si>
    <t>1991-07-22</t>
  </si>
  <si>
    <t>1996-07-23</t>
  </si>
  <si>
    <t>1991-07-23</t>
  </si>
  <si>
    <t>1996-07-24</t>
  </si>
  <si>
    <t>1991-07-24</t>
  </si>
  <si>
    <t>1996-07-25</t>
  </si>
  <si>
    <t>1991-07-25</t>
  </si>
  <si>
    <t>1996-07-26</t>
  </si>
  <si>
    <t>1991-07-26</t>
  </si>
  <si>
    <t>1996-07-27</t>
  </si>
  <si>
    <t>1991-07-27</t>
  </si>
  <si>
    <t>1996-07-28</t>
  </si>
  <si>
    <t>1991-07-28</t>
  </si>
  <si>
    <t>1996-07-29</t>
  </si>
  <si>
    <t>1991-07-29</t>
  </si>
  <si>
    <t>1996-07-30</t>
  </si>
  <si>
    <t>1991-07-30</t>
  </si>
  <si>
    <t>1996-07-31</t>
  </si>
  <si>
    <t>1991-07-31</t>
  </si>
  <si>
    <t>1996-08-01</t>
  </si>
  <si>
    <t>1991-08-01</t>
  </si>
  <si>
    <t>1996-08-02</t>
  </si>
  <si>
    <t>1991-08-02</t>
  </si>
  <si>
    <t>1996-08-03</t>
  </si>
  <si>
    <t>1991-08-03</t>
  </si>
  <si>
    <t>1996-08-04</t>
  </si>
  <si>
    <t>1991-08-04</t>
  </si>
  <si>
    <t>1996-08-05</t>
  </si>
  <si>
    <t>1991-08-05</t>
  </si>
  <si>
    <t>1996-08-06</t>
  </si>
  <si>
    <t>1991-08-06</t>
  </si>
  <si>
    <t>1996-08-07</t>
  </si>
  <si>
    <t>1991-08-07</t>
  </si>
  <si>
    <t>1996-08-08</t>
  </si>
  <si>
    <t>1991-08-08</t>
  </si>
  <si>
    <t>1996-08-09</t>
  </si>
  <si>
    <t>1991-08-09</t>
  </si>
  <si>
    <t>1996-08-10</t>
  </si>
  <si>
    <t>1991-08-10</t>
  </si>
  <si>
    <t>1996-08-11</t>
  </si>
  <si>
    <t>1991-08-11</t>
  </si>
  <si>
    <t>1996-08-12</t>
  </si>
  <si>
    <t>1991-08-12</t>
  </si>
  <si>
    <t>1996-08-13</t>
  </si>
  <si>
    <t>1991-08-13</t>
  </si>
  <si>
    <t>1996-08-14</t>
  </si>
  <si>
    <t>1991-08-14</t>
  </si>
  <si>
    <t>1996-08-15</t>
  </si>
  <si>
    <t>1991-08-15</t>
  </si>
  <si>
    <t>1996-08-16</t>
  </si>
  <si>
    <t>1991-08-16</t>
  </si>
  <si>
    <t>1996-08-17</t>
  </si>
  <si>
    <t>1991-08-17</t>
  </si>
  <si>
    <t>1996-08-18</t>
  </si>
  <si>
    <t>1991-08-18</t>
  </si>
  <si>
    <t>1996-08-19</t>
  </si>
  <si>
    <t>1991-08-19</t>
  </si>
  <si>
    <t>1996-08-20</t>
  </si>
  <si>
    <t>1991-08-20</t>
  </si>
  <si>
    <t>1996-08-21</t>
  </si>
  <si>
    <t>1991-08-21</t>
  </si>
  <si>
    <t>1996-08-22</t>
  </si>
  <si>
    <t>1991-08-22</t>
  </si>
  <si>
    <t>1996-08-23</t>
  </si>
  <si>
    <t>1991-08-23</t>
  </si>
  <si>
    <t>1996-08-24</t>
  </si>
  <si>
    <t>1991-08-24</t>
  </si>
  <si>
    <t>1996-08-25</t>
  </si>
  <si>
    <t>1991-08-25</t>
  </si>
  <si>
    <t>1996-08-26</t>
  </si>
  <si>
    <t>1991-08-26</t>
  </si>
  <si>
    <t>1996-08-27</t>
  </si>
  <si>
    <t>1991-08-27</t>
  </si>
  <si>
    <t>1996-08-28</t>
  </si>
  <si>
    <t>1991-08-28</t>
  </si>
  <si>
    <t>1996-08-29</t>
  </si>
  <si>
    <t>1991-08-29</t>
  </si>
  <si>
    <t>1996-08-30</t>
  </si>
  <si>
    <t>1991-08-30</t>
  </si>
  <si>
    <t>1996-08-31</t>
  </si>
  <si>
    <t>1991-08-31</t>
  </si>
  <si>
    <t>1996-09-01</t>
  </si>
  <si>
    <t>1991-09-01</t>
  </si>
  <si>
    <t>1996-09-02</t>
  </si>
  <si>
    <t>1991-09-02</t>
  </si>
  <si>
    <t>1996-09-03</t>
  </si>
  <si>
    <t>1991-09-03</t>
  </si>
  <si>
    <t>1996-09-04</t>
  </si>
  <si>
    <t>1991-09-04</t>
  </si>
  <si>
    <t>1996-09-05</t>
  </si>
  <si>
    <t>1991-09-05</t>
  </si>
  <si>
    <t>1996-09-06</t>
  </si>
  <si>
    <t>1991-09-06</t>
  </si>
  <si>
    <t>1996-09-07</t>
  </si>
  <si>
    <t>1991-09-07</t>
  </si>
  <si>
    <t>1996-09-08</t>
  </si>
  <si>
    <t>1991-09-08</t>
  </si>
  <si>
    <t>1996-09-09</t>
  </si>
  <si>
    <t>1991-09-09</t>
  </si>
  <si>
    <t>1996-09-10</t>
  </si>
  <si>
    <t>1991-09-10</t>
  </si>
  <si>
    <t>1996-09-11</t>
  </si>
  <si>
    <t>1991-09-11</t>
  </si>
  <si>
    <t>1996-09-12</t>
  </si>
  <si>
    <t>1991-09-12</t>
  </si>
  <si>
    <t>1996-09-13</t>
  </si>
  <si>
    <t>1991-09-13</t>
  </si>
  <si>
    <t>1996-09-14</t>
  </si>
  <si>
    <t>1991-09-14</t>
  </si>
  <si>
    <t>1996-09-15</t>
  </si>
  <si>
    <t>1991-09-15</t>
  </si>
  <si>
    <t>1996-09-16</t>
  </si>
  <si>
    <t>1991-09-16</t>
  </si>
  <si>
    <t>1996-09-17</t>
  </si>
  <si>
    <t>1991-09-17</t>
  </si>
  <si>
    <t>1996-09-18</t>
  </si>
  <si>
    <t>1991-09-18</t>
  </si>
  <si>
    <t>1996-09-19</t>
  </si>
  <si>
    <t>1991-09-19</t>
  </si>
  <si>
    <t>1996-09-20</t>
  </si>
  <si>
    <t>1991-09-20</t>
  </si>
  <si>
    <t>1996-09-21</t>
  </si>
  <si>
    <t>1991-09-21</t>
  </si>
  <si>
    <t>1996-09-22</t>
  </si>
  <si>
    <t>1991-09-22</t>
  </si>
  <si>
    <t>1996-09-23</t>
  </si>
  <si>
    <t>1991-09-23</t>
  </si>
  <si>
    <t>1996-09-24</t>
  </si>
  <si>
    <t>1991-09-24</t>
  </si>
  <si>
    <t>1996-09-25</t>
  </si>
  <si>
    <t>1991-09-25</t>
  </si>
  <si>
    <t>1996-09-26</t>
  </si>
  <si>
    <t>1991-09-26</t>
  </si>
  <si>
    <t>1996-09-27</t>
  </si>
  <si>
    <t>1991-09-27</t>
  </si>
  <si>
    <t>1996-09-28</t>
  </si>
  <si>
    <t>1991-09-28</t>
  </si>
  <si>
    <t>1996-09-29</t>
  </si>
  <si>
    <t>1991-09-29</t>
  </si>
  <si>
    <t>1996-09-30</t>
  </si>
  <si>
    <t>1991-09-30</t>
  </si>
  <si>
    <t>1996-10-01</t>
  </si>
  <si>
    <t>1991-10-01</t>
  </si>
  <si>
    <t>1996-10-02</t>
  </si>
  <si>
    <t>1991-10-02</t>
  </si>
  <si>
    <t>1996-10-03</t>
  </si>
  <si>
    <t>1991-10-03</t>
  </si>
  <si>
    <t>1996-10-04</t>
  </si>
  <si>
    <t>1991-10-04</t>
  </si>
  <si>
    <t>1996-10-05</t>
  </si>
  <si>
    <t>1991-10-05</t>
  </si>
  <si>
    <t>1996-10-06</t>
  </si>
  <si>
    <t>1991-10-06</t>
  </si>
  <si>
    <t>1996-10-07</t>
  </si>
  <si>
    <t>1991-10-07</t>
  </si>
  <si>
    <t>1996-10-08</t>
  </si>
  <si>
    <t>1991-10-08</t>
  </si>
  <si>
    <t>1996-10-09</t>
  </si>
  <si>
    <t>1991-10-09</t>
  </si>
  <si>
    <t>1996-10-10</t>
  </si>
  <si>
    <t>1991-10-10</t>
  </si>
  <si>
    <t>1996-10-11</t>
  </si>
  <si>
    <t>1991-10-11</t>
  </si>
  <si>
    <t>1996-10-12</t>
  </si>
  <si>
    <t>1991-10-12</t>
  </si>
  <si>
    <t>1996-10-13</t>
  </si>
  <si>
    <t>1991-10-13</t>
  </si>
  <si>
    <t>1996-10-14</t>
  </si>
  <si>
    <t>1991-10-14</t>
  </si>
  <si>
    <t>1996-10-15</t>
  </si>
  <si>
    <t>1991-10-15</t>
  </si>
  <si>
    <t>1996-10-16</t>
  </si>
  <si>
    <t>1991-10-16</t>
  </si>
  <si>
    <t>1996-10-17</t>
  </si>
  <si>
    <t>1991-10-17</t>
  </si>
  <si>
    <t>1996-10-18</t>
  </si>
  <si>
    <t>1991-10-18</t>
  </si>
  <si>
    <t>1996-10-19</t>
  </si>
  <si>
    <t>1991-10-19</t>
  </si>
  <si>
    <t>1996-10-20</t>
  </si>
  <si>
    <t>1991-10-20</t>
  </si>
  <si>
    <t>1996-10-21</t>
  </si>
  <si>
    <t>1991-10-21</t>
  </si>
  <si>
    <t>1996-10-22</t>
  </si>
  <si>
    <t>1991-10-22</t>
  </si>
  <si>
    <t>1996-10-23</t>
  </si>
  <si>
    <t>1991-10-23</t>
  </si>
  <si>
    <t>1996-10-24</t>
  </si>
  <si>
    <t>1991-10-24</t>
  </si>
  <si>
    <t>1996-10-25</t>
  </si>
  <si>
    <t>1991-10-25</t>
  </si>
  <si>
    <t>1996-10-26</t>
  </si>
  <si>
    <t>1991-10-26</t>
  </si>
  <si>
    <t>1996-10-27</t>
  </si>
  <si>
    <t>1991-10-27</t>
  </si>
  <si>
    <t>1996-10-28</t>
  </si>
  <si>
    <t>1991-10-28</t>
  </si>
  <si>
    <t>1996-10-29</t>
  </si>
  <si>
    <t>1991-10-29</t>
  </si>
  <si>
    <t>1996-10-30</t>
  </si>
  <si>
    <t>1991-10-30</t>
  </si>
  <si>
    <t>1996-10-31</t>
  </si>
  <si>
    <t>1991-10-31</t>
  </si>
  <si>
    <t>1996-11-01</t>
  </si>
  <si>
    <t>1991-11-01</t>
  </si>
  <si>
    <t>1996-11-02</t>
  </si>
  <si>
    <t>1991-11-02</t>
  </si>
  <si>
    <t>1996-11-03</t>
  </si>
  <si>
    <t>1991-11-03</t>
  </si>
  <si>
    <t>1996-11-04</t>
  </si>
  <si>
    <t>1991-11-04</t>
  </si>
  <si>
    <t>1996-11-05</t>
  </si>
  <si>
    <t>1991-11-05</t>
  </si>
  <si>
    <t>1996-11-06</t>
  </si>
  <si>
    <t>1991-11-06</t>
  </si>
  <si>
    <t>1996-11-07</t>
  </si>
  <si>
    <t>1991-11-07</t>
  </si>
  <si>
    <t>1996-11-08</t>
  </si>
  <si>
    <t>1991-11-08</t>
  </si>
  <si>
    <t>1996-11-09</t>
  </si>
  <si>
    <t>1991-11-09</t>
  </si>
  <si>
    <t>1996-11-10</t>
  </si>
  <si>
    <t>1991-11-10</t>
  </si>
  <si>
    <t>1996-11-11</t>
  </si>
  <si>
    <t>1991-11-11</t>
  </si>
  <si>
    <t>1996-11-12</t>
  </si>
  <si>
    <t>1991-11-12</t>
  </si>
  <si>
    <t>1996-11-13</t>
  </si>
  <si>
    <t>1991-11-13</t>
  </si>
  <si>
    <t>1996-11-14</t>
  </si>
  <si>
    <t>1991-11-14</t>
  </si>
  <si>
    <t>1996-11-15</t>
  </si>
  <si>
    <t>1991-11-15</t>
  </si>
  <si>
    <t>1996-11-16</t>
  </si>
  <si>
    <t>1991-11-16</t>
  </si>
  <si>
    <t>1996-11-17</t>
  </si>
  <si>
    <t>1991-11-17</t>
  </si>
  <si>
    <t>1996-11-18</t>
  </si>
  <si>
    <t>1991-11-18</t>
  </si>
  <si>
    <t>1996-11-19</t>
  </si>
  <si>
    <t>1991-11-19</t>
  </si>
  <si>
    <t>1996-11-20</t>
  </si>
  <si>
    <t>1991-11-20</t>
  </si>
  <si>
    <t>1996-11-21</t>
  </si>
  <si>
    <t>1991-11-21</t>
  </si>
  <si>
    <t>1996-11-22</t>
  </si>
  <si>
    <t>1991-11-22</t>
  </si>
  <si>
    <t>1996-11-23</t>
  </si>
  <si>
    <t>1991-11-23</t>
  </si>
  <si>
    <t>1996-11-24</t>
  </si>
  <si>
    <t>1991-11-24</t>
  </si>
  <si>
    <t>1996-11-25</t>
  </si>
  <si>
    <t>1991-11-25</t>
  </si>
  <si>
    <t>1996-11-26</t>
  </si>
  <si>
    <t>1991-11-26</t>
  </si>
  <si>
    <t>1996-11-27</t>
  </si>
  <si>
    <t>1991-11-27</t>
  </si>
  <si>
    <t>1996-11-28</t>
  </si>
  <si>
    <t>1991-11-28</t>
  </si>
  <si>
    <t>1996-11-29</t>
  </si>
  <si>
    <t>1991-11-29</t>
  </si>
  <si>
    <t>1996-11-30</t>
  </si>
  <si>
    <t>1991-11-30</t>
  </si>
  <si>
    <t>1996-12-01</t>
  </si>
  <si>
    <t>1991-12-01</t>
  </si>
  <si>
    <t>1996-12-02</t>
  </si>
  <si>
    <t>1991-12-02</t>
  </si>
  <si>
    <t>1996-12-03</t>
  </si>
  <si>
    <t>1991-12-03</t>
  </si>
  <si>
    <t>1996-12-04</t>
  </si>
  <si>
    <t>1991-12-04</t>
  </si>
  <si>
    <t>1996-12-05</t>
  </si>
  <si>
    <t>1991-12-05</t>
  </si>
  <si>
    <t>1996-12-06</t>
  </si>
  <si>
    <t>1991-12-06</t>
  </si>
  <si>
    <t>1996-12-07</t>
  </si>
  <si>
    <t>1991-12-07</t>
  </si>
  <si>
    <t>1996-12-08</t>
  </si>
  <si>
    <t>1991-12-08</t>
  </si>
  <si>
    <t>1996-12-09</t>
  </si>
  <si>
    <t>1991-12-09</t>
  </si>
  <si>
    <t>1996-12-10</t>
  </si>
  <si>
    <t>1991-12-10</t>
  </si>
  <si>
    <t>1996-12-11</t>
  </si>
  <si>
    <t>1991-12-11</t>
  </si>
  <si>
    <t>1996-12-12</t>
  </si>
  <si>
    <t>1991-12-12</t>
  </si>
  <si>
    <t>1996-12-13</t>
  </si>
  <si>
    <t>1991-12-13</t>
  </si>
  <si>
    <t>1996-12-14</t>
  </si>
  <si>
    <t>1991-12-14</t>
  </si>
  <si>
    <t>1996-12-15</t>
  </si>
  <si>
    <t>1991-12-15</t>
  </si>
  <si>
    <t>1996-12-16</t>
  </si>
  <si>
    <t>1991-12-16</t>
  </si>
  <si>
    <t>1996-12-17</t>
  </si>
  <si>
    <t>1991-12-17</t>
  </si>
  <si>
    <t>1996-12-18</t>
  </si>
  <si>
    <t>1991-12-18</t>
  </si>
  <si>
    <t>1996-12-19</t>
  </si>
  <si>
    <t>1991-12-19</t>
  </si>
  <si>
    <t>1996-12-20</t>
  </si>
  <si>
    <t>1991-12-20</t>
  </si>
  <si>
    <t>1996-12-21</t>
  </si>
  <si>
    <t>1991-12-21</t>
  </si>
  <si>
    <t>1996-12-22</t>
  </si>
  <si>
    <t>1991-12-22</t>
  </si>
  <si>
    <t>1996-12-23</t>
  </si>
  <si>
    <t>1991-12-23</t>
  </si>
  <si>
    <t>1996-12-24</t>
  </si>
  <si>
    <t>1991-12-24</t>
  </si>
  <si>
    <t>1996-12-25</t>
  </si>
  <si>
    <t>1991-12-25</t>
  </si>
  <si>
    <t>1996-12-26</t>
  </si>
  <si>
    <t>1991-12-26</t>
  </si>
  <si>
    <t>1996-12-27</t>
  </si>
  <si>
    <t>1991-12-27</t>
  </si>
  <si>
    <t>1996-12-28</t>
  </si>
  <si>
    <t>1991-12-28</t>
  </si>
  <si>
    <t>1996-12-29</t>
  </si>
  <si>
    <t>1991-12-29</t>
  </si>
  <si>
    <t>1996-12-30</t>
  </si>
  <si>
    <t>1991-12-30</t>
  </si>
  <si>
    <t>1996-12-31</t>
  </si>
  <si>
    <t>1991-12-31</t>
  </si>
  <si>
    <t>1997-01-01</t>
  </si>
  <si>
    <t>1992-01-01</t>
  </si>
  <si>
    <t>1997-01-02</t>
  </si>
  <si>
    <t>1992-01-02</t>
  </si>
  <si>
    <t>1997-01-03</t>
  </si>
  <si>
    <t>1992-01-03</t>
  </si>
  <si>
    <t>1997-01-04</t>
  </si>
  <si>
    <t>1992-01-04</t>
  </si>
  <si>
    <t>1997-01-05</t>
  </si>
  <si>
    <t>1992-01-05</t>
  </si>
  <si>
    <t>1997-01-06</t>
  </si>
  <si>
    <t>1992-01-06</t>
  </si>
  <si>
    <t>1997-01-07</t>
  </si>
  <si>
    <t>1992-01-07</t>
  </si>
  <si>
    <t>1997-01-08</t>
  </si>
  <si>
    <t>1992-01-08</t>
  </si>
  <si>
    <t>1997-01-09</t>
  </si>
  <si>
    <t>1992-01-09</t>
  </si>
  <si>
    <t>1997-01-10</t>
  </si>
  <si>
    <t>1992-01-10</t>
  </si>
  <si>
    <t>1997-01-11</t>
  </si>
  <si>
    <t>1992-01-11</t>
  </si>
  <si>
    <t>1997-01-12</t>
  </si>
  <si>
    <t>1992-01-12</t>
  </si>
  <si>
    <t>1997-01-13</t>
  </si>
  <si>
    <t>1992-01-13</t>
  </si>
  <si>
    <t>1997-01-14</t>
  </si>
  <si>
    <t>1992-01-14</t>
  </si>
  <si>
    <t>1997-01-15</t>
  </si>
  <si>
    <t>1992-01-15</t>
  </si>
  <si>
    <t>1997-01-16</t>
  </si>
  <si>
    <t>1992-01-16</t>
  </si>
  <si>
    <t>1997-01-17</t>
  </si>
  <si>
    <t>1992-01-17</t>
  </si>
  <si>
    <t>1997-01-18</t>
  </si>
  <si>
    <t>1992-01-18</t>
  </si>
  <si>
    <t>1997-01-19</t>
  </si>
  <si>
    <t>1992-01-19</t>
  </si>
  <si>
    <t>1997-01-20</t>
  </si>
  <si>
    <t>1992-01-20</t>
  </si>
  <si>
    <t>1997-01-21</t>
  </si>
  <si>
    <t>1992-01-21</t>
  </si>
  <si>
    <t>1997-01-22</t>
  </si>
  <si>
    <t>1992-01-22</t>
  </si>
  <si>
    <t>1997-01-23</t>
  </si>
  <si>
    <t>1992-01-23</t>
  </si>
  <si>
    <t>1997-01-24</t>
  </si>
  <si>
    <t>1992-01-24</t>
  </si>
  <si>
    <t>1997-01-25</t>
  </si>
  <si>
    <t>1992-01-25</t>
  </si>
  <si>
    <t>1997-01-26</t>
  </si>
  <si>
    <t>1992-01-26</t>
  </si>
  <si>
    <t>1997-01-27</t>
  </si>
  <si>
    <t>1992-01-27</t>
  </si>
  <si>
    <t>1997-01-28</t>
  </si>
  <si>
    <t>1992-01-28</t>
  </si>
  <si>
    <t>1997-01-29</t>
  </si>
  <si>
    <t>1992-01-29</t>
  </si>
  <si>
    <t>1997-01-30</t>
  </si>
  <si>
    <t>1992-01-30</t>
  </si>
  <si>
    <t>1997-01-31</t>
  </si>
  <si>
    <t>1992-01-31</t>
  </si>
  <si>
    <t>1997-02-01</t>
  </si>
  <si>
    <t>1992-02-01</t>
  </si>
  <si>
    <t>1997-02-02</t>
  </si>
  <si>
    <t>1992-02-02</t>
  </si>
  <si>
    <t>1997-02-03</t>
  </si>
  <si>
    <t>1992-02-03</t>
  </si>
  <si>
    <t>1997-02-04</t>
  </si>
  <si>
    <t>1992-02-04</t>
  </si>
  <si>
    <t>1997-02-05</t>
  </si>
  <si>
    <t>1992-02-05</t>
  </si>
  <si>
    <t>1997-02-06</t>
  </si>
  <si>
    <t>1992-02-06</t>
  </si>
  <si>
    <t>1997-02-07</t>
  </si>
  <si>
    <t>1992-02-07</t>
  </si>
  <si>
    <t>1997-02-08</t>
  </si>
  <si>
    <t>1992-02-08</t>
  </si>
  <si>
    <t>1997-02-09</t>
  </si>
  <si>
    <t>1992-02-09</t>
  </si>
  <si>
    <t>1997-02-10</t>
  </si>
  <si>
    <t>1992-02-10</t>
  </si>
  <si>
    <t>1997-02-11</t>
  </si>
  <si>
    <t>1992-02-11</t>
  </si>
  <si>
    <t>1997-02-12</t>
  </si>
  <si>
    <t>1992-02-12</t>
  </si>
  <si>
    <t>1997-02-13</t>
  </si>
  <si>
    <t>1992-02-13</t>
  </si>
  <si>
    <t>1997-02-14</t>
  </si>
  <si>
    <t>1992-02-14</t>
  </si>
  <si>
    <t>1997-02-15</t>
  </si>
  <si>
    <t>1992-02-15</t>
  </si>
  <si>
    <t>1997-02-16</t>
  </si>
  <si>
    <t>1992-02-16</t>
  </si>
  <si>
    <t>1997-02-17</t>
  </si>
  <si>
    <t>1992-02-17</t>
  </si>
  <si>
    <t>1997-02-18</t>
  </si>
  <si>
    <t>1992-02-18</t>
  </si>
  <si>
    <t>1997-02-19</t>
  </si>
  <si>
    <t>1992-02-19</t>
  </si>
  <si>
    <t>1997-02-20</t>
  </si>
  <si>
    <t>1992-02-20</t>
  </si>
  <si>
    <t>1997-02-21</t>
  </si>
  <si>
    <t>1992-02-21</t>
  </si>
  <si>
    <t>1997-02-22</t>
  </si>
  <si>
    <t>1992-02-22</t>
  </si>
  <si>
    <t>1997-02-23</t>
  </si>
  <si>
    <t>1992-02-23</t>
  </si>
  <si>
    <t>1997-02-24</t>
  </si>
  <si>
    <t>1992-02-24</t>
  </si>
  <si>
    <t>1997-02-25</t>
  </si>
  <si>
    <t>1992-02-25</t>
  </si>
  <si>
    <t>1997-02-26</t>
  </si>
  <si>
    <t>1992-02-26</t>
  </si>
  <si>
    <t>1997-02-27</t>
  </si>
  <si>
    <t>1992-02-27</t>
  </si>
  <si>
    <t>1997-02-28</t>
  </si>
  <si>
    <t>1992-02-28</t>
  </si>
  <si>
    <t>1992-02-29</t>
  </si>
  <si>
    <t>1997-03-01</t>
  </si>
  <si>
    <t>1992-03-01</t>
  </si>
  <si>
    <t>1997-03-02</t>
  </si>
  <si>
    <t>1992-03-02</t>
  </si>
  <si>
    <t>1997-03-03</t>
  </si>
  <si>
    <t>1992-03-03</t>
  </si>
  <si>
    <t>1997-03-04</t>
  </si>
  <si>
    <t>1992-03-04</t>
  </si>
  <si>
    <t>1997-03-05</t>
  </si>
  <si>
    <t>1992-03-05</t>
  </si>
  <si>
    <t>1997-03-06</t>
  </si>
  <si>
    <t>1992-03-06</t>
  </si>
  <si>
    <t>1997-03-07</t>
  </si>
  <si>
    <t>1992-03-07</t>
  </si>
  <si>
    <t>1997-03-08</t>
  </si>
  <si>
    <t>1992-03-08</t>
  </si>
  <si>
    <t>1997-03-09</t>
  </si>
  <si>
    <t>1992-03-09</t>
  </si>
  <si>
    <t>1997-03-10</t>
  </si>
  <si>
    <t>1992-03-10</t>
  </si>
  <si>
    <t>1997-03-11</t>
  </si>
  <si>
    <t>1992-03-11</t>
  </si>
  <si>
    <t>1997-03-12</t>
  </si>
  <si>
    <t>1992-03-12</t>
  </si>
  <si>
    <t>1997-03-13</t>
  </si>
  <si>
    <t>1992-03-13</t>
  </si>
  <si>
    <t>1997-03-14</t>
  </si>
  <si>
    <t>1992-03-14</t>
  </si>
  <si>
    <t>1997-03-15</t>
  </si>
  <si>
    <t>1992-03-15</t>
  </si>
  <si>
    <t>1997-03-16</t>
  </si>
  <si>
    <t>1992-03-16</t>
  </si>
  <si>
    <t>1997-03-17</t>
  </si>
  <si>
    <t>1992-03-17</t>
  </si>
  <si>
    <t>1997-03-18</t>
  </si>
  <si>
    <t>1992-03-18</t>
  </si>
  <si>
    <t>1997-03-19</t>
  </si>
  <si>
    <t>1992-03-19</t>
  </si>
  <si>
    <t>1997-03-20</t>
  </si>
  <si>
    <t>1992-03-20</t>
  </si>
  <si>
    <t>1997-03-21</t>
  </si>
  <si>
    <t>1992-03-21</t>
  </si>
  <si>
    <t>1997-03-22</t>
  </si>
  <si>
    <t>1992-03-22</t>
  </si>
  <si>
    <t>1997-03-23</t>
  </si>
  <si>
    <t>1992-03-23</t>
  </si>
  <si>
    <t>1997-03-24</t>
  </si>
  <si>
    <t>1992-03-24</t>
  </si>
  <si>
    <t>1997-03-25</t>
  </si>
  <si>
    <t>1992-03-25</t>
  </si>
  <si>
    <t>1997-03-26</t>
  </si>
  <si>
    <t>1992-03-26</t>
  </si>
  <si>
    <t>1997-03-27</t>
  </si>
  <si>
    <t>1992-03-27</t>
  </si>
  <si>
    <t>1997-03-28</t>
  </si>
  <si>
    <t>1992-03-28</t>
  </si>
  <si>
    <t>1997-03-29</t>
  </si>
  <si>
    <t>1992-03-29</t>
  </si>
  <si>
    <t>1997-03-30</t>
  </si>
  <si>
    <t>1992-03-30</t>
  </si>
  <si>
    <t>1997-03-31</t>
  </si>
  <si>
    <t>1992-03-31</t>
  </si>
  <si>
    <t>1997-04-01</t>
  </si>
  <si>
    <t>1992-04-01</t>
  </si>
  <si>
    <t>1997-04-02</t>
  </si>
  <si>
    <t>1992-04-02</t>
  </si>
  <si>
    <t>1997-04-03</t>
  </si>
  <si>
    <t>1992-04-03</t>
  </si>
  <si>
    <t>1997-04-04</t>
  </si>
  <si>
    <t>1992-04-04</t>
  </si>
  <si>
    <t>1997-04-05</t>
  </si>
  <si>
    <t>1992-04-05</t>
  </si>
  <si>
    <t>1997-04-06</t>
  </si>
  <si>
    <t>1992-04-06</t>
  </si>
  <si>
    <t>1997-04-07</t>
  </si>
  <si>
    <t>1992-04-07</t>
  </si>
  <si>
    <t>1997-04-08</t>
  </si>
  <si>
    <t>1992-04-08</t>
  </si>
  <si>
    <t>1997-04-09</t>
  </si>
  <si>
    <t>1992-04-09</t>
  </si>
  <si>
    <t>1997-04-10</t>
  </si>
  <si>
    <t>1992-04-10</t>
  </si>
  <si>
    <t>1997-04-11</t>
  </si>
  <si>
    <t>1992-04-11</t>
  </si>
  <si>
    <t>1997-04-12</t>
  </si>
  <si>
    <t>1992-04-12</t>
  </si>
  <si>
    <t>1997-04-13</t>
  </si>
  <si>
    <t>1992-04-13</t>
  </si>
  <si>
    <t>1997-04-14</t>
  </si>
  <si>
    <t>1992-04-14</t>
  </si>
  <si>
    <t>1997-04-15</t>
  </si>
  <si>
    <t>1992-04-15</t>
  </si>
  <si>
    <t>1997-04-16</t>
  </si>
  <si>
    <t>1992-04-16</t>
  </si>
  <si>
    <t>1997-04-17</t>
  </si>
  <si>
    <t>1992-04-17</t>
  </si>
  <si>
    <t>1997-04-18</t>
  </si>
  <si>
    <t>1992-04-18</t>
  </si>
  <si>
    <t>1997-04-19</t>
  </si>
  <si>
    <t>1992-04-19</t>
  </si>
  <si>
    <t>1997-04-20</t>
  </si>
  <si>
    <t>1992-04-20</t>
  </si>
  <si>
    <t>1997-04-21</t>
  </si>
  <si>
    <t>1992-04-21</t>
  </si>
  <si>
    <t>1997-04-22</t>
  </si>
  <si>
    <t>1992-04-22</t>
  </si>
  <si>
    <t>1997-04-23</t>
  </si>
  <si>
    <t>1992-04-23</t>
  </si>
  <si>
    <t>1997-04-24</t>
  </si>
  <si>
    <t>1992-04-24</t>
  </si>
  <si>
    <t>1997-04-25</t>
  </si>
  <si>
    <t>1992-04-25</t>
  </si>
  <si>
    <t>1997-04-26</t>
  </si>
  <si>
    <t>1992-04-26</t>
  </si>
  <si>
    <t>1997-04-27</t>
  </si>
  <si>
    <t>1992-04-27</t>
  </si>
  <si>
    <t>1997-04-28</t>
  </si>
  <si>
    <t>1992-04-28</t>
  </si>
  <si>
    <t>1997-04-29</t>
  </si>
  <si>
    <t>1992-04-29</t>
  </si>
  <si>
    <t>1997-04-30</t>
  </si>
  <si>
    <t>1992-04-30</t>
  </si>
  <si>
    <t>1997-05-01</t>
  </si>
  <si>
    <t>1992-05-01</t>
  </si>
  <si>
    <t>1997-05-02</t>
  </si>
  <si>
    <t>1992-05-02</t>
  </si>
  <si>
    <t>1997-05-03</t>
  </si>
  <si>
    <t>1992-05-03</t>
  </si>
  <si>
    <t>1997-05-04</t>
  </si>
  <si>
    <t>1992-05-04</t>
  </si>
  <si>
    <t>1997-05-05</t>
  </si>
  <si>
    <t>1992-05-05</t>
  </si>
  <si>
    <t>1997-05-06</t>
  </si>
  <si>
    <t>1992-05-06</t>
  </si>
  <si>
    <t>1997-05-07</t>
  </si>
  <si>
    <t>1992-05-07</t>
  </si>
  <si>
    <t>1997-05-08</t>
  </si>
  <si>
    <t>1992-05-08</t>
  </si>
  <si>
    <t>1997-05-09</t>
  </si>
  <si>
    <t>1992-05-09</t>
  </si>
  <si>
    <t>1997-05-10</t>
  </si>
  <si>
    <t>1992-05-10</t>
  </si>
  <si>
    <t>1997-05-11</t>
  </si>
  <si>
    <t>1992-05-11</t>
  </si>
  <si>
    <t>1997-05-12</t>
  </si>
  <si>
    <t>1992-05-12</t>
  </si>
  <si>
    <t>1997-05-13</t>
  </si>
  <si>
    <t>1992-05-13</t>
  </si>
  <si>
    <t>1997-05-14</t>
  </si>
  <si>
    <t>1992-05-14</t>
  </si>
  <si>
    <t>1997-05-15</t>
  </si>
  <si>
    <t>1992-05-15</t>
  </si>
  <si>
    <t>1997-05-16</t>
  </si>
  <si>
    <t>1992-05-16</t>
  </si>
  <si>
    <t>1997-05-17</t>
  </si>
  <si>
    <t>1992-05-17</t>
  </si>
  <si>
    <t>1997-05-18</t>
  </si>
  <si>
    <t>1992-05-18</t>
  </si>
  <si>
    <t>1997-05-19</t>
  </si>
  <si>
    <t>1992-05-19</t>
  </si>
  <si>
    <t>1997-05-20</t>
  </si>
  <si>
    <t>1992-05-20</t>
  </si>
  <si>
    <t>1997-05-21</t>
  </si>
  <si>
    <t>1992-05-21</t>
  </si>
  <si>
    <t>1997-05-22</t>
  </si>
  <si>
    <t>1992-05-22</t>
  </si>
  <si>
    <t>1997-05-23</t>
  </si>
  <si>
    <t>1992-05-23</t>
  </si>
  <si>
    <t>1997-05-24</t>
  </si>
  <si>
    <t>1992-05-24</t>
  </si>
  <si>
    <t>1997-05-25</t>
  </si>
  <si>
    <t>1992-05-25</t>
  </si>
  <si>
    <t>1997-05-26</t>
  </si>
  <si>
    <t>1992-05-26</t>
  </si>
  <si>
    <t>1997-05-27</t>
  </si>
  <si>
    <t>1992-05-27</t>
  </si>
  <si>
    <t>1997-05-28</t>
  </si>
  <si>
    <t>1992-05-28</t>
  </si>
  <si>
    <t>1997-05-29</t>
  </si>
  <si>
    <t>1992-05-29</t>
  </si>
  <si>
    <t>1997-05-30</t>
  </si>
  <si>
    <t>1992-05-30</t>
  </si>
  <si>
    <t>1997-05-31</t>
  </si>
  <si>
    <t>1992-05-31</t>
  </si>
  <si>
    <t>1997-06-01</t>
  </si>
  <si>
    <t>1992-06-01</t>
  </si>
  <si>
    <t>1997-06-02</t>
  </si>
  <si>
    <t>1992-06-02</t>
  </si>
  <si>
    <t>1997-06-03</t>
  </si>
  <si>
    <t>1992-06-03</t>
  </si>
  <si>
    <t>1997-06-04</t>
  </si>
  <si>
    <t>1992-06-04</t>
  </si>
  <si>
    <t>1997-06-05</t>
  </si>
  <si>
    <t>1992-06-05</t>
  </si>
  <si>
    <t>1997-06-06</t>
  </si>
  <si>
    <t>1992-06-06</t>
  </si>
  <si>
    <t>1997-06-07</t>
  </si>
  <si>
    <t>1992-06-07</t>
  </si>
  <si>
    <t>1997-06-08</t>
  </si>
  <si>
    <t>1992-06-08</t>
  </si>
  <si>
    <t>1997-06-09</t>
  </si>
  <si>
    <t>1992-06-09</t>
  </si>
  <si>
    <t>1997-06-10</t>
  </si>
  <si>
    <t>1992-06-10</t>
  </si>
  <si>
    <t>1997-06-11</t>
  </si>
  <si>
    <t>1992-06-11</t>
  </si>
  <si>
    <t>1997-06-12</t>
  </si>
  <si>
    <t>1992-06-12</t>
  </si>
  <si>
    <t>1997-06-13</t>
  </si>
  <si>
    <t>1992-06-13</t>
  </si>
  <si>
    <t>1997-06-14</t>
  </si>
  <si>
    <t>1992-06-14</t>
  </si>
  <si>
    <t>1997-06-15</t>
  </si>
  <si>
    <t>1992-06-15</t>
  </si>
  <si>
    <t>1997-06-16</t>
  </si>
  <si>
    <t>1992-06-16</t>
  </si>
  <si>
    <t>1997-06-17</t>
  </si>
  <si>
    <t>1992-06-17</t>
  </si>
  <si>
    <t>1997-06-18</t>
  </si>
  <si>
    <t>1992-06-18</t>
  </si>
  <si>
    <t>1997-06-19</t>
  </si>
  <si>
    <t>1992-06-19</t>
  </si>
  <si>
    <t>1997-06-20</t>
  </si>
  <si>
    <t>1992-06-20</t>
  </si>
  <si>
    <t>1997-06-21</t>
  </si>
  <si>
    <t>1992-06-21</t>
  </si>
  <si>
    <t>1997-06-22</t>
  </si>
  <si>
    <t>1992-06-22</t>
  </si>
  <si>
    <t>1997-06-23</t>
  </si>
  <si>
    <t>1992-06-23</t>
  </si>
  <si>
    <t>1997-06-24</t>
  </si>
  <si>
    <t>1992-06-24</t>
  </si>
  <si>
    <t>1997-06-25</t>
  </si>
  <si>
    <t>1992-06-25</t>
  </si>
  <si>
    <t>1997-06-26</t>
  </si>
  <si>
    <t>1992-06-26</t>
  </si>
  <si>
    <t>1997-06-27</t>
  </si>
  <si>
    <t>1992-06-27</t>
  </si>
  <si>
    <t>1997-06-28</t>
  </si>
  <si>
    <t>1992-06-28</t>
  </si>
  <si>
    <t>1997-06-29</t>
  </si>
  <si>
    <t>1992-06-29</t>
  </si>
  <si>
    <t>1997-06-30</t>
  </si>
  <si>
    <t>1992-06-30</t>
  </si>
  <si>
    <t>1997-07-01</t>
  </si>
  <si>
    <t>1992-07-01</t>
  </si>
  <si>
    <t>1997-07-02</t>
  </si>
  <si>
    <t>1992-07-02</t>
  </si>
  <si>
    <t>1997-07-03</t>
  </si>
  <si>
    <t>1992-07-03</t>
  </si>
  <si>
    <t>1997-07-04</t>
  </si>
  <si>
    <t>1992-07-04</t>
  </si>
  <si>
    <t>1997-07-05</t>
  </si>
  <si>
    <t>1992-07-05</t>
  </si>
  <si>
    <t>1997-07-06</t>
  </si>
  <si>
    <t>1992-07-06</t>
  </si>
  <si>
    <t>1997-07-07</t>
  </si>
  <si>
    <t>1992-07-07</t>
  </si>
  <si>
    <t>1997-07-08</t>
  </si>
  <si>
    <t>1992-07-08</t>
  </si>
  <si>
    <t>1997-07-09</t>
  </si>
  <si>
    <t>1992-07-09</t>
  </si>
  <si>
    <t>1997-07-10</t>
  </si>
  <si>
    <t>1992-07-10</t>
  </si>
  <si>
    <t>1997-07-11</t>
  </si>
  <si>
    <t>1992-07-11</t>
  </si>
  <si>
    <t>1997-07-12</t>
  </si>
  <si>
    <t>1992-07-12</t>
  </si>
  <si>
    <t>1997-07-13</t>
  </si>
  <si>
    <t>1992-07-13</t>
  </si>
  <si>
    <t>1997-07-14</t>
  </si>
  <si>
    <t>1992-07-14</t>
  </si>
  <si>
    <t>1997-07-15</t>
  </si>
  <si>
    <t>1992-07-15</t>
  </si>
  <si>
    <t>1997-07-16</t>
  </si>
  <si>
    <t>1992-07-16</t>
  </si>
  <si>
    <t>1997-07-17</t>
  </si>
  <si>
    <t>1992-07-17</t>
  </si>
  <si>
    <t>1997-07-18</t>
  </si>
  <si>
    <t>1992-07-18</t>
  </si>
  <si>
    <t>1997-07-19</t>
  </si>
  <si>
    <t>1992-07-19</t>
  </si>
  <si>
    <t>1997-07-20</t>
  </si>
  <si>
    <t>1992-07-20</t>
  </si>
  <si>
    <t>1997-07-21</t>
  </si>
  <si>
    <t>1992-07-21</t>
  </si>
  <si>
    <t>1997-07-22</t>
  </si>
  <si>
    <t>1992-07-22</t>
  </si>
  <si>
    <t>1997-07-23</t>
  </si>
  <si>
    <t>1992-07-23</t>
  </si>
  <si>
    <t>1997-07-24</t>
  </si>
  <si>
    <t>1992-07-24</t>
  </si>
  <si>
    <t>1997-07-25</t>
  </si>
  <si>
    <t>1992-07-25</t>
  </si>
  <si>
    <t>1997-07-26</t>
  </si>
  <si>
    <t>1992-07-26</t>
  </si>
  <si>
    <t>1997-07-27</t>
  </si>
  <si>
    <t>1992-07-27</t>
  </si>
  <si>
    <t>1997-07-28</t>
  </si>
  <si>
    <t>1992-07-28</t>
  </si>
  <si>
    <t>1997-07-29</t>
  </si>
  <si>
    <t>1992-07-29</t>
  </si>
  <si>
    <t>1997-07-30</t>
  </si>
  <si>
    <t>1992-07-30</t>
  </si>
  <si>
    <t>1997-07-31</t>
  </si>
  <si>
    <t>1992-07-31</t>
  </si>
  <si>
    <t>1997-08-01</t>
  </si>
  <si>
    <t>1992-08-01</t>
  </si>
  <si>
    <t>1997-08-02</t>
  </si>
  <si>
    <t>1992-08-02</t>
  </si>
  <si>
    <t>1997-08-03</t>
  </si>
  <si>
    <t>1992-08-03</t>
  </si>
  <si>
    <t>1997-08-04</t>
  </si>
  <si>
    <t>1992-08-04</t>
  </si>
  <si>
    <t>1997-08-05</t>
  </si>
  <si>
    <t>1992-08-05</t>
  </si>
  <si>
    <t>1997-08-06</t>
  </si>
  <si>
    <t>1992-08-06</t>
  </si>
  <si>
    <t>1997-08-07</t>
  </si>
  <si>
    <t>1992-08-07</t>
  </si>
  <si>
    <t>1997-08-08</t>
  </si>
  <si>
    <t>1992-08-08</t>
  </si>
  <si>
    <t>1997-08-09</t>
  </si>
  <si>
    <t>1992-08-09</t>
  </si>
  <si>
    <t>1997-08-10</t>
  </si>
  <si>
    <t>1992-08-10</t>
  </si>
  <si>
    <t>1997-08-11</t>
  </si>
  <si>
    <t>1992-08-11</t>
  </si>
  <si>
    <t>1997-08-12</t>
  </si>
  <si>
    <t>1992-08-12</t>
  </si>
  <si>
    <t>1997-08-13</t>
  </si>
  <si>
    <t>1992-08-13</t>
  </si>
  <si>
    <t>1997-08-14</t>
  </si>
  <si>
    <t>1992-08-14</t>
  </si>
  <si>
    <t>1997-08-15</t>
  </si>
  <si>
    <t>1992-08-15</t>
  </si>
  <si>
    <t>1997-08-16</t>
  </si>
  <si>
    <t>1992-08-16</t>
  </si>
  <si>
    <t>1997-08-17</t>
  </si>
  <si>
    <t>1992-08-17</t>
  </si>
  <si>
    <t>1997-08-18</t>
  </si>
  <si>
    <t>1992-08-18</t>
  </si>
  <si>
    <t>1997-08-19</t>
  </si>
  <si>
    <t>1992-08-19</t>
  </si>
  <si>
    <t>1997-08-20</t>
  </si>
  <si>
    <t>1992-08-20</t>
  </si>
  <si>
    <t>1997-08-21</t>
  </si>
  <si>
    <t>1992-08-21</t>
  </si>
  <si>
    <t>1997-08-22</t>
  </si>
  <si>
    <t>1992-08-22</t>
  </si>
  <si>
    <t>1997-08-23</t>
  </si>
  <si>
    <t>1992-08-23</t>
  </si>
  <si>
    <t>1997-08-24</t>
  </si>
  <si>
    <t>1992-08-24</t>
  </si>
  <si>
    <t>1997-08-25</t>
  </si>
  <si>
    <t>1992-08-25</t>
  </si>
  <si>
    <t>1997-08-26</t>
  </si>
  <si>
    <t>1992-08-26</t>
  </si>
  <si>
    <t>1997-08-27</t>
  </si>
  <si>
    <t>1992-08-27</t>
  </si>
  <si>
    <t>1997-08-28</t>
  </si>
  <si>
    <t>1992-08-28</t>
  </si>
  <si>
    <t>1997-08-29</t>
  </si>
  <si>
    <t>1992-08-29</t>
  </si>
  <si>
    <t>1997-08-30</t>
  </si>
  <si>
    <t>1992-08-30</t>
  </si>
  <si>
    <t>1997-08-31</t>
  </si>
  <si>
    <t>1992-08-31</t>
  </si>
  <si>
    <t>1997-09-01</t>
  </si>
  <si>
    <t>1992-09-01</t>
  </si>
  <si>
    <t>1997-09-02</t>
  </si>
  <si>
    <t>1992-09-02</t>
  </si>
  <si>
    <t>1997-09-03</t>
  </si>
  <si>
    <t>1992-09-03</t>
  </si>
  <si>
    <t>1997-09-04</t>
  </si>
  <si>
    <t>1992-09-04</t>
  </si>
  <si>
    <t>1997-09-05</t>
  </si>
  <si>
    <t>1992-09-05</t>
  </si>
  <si>
    <t>1997-09-06</t>
  </si>
  <si>
    <t>1992-09-06</t>
  </si>
  <si>
    <t>1997-09-07</t>
  </si>
  <si>
    <t>1992-09-07</t>
  </si>
  <si>
    <t>1997-09-08</t>
  </si>
  <si>
    <t>1992-09-08</t>
  </si>
  <si>
    <t>1997-09-09</t>
  </si>
  <si>
    <t>1992-09-09</t>
  </si>
  <si>
    <t>1997-09-10</t>
  </si>
  <si>
    <t>1992-09-10</t>
  </si>
  <si>
    <t>1997-09-11</t>
  </si>
  <si>
    <t>1992-09-11</t>
  </si>
  <si>
    <t>1997-09-12</t>
  </si>
  <si>
    <t>1992-09-12</t>
  </si>
  <si>
    <t>1997-09-13</t>
  </si>
  <si>
    <t>1992-09-13</t>
  </si>
  <si>
    <t>1997-09-14</t>
  </si>
  <si>
    <t>1992-09-14</t>
  </si>
  <si>
    <t>1997-09-15</t>
  </si>
  <si>
    <t>1992-09-15</t>
  </si>
  <si>
    <t>1997-09-16</t>
  </si>
  <si>
    <t>1992-09-16</t>
  </si>
  <si>
    <t>1997-09-17</t>
  </si>
  <si>
    <t>1992-09-17</t>
  </si>
  <si>
    <t>1997-09-18</t>
  </si>
  <si>
    <t>1992-09-18</t>
  </si>
  <si>
    <t>1997-09-19</t>
  </si>
  <si>
    <t>1992-09-19</t>
  </si>
  <si>
    <t>1997-09-20</t>
  </si>
  <si>
    <t>1992-09-20</t>
  </si>
  <si>
    <t>1997-09-21</t>
  </si>
  <si>
    <t>1992-09-21</t>
  </si>
  <si>
    <t>1997-09-22</t>
  </si>
  <si>
    <t>1992-09-22</t>
  </si>
  <si>
    <t>1997-09-23</t>
  </si>
  <si>
    <t>1992-09-23</t>
  </si>
  <si>
    <t>1997-09-24</t>
  </si>
  <si>
    <t>1992-09-24</t>
  </si>
  <si>
    <t>1997-09-25</t>
  </si>
  <si>
    <t>1992-09-25</t>
  </si>
  <si>
    <t>1997-09-26</t>
  </si>
  <si>
    <t>1992-09-26</t>
  </si>
  <si>
    <t>1997-09-27</t>
  </si>
  <si>
    <t>1992-09-27</t>
  </si>
  <si>
    <t>1997-09-28</t>
  </si>
  <si>
    <t>1992-09-28</t>
  </si>
  <si>
    <t>1997-09-29</t>
  </si>
  <si>
    <t>1992-09-29</t>
  </si>
  <si>
    <t>1997-09-30</t>
  </si>
  <si>
    <t>1992-09-30</t>
  </si>
  <si>
    <t>1997-10-01</t>
  </si>
  <si>
    <t>1992-10-01</t>
  </si>
  <si>
    <t>1997-10-02</t>
  </si>
  <si>
    <t>1992-10-02</t>
  </si>
  <si>
    <t>1997-10-03</t>
  </si>
  <si>
    <t>1992-10-03</t>
  </si>
  <si>
    <t>1997-10-04</t>
  </si>
  <si>
    <t>1992-10-04</t>
  </si>
  <si>
    <t>1997-10-05</t>
  </si>
  <si>
    <t>1992-10-05</t>
  </si>
  <si>
    <t>1997-10-06</t>
  </si>
  <si>
    <t>1992-10-06</t>
  </si>
  <si>
    <t>1997-10-07</t>
  </si>
  <si>
    <t>1992-10-07</t>
  </si>
  <si>
    <t>1997-10-08</t>
  </si>
  <si>
    <t>1992-10-08</t>
  </si>
  <si>
    <t>1997-10-09</t>
  </si>
  <si>
    <t>1992-10-09</t>
  </si>
  <si>
    <t>1997-10-10</t>
  </si>
  <si>
    <t>1992-10-10</t>
  </si>
  <si>
    <t>1997-10-11</t>
  </si>
  <si>
    <t>1992-10-11</t>
  </si>
  <si>
    <t>1997-10-12</t>
  </si>
  <si>
    <t>1992-10-12</t>
  </si>
  <si>
    <t>1997-10-13</t>
  </si>
  <si>
    <t>1992-10-13</t>
  </si>
  <si>
    <t>1997-10-14</t>
  </si>
  <si>
    <t>1992-10-14</t>
  </si>
  <si>
    <t>1997-10-15</t>
  </si>
  <si>
    <t>1992-10-15</t>
  </si>
  <si>
    <t>1997-10-16</t>
  </si>
  <si>
    <t>1992-10-16</t>
  </si>
  <si>
    <t>1997-10-17</t>
  </si>
  <si>
    <t>1992-10-17</t>
  </si>
  <si>
    <t>1997-10-18</t>
  </si>
  <si>
    <t>1992-10-18</t>
  </si>
  <si>
    <t>1997-10-19</t>
  </si>
  <si>
    <t>1992-10-19</t>
  </si>
  <si>
    <t>1997-10-20</t>
  </si>
  <si>
    <t>1992-10-20</t>
  </si>
  <si>
    <t>1997-10-21</t>
  </si>
  <si>
    <t>1992-10-21</t>
  </si>
  <si>
    <t>1997-10-22</t>
  </si>
  <si>
    <t>1992-10-22</t>
  </si>
  <si>
    <t>1997-10-23</t>
  </si>
  <si>
    <t>1992-10-23</t>
  </si>
  <si>
    <t>1997-10-24</t>
  </si>
  <si>
    <t>1992-10-24</t>
  </si>
  <si>
    <t>1997-10-25</t>
  </si>
  <si>
    <t>1992-10-25</t>
  </si>
  <si>
    <t>1997-10-26</t>
  </si>
  <si>
    <t>1992-10-26</t>
  </si>
  <si>
    <t>1997-10-27</t>
  </si>
  <si>
    <t>1992-10-27</t>
  </si>
  <si>
    <t>1997-10-28</t>
  </si>
  <si>
    <t>1992-10-28</t>
  </si>
  <si>
    <t>1997-10-29</t>
  </si>
  <si>
    <t>1992-10-29</t>
  </si>
  <si>
    <t>1997-10-30</t>
  </si>
  <si>
    <t>1992-10-30</t>
  </si>
  <si>
    <t>1997-10-31</t>
  </si>
  <si>
    <t>1992-10-31</t>
  </si>
  <si>
    <t>1997-11-01</t>
  </si>
  <si>
    <t>1992-11-01</t>
  </si>
  <si>
    <t>1997-11-02</t>
  </si>
  <si>
    <t>1992-11-02</t>
  </si>
  <si>
    <t>1997-11-03</t>
  </si>
  <si>
    <t>1992-11-03</t>
  </si>
  <si>
    <t>1997-11-04</t>
  </si>
  <si>
    <t>1992-11-04</t>
  </si>
  <si>
    <t>1997-11-05</t>
  </si>
  <si>
    <t>1992-11-05</t>
  </si>
  <si>
    <t>1997-11-06</t>
  </si>
  <si>
    <t>1992-11-06</t>
  </si>
  <si>
    <t>1997-11-07</t>
  </si>
  <si>
    <t>1992-11-07</t>
  </si>
  <si>
    <t>1997-11-08</t>
  </si>
  <si>
    <t>1992-11-08</t>
  </si>
  <si>
    <t>1997-11-09</t>
  </si>
  <si>
    <t>1992-11-09</t>
  </si>
  <si>
    <t>1997-11-10</t>
  </si>
  <si>
    <t>1992-11-10</t>
  </si>
  <si>
    <t>1997-11-11</t>
  </si>
  <si>
    <t>1992-11-11</t>
  </si>
  <si>
    <t>1997-11-12</t>
  </si>
  <si>
    <t>1992-11-12</t>
  </si>
  <si>
    <t>1997-11-13</t>
  </si>
  <si>
    <t>1992-11-13</t>
  </si>
  <si>
    <t>1997-11-14</t>
  </si>
  <si>
    <t>1992-11-14</t>
  </si>
  <si>
    <t>1997-11-15</t>
  </si>
  <si>
    <t>1992-11-15</t>
  </si>
  <si>
    <t>1997-11-16</t>
  </si>
  <si>
    <t>1992-11-16</t>
  </si>
  <si>
    <t>1997-11-17</t>
  </si>
  <si>
    <t>1992-11-17</t>
  </si>
  <si>
    <t>1997-11-18</t>
  </si>
  <si>
    <t>1992-11-18</t>
  </si>
  <si>
    <t>1997-11-19</t>
  </si>
  <si>
    <t>1992-11-19</t>
  </si>
  <si>
    <t>1997-11-20</t>
  </si>
  <si>
    <t>1992-11-20</t>
  </si>
  <si>
    <t>1997-11-21</t>
  </si>
  <si>
    <t>1992-11-21</t>
  </si>
  <si>
    <t>1997-11-22</t>
  </si>
  <si>
    <t>1992-11-22</t>
  </si>
  <si>
    <t>1997-11-23</t>
  </si>
  <si>
    <t>1992-11-23</t>
  </si>
  <si>
    <t>1997-11-24</t>
  </si>
  <si>
    <t>1992-11-24</t>
  </si>
  <si>
    <t>1997-11-25</t>
  </si>
  <si>
    <t>1992-11-25</t>
  </si>
  <si>
    <t>1997-11-26</t>
  </si>
  <si>
    <t>1992-11-26</t>
  </si>
  <si>
    <t>1997-11-27</t>
  </si>
  <si>
    <t>1992-11-27</t>
  </si>
  <si>
    <t>1997-11-28</t>
  </si>
  <si>
    <t>1992-11-28</t>
  </si>
  <si>
    <t>1997-11-29</t>
  </si>
  <si>
    <t>1992-11-29</t>
  </si>
  <si>
    <t>1997-11-30</t>
  </si>
  <si>
    <t>1992-11-30</t>
  </si>
  <si>
    <t>1997-12-01</t>
  </si>
  <si>
    <t>1992-12-01</t>
  </si>
  <si>
    <t>1997-12-02</t>
  </si>
  <si>
    <t>1992-12-02</t>
  </si>
  <si>
    <t>1997-12-03</t>
  </si>
  <si>
    <t>1992-12-03</t>
  </si>
  <si>
    <t>1997-12-04</t>
  </si>
  <si>
    <t>1992-12-04</t>
  </si>
  <si>
    <t>1997-12-05</t>
  </si>
  <si>
    <t>1992-12-05</t>
  </si>
  <si>
    <t>1997-12-06</t>
  </si>
  <si>
    <t>1992-12-06</t>
  </si>
  <si>
    <t>1997-12-07</t>
  </si>
  <si>
    <t>1992-12-07</t>
  </si>
  <si>
    <t>1997-12-08</t>
  </si>
  <si>
    <t>1992-12-08</t>
  </si>
  <si>
    <t>1997-12-09</t>
  </si>
  <si>
    <t>1992-12-09</t>
  </si>
  <si>
    <t>1997-12-10</t>
  </si>
  <si>
    <t>1992-12-10</t>
  </si>
  <si>
    <t>1997-12-11</t>
  </si>
  <si>
    <t>1992-12-11</t>
  </si>
  <si>
    <t>1997-12-12</t>
  </si>
  <si>
    <t>1992-12-12</t>
  </si>
  <si>
    <t>1997-12-13</t>
  </si>
  <si>
    <t>1992-12-13</t>
  </si>
  <si>
    <t>1997-12-14</t>
  </si>
  <si>
    <t>1992-12-14</t>
  </si>
  <si>
    <t>1997-12-15</t>
  </si>
  <si>
    <t>1992-12-15</t>
  </si>
  <si>
    <t>1997-12-16</t>
  </si>
  <si>
    <t>1992-12-16</t>
  </si>
  <si>
    <t>1997-12-17</t>
  </si>
  <si>
    <t>1992-12-17</t>
  </si>
  <si>
    <t>1997-12-18</t>
  </si>
  <si>
    <t>1992-12-18</t>
  </si>
  <si>
    <t>1997-12-19</t>
  </si>
  <si>
    <t>1992-12-19</t>
  </si>
  <si>
    <t>1997-12-20</t>
  </si>
  <si>
    <t>1992-12-20</t>
  </si>
  <si>
    <t>1997-12-21</t>
  </si>
  <si>
    <t>1992-12-21</t>
  </si>
  <si>
    <t>1997-12-22</t>
  </si>
  <si>
    <t>1992-12-22</t>
  </si>
  <si>
    <t>1997-12-23</t>
  </si>
  <si>
    <t>1992-12-23</t>
  </si>
  <si>
    <t>1997-12-24</t>
  </si>
  <si>
    <t>1992-12-24</t>
  </si>
  <si>
    <t>1997-12-25</t>
  </si>
  <si>
    <t>1992-12-25</t>
  </si>
  <si>
    <t>1997-12-26</t>
  </si>
  <si>
    <t>1992-12-26</t>
  </si>
  <si>
    <t>1997-12-27</t>
  </si>
  <si>
    <t>1992-12-27</t>
  </si>
  <si>
    <t>1997-12-28</t>
  </si>
  <si>
    <t>1992-12-28</t>
  </si>
  <si>
    <t>1997-12-29</t>
  </si>
  <si>
    <t>1992-12-29</t>
  </si>
  <si>
    <t>1997-12-30</t>
  </si>
  <si>
    <t>1992-12-30</t>
  </si>
  <si>
    <t>1997-12-31</t>
  </si>
  <si>
    <t>1992-12-31</t>
  </si>
  <si>
    <t>1998-01-01</t>
  </si>
  <si>
    <t>1993-01-01</t>
  </si>
  <si>
    <t>1998-01-02</t>
  </si>
  <si>
    <t>1993-01-02</t>
  </si>
  <si>
    <t>1998-01-03</t>
  </si>
  <si>
    <t>1993-01-03</t>
  </si>
  <si>
    <t>1998-01-04</t>
  </si>
  <si>
    <t>1993-01-04</t>
  </si>
  <si>
    <t>1998-01-05</t>
  </si>
  <si>
    <t>1993-01-05</t>
  </si>
  <si>
    <t>1998-01-06</t>
  </si>
  <si>
    <t>1993-01-06</t>
  </si>
  <si>
    <t>1998-01-07</t>
  </si>
  <si>
    <t>1993-01-07</t>
  </si>
  <si>
    <t>1998-01-08</t>
  </si>
  <si>
    <t>1993-01-08</t>
  </si>
  <si>
    <t>1998-01-09</t>
  </si>
  <si>
    <t>1993-01-09</t>
  </si>
  <si>
    <t>1998-01-10</t>
  </si>
  <si>
    <t>1993-01-10</t>
  </si>
  <si>
    <t>1998-01-11</t>
  </si>
  <si>
    <t>1993-01-11</t>
  </si>
  <si>
    <t>1998-01-12</t>
  </si>
  <si>
    <t>1993-01-12</t>
  </si>
  <si>
    <t>1998-01-13</t>
  </si>
  <si>
    <t>1993-01-13</t>
  </si>
  <si>
    <t>1998-01-14</t>
  </si>
  <si>
    <t>1993-01-14</t>
  </si>
  <si>
    <t>1998-01-15</t>
  </si>
  <si>
    <t>1993-01-15</t>
  </si>
  <si>
    <t>1998-01-16</t>
  </si>
  <si>
    <t>1993-01-16</t>
  </si>
  <si>
    <t>1998-01-17</t>
  </si>
  <si>
    <t>1993-01-17</t>
  </si>
  <si>
    <t>1998-01-18</t>
  </si>
  <si>
    <t>1993-01-18</t>
  </si>
  <si>
    <t>1998-01-19</t>
  </si>
  <si>
    <t>1993-01-19</t>
  </si>
  <si>
    <t>1998-01-20</t>
  </si>
  <si>
    <t>1993-01-20</t>
  </si>
  <si>
    <t>1998-01-21</t>
  </si>
  <si>
    <t>1993-01-21</t>
  </si>
  <si>
    <t>1998-01-22</t>
  </si>
  <si>
    <t>1993-01-22</t>
  </si>
  <si>
    <t>1998-01-23</t>
  </si>
  <si>
    <t>1993-01-23</t>
  </si>
  <si>
    <t>1998-01-24</t>
  </si>
  <si>
    <t>1993-01-24</t>
  </si>
  <si>
    <t>1998-01-25</t>
  </si>
  <si>
    <t>1993-01-25</t>
  </si>
  <si>
    <t>1998-01-26</t>
  </si>
  <si>
    <t>1993-01-26</t>
  </si>
  <si>
    <t>1998-01-27</t>
  </si>
  <si>
    <t>1993-01-27</t>
  </si>
  <si>
    <t>1998-01-28</t>
  </si>
  <si>
    <t>1993-01-28</t>
  </si>
  <si>
    <t>1998-01-29</t>
  </si>
  <si>
    <t>1993-01-29</t>
  </si>
  <si>
    <t>1998-01-30</t>
  </si>
  <si>
    <t>1993-01-30</t>
  </si>
  <si>
    <t>1998-01-31</t>
  </si>
  <si>
    <t>1993-01-31</t>
  </si>
  <si>
    <t>1998-02-01</t>
  </si>
  <si>
    <t>1993-02-01</t>
  </si>
  <si>
    <t>1998-02-02</t>
  </si>
  <si>
    <t>1993-02-02</t>
  </si>
  <si>
    <t>1998-02-03</t>
  </si>
  <si>
    <t>1993-02-03</t>
  </si>
  <si>
    <t>1998-02-04</t>
  </si>
  <si>
    <t>1993-02-04</t>
  </si>
  <si>
    <t>1998-02-05</t>
  </si>
  <si>
    <t>1993-02-05</t>
  </si>
  <si>
    <t>1998-02-06</t>
  </si>
  <si>
    <t>1993-02-06</t>
  </si>
  <si>
    <t>1998-02-07</t>
  </si>
  <si>
    <t>1993-02-07</t>
  </si>
  <si>
    <t>1998-02-08</t>
  </si>
  <si>
    <t>1993-02-08</t>
  </si>
  <si>
    <t>1998-02-09</t>
  </si>
  <si>
    <t>1993-02-09</t>
  </si>
  <si>
    <t>1998-02-10</t>
  </si>
  <si>
    <t>1993-02-10</t>
  </si>
  <si>
    <t>1998-02-11</t>
  </si>
  <si>
    <t>1993-02-11</t>
  </si>
  <si>
    <t>1998-02-12</t>
  </si>
  <si>
    <t>1993-02-12</t>
  </si>
  <si>
    <t>1998-02-13</t>
  </si>
  <si>
    <t>1993-02-13</t>
  </si>
  <si>
    <t>1998-02-14</t>
  </si>
  <si>
    <t>1993-02-14</t>
  </si>
  <si>
    <t>1998-02-15</t>
  </si>
  <si>
    <t>1993-02-15</t>
  </si>
  <si>
    <t>1998-02-16</t>
  </si>
  <si>
    <t>1993-02-16</t>
  </si>
  <si>
    <t>1998-02-17</t>
  </si>
  <si>
    <t>1993-02-17</t>
  </si>
  <si>
    <t>1998-02-18</t>
  </si>
  <si>
    <t>1993-02-18</t>
  </si>
  <si>
    <t>1998-02-19</t>
  </si>
  <si>
    <t>1993-02-19</t>
  </si>
  <si>
    <t>1998-02-20</t>
  </si>
  <si>
    <t>1993-02-20</t>
  </si>
  <si>
    <t>1998-02-21</t>
  </si>
  <si>
    <t>1993-02-21</t>
  </si>
  <si>
    <t>1998-02-22</t>
  </si>
  <si>
    <t>1993-02-22</t>
  </si>
  <si>
    <t>1998-02-23</t>
  </si>
  <si>
    <t>1993-02-23</t>
  </si>
  <si>
    <t>1998-02-24</t>
  </si>
  <si>
    <t>1993-02-24</t>
  </si>
  <si>
    <t>1998-02-25</t>
  </si>
  <si>
    <t>1993-02-25</t>
  </si>
  <si>
    <t>1998-02-26</t>
  </si>
  <si>
    <t>1993-02-26</t>
  </si>
  <si>
    <t>1998-02-27</t>
  </si>
  <si>
    <t>1993-02-27</t>
  </si>
  <si>
    <t>1998-02-28</t>
  </si>
  <si>
    <t>1993-02-28</t>
  </si>
  <si>
    <t>1998-03-01</t>
  </si>
  <si>
    <t>1993-03-01</t>
  </si>
  <si>
    <t>1998-03-02</t>
  </si>
  <si>
    <t>1993-03-02</t>
  </si>
  <si>
    <t>1998-03-03</t>
  </si>
  <si>
    <t>1993-03-03</t>
  </si>
  <si>
    <t>1998-03-04</t>
  </si>
  <si>
    <t>1993-03-04</t>
  </si>
  <si>
    <t>1998-03-05</t>
  </si>
  <si>
    <t>1993-03-05</t>
  </si>
  <si>
    <t>1998-03-06</t>
  </si>
  <si>
    <t>1993-03-06</t>
  </si>
  <si>
    <t>1998-03-07</t>
  </si>
  <si>
    <t>1993-03-07</t>
  </si>
  <si>
    <t>1998-03-08</t>
  </si>
  <si>
    <t>1993-03-08</t>
  </si>
  <si>
    <t>1998-03-09</t>
  </si>
  <si>
    <t>1993-03-09</t>
  </si>
  <si>
    <t>1998-03-10</t>
  </si>
  <si>
    <t>1993-03-10</t>
  </si>
  <si>
    <t>1998-03-11</t>
  </si>
  <si>
    <t>1993-03-11</t>
  </si>
  <si>
    <t>1998-03-12</t>
  </si>
  <si>
    <t>1993-03-12</t>
  </si>
  <si>
    <t>1998-03-13</t>
  </si>
  <si>
    <t>1993-03-13</t>
  </si>
  <si>
    <t>1998-03-14</t>
  </si>
  <si>
    <t>1993-03-14</t>
  </si>
  <si>
    <t>1998-03-15</t>
  </si>
  <si>
    <t>1993-03-15</t>
  </si>
  <si>
    <t>1998-03-16</t>
  </si>
  <si>
    <t>1993-03-16</t>
  </si>
  <si>
    <t>1998-03-17</t>
  </si>
  <si>
    <t>1993-03-17</t>
  </si>
  <si>
    <t>1998-03-18</t>
  </si>
  <si>
    <t>1993-03-18</t>
  </si>
  <si>
    <t>1998-03-19</t>
  </si>
  <si>
    <t>1993-03-19</t>
  </si>
  <si>
    <t>1998-03-20</t>
  </si>
  <si>
    <t>1993-03-20</t>
  </si>
  <si>
    <t>1998-03-21</t>
  </si>
  <si>
    <t>1993-03-21</t>
  </si>
  <si>
    <t>1998-03-22</t>
  </si>
  <si>
    <t>1993-03-22</t>
  </si>
  <si>
    <t>1998-03-23</t>
  </si>
  <si>
    <t>1993-03-23</t>
  </si>
  <si>
    <t>1998-03-24</t>
  </si>
  <si>
    <t>1993-03-24</t>
  </si>
  <si>
    <t>1998-03-25</t>
  </si>
  <si>
    <t>1993-03-25</t>
  </si>
  <si>
    <t>1998-03-26</t>
  </si>
  <si>
    <t>1993-03-26</t>
  </si>
  <si>
    <t>1998-03-27</t>
  </si>
  <si>
    <t>1993-03-27</t>
  </si>
  <si>
    <t>1998-03-28</t>
  </si>
  <si>
    <t>1993-03-28</t>
  </si>
  <si>
    <t>1998-03-29</t>
  </si>
  <si>
    <t>1993-03-29</t>
  </si>
  <si>
    <t>1998-03-30</t>
  </si>
  <si>
    <t>1993-03-30</t>
  </si>
  <si>
    <t>1998-03-31</t>
  </si>
  <si>
    <t>1993-03-31</t>
  </si>
  <si>
    <t>1998-04-01</t>
  </si>
  <si>
    <t>1993-04-01</t>
  </si>
  <si>
    <t>1998-04-02</t>
  </si>
  <si>
    <t>1993-04-02</t>
  </si>
  <si>
    <t>1998-04-03</t>
  </si>
  <si>
    <t>1993-04-03</t>
  </si>
  <si>
    <t>1998-04-04</t>
  </si>
  <si>
    <t>1993-04-04</t>
  </si>
  <si>
    <t>1998-04-05</t>
  </si>
  <si>
    <t>1993-04-05</t>
  </si>
  <si>
    <t>1998-04-06</t>
  </si>
  <si>
    <t>1993-04-06</t>
  </si>
  <si>
    <t>1998-04-07</t>
  </si>
  <si>
    <t>1993-04-07</t>
  </si>
  <si>
    <t>1998-04-08</t>
  </si>
  <si>
    <t>1993-04-08</t>
  </si>
  <si>
    <t>1998-04-09</t>
  </si>
  <si>
    <t>1993-04-09</t>
  </si>
  <si>
    <t>1998-04-10</t>
  </si>
  <si>
    <t>1993-04-10</t>
  </si>
  <si>
    <t>1998-04-11</t>
  </si>
  <si>
    <t>1993-04-11</t>
  </si>
  <si>
    <t>1998-04-12</t>
  </si>
  <si>
    <t>1993-04-12</t>
  </si>
  <si>
    <t>1998-04-13</t>
  </si>
  <si>
    <t>1993-04-13</t>
  </si>
  <si>
    <t>1998-04-14</t>
  </si>
  <si>
    <t>1993-04-14</t>
  </si>
  <si>
    <t>1998-04-15</t>
  </si>
  <si>
    <t>1993-04-15</t>
  </si>
  <si>
    <t>1998-04-16</t>
  </si>
  <si>
    <t>1993-04-16</t>
  </si>
  <si>
    <t>1998-04-17</t>
  </si>
  <si>
    <t>1993-04-17</t>
  </si>
  <si>
    <t>1998-04-18</t>
  </si>
  <si>
    <t>1993-04-18</t>
  </si>
  <si>
    <t>1998-04-19</t>
  </si>
  <si>
    <t>1993-04-19</t>
  </si>
  <si>
    <t>1998-04-20</t>
  </si>
  <si>
    <t>1993-04-20</t>
  </si>
  <si>
    <t>1998-04-21</t>
  </si>
  <si>
    <t>1993-04-21</t>
  </si>
  <si>
    <t>1998-04-22</t>
  </si>
  <si>
    <t>1993-04-22</t>
  </si>
  <si>
    <t>1998-04-23</t>
  </si>
  <si>
    <t>1993-04-23</t>
  </si>
  <si>
    <t>1998-04-24</t>
  </si>
  <si>
    <t>1993-04-24</t>
  </si>
  <si>
    <t>1998-04-25</t>
  </si>
  <si>
    <t>1993-04-25</t>
  </si>
  <si>
    <t>1998-04-26</t>
  </si>
  <si>
    <t>1993-04-26</t>
  </si>
  <si>
    <t>1998-04-27</t>
  </si>
  <si>
    <t>1993-04-27</t>
  </si>
  <si>
    <t>1998-04-28</t>
  </si>
  <si>
    <t>1993-04-28</t>
  </si>
  <si>
    <t>1998-04-29</t>
  </si>
  <si>
    <t>1993-04-29</t>
  </si>
  <si>
    <t>1998-04-30</t>
  </si>
  <si>
    <t>1993-04-30</t>
  </si>
  <si>
    <t>1998-05-01</t>
  </si>
  <si>
    <t>1993-05-01</t>
  </si>
  <si>
    <t>1998-05-02</t>
  </si>
  <si>
    <t>1993-05-02</t>
  </si>
  <si>
    <t>1998-05-03</t>
  </si>
  <si>
    <t>1993-05-03</t>
  </si>
  <si>
    <t>1998-05-04</t>
  </si>
  <si>
    <t>1993-05-04</t>
  </si>
  <si>
    <t>1998-05-05</t>
  </si>
  <si>
    <t>1993-05-05</t>
  </si>
  <si>
    <t>1998-05-06</t>
  </si>
  <si>
    <t>1993-05-06</t>
  </si>
  <si>
    <t>1998-05-07</t>
  </si>
  <si>
    <t>1993-05-07</t>
  </si>
  <si>
    <t>1998-05-08</t>
  </si>
  <si>
    <t>1993-05-08</t>
  </si>
  <si>
    <t>1998-05-09</t>
  </si>
  <si>
    <t>1993-05-09</t>
  </si>
  <si>
    <t>1998-05-10</t>
  </si>
  <si>
    <t>1993-05-10</t>
  </si>
  <si>
    <t>1998-05-11</t>
  </si>
  <si>
    <t>1993-05-11</t>
  </si>
  <si>
    <t>1998-05-12</t>
  </si>
  <si>
    <t>1993-05-12</t>
  </si>
  <si>
    <t>1998-05-13</t>
  </si>
  <si>
    <t>1993-05-13</t>
  </si>
  <si>
    <t>1998-05-14</t>
  </si>
  <si>
    <t>1993-05-14</t>
  </si>
  <si>
    <t>1998-05-15</t>
  </si>
  <si>
    <t>1993-05-15</t>
  </si>
  <si>
    <t>1998-05-16</t>
  </si>
  <si>
    <t>1993-05-16</t>
  </si>
  <si>
    <t>1998-05-17</t>
  </si>
  <si>
    <t>1993-05-17</t>
  </si>
  <si>
    <t>1998-05-18</t>
  </si>
  <si>
    <t>1993-05-18</t>
  </si>
  <si>
    <t>1998-05-19</t>
  </si>
  <si>
    <t>1993-05-19</t>
  </si>
  <si>
    <t>1998-05-20</t>
  </si>
  <si>
    <t>1993-05-20</t>
  </si>
  <si>
    <t>1998-05-21</t>
  </si>
  <si>
    <t>1993-05-21</t>
  </si>
  <si>
    <t>1998-05-22</t>
  </si>
  <si>
    <t>1993-05-22</t>
  </si>
  <si>
    <t>1998-05-23</t>
  </si>
  <si>
    <t>1993-05-23</t>
  </si>
  <si>
    <t>1998-05-24</t>
  </si>
  <si>
    <t>1993-05-24</t>
  </si>
  <si>
    <t>1998-05-25</t>
  </si>
  <si>
    <t>1993-05-25</t>
  </si>
  <si>
    <t>1998-05-26</t>
  </si>
  <si>
    <t>1993-05-26</t>
  </si>
  <si>
    <t>1998-05-27</t>
  </si>
  <si>
    <t>1993-05-27</t>
  </si>
  <si>
    <t>1998-05-28</t>
  </si>
  <si>
    <t>1993-05-28</t>
  </si>
  <si>
    <t>1998-05-29</t>
  </si>
  <si>
    <t>1993-05-29</t>
  </si>
  <si>
    <t>1998-05-30</t>
  </si>
  <si>
    <t>1993-05-30</t>
  </si>
  <si>
    <t>1998-05-31</t>
  </si>
  <si>
    <t>1993-05-31</t>
  </si>
  <si>
    <t>1998-06-01</t>
  </si>
  <si>
    <t>1993-06-01</t>
  </si>
  <si>
    <t>1998-06-02</t>
  </si>
  <si>
    <t>1993-06-02</t>
  </si>
  <si>
    <t>1998-06-03</t>
  </si>
  <si>
    <t>1993-06-03</t>
  </si>
  <si>
    <t>1998-06-04</t>
  </si>
  <si>
    <t>1993-06-04</t>
  </si>
  <si>
    <t>1998-06-05</t>
  </si>
  <si>
    <t>1993-06-05</t>
  </si>
  <si>
    <t>1998-06-06</t>
  </si>
  <si>
    <t>1993-06-06</t>
  </si>
  <si>
    <t>1998-06-07</t>
  </si>
  <si>
    <t>1993-06-07</t>
  </si>
  <si>
    <t>1998-06-08</t>
  </si>
  <si>
    <t>1993-06-08</t>
  </si>
  <si>
    <t>1998-06-09</t>
  </si>
  <si>
    <t>1993-06-09</t>
  </si>
  <si>
    <t>1998-06-10</t>
  </si>
  <si>
    <t>1993-06-10</t>
  </si>
  <si>
    <t>1998-06-11</t>
  </si>
  <si>
    <t>1993-06-11</t>
  </si>
  <si>
    <t>1998-06-12</t>
  </si>
  <si>
    <t>1993-06-12</t>
  </si>
  <si>
    <t>1998-06-13</t>
  </si>
  <si>
    <t>1993-06-13</t>
  </si>
  <si>
    <t>1998-06-14</t>
  </si>
  <si>
    <t>1993-06-14</t>
  </si>
  <si>
    <t>1998-06-15</t>
  </si>
  <si>
    <t>1993-06-15</t>
  </si>
  <si>
    <t>1998-06-16</t>
  </si>
  <si>
    <t>1993-06-16</t>
  </si>
  <si>
    <t>1998-06-17</t>
  </si>
  <si>
    <t>1993-06-17</t>
  </si>
  <si>
    <t>1998-06-18</t>
  </si>
  <si>
    <t>1993-06-18</t>
  </si>
  <si>
    <t>1998-06-19</t>
  </si>
  <si>
    <t>1993-06-19</t>
  </si>
  <si>
    <t>1998-06-20</t>
  </si>
  <si>
    <t>1993-06-20</t>
  </si>
  <si>
    <t>1998-06-21</t>
  </si>
  <si>
    <t>1993-06-21</t>
  </si>
  <si>
    <t>1998-06-22</t>
  </si>
  <si>
    <t>1993-06-22</t>
  </si>
  <si>
    <t>1998-06-23</t>
  </si>
  <si>
    <t>1993-06-23</t>
  </si>
  <si>
    <t>1998-06-24</t>
  </si>
  <si>
    <t>1993-06-24</t>
  </si>
  <si>
    <t>1998-06-25</t>
  </si>
  <si>
    <t>1993-06-25</t>
  </si>
  <si>
    <t>1998-06-26</t>
  </si>
  <si>
    <t>1993-06-26</t>
  </si>
  <si>
    <t>1998-06-27</t>
  </si>
  <si>
    <t>1993-06-27</t>
  </si>
  <si>
    <t>1998-06-28</t>
  </si>
  <si>
    <t>1993-06-28</t>
  </si>
  <si>
    <t>1998-06-29</t>
  </si>
  <si>
    <t>1993-06-29</t>
  </si>
  <si>
    <t>1998-06-30</t>
  </si>
  <si>
    <t>1993-06-30</t>
  </si>
  <si>
    <t>1998-07-01</t>
  </si>
  <si>
    <t>1993-07-01</t>
  </si>
  <si>
    <t>1998-07-02</t>
  </si>
  <si>
    <t>1993-07-02</t>
  </si>
  <si>
    <t>1998-07-03</t>
  </si>
  <si>
    <t>1993-07-03</t>
  </si>
  <si>
    <t>1998-07-04</t>
  </si>
  <si>
    <t>1993-07-04</t>
  </si>
  <si>
    <t>1998-07-05</t>
  </si>
  <si>
    <t>1993-07-05</t>
  </si>
  <si>
    <t>1998-07-06</t>
  </si>
  <si>
    <t>1993-07-06</t>
  </si>
  <si>
    <t>1998-07-07</t>
  </si>
  <si>
    <t>1993-07-07</t>
  </si>
  <si>
    <t>1998-07-08</t>
  </si>
  <si>
    <t>1993-07-08</t>
  </si>
  <si>
    <t>1998-07-09</t>
  </si>
  <si>
    <t>1993-07-09</t>
  </si>
  <si>
    <t>1998-07-10</t>
  </si>
  <si>
    <t>1993-07-10</t>
  </si>
  <si>
    <t>1998-07-11</t>
  </si>
  <si>
    <t>1993-07-11</t>
  </si>
  <si>
    <t>1998-07-12</t>
  </si>
  <si>
    <t>1993-07-12</t>
  </si>
  <si>
    <t>1998-07-13</t>
  </si>
  <si>
    <t>1993-07-13</t>
  </si>
  <si>
    <t>1998-07-14</t>
  </si>
  <si>
    <t>1993-07-14</t>
  </si>
  <si>
    <t>1998-07-15</t>
  </si>
  <si>
    <t>1993-07-15</t>
  </si>
  <si>
    <t>1998-07-16</t>
  </si>
  <si>
    <t>1993-07-16</t>
  </si>
  <si>
    <t>1998-07-17</t>
  </si>
  <si>
    <t>1993-07-17</t>
  </si>
  <si>
    <t>1998-07-18</t>
  </si>
  <si>
    <t>1993-07-18</t>
  </si>
  <si>
    <t>1998-07-19</t>
  </si>
  <si>
    <t>1993-07-19</t>
  </si>
  <si>
    <t>1998-07-20</t>
  </si>
  <si>
    <t>1993-07-20</t>
  </si>
  <si>
    <t>1998-07-21</t>
  </si>
  <si>
    <t>1993-07-21</t>
  </si>
  <si>
    <t>1998-07-22</t>
  </si>
  <si>
    <t>1993-07-22</t>
  </si>
  <si>
    <t>1998-07-23</t>
  </si>
  <si>
    <t>1993-07-23</t>
  </si>
  <si>
    <t>1998-07-24</t>
  </si>
  <si>
    <t>1993-07-24</t>
  </si>
  <si>
    <t>1998-07-25</t>
  </si>
  <si>
    <t>1993-07-25</t>
  </si>
  <si>
    <t>1998-07-26</t>
  </si>
  <si>
    <t>1993-07-26</t>
  </si>
  <si>
    <t>1998-07-27</t>
  </si>
  <si>
    <t>1993-07-27</t>
  </si>
  <si>
    <t>1998-07-28</t>
  </si>
  <si>
    <t>1993-07-28</t>
  </si>
  <si>
    <t>1998-07-29</t>
  </si>
  <si>
    <t>1993-07-29</t>
  </si>
  <si>
    <t>1998-07-30</t>
  </si>
  <si>
    <t>1993-07-30</t>
  </si>
  <si>
    <t>1998-07-31</t>
  </si>
  <si>
    <t>1993-07-31</t>
  </si>
  <si>
    <t>1998-08-01</t>
  </si>
  <si>
    <t>1993-08-01</t>
  </si>
  <si>
    <t>1998-08-02</t>
  </si>
  <si>
    <t>1993-08-02</t>
  </si>
  <si>
    <t>1998-08-03</t>
  </si>
  <si>
    <t>1993-08-03</t>
  </si>
  <si>
    <t>1998-08-04</t>
  </si>
  <si>
    <t>1993-08-04</t>
  </si>
  <si>
    <t>1998-08-05</t>
  </si>
  <si>
    <t>1993-08-05</t>
  </si>
  <si>
    <t>1998-08-06</t>
  </si>
  <si>
    <t>1993-08-06</t>
  </si>
  <si>
    <t>1998-08-07</t>
  </si>
  <si>
    <t>1993-08-07</t>
  </si>
  <si>
    <t>1998-08-08</t>
  </si>
  <si>
    <t>1993-08-08</t>
  </si>
  <si>
    <t>1998-08-09</t>
  </si>
  <si>
    <t>1993-08-09</t>
  </si>
  <si>
    <t>1998-08-10</t>
  </si>
  <si>
    <t>1993-08-10</t>
  </si>
  <si>
    <t>1998-08-11</t>
  </si>
  <si>
    <t>1993-08-11</t>
  </si>
  <si>
    <t>1998-08-12</t>
  </si>
  <si>
    <t>1993-08-12</t>
  </si>
  <si>
    <t>1998-08-13</t>
  </si>
  <si>
    <t>1993-08-13</t>
  </si>
  <si>
    <t>1998-08-14</t>
  </si>
  <si>
    <t>1993-08-14</t>
  </si>
  <si>
    <t>1998-08-15</t>
  </si>
  <si>
    <t>1993-08-15</t>
  </si>
  <si>
    <t>1998-08-16</t>
  </si>
  <si>
    <t>1993-08-16</t>
  </si>
  <si>
    <t>1998-08-17</t>
  </si>
  <si>
    <t>1993-08-17</t>
  </si>
  <si>
    <t>1998-08-18</t>
  </si>
  <si>
    <t>1993-08-18</t>
  </si>
  <si>
    <t>1998-08-19</t>
  </si>
  <si>
    <t>1993-08-19</t>
  </si>
  <si>
    <t>1998-08-20</t>
  </si>
  <si>
    <t>1993-08-20</t>
  </si>
  <si>
    <t>1998-08-21</t>
  </si>
  <si>
    <t>1993-08-21</t>
  </si>
  <si>
    <t>1998-08-22</t>
  </si>
  <si>
    <t>1993-08-22</t>
  </si>
  <si>
    <t>1998-08-23</t>
  </si>
  <si>
    <t>1993-08-23</t>
  </si>
  <si>
    <t>1998-08-24</t>
  </si>
  <si>
    <t>1993-08-24</t>
  </si>
  <si>
    <t>1998-08-25</t>
  </si>
  <si>
    <t>1993-08-25</t>
  </si>
  <si>
    <t>1998-08-26</t>
  </si>
  <si>
    <t>1993-08-26</t>
  </si>
  <si>
    <t>1998-08-27</t>
  </si>
  <si>
    <t>1993-08-27</t>
  </si>
  <si>
    <t>1998-08-28</t>
  </si>
  <si>
    <t>1993-08-28</t>
  </si>
  <si>
    <t>1998-08-29</t>
  </si>
  <si>
    <t>1993-08-29</t>
  </si>
  <si>
    <t>1998-08-30</t>
  </si>
  <si>
    <t>1993-08-30</t>
  </si>
  <si>
    <t>1998-08-31</t>
  </si>
  <si>
    <t>1993-08-31</t>
  </si>
  <si>
    <t>1998-09-01</t>
  </si>
  <si>
    <t>1993-09-01</t>
  </si>
  <si>
    <t>1998-09-02</t>
  </si>
  <si>
    <t>1993-09-02</t>
  </si>
  <si>
    <t>1998-09-03</t>
  </si>
  <si>
    <t>1993-09-03</t>
  </si>
  <si>
    <t>1998-09-04</t>
  </si>
  <si>
    <t>1993-09-04</t>
  </si>
  <si>
    <t>1998-09-05</t>
  </si>
  <si>
    <t>1993-09-05</t>
  </si>
  <si>
    <t>1998-09-06</t>
  </si>
  <si>
    <t>1993-09-06</t>
  </si>
  <si>
    <t>1998-09-07</t>
  </si>
  <si>
    <t>1993-09-07</t>
  </si>
  <si>
    <t>1998-09-08</t>
  </si>
  <si>
    <t>1993-09-08</t>
  </si>
  <si>
    <t>1998-09-09</t>
  </si>
  <si>
    <t>1993-09-09</t>
  </si>
  <si>
    <t>1998-09-10</t>
  </si>
  <si>
    <t>1993-09-10</t>
  </si>
  <si>
    <t>1998-09-11</t>
  </si>
  <si>
    <t>1993-09-11</t>
  </si>
  <si>
    <t>1998-09-12</t>
  </si>
  <si>
    <t>1993-09-12</t>
  </si>
  <si>
    <t>1998-09-13</t>
  </si>
  <si>
    <t>1993-09-13</t>
  </si>
  <si>
    <t>1998-09-14</t>
  </si>
  <si>
    <t>1993-09-14</t>
  </si>
  <si>
    <t>1998-09-15</t>
  </si>
  <si>
    <t>1993-09-15</t>
  </si>
  <si>
    <t>1998-09-16</t>
  </si>
  <si>
    <t>1993-09-16</t>
  </si>
  <si>
    <t>1998-09-17</t>
  </si>
  <si>
    <t>1993-09-17</t>
  </si>
  <si>
    <t>1998-09-18</t>
  </si>
  <si>
    <t>1993-09-18</t>
  </si>
  <si>
    <t>1998-09-19</t>
  </si>
  <si>
    <t>1993-09-19</t>
  </si>
  <si>
    <t>1998-09-20</t>
  </si>
  <si>
    <t>1993-09-20</t>
  </si>
  <si>
    <t>1998-09-21</t>
  </si>
  <si>
    <t>1993-09-21</t>
  </si>
  <si>
    <t>1998-09-22</t>
  </si>
  <si>
    <t>1993-09-22</t>
  </si>
  <si>
    <t>1998-09-23</t>
  </si>
  <si>
    <t>1993-09-23</t>
  </si>
  <si>
    <t>1998-09-24</t>
  </si>
  <si>
    <t>1993-09-24</t>
  </si>
  <si>
    <t>1998-09-25</t>
  </si>
  <si>
    <t>1993-09-25</t>
  </si>
  <si>
    <t>1998-09-26</t>
  </si>
  <si>
    <t>1993-09-26</t>
  </si>
  <si>
    <t>1998-09-27</t>
  </si>
  <si>
    <t>1993-09-27</t>
  </si>
  <si>
    <t>1998-09-28</t>
  </si>
  <si>
    <t>1993-09-28</t>
  </si>
  <si>
    <t>1998-09-29</t>
  </si>
  <si>
    <t>1993-09-29</t>
  </si>
  <si>
    <t>1998-09-30</t>
  </si>
  <si>
    <t>1993-09-30</t>
  </si>
  <si>
    <t>1998-10-01</t>
  </si>
  <si>
    <t>1993-10-01</t>
  </si>
  <si>
    <t>1998-10-02</t>
  </si>
  <si>
    <t>1993-10-02</t>
  </si>
  <si>
    <t>1998-10-03</t>
  </si>
  <si>
    <t>1993-10-03</t>
  </si>
  <si>
    <t>1998-10-04</t>
  </si>
  <si>
    <t>1993-10-04</t>
  </si>
  <si>
    <t>1998-10-05</t>
  </si>
  <si>
    <t>1993-10-05</t>
  </si>
  <si>
    <t>1998-10-06</t>
  </si>
  <si>
    <t>1993-10-06</t>
  </si>
  <si>
    <t>1998-10-07</t>
  </si>
  <si>
    <t>1993-10-07</t>
  </si>
  <si>
    <t>1998-10-08</t>
  </si>
  <si>
    <t>1993-10-08</t>
  </si>
  <si>
    <t>1998-10-09</t>
  </si>
  <si>
    <t>1993-10-09</t>
  </si>
  <si>
    <t>1998-10-10</t>
  </si>
  <si>
    <t>1993-10-10</t>
  </si>
  <si>
    <t>1998-10-11</t>
  </si>
  <si>
    <t>1993-10-11</t>
  </si>
  <si>
    <t>1998-10-12</t>
  </si>
  <si>
    <t>1993-10-12</t>
  </si>
  <si>
    <t>1998-10-13</t>
  </si>
  <si>
    <t>1993-10-13</t>
  </si>
  <si>
    <t>1998-10-14</t>
  </si>
  <si>
    <t>1993-10-14</t>
  </si>
  <si>
    <t>1998-10-15</t>
  </si>
  <si>
    <t>1993-10-15</t>
  </si>
  <si>
    <t>1998-10-16</t>
  </si>
  <si>
    <t>1993-10-16</t>
  </si>
  <si>
    <t>1998-10-17</t>
  </si>
  <si>
    <t>1993-10-17</t>
  </si>
  <si>
    <t>1998-10-18</t>
  </si>
  <si>
    <t>1993-10-18</t>
  </si>
  <si>
    <t>1998-10-19</t>
  </si>
  <si>
    <t>1993-10-19</t>
  </si>
  <si>
    <t>1998-10-20</t>
  </si>
  <si>
    <t>1993-10-20</t>
  </si>
  <si>
    <t>1998-10-21</t>
  </si>
  <si>
    <t>1993-10-21</t>
  </si>
  <si>
    <t>1998-10-22</t>
  </si>
  <si>
    <t>1993-10-22</t>
  </si>
  <si>
    <t>1998-10-23</t>
  </si>
  <si>
    <t>1993-10-23</t>
  </si>
  <si>
    <t>1998-10-24</t>
  </si>
  <si>
    <t>1993-10-24</t>
  </si>
  <si>
    <t>1998-10-25</t>
  </si>
  <si>
    <t>1993-10-25</t>
  </si>
  <si>
    <t>1998-10-26</t>
  </si>
  <si>
    <t>1993-10-26</t>
  </si>
  <si>
    <t>1998-10-27</t>
  </si>
  <si>
    <t>1993-10-27</t>
  </si>
  <si>
    <t>1998-10-28</t>
  </si>
  <si>
    <t>1993-10-28</t>
  </si>
  <si>
    <t>1998-10-29</t>
  </si>
  <si>
    <t>1993-10-29</t>
  </si>
  <si>
    <t>1998-10-30</t>
  </si>
  <si>
    <t>1993-10-30</t>
  </si>
  <si>
    <t>1998-10-31</t>
  </si>
  <si>
    <t>1993-10-31</t>
  </si>
  <si>
    <t>1998-11-01</t>
  </si>
  <si>
    <t>1993-11-01</t>
  </si>
  <si>
    <t>1998-11-02</t>
  </si>
  <si>
    <t>1993-11-02</t>
  </si>
  <si>
    <t>1998-11-03</t>
  </si>
  <si>
    <t>1993-11-03</t>
  </si>
  <si>
    <t>1998-11-04</t>
  </si>
  <si>
    <t>1993-11-04</t>
  </si>
  <si>
    <t>1998-11-05</t>
  </si>
  <si>
    <t>1993-11-05</t>
  </si>
  <si>
    <t>1998-11-06</t>
  </si>
  <si>
    <t>1993-11-06</t>
  </si>
  <si>
    <t>1998-11-07</t>
  </si>
  <si>
    <t>1993-11-07</t>
  </si>
  <si>
    <t>1998-11-08</t>
  </si>
  <si>
    <t>1993-11-08</t>
  </si>
  <si>
    <t>1998-11-09</t>
  </si>
  <si>
    <t>1993-11-09</t>
  </si>
  <si>
    <t>1998-11-10</t>
  </si>
  <si>
    <t>1993-11-10</t>
  </si>
  <si>
    <t>1998-11-11</t>
  </si>
  <si>
    <t>1993-11-11</t>
  </si>
  <si>
    <t>1998-11-12</t>
  </si>
  <si>
    <t>1993-11-12</t>
  </si>
  <si>
    <t>1998-11-13</t>
  </si>
  <si>
    <t>1993-11-13</t>
  </si>
  <si>
    <t>1998-11-14</t>
  </si>
  <si>
    <t>1993-11-14</t>
  </si>
  <si>
    <t>1998-11-15</t>
  </si>
  <si>
    <t>1993-11-15</t>
  </si>
  <si>
    <t>1998-11-16</t>
  </si>
  <si>
    <t>1993-11-16</t>
  </si>
  <si>
    <t>1998-11-17</t>
  </si>
  <si>
    <t>1993-11-17</t>
  </si>
  <si>
    <t>1998-11-18</t>
  </si>
  <si>
    <t>1993-11-18</t>
  </si>
  <si>
    <t>1998-11-19</t>
  </si>
  <si>
    <t>1993-11-19</t>
  </si>
  <si>
    <t>1998-11-20</t>
  </si>
  <si>
    <t>1993-11-20</t>
  </si>
  <si>
    <t>1998-11-21</t>
  </si>
  <si>
    <t>1993-11-21</t>
  </si>
  <si>
    <t>1998-11-22</t>
  </si>
  <si>
    <t>1993-11-22</t>
  </si>
  <si>
    <t>1998-11-23</t>
  </si>
  <si>
    <t>1993-11-23</t>
  </si>
  <si>
    <t>1998-11-24</t>
  </si>
  <si>
    <t>1993-11-24</t>
  </si>
  <si>
    <t>1998-11-25</t>
  </si>
  <si>
    <t>1993-11-25</t>
  </si>
  <si>
    <t>1998-11-26</t>
  </si>
  <si>
    <t>1993-11-26</t>
  </si>
  <si>
    <t>1998-11-27</t>
  </si>
  <si>
    <t>1993-11-27</t>
  </si>
  <si>
    <t>1998-11-28</t>
  </si>
  <si>
    <t>1993-11-28</t>
  </si>
  <si>
    <t>1998-11-29</t>
  </si>
  <si>
    <t>1993-11-29</t>
  </si>
  <si>
    <t>1998-11-30</t>
  </si>
  <si>
    <t>1993-11-30</t>
  </si>
  <si>
    <t>1998-12-01</t>
  </si>
  <si>
    <t>1993-12-01</t>
  </si>
  <si>
    <t>1998-12-02</t>
  </si>
  <si>
    <t>1993-12-02</t>
  </si>
  <si>
    <t>1998-12-03</t>
  </si>
  <si>
    <t>1993-12-03</t>
  </si>
  <si>
    <t>1998-12-04</t>
  </si>
  <si>
    <t>1993-12-04</t>
  </si>
  <si>
    <t>1998-12-05</t>
  </si>
  <si>
    <t>1993-12-05</t>
  </si>
  <si>
    <t>1998-12-06</t>
  </si>
  <si>
    <t>1993-12-06</t>
  </si>
  <si>
    <t>1998-12-07</t>
  </si>
  <si>
    <t>1993-12-07</t>
  </si>
  <si>
    <t>1998-12-08</t>
  </si>
  <si>
    <t>1993-12-08</t>
  </si>
  <si>
    <t>1998-12-09</t>
  </si>
  <si>
    <t>1993-12-09</t>
  </si>
  <si>
    <t>1998-12-10</t>
  </si>
  <si>
    <t>1993-12-10</t>
  </si>
  <si>
    <t>1998-12-11</t>
  </si>
  <si>
    <t>1993-12-11</t>
  </si>
  <si>
    <t>1998-12-12</t>
  </si>
  <si>
    <t>1993-12-12</t>
  </si>
  <si>
    <t>1998-12-13</t>
  </si>
  <si>
    <t>1993-12-13</t>
  </si>
  <si>
    <t>1998-12-14</t>
  </si>
  <si>
    <t>1993-12-14</t>
  </si>
  <si>
    <t>1998-12-15</t>
  </si>
  <si>
    <t>1993-12-15</t>
  </si>
  <si>
    <t>1998-12-16</t>
  </si>
  <si>
    <t>1993-12-16</t>
  </si>
  <si>
    <t>1998-12-17</t>
  </si>
  <si>
    <t>1993-12-17</t>
  </si>
  <si>
    <t>1998-12-18</t>
  </si>
  <si>
    <t>1993-12-18</t>
  </si>
  <si>
    <t>1998-12-19</t>
  </si>
  <si>
    <t>1993-12-19</t>
  </si>
  <si>
    <t>1998-12-20</t>
  </si>
  <si>
    <t>1993-12-20</t>
  </si>
  <si>
    <t>1998-12-21</t>
  </si>
  <si>
    <t>1993-12-21</t>
  </si>
  <si>
    <t>1998-12-22</t>
  </si>
  <si>
    <t>1993-12-22</t>
  </si>
  <si>
    <t>1998-12-23</t>
  </si>
  <si>
    <t>1993-12-23</t>
  </si>
  <si>
    <t>1998-12-24</t>
  </si>
  <si>
    <t>1993-12-24</t>
  </si>
  <si>
    <t>1998-12-25</t>
  </si>
  <si>
    <t>1993-12-25</t>
  </si>
  <si>
    <t>1998-12-26</t>
  </si>
  <si>
    <t>1993-12-26</t>
  </si>
  <si>
    <t>1998-12-27</t>
  </si>
  <si>
    <t>1993-12-27</t>
  </si>
  <si>
    <t>1998-12-28</t>
  </si>
  <si>
    <t>1993-12-28</t>
  </si>
  <si>
    <t>1998-12-29</t>
  </si>
  <si>
    <t>1993-12-29</t>
  </si>
  <si>
    <t>1998-12-30</t>
  </si>
  <si>
    <t>1993-12-30</t>
  </si>
  <si>
    <t>1998-12-31</t>
  </si>
  <si>
    <t>1993-12-31</t>
  </si>
  <si>
    <t>1999-01-01</t>
  </si>
  <si>
    <t>1994-01-01</t>
  </si>
  <si>
    <t>1999-01-02</t>
  </si>
  <si>
    <t>1994-01-02</t>
  </si>
  <si>
    <t>1999-01-03</t>
  </si>
  <si>
    <t>1994-01-03</t>
  </si>
  <si>
    <t>1999-01-04</t>
  </si>
  <si>
    <t>1994-01-04</t>
  </si>
  <si>
    <t>1999-01-05</t>
  </si>
  <si>
    <t>1994-01-05</t>
  </si>
  <si>
    <t>1999-01-06</t>
  </si>
  <si>
    <t>1994-01-06</t>
  </si>
  <si>
    <t>1999-01-07</t>
  </si>
  <si>
    <t>1994-01-07</t>
  </si>
  <si>
    <t>1999-01-08</t>
  </si>
  <si>
    <t>1994-01-08</t>
  </si>
  <si>
    <t>1999-01-09</t>
  </si>
  <si>
    <t>1994-01-09</t>
  </si>
  <si>
    <t>1999-01-10</t>
  </si>
  <si>
    <t>1994-01-10</t>
  </si>
  <si>
    <t>1999-01-11</t>
  </si>
  <si>
    <t>1994-01-11</t>
  </si>
  <si>
    <t>1999-01-12</t>
  </si>
  <si>
    <t>1994-01-12</t>
  </si>
  <si>
    <t>1999-01-13</t>
  </si>
  <si>
    <t>1994-01-13</t>
  </si>
  <si>
    <t>1999-01-14</t>
  </si>
  <si>
    <t>1994-01-14</t>
  </si>
  <si>
    <t>1999-01-15</t>
  </si>
  <si>
    <t>1994-01-15</t>
  </si>
  <si>
    <t>1999-01-16</t>
  </si>
  <si>
    <t>1994-01-16</t>
  </si>
  <si>
    <t>1999-01-17</t>
  </si>
  <si>
    <t>1994-01-17</t>
  </si>
  <si>
    <t>1999-01-18</t>
  </si>
  <si>
    <t>1994-01-18</t>
  </si>
  <si>
    <t>1999-01-19</t>
  </si>
  <si>
    <t>1994-01-19</t>
  </si>
  <si>
    <t>1999-01-20</t>
  </si>
  <si>
    <t>1994-01-20</t>
  </si>
  <si>
    <t>1999-01-21</t>
  </si>
  <si>
    <t>1994-01-21</t>
  </si>
  <si>
    <t>1999-01-22</t>
  </si>
  <si>
    <t>1994-01-22</t>
  </si>
  <si>
    <t>1999-01-23</t>
  </si>
  <si>
    <t>1994-01-23</t>
  </si>
  <si>
    <t>1999-01-24</t>
  </si>
  <si>
    <t>1994-01-24</t>
  </si>
  <si>
    <t>1999-01-25</t>
  </si>
  <si>
    <t>1994-01-25</t>
  </si>
  <si>
    <t>1999-01-26</t>
  </si>
  <si>
    <t>1994-01-26</t>
  </si>
  <si>
    <t>1999-01-27</t>
  </si>
  <si>
    <t>1994-01-27</t>
  </si>
  <si>
    <t>1999-01-28</t>
  </si>
  <si>
    <t>1994-01-28</t>
  </si>
  <si>
    <t>1999-01-29</t>
  </si>
  <si>
    <t>1994-01-29</t>
  </si>
  <si>
    <t>1999-01-30</t>
  </si>
  <si>
    <t>1994-01-30</t>
  </si>
  <si>
    <t>1999-01-31</t>
  </si>
  <si>
    <t>1994-01-31</t>
  </si>
  <si>
    <t>1999-02-01</t>
  </si>
  <si>
    <t>1994-02-01</t>
  </si>
  <si>
    <t>1999-02-02</t>
  </si>
  <si>
    <t>1994-02-02</t>
  </si>
  <si>
    <t>1999-02-03</t>
  </si>
  <si>
    <t>1994-02-03</t>
  </si>
  <si>
    <t>1999-02-04</t>
  </si>
  <si>
    <t>1994-02-04</t>
  </si>
  <si>
    <t>1999-02-05</t>
  </si>
  <si>
    <t>1994-02-05</t>
  </si>
  <si>
    <t>1999-02-06</t>
  </si>
  <si>
    <t>1994-02-06</t>
  </si>
  <si>
    <t>1999-02-07</t>
  </si>
  <si>
    <t>1994-02-07</t>
  </si>
  <si>
    <t>1999-02-08</t>
  </si>
  <si>
    <t>1994-02-08</t>
  </si>
  <si>
    <t>1999-02-09</t>
  </si>
  <si>
    <t>1994-02-09</t>
  </si>
  <si>
    <t>1999-02-10</t>
  </si>
  <si>
    <t>1994-02-10</t>
  </si>
  <si>
    <t>1999-02-11</t>
  </si>
  <si>
    <t>1994-02-11</t>
  </si>
  <si>
    <t>1999-02-12</t>
  </si>
  <si>
    <t>1994-02-12</t>
  </si>
  <si>
    <t>1999-02-13</t>
  </si>
  <si>
    <t>1994-02-13</t>
  </si>
  <si>
    <t>1999-02-14</t>
  </si>
  <si>
    <t>1994-02-14</t>
  </si>
  <si>
    <t>1999-02-15</t>
  </si>
  <si>
    <t>1994-02-15</t>
  </si>
  <si>
    <t>1999-02-16</t>
  </si>
  <si>
    <t>1994-02-16</t>
  </si>
  <si>
    <t>1999-02-17</t>
  </si>
  <si>
    <t>1994-02-17</t>
  </si>
  <si>
    <t>1999-02-18</t>
  </si>
  <si>
    <t>1994-02-18</t>
  </si>
  <si>
    <t>1999-02-19</t>
  </si>
  <si>
    <t>1994-02-19</t>
  </si>
  <si>
    <t>1999-02-20</t>
  </si>
  <si>
    <t>1994-02-20</t>
  </si>
  <si>
    <t>1999-02-21</t>
  </si>
  <si>
    <t>1994-02-21</t>
  </si>
  <si>
    <t>1999-02-22</t>
  </si>
  <si>
    <t>1994-02-22</t>
  </si>
  <si>
    <t>1999-02-23</t>
  </si>
  <si>
    <t>1994-02-23</t>
  </si>
  <si>
    <t>1999-02-24</t>
  </si>
  <si>
    <t>1994-02-24</t>
  </si>
  <si>
    <t>1999-02-25</t>
  </si>
  <si>
    <t>1994-02-25</t>
  </si>
  <si>
    <t>1999-02-26</t>
  </si>
  <si>
    <t>1994-02-26</t>
  </si>
  <si>
    <t>1999-02-27</t>
  </si>
  <si>
    <t>1994-02-27</t>
  </si>
  <si>
    <t>1999-02-28</t>
  </si>
  <si>
    <t>1994-02-28</t>
  </si>
  <si>
    <t>1999-03-01</t>
  </si>
  <si>
    <t>1994-03-01</t>
  </si>
  <si>
    <t>1999-03-02</t>
  </si>
  <si>
    <t>1994-03-02</t>
  </si>
  <si>
    <t>1999-03-03</t>
  </si>
  <si>
    <t>1994-03-03</t>
  </si>
  <si>
    <t>1999-03-04</t>
  </si>
  <si>
    <t>1994-03-04</t>
  </si>
  <si>
    <t>1999-03-05</t>
  </si>
  <si>
    <t>1994-03-05</t>
  </si>
  <si>
    <t>1999-03-06</t>
  </si>
  <si>
    <t>1994-03-06</t>
  </si>
  <si>
    <t>1999-03-07</t>
  </si>
  <si>
    <t>1994-03-07</t>
  </si>
  <si>
    <t>1999-03-08</t>
  </si>
  <si>
    <t>1994-03-08</t>
  </si>
  <si>
    <t>1999-03-09</t>
  </si>
  <si>
    <t>1994-03-09</t>
  </si>
  <si>
    <t>1999-03-10</t>
  </si>
  <si>
    <t>1994-03-10</t>
  </si>
  <si>
    <t>1999-03-11</t>
  </si>
  <si>
    <t>1994-03-11</t>
  </si>
  <si>
    <t>1999-03-12</t>
  </si>
  <si>
    <t>1994-03-12</t>
  </si>
  <si>
    <t>1999-03-13</t>
  </si>
  <si>
    <t>1994-03-13</t>
  </si>
  <si>
    <t>1999-03-14</t>
  </si>
  <si>
    <t>1994-03-14</t>
  </si>
  <si>
    <t>1999-03-15</t>
  </si>
  <si>
    <t>1994-03-15</t>
  </si>
  <si>
    <t>1999-03-16</t>
  </si>
  <si>
    <t>1994-03-16</t>
  </si>
  <si>
    <t>1999-03-17</t>
  </si>
  <si>
    <t>1994-03-17</t>
  </si>
  <si>
    <t>1999-03-18</t>
  </si>
  <si>
    <t>1994-03-18</t>
  </si>
  <si>
    <t>1999-03-19</t>
  </si>
  <si>
    <t>1994-03-19</t>
  </si>
  <si>
    <t>1999-03-20</t>
  </si>
  <si>
    <t>1994-03-20</t>
  </si>
  <si>
    <t>1999-03-21</t>
  </si>
  <si>
    <t>1994-03-21</t>
  </si>
  <si>
    <t>1999-03-22</t>
  </si>
  <si>
    <t>1994-03-22</t>
  </si>
  <si>
    <t>1999-03-23</t>
  </si>
  <si>
    <t>1994-03-23</t>
  </si>
  <si>
    <t>1999-03-24</t>
  </si>
  <si>
    <t>1994-03-24</t>
  </si>
  <si>
    <t>1999-03-25</t>
  </si>
  <si>
    <t>1994-03-25</t>
  </si>
  <si>
    <t>1999-03-26</t>
  </si>
  <si>
    <t>1994-03-26</t>
  </si>
  <si>
    <t>1999-03-27</t>
  </si>
  <si>
    <t>1994-03-27</t>
  </si>
  <si>
    <t>1999-03-28</t>
  </si>
  <si>
    <t>1994-03-28</t>
  </si>
  <si>
    <t>1999-03-29</t>
  </si>
  <si>
    <t>1994-03-29</t>
  </si>
  <si>
    <t>1999-03-30</t>
  </si>
  <si>
    <t>1994-03-30</t>
  </si>
  <si>
    <t>1999-03-31</t>
  </si>
  <si>
    <t>1994-03-31</t>
  </si>
  <si>
    <t>1999-04-01</t>
  </si>
  <si>
    <t>1994-04-01</t>
  </si>
  <si>
    <t>1999-04-02</t>
  </si>
  <si>
    <t>1994-04-02</t>
  </si>
  <si>
    <t>1999-04-03</t>
  </si>
  <si>
    <t>1994-04-03</t>
  </si>
  <si>
    <t>1999-04-04</t>
  </si>
  <si>
    <t>1994-04-04</t>
  </si>
  <si>
    <t>1999-04-05</t>
  </si>
  <si>
    <t>1994-04-05</t>
  </si>
  <si>
    <t>1999-04-06</t>
  </si>
  <si>
    <t>1994-04-06</t>
  </si>
  <si>
    <t>1999-04-07</t>
  </si>
  <si>
    <t>1994-04-07</t>
  </si>
  <si>
    <t>1999-04-08</t>
  </si>
  <si>
    <t>1994-04-08</t>
  </si>
  <si>
    <t>1999-04-09</t>
  </si>
  <si>
    <t>1994-04-09</t>
  </si>
  <si>
    <t>1999-04-10</t>
  </si>
  <si>
    <t>1994-04-10</t>
  </si>
  <si>
    <t>1999-04-11</t>
  </si>
  <si>
    <t>1994-04-11</t>
  </si>
  <si>
    <t>1999-04-12</t>
  </si>
  <si>
    <t>1994-04-12</t>
  </si>
  <si>
    <t>1999-04-13</t>
  </si>
  <si>
    <t>1994-04-13</t>
  </si>
  <si>
    <t>1999-04-14</t>
  </si>
  <si>
    <t>1994-04-14</t>
  </si>
  <si>
    <t>1999-04-15</t>
  </si>
  <si>
    <t>1994-04-15</t>
  </si>
  <si>
    <t>1999-04-16</t>
  </si>
  <si>
    <t>1994-04-16</t>
  </si>
  <si>
    <t>1999-04-17</t>
  </si>
  <si>
    <t>1994-04-17</t>
  </si>
  <si>
    <t>1999-04-18</t>
  </si>
  <si>
    <t>1994-04-18</t>
  </si>
  <si>
    <t>1999-04-19</t>
  </si>
  <si>
    <t>1994-04-19</t>
  </si>
  <si>
    <t>1999-04-20</t>
  </si>
  <si>
    <t>1994-04-20</t>
  </si>
  <si>
    <t>1999-04-21</t>
  </si>
  <si>
    <t>1994-04-21</t>
  </si>
  <si>
    <t>1999-04-22</t>
  </si>
  <si>
    <t>1994-04-22</t>
  </si>
  <si>
    <t>1999-04-23</t>
  </si>
  <si>
    <t>1994-04-23</t>
  </si>
  <si>
    <t>1999-04-24</t>
  </si>
  <si>
    <t>1994-04-24</t>
  </si>
  <si>
    <t>1999-04-25</t>
  </si>
  <si>
    <t>1994-04-25</t>
  </si>
  <si>
    <t>1999-04-26</t>
  </si>
  <si>
    <t>1994-04-26</t>
  </si>
  <si>
    <t>1999-04-27</t>
  </si>
  <si>
    <t>1994-04-27</t>
  </si>
  <si>
    <t>1999-04-28</t>
  </si>
  <si>
    <t>1994-04-28</t>
  </si>
  <si>
    <t>1999-04-29</t>
  </si>
  <si>
    <t>1994-04-29</t>
  </si>
  <si>
    <t>1999-04-30</t>
  </si>
  <si>
    <t>1994-04-30</t>
  </si>
  <si>
    <t>1999-05-01</t>
  </si>
  <si>
    <t>1994-05-01</t>
  </si>
  <si>
    <t>1999-05-02</t>
  </si>
  <si>
    <t>1994-05-02</t>
  </si>
  <si>
    <t>1999-05-03</t>
  </si>
  <si>
    <t>1994-05-03</t>
  </si>
  <si>
    <t>1999-05-04</t>
  </si>
  <si>
    <t>1994-05-04</t>
  </si>
  <si>
    <t>1999-05-05</t>
  </si>
  <si>
    <t>1994-05-05</t>
  </si>
  <si>
    <t>1999-05-06</t>
  </si>
  <si>
    <t>1994-05-06</t>
  </si>
  <si>
    <t>1999-05-07</t>
  </si>
  <si>
    <t>1994-05-07</t>
  </si>
  <si>
    <t>1999-05-08</t>
  </si>
  <si>
    <t>1994-05-08</t>
  </si>
  <si>
    <t>1999-05-09</t>
  </si>
  <si>
    <t>1994-05-09</t>
  </si>
  <si>
    <t>1999-05-10</t>
  </si>
  <si>
    <t>1994-05-10</t>
  </si>
  <si>
    <t>1999-05-11</t>
  </si>
  <si>
    <t>1994-05-11</t>
  </si>
  <si>
    <t>1999-05-12</t>
  </si>
  <si>
    <t>1994-05-12</t>
  </si>
  <si>
    <t>1999-05-13</t>
  </si>
  <si>
    <t>1994-05-13</t>
  </si>
  <si>
    <t>1999-05-14</t>
  </si>
  <si>
    <t>1994-05-14</t>
  </si>
  <si>
    <t>1999-05-15</t>
  </si>
  <si>
    <t>1994-05-15</t>
  </si>
  <si>
    <t>1999-05-16</t>
  </si>
  <si>
    <t>1994-05-16</t>
  </si>
  <si>
    <t>1999-05-17</t>
  </si>
  <si>
    <t>1994-05-17</t>
  </si>
  <si>
    <t>1999-05-18</t>
  </si>
  <si>
    <t>1994-05-18</t>
  </si>
  <si>
    <t>1999-05-19</t>
  </si>
  <si>
    <t>1994-05-19</t>
  </si>
  <si>
    <t>1999-05-20</t>
  </si>
  <si>
    <t>1994-05-20</t>
  </si>
  <si>
    <t>1999-05-21</t>
  </si>
  <si>
    <t>1994-05-21</t>
  </si>
  <si>
    <t>1999-05-22</t>
  </si>
  <si>
    <t>1994-05-22</t>
  </si>
  <si>
    <t>1999-05-23</t>
  </si>
  <si>
    <t>1994-05-23</t>
  </si>
  <si>
    <t>1999-05-24</t>
  </si>
  <si>
    <t>1994-05-24</t>
  </si>
  <si>
    <t>1999-05-25</t>
  </si>
  <si>
    <t>1994-05-25</t>
  </si>
  <si>
    <t>1999-05-26</t>
  </si>
  <si>
    <t>1994-05-26</t>
  </si>
  <si>
    <t>1999-05-27</t>
  </si>
  <si>
    <t>1994-05-27</t>
  </si>
  <si>
    <t>1999-05-28</t>
  </si>
  <si>
    <t>1994-05-28</t>
  </si>
  <si>
    <t>1999-05-29</t>
  </si>
  <si>
    <t>1994-05-29</t>
  </si>
  <si>
    <t>1999-05-30</t>
  </si>
  <si>
    <t>1994-05-30</t>
  </si>
  <si>
    <t>1999-05-31</t>
  </si>
  <si>
    <t>1994-05-31</t>
  </si>
  <si>
    <t>1999-06-01</t>
  </si>
  <si>
    <t>1994-06-01</t>
  </si>
  <si>
    <t>1999-06-02</t>
  </si>
  <si>
    <t>1994-06-02</t>
  </si>
  <si>
    <t>1999-06-03</t>
  </si>
  <si>
    <t>1994-06-03</t>
  </si>
  <si>
    <t>1999-06-04</t>
  </si>
  <si>
    <t>1994-06-04</t>
  </si>
  <si>
    <t>1999-06-05</t>
  </si>
  <si>
    <t>1994-06-05</t>
  </si>
  <si>
    <t>1999-06-06</t>
  </si>
  <si>
    <t>1994-06-06</t>
  </si>
  <si>
    <t>1999-06-07</t>
  </si>
  <si>
    <t>1994-06-07</t>
  </si>
  <si>
    <t>1999-06-08</t>
  </si>
  <si>
    <t>1994-06-08</t>
  </si>
  <si>
    <t>1999-06-09</t>
  </si>
  <si>
    <t>1994-06-09</t>
  </si>
  <si>
    <t>1999-06-10</t>
  </si>
  <si>
    <t>1994-06-10</t>
  </si>
  <si>
    <t>1999-06-11</t>
  </si>
  <si>
    <t>1994-06-11</t>
  </si>
  <si>
    <t>1999-06-12</t>
  </si>
  <si>
    <t>1994-06-12</t>
  </si>
  <si>
    <t>1999-06-13</t>
  </si>
  <si>
    <t>1994-06-13</t>
  </si>
  <si>
    <t>1999-06-14</t>
  </si>
  <si>
    <t>1994-06-14</t>
  </si>
  <si>
    <t>1999-06-15</t>
  </si>
  <si>
    <t>1994-06-15</t>
  </si>
  <si>
    <t>1999-06-16</t>
  </si>
  <si>
    <t>1994-06-16</t>
  </si>
  <si>
    <t>1999-06-17</t>
  </si>
  <si>
    <t>1994-06-17</t>
  </si>
  <si>
    <t>1999-06-18</t>
  </si>
  <si>
    <t>1994-06-18</t>
  </si>
  <si>
    <t>1999-06-19</t>
  </si>
  <si>
    <t>1994-06-19</t>
  </si>
  <si>
    <t>1999-06-20</t>
  </si>
  <si>
    <t>1994-06-20</t>
  </si>
  <si>
    <t>1999-06-21</t>
  </si>
  <si>
    <t>1994-06-21</t>
  </si>
  <si>
    <t>1999-06-22</t>
  </si>
  <si>
    <t>1994-06-22</t>
  </si>
  <si>
    <t>1999-06-23</t>
  </si>
  <si>
    <t>1994-06-23</t>
  </si>
  <si>
    <t>1999-06-24</t>
  </si>
  <si>
    <t>1994-06-24</t>
  </si>
  <si>
    <t>1999-06-25</t>
  </si>
  <si>
    <t>1994-06-25</t>
  </si>
  <si>
    <t>1999-06-26</t>
  </si>
  <si>
    <t>1994-06-26</t>
  </si>
  <si>
    <t>1999-06-27</t>
  </si>
  <si>
    <t>1994-06-27</t>
  </si>
  <si>
    <t>1999-06-28</t>
  </si>
  <si>
    <t>1994-06-28</t>
  </si>
  <si>
    <t>1999-06-29</t>
  </si>
  <si>
    <t>1994-06-29</t>
  </si>
  <si>
    <t>1999-06-30</t>
  </si>
  <si>
    <t>1994-06-30</t>
  </si>
  <si>
    <t>1999-07-01</t>
  </si>
  <si>
    <t>1994-07-01</t>
  </si>
  <si>
    <t>1999-07-02</t>
  </si>
  <si>
    <t>1994-07-02</t>
  </si>
  <si>
    <t>1999-07-03</t>
  </si>
  <si>
    <t>1994-07-03</t>
  </si>
  <si>
    <t>1999-07-04</t>
  </si>
  <si>
    <t>1994-07-04</t>
  </si>
  <si>
    <t>1999-07-05</t>
  </si>
  <si>
    <t>1994-07-05</t>
  </si>
  <si>
    <t>1999-07-06</t>
  </si>
  <si>
    <t>1994-07-06</t>
  </si>
  <si>
    <t>1999-07-07</t>
  </si>
  <si>
    <t>1994-07-07</t>
  </si>
  <si>
    <t>1999-07-08</t>
  </si>
  <si>
    <t>1994-07-08</t>
  </si>
  <si>
    <t>1999-07-09</t>
  </si>
  <si>
    <t>1994-07-09</t>
  </si>
  <si>
    <t>1999-07-10</t>
  </si>
  <si>
    <t>1994-07-10</t>
  </si>
  <si>
    <t>1999-07-11</t>
  </si>
  <si>
    <t>1994-07-11</t>
  </si>
  <si>
    <t>1999-07-12</t>
  </si>
  <si>
    <t>1994-07-12</t>
  </si>
  <si>
    <t>1999-07-13</t>
  </si>
  <si>
    <t>1994-07-13</t>
  </si>
  <si>
    <t>1999-07-14</t>
  </si>
  <si>
    <t>1994-07-14</t>
  </si>
  <si>
    <t>1999-07-15</t>
  </si>
  <si>
    <t>1994-07-15</t>
  </si>
  <si>
    <t>1999-07-16</t>
  </si>
  <si>
    <t>1994-07-16</t>
  </si>
  <si>
    <t>1999-07-17</t>
  </si>
  <si>
    <t>1994-07-17</t>
  </si>
  <si>
    <t>1999-07-18</t>
  </si>
  <si>
    <t>1994-07-18</t>
  </si>
  <si>
    <t>1999-07-19</t>
  </si>
  <si>
    <t>1994-07-19</t>
  </si>
  <si>
    <t>1999-07-20</t>
  </si>
  <si>
    <t>1994-07-20</t>
  </si>
  <si>
    <t>1999-07-21</t>
  </si>
  <si>
    <t>1994-07-21</t>
  </si>
  <si>
    <t>1999-07-22</t>
  </si>
  <si>
    <t>1994-07-22</t>
  </si>
  <si>
    <t>1999-07-23</t>
  </si>
  <si>
    <t>1994-07-23</t>
  </si>
  <si>
    <t>1999-07-24</t>
  </si>
  <si>
    <t>1994-07-24</t>
  </si>
  <si>
    <t>1999-07-25</t>
  </si>
  <si>
    <t>1994-07-25</t>
  </si>
  <si>
    <t>1999-07-26</t>
  </si>
  <si>
    <t>1994-07-26</t>
  </si>
  <si>
    <t>1999-07-27</t>
  </si>
  <si>
    <t>1994-07-27</t>
  </si>
  <si>
    <t>1999-07-28</t>
  </si>
  <si>
    <t>1994-07-28</t>
  </si>
  <si>
    <t>1999-07-29</t>
  </si>
  <si>
    <t>1994-07-29</t>
  </si>
  <si>
    <t>1999-07-30</t>
  </si>
  <si>
    <t>1994-07-30</t>
  </si>
  <si>
    <t>1999-07-31</t>
  </si>
  <si>
    <t>1994-07-31</t>
  </si>
  <si>
    <t>1999-08-01</t>
  </si>
  <si>
    <t>1994-08-01</t>
  </si>
  <si>
    <t>1999-08-02</t>
  </si>
  <si>
    <t>1994-08-02</t>
  </si>
  <si>
    <t>1999-08-03</t>
  </si>
  <si>
    <t>1994-08-03</t>
  </si>
  <si>
    <t>1999-08-04</t>
  </si>
  <si>
    <t>1994-08-04</t>
  </si>
  <si>
    <t>1999-08-05</t>
  </si>
  <si>
    <t>1994-08-05</t>
  </si>
  <si>
    <t>1999-08-06</t>
  </si>
  <si>
    <t>1994-08-06</t>
  </si>
  <si>
    <t>1999-08-07</t>
  </si>
  <si>
    <t>1994-08-07</t>
  </si>
  <si>
    <t>1999-08-08</t>
  </si>
  <si>
    <t>1994-08-08</t>
  </si>
  <si>
    <t>1999-08-09</t>
  </si>
  <si>
    <t>1994-08-09</t>
  </si>
  <si>
    <t>1999-08-10</t>
  </si>
  <si>
    <t>1994-08-10</t>
  </si>
  <si>
    <t>1999-08-11</t>
  </si>
  <si>
    <t>1994-08-11</t>
  </si>
  <si>
    <t>1999-08-12</t>
  </si>
  <si>
    <t>1994-08-12</t>
  </si>
  <si>
    <t>1999-08-13</t>
  </si>
  <si>
    <t>1994-08-13</t>
  </si>
  <si>
    <t>1999-08-14</t>
  </si>
  <si>
    <t>1994-08-14</t>
  </si>
  <si>
    <t>1999-08-15</t>
  </si>
  <si>
    <t>1994-08-15</t>
  </si>
  <si>
    <t>1999-08-16</t>
  </si>
  <si>
    <t>1994-08-16</t>
  </si>
  <si>
    <t>1999-08-17</t>
  </si>
  <si>
    <t>1994-08-17</t>
  </si>
  <si>
    <t>1999-08-18</t>
  </si>
  <si>
    <t>1994-08-18</t>
  </si>
  <si>
    <t>1999-08-19</t>
  </si>
  <si>
    <t>1994-08-19</t>
  </si>
  <si>
    <t>1999-08-20</t>
  </si>
  <si>
    <t>1994-08-20</t>
  </si>
  <si>
    <t>1999-08-21</t>
  </si>
  <si>
    <t>1994-08-21</t>
  </si>
  <si>
    <t>1999-08-22</t>
  </si>
  <si>
    <t>1994-08-22</t>
  </si>
  <si>
    <t>1999-08-23</t>
  </si>
  <si>
    <t>1994-08-23</t>
  </si>
  <si>
    <t>1999-08-24</t>
  </si>
  <si>
    <t>1994-08-24</t>
  </si>
  <si>
    <t>1999-08-25</t>
  </si>
  <si>
    <t>1994-08-25</t>
  </si>
  <si>
    <t>1999-08-26</t>
  </si>
  <si>
    <t>1994-08-26</t>
  </si>
  <si>
    <t>1999-08-27</t>
  </si>
  <si>
    <t>1994-08-27</t>
  </si>
  <si>
    <t>1999-08-28</t>
  </si>
  <si>
    <t>1994-08-28</t>
  </si>
  <si>
    <t>1999-08-29</t>
  </si>
  <si>
    <t>1994-08-29</t>
  </si>
  <si>
    <t>1999-08-30</t>
  </si>
  <si>
    <t>1994-08-30</t>
  </si>
  <si>
    <t>1999-08-31</t>
  </si>
  <si>
    <t>1994-08-31</t>
  </si>
  <si>
    <t>1999-09-01</t>
  </si>
  <si>
    <t>1994-09-01</t>
  </si>
  <si>
    <t>1999-09-02</t>
  </si>
  <si>
    <t>1994-09-02</t>
  </si>
  <si>
    <t>1999-09-03</t>
  </si>
  <si>
    <t>1994-09-03</t>
  </si>
  <si>
    <t>1999-09-04</t>
  </si>
  <si>
    <t>1994-09-04</t>
  </si>
  <si>
    <t>1999-09-05</t>
  </si>
  <si>
    <t>1994-09-05</t>
  </si>
  <si>
    <t>1999-09-06</t>
  </si>
  <si>
    <t>1994-09-06</t>
  </si>
  <si>
    <t>1999-09-07</t>
  </si>
  <si>
    <t>1994-09-07</t>
  </si>
  <si>
    <t>1999-09-08</t>
  </si>
  <si>
    <t>1994-09-08</t>
  </si>
  <si>
    <t>1999-09-09</t>
  </si>
  <si>
    <t>1994-09-09</t>
  </si>
  <si>
    <t>1999-09-10</t>
  </si>
  <si>
    <t>1994-09-10</t>
  </si>
  <si>
    <t>1999-09-11</t>
  </si>
  <si>
    <t>1994-09-11</t>
  </si>
  <si>
    <t>1999-09-12</t>
  </si>
  <si>
    <t>1994-09-12</t>
  </si>
  <si>
    <t>1999-09-13</t>
  </si>
  <si>
    <t>1994-09-13</t>
  </si>
  <si>
    <t>1999-09-14</t>
  </si>
  <si>
    <t>1994-09-14</t>
  </si>
  <si>
    <t>1999-09-15</t>
  </si>
  <si>
    <t>1994-09-15</t>
  </si>
  <si>
    <t>1999-09-16</t>
  </si>
  <si>
    <t>1994-09-16</t>
  </si>
  <si>
    <t>1999-09-17</t>
  </si>
  <si>
    <t>1994-09-17</t>
  </si>
  <si>
    <t>1999-09-18</t>
  </si>
  <si>
    <t>1994-09-18</t>
  </si>
  <si>
    <t>1999-09-19</t>
  </si>
  <si>
    <t>1994-09-19</t>
  </si>
  <si>
    <t>1999-09-20</t>
  </si>
  <si>
    <t>1994-09-20</t>
  </si>
  <si>
    <t>1999-09-21</t>
  </si>
  <si>
    <t>1994-09-21</t>
  </si>
  <si>
    <t>1999-09-22</t>
  </si>
  <si>
    <t>1994-09-22</t>
  </si>
  <si>
    <t>1999-09-23</t>
  </si>
  <si>
    <t>1994-09-23</t>
  </si>
  <si>
    <t>1999-09-24</t>
  </si>
  <si>
    <t>1994-09-24</t>
  </si>
  <si>
    <t>1999-09-25</t>
  </si>
  <si>
    <t>1994-09-25</t>
  </si>
  <si>
    <t>1999-09-26</t>
  </si>
  <si>
    <t>1994-09-26</t>
  </si>
  <si>
    <t>1999-09-27</t>
  </si>
  <si>
    <t>1994-09-27</t>
  </si>
  <si>
    <t>1999-09-28</t>
  </si>
  <si>
    <t>1994-09-28</t>
  </si>
  <si>
    <t>1999-09-29</t>
  </si>
  <si>
    <t>1994-09-29</t>
  </si>
  <si>
    <t>1999-09-30</t>
  </si>
  <si>
    <t>1994-09-30</t>
  </si>
  <si>
    <t>1999-10-01</t>
  </si>
  <si>
    <t>1994-10-01</t>
  </si>
  <si>
    <t>1999-10-02</t>
  </si>
  <si>
    <t>1994-10-02</t>
  </si>
  <si>
    <t>1999-10-03</t>
  </si>
  <si>
    <t>1994-10-03</t>
  </si>
  <si>
    <t>1999-10-04</t>
  </si>
  <si>
    <t>1994-10-04</t>
  </si>
  <si>
    <t>1999-10-05</t>
  </si>
  <si>
    <t>1994-10-05</t>
  </si>
  <si>
    <t>1999-10-06</t>
  </si>
  <si>
    <t>1994-10-06</t>
  </si>
  <si>
    <t>1999-10-07</t>
  </si>
  <si>
    <t>1994-10-07</t>
  </si>
  <si>
    <t>1999-10-08</t>
  </si>
  <si>
    <t>1994-10-08</t>
  </si>
  <si>
    <t>1999-10-09</t>
  </si>
  <si>
    <t>1994-10-09</t>
  </si>
  <si>
    <t>1999-10-10</t>
  </si>
  <si>
    <t>1994-10-10</t>
  </si>
  <si>
    <t>1999-10-11</t>
  </si>
  <si>
    <t>1994-10-11</t>
  </si>
  <si>
    <t>1999-10-12</t>
  </si>
  <si>
    <t>1994-10-12</t>
  </si>
  <si>
    <t>1999-10-13</t>
  </si>
  <si>
    <t>1994-10-13</t>
  </si>
  <si>
    <t>1999-10-14</t>
  </si>
  <si>
    <t>1994-10-14</t>
  </si>
  <si>
    <t>1999-10-15</t>
  </si>
  <si>
    <t>1994-10-15</t>
  </si>
  <si>
    <t>1999-10-16</t>
  </si>
  <si>
    <t>1994-10-16</t>
  </si>
  <si>
    <t>1999-10-17</t>
  </si>
  <si>
    <t>1994-10-17</t>
  </si>
  <si>
    <t>1999-10-18</t>
  </si>
  <si>
    <t>1994-10-18</t>
  </si>
  <si>
    <t>1999-10-19</t>
  </si>
  <si>
    <t>1994-10-19</t>
  </si>
  <si>
    <t>1999-10-20</t>
  </si>
  <si>
    <t>1994-10-20</t>
  </si>
  <si>
    <t>1999-10-21</t>
  </si>
  <si>
    <t>1994-10-21</t>
  </si>
  <si>
    <t>1999-10-22</t>
  </si>
  <si>
    <t>1994-10-22</t>
  </si>
  <si>
    <t>1999-10-23</t>
  </si>
  <si>
    <t>1994-10-23</t>
  </si>
  <si>
    <t>1999-10-24</t>
  </si>
  <si>
    <t>1994-10-24</t>
  </si>
  <si>
    <t>1999-10-25</t>
  </si>
  <si>
    <t>1994-10-25</t>
  </si>
  <si>
    <t>1999-10-26</t>
  </si>
  <si>
    <t>1994-10-26</t>
  </si>
  <si>
    <t>1999-10-27</t>
  </si>
  <si>
    <t>1994-10-27</t>
  </si>
  <si>
    <t>1999-10-28</t>
  </si>
  <si>
    <t>1994-10-28</t>
  </si>
  <si>
    <t>1999-10-29</t>
  </si>
  <si>
    <t>1994-10-29</t>
  </si>
  <si>
    <t>1999-10-30</t>
  </si>
  <si>
    <t>1994-10-30</t>
  </si>
  <si>
    <t>1999-10-31</t>
  </si>
  <si>
    <t>1994-10-31</t>
  </si>
  <si>
    <t>1999-11-01</t>
  </si>
  <si>
    <t>1994-11-01</t>
  </si>
  <si>
    <t>1999-11-02</t>
  </si>
  <si>
    <t>1994-11-02</t>
  </si>
  <si>
    <t>1999-11-03</t>
  </si>
  <si>
    <t>1994-11-03</t>
  </si>
  <si>
    <t>1999-11-04</t>
  </si>
  <si>
    <t>1994-11-04</t>
  </si>
  <si>
    <t>1999-11-05</t>
  </si>
  <si>
    <t>1994-11-05</t>
  </si>
  <si>
    <t>1999-11-06</t>
  </si>
  <si>
    <t>1994-11-06</t>
  </si>
  <si>
    <t>1999-11-07</t>
  </si>
  <si>
    <t>1994-11-07</t>
  </si>
  <si>
    <t>1999-11-08</t>
  </si>
  <si>
    <t>1994-11-08</t>
  </si>
  <si>
    <t>1999-11-09</t>
  </si>
  <si>
    <t>1994-11-09</t>
  </si>
  <si>
    <t>1999-11-10</t>
  </si>
  <si>
    <t>1994-11-10</t>
  </si>
  <si>
    <t>1999-11-11</t>
  </si>
  <si>
    <t>1994-11-11</t>
  </si>
  <si>
    <t>1999-11-12</t>
  </si>
  <si>
    <t>1994-11-12</t>
  </si>
  <si>
    <t>1999-11-13</t>
  </si>
  <si>
    <t>1994-11-13</t>
  </si>
  <si>
    <t>1999-11-14</t>
  </si>
  <si>
    <t>1994-11-14</t>
  </si>
  <si>
    <t>1999-11-15</t>
  </si>
  <si>
    <t>1994-11-15</t>
  </si>
  <si>
    <t>1999-11-16</t>
  </si>
  <si>
    <t>1994-11-16</t>
  </si>
  <si>
    <t>1999-11-17</t>
  </si>
  <si>
    <t>1994-11-17</t>
  </si>
  <si>
    <t>1999-11-18</t>
  </si>
  <si>
    <t>1994-11-18</t>
  </si>
  <si>
    <t>1999-11-19</t>
  </si>
  <si>
    <t>1994-11-19</t>
  </si>
  <si>
    <t>1999-11-20</t>
  </si>
  <si>
    <t>1994-11-20</t>
  </si>
  <si>
    <t>1999-11-21</t>
  </si>
  <si>
    <t>1994-11-21</t>
  </si>
  <si>
    <t>1999-11-22</t>
  </si>
  <si>
    <t>1994-11-22</t>
  </si>
  <si>
    <t>1999-11-23</t>
  </si>
  <si>
    <t>1994-11-23</t>
  </si>
  <si>
    <t>1999-11-24</t>
  </si>
  <si>
    <t>1994-11-24</t>
  </si>
  <si>
    <t>1999-11-25</t>
  </si>
  <si>
    <t>1994-11-25</t>
  </si>
  <si>
    <t>1999-11-26</t>
  </si>
  <si>
    <t>1994-11-26</t>
  </si>
  <si>
    <t>1999-11-27</t>
  </si>
  <si>
    <t>1994-11-27</t>
  </si>
  <si>
    <t>1999-11-28</t>
  </si>
  <si>
    <t>1994-11-28</t>
  </si>
  <si>
    <t>1999-11-29</t>
  </si>
  <si>
    <t>1994-11-29</t>
  </si>
  <si>
    <t>1999-11-30</t>
  </si>
  <si>
    <t>1994-11-30</t>
  </si>
  <si>
    <t>1999-12-01</t>
  </si>
  <si>
    <t>1994-12-01</t>
  </si>
  <si>
    <t>1999-12-02</t>
  </si>
  <si>
    <t>1994-12-02</t>
  </si>
  <si>
    <t>1999-12-03</t>
  </si>
  <si>
    <t>1994-12-03</t>
  </si>
  <si>
    <t>1999-12-04</t>
  </si>
  <si>
    <t>1994-12-04</t>
  </si>
  <si>
    <t>1999-12-05</t>
  </si>
  <si>
    <t>1994-12-05</t>
  </si>
  <si>
    <t>1999-12-06</t>
  </si>
  <si>
    <t>1994-12-06</t>
  </si>
  <si>
    <t>1999-12-07</t>
  </si>
  <si>
    <t>1994-12-07</t>
  </si>
  <si>
    <t>1999-12-08</t>
  </si>
  <si>
    <t>1994-12-08</t>
  </si>
  <si>
    <t>1999-12-09</t>
  </si>
  <si>
    <t>1994-12-09</t>
  </si>
  <si>
    <t>1999-12-10</t>
  </si>
  <si>
    <t>1994-12-10</t>
  </si>
  <si>
    <t>1999-12-11</t>
  </si>
  <si>
    <t>1994-12-11</t>
  </si>
  <si>
    <t>1999-12-12</t>
  </si>
  <si>
    <t>1994-12-12</t>
  </si>
  <si>
    <t>1999-12-13</t>
  </si>
  <si>
    <t>1994-12-13</t>
  </si>
  <si>
    <t>1999-12-14</t>
  </si>
  <si>
    <t>1994-12-14</t>
  </si>
  <si>
    <t>1999-12-15</t>
  </si>
  <si>
    <t>1994-12-15</t>
  </si>
  <si>
    <t>1999-12-16</t>
  </si>
  <si>
    <t>1994-12-16</t>
  </si>
  <si>
    <t>1999-12-17</t>
  </si>
  <si>
    <t>1994-12-17</t>
  </si>
  <si>
    <t>1999-12-18</t>
  </si>
  <si>
    <t>1994-12-18</t>
  </si>
  <si>
    <t>1999-12-19</t>
  </si>
  <si>
    <t>1994-12-19</t>
  </si>
  <si>
    <t>1999-12-20</t>
  </si>
  <si>
    <t>1994-12-20</t>
  </si>
  <si>
    <t>1999-12-21</t>
  </si>
  <si>
    <t>1994-12-21</t>
  </si>
  <si>
    <t>1999-12-22</t>
  </si>
  <si>
    <t>1994-12-22</t>
  </si>
  <si>
    <t>1999-12-23</t>
  </si>
  <si>
    <t>1994-12-23</t>
  </si>
  <si>
    <t>1999-12-24</t>
  </si>
  <si>
    <t>1994-12-24</t>
  </si>
  <si>
    <t>1999-12-25</t>
  </si>
  <si>
    <t>1994-12-25</t>
  </si>
  <si>
    <t>1999-12-26</t>
  </si>
  <si>
    <t>1994-12-26</t>
  </si>
  <si>
    <t>1999-12-27</t>
  </si>
  <si>
    <t>1994-12-27</t>
  </si>
  <si>
    <t>1999-12-28</t>
  </si>
  <si>
    <t>1994-12-28</t>
  </si>
  <si>
    <t>1999-12-29</t>
  </si>
  <si>
    <t>1994-12-29</t>
  </si>
  <si>
    <t>1999-12-30</t>
  </si>
  <si>
    <t>1994-12-30</t>
  </si>
  <si>
    <t>1999-12-31</t>
  </si>
  <si>
    <t>1994-12-31</t>
  </si>
  <si>
    <t>2000-01-01</t>
  </si>
  <si>
    <t>1995-01-01</t>
  </si>
  <si>
    <t>2000-01-02</t>
  </si>
  <si>
    <t>1995-01-02</t>
  </si>
  <si>
    <t>2000-01-03</t>
  </si>
  <si>
    <t>1995-01-03</t>
  </si>
  <si>
    <t>2000-01-04</t>
  </si>
  <si>
    <t>1995-01-04</t>
  </si>
  <si>
    <t>2000-01-05</t>
  </si>
  <si>
    <t>1995-01-05</t>
  </si>
  <si>
    <t>2000-01-06</t>
  </si>
  <si>
    <t>1995-01-06</t>
  </si>
  <si>
    <t>2000-01-07</t>
  </si>
  <si>
    <t>1995-01-07</t>
  </si>
  <si>
    <t>2000-01-08</t>
  </si>
  <si>
    <t>2000-01-09</t>
  </si>
  <si>
    <t>2000-01-10</t>
  </si>
  <si>
    <t>2000-01-11</t>
  </si>
  <si>
    <t>2000-01-12</t>
  </si>
  <si>
    <t>2000-01-13</t>
  </si>
  <si>
    <t>2000-01-14</t>
  </si>
  <si>
    <t>2000-01-15</t>
  </si>
  <si>
    <t>2000-01-16</t>
  </si>
  <si>
    <t>2000-01-17</t>
  </si>
  <si>
    <t>2000-01-18</t>
  </si>
  <si>
    <t>2000-01-19</t>
  </si>
  <si>
    <t>2000-01-20</t>
  </si>
  <si>
    <t>2000-01-21</t>
  </si>
  <si>
    <t>2000-01-22</t>
  </si>
  <si>
    <t>2000-01-23</t>
  </si>
  <si>
    <t>2000-01-24</t>
  </si>
  <si>
    <t>2000-01-25</t>
  </si>
  <si>
    <t>2000-01-26</t>
  </si>
  <si>
    <t>2000-01-27</t>
  </si>
  <si>
    <t>2000-01-28</t>
  </si>
  <si>
    <t>2000-01-29</t>
  </si>
  <si>
    <t>2000-01-30</t>
  </si>
  <si>
    <t>2000-01-31</t>
  </si>
  <si>
    <t>2000-02-01</t>
  </si>
  <si>
    <t>2000-02-02</t>
  </si>
  <si>
    <t>2000-02-03</t>
  </si>
  <si>
    <t>2000-02-04</t>
  </si>
  <si>
    <t>2000-02-05</t>
  </si>
  <si>
    <t>2000-02-06</t>
  </si>
  <si>
    <t>2000-02-07</t>
  </si>
  <si>
    <t>2000-02-08</t>
  </si>
  <si>
    <t>2000-02-09</t>
  </si>
  <si>
    <t>2000-02-10</t>
  </si>
  <si>
    <t>2000-02-11</t>
  </si>
  <si>
    <t>2000-02-12</t>
  </si>
  <si>
    <t>2000-02-13</t>
  </si>
  <si>
    <t>2000-02-14</t>
  </si>
  <si>
    <t>2000-02-15</t>
  </si>
  <si>
    <t>2000-02-16</t>
  </si>
  <si>
    <t>2000-02-17</t>
  </si>
  <si>
    <t>2000-02-18</t>
  </si>
  <si>
    <t>2000-02-19</t>
  </si>
  <si>
    <t>2000-02-20</t>
  </si>
  <si>
    <t>2000-02-21</t>
  </si>
  <si>
    <t>2000-02-22</t>
  </si>
  <si>
    <t>2000-02-23</t>
  </si>
  <si>
    <t>2000-02-24</t>
  </si>
  <si>
    <t>2000-02-25</t>
  </si>
  <si>
    <t>2000-02-26</t>
  </si>
  <si>
    <t>2000-02-27</t>
  </si>
  <si>
    <t>2000-02-28</t>
  </si>
  <si>
    <t>2000-03-01</t>
  </si>
  <si>
    <t>2000-03-02</t>
  </si>
  <si>
    <t>2000-03-03</t>
  </si>
  <si>
    <t>2000-03-04</t>
  </si>
  <si>
    <t>2000-03-05</t>
  </si>
  <si>
    <t>2000-03-06</t>
  </si>
  <si>
    <t>2000-03-07</t>
  </si>
  <si>
    <t>2000-03-08</t>
  </si>
  <si>
    <t>2000-03-09</t>
  </si>
  <si>
    <t>2000-03-10</t>
  </si>
  <si>
    <t>2000-03-11</t>
  </si>
  <si>
    <t>2000-03-12</t>
  </si>
  <si>
    <t>2000-03-13</t>
  </si>
  <si>
    <t>2000-03-14</t>
  </si>
  <si>
    <t>2000-03-15</t>
  </si>
  <si>
    <t>2000-03-16</t>
  </si>
  <si>
    <t>2000-03-17</t>
  </si>
  <si>
    <t>2000-03-18</t>
  </si>
  <si>
    <t>2000-03-19</t>
  </si>
  <si>
    <t>2000-03-20</t>
  </si>
  <si>
    <t>2000-03-21</t>
  </si>
  <si>
    <t>2000-03-22</t>
  </si>
  <si>
    <t>2000-03-23</t>
  </si>
  <si>
    <t>2000-03-24</t>
  </si>
  <si>
    <t>2000-03-25</t>
  </si>
  <si>
    <t>2000-03-26</t>
  </si>
  <si>
    <t>2000-03-27</t>
  </si>
  <si>
    <t>2000-03-28</t>
  </si>
  <si>
    <t>2000-03-29</t>
  </si>
  <si>
    <t>2000-03-30</t>
  </si>
  <si>
    <t>2000-03-31</t>
  </si>
  <si>
    <t>2000-04-01</t>
  </si>
  <si>
    <t>2000-04-02</t>
  </si>
  <si>
    <t>2000-04-03</t>
  </si>
  <si>
    <t>2000-04-04</t>
  </si>
  <si>
    <t>2000-04-05</t>
  </si>
  <si>
    <t>2000-04-06</t>
  </si>
  <si>
    <t>2000-04-07</t>
  </si>
  <si>
    <t>2000-04-08</t>
  </si>
  <si>
    <t>2000-04-09</t>
  </si>
  <si>
    <t>2000-04-10</t>
  </si>
  <si>
    <t>2000-04-11</t>
  </si>
  <si>
    <t>2000-04-12</t>
  </si>
  <si>
    <t>2000-04-13</t>
  </si>
  <si>
    <t>2000-04-14</t>
  </si>
  <si>
    <t>2000-04-15</t>
  </si>
  <si>
    <t>2000-04-16</t>
  </si>
  <si>
    <t>2000-04-17</t>
  </si>
  <si>
    <t>2000-04-18</t>
  </si>
  <si>
    <t>2000-04-19</t>
  </si>
  <si>
    <t>2000-04-20</t>
  </si>
  <si>
    <t>2000-04-21</t>
  </si>
  <si>
    <t>2000-04-22</t>
  </si>
  <si>
    <t>2000-04-23</t>
  </si>
  <si>
    <t>2000-04-24</t>
  </si>
  <si>
    <t>2000-04-25</t>
  </si>
  <si>
    <t>2000-04-26</t>
  </si>
  <si>
    <t>2000-04-27</t>
  </si>
  <si>
    <t>2000-04-28</t>
  </si>
  <si>
    <t>2000-04-29</t>
  </si>
  <si>
    <t>2000-04-30</t>
  </si>
  <si>
    <t>2000-05-01</t>
  </si>
  <si>
    <t>2000-05-02</t>
  </si>
  <si>
    <t>2000-05-03</t>
  </si>
  <si>
    <t>2000-05-04</t>
  </si>
  <si>
    <t>2000-05-05</t>
  </si>
  <si>
    <t>2000-05-06</t>
  </si>
  <si>
    <t>2000-05-07</t>
  </si>
  <si>
    <t>2000-05-08</t>
  </si>
  <si>
    <t>2000-05-09</t>
  </si>
  <si>
    <t>2000-05-10</t>
  </si>
  <si>
    <t>2000-05-11</t>
  </si>
  <si>
    <t>2000-05-12</t>
  </si>
  <si>
    <t>2000-05-13</t>
  </si>
  <si>
    <t>2000-05-14</t>
  </si>
  <si>
    <t>2000-05-15</t>
  </si>
  <si>
    <t>2000-05-16</t>
  </si>
  <si>
    <t>2000-05-17</t>
  </si>
  <si>
    <t>2000-05-18</t>
  </si>
  <si>
    <t>2000-05-19</t>
  </si>
  <si>
    <t>2000-05-20</t>
  </si>
  <si>
    <t>2000-05-21</t>
  </si>
  <si>
    <t>2000-05-22</t>
  </si>
  <si>
    <t>2000-05-23</t>
  </si>
  <si>
    <t>2000-05-24</t>
  </si>
  <si>
    <t>2000-05-25</t>
  </si>
  <si>
    <t>2000-05-26</t>
  </si>
  <si>
    <t>2000-05-27</t>
  </si>
  <si>
    <t>2000-05-28</t>
  </si>
  <si>
    <t>2000-05-29</t>
  </si>
  <si>
    <t>2000-05-30</t>
  </si>
  <si>
    <t>2000-05-31</t>
  </si>
  <si>
    <t>2000-06-01</t>
  </si>
  <si>
    <t>2000-06-02</t>
  </si>
  <si>
    <t>2000-06-03</t>
  </si>
  <si>
    <t>2000-06-04</t>
  </si>
  <si>
    <t>2000-06-05</t>
  </si>
  <si>
    <t>2000-06-06</t>
  </si>
  <si>
    <t>2000-06-07</t>
  </si>
  <si>
    <t>2000-06-08</t>
  </si>
  <si>
    <t>2000-06-09</t>
  </si>
  <si>
    <t>2000-06-10</t>
  </si>
  <si>
    <t>2000-06-11</t>
  </si>
  <si>
    <t>2000-06-12</t>
  </si>
  <si>
    <t>2000-06-13</t>
  </si>
  <si>
    <t>2000-06-14</t>
  </si>
  <si>
    <t>2000-06-15</t>
  </si>
  <si>
    <t>2000-06-16</t>
  </si>
  <si>
    <t>2000-06-17</t>
  </si>
  <si>
    <t>2000-06-18</t>
  </si>
  <si>
    <t>2000-06-19</t>
  </si>
  <si>
    <t>2000-06-20</t>
  </si>
  <si>
    <t>2000-06-21</t>
  </si>
  <si>
    <t>2000-06-22</t>
  </si>
  <si>
    <t>2000-06-23</t>
  </si>
  <si>
    <t>2000-06-24</t>
  </si>
  <si>
    <t>2000-06-25</t>
  </si>
  <si>
    <t>2000-06-26</t>
  </si>
  <si>
    <t>2000-06-27</t>
  </si>
  <si>
    <t>2000-06-28</t>
  </si>
  <si>
    <t>2000-06-29</t>
  </si>
  <si>
    <t>2000-06-30</t>
  </si>
  <si>
    <t>2000-07-01</t>
  </si>
  <si>
    <t>2000-07-02</t>
  </si>
  <si>
    <t>2000-07-03</t>
  </si>
  <si>
    <t>2000-07-04</t>
  </si>
  <si>
    <t>2000-07-05</t>
  </si>
  <si>
    <t>2000-07-06</t>
  </si>
  <si>
    <t>2000-07-07</t>
  </si>
  <si>
    <t>2000-07-08</t>
  </si>
  <si>
    <t>2000-07-09</t>
  </si>
  <si>
    <t>2000-07-10</t>
  </si>
  <si>
    <t>2000-07-11</t>
  </si>
  <si>
    <t>2000-07-12</t>
  </si>
  <si>
    <t>2000-07-13</t>
  </si>
  <si>
    <t>2000-07-14</t>
  </si>
  <si>
    <t>2000-07-15</t>
  </si>
  <si>
    <t>2000-07-16</t>
  </si>
  <si>
    <t>2000-07-17</t>
  </si>
  <si>
    <t>2000-07-18</t>
  </si>
  <si>
    <t>2000-07-19</t>
  </si>
  <si>
    <t>2000-07-20</t>
  </si>
  <si>
    <t>2000-07-21</t>
  </si>
  <si>
    <t>2000-07-22</t>
  </si>
  <si>
    <t>2000-07-23</t>
  </si>
  <si>
    <t>2000-07-24</t>
  </si>
  <si>
    <t>2000-07-25</t>
  </si>
  <si>
    <t>2000-07-26</t>
  </si>
  <si>
    <t>2000-07-27</t>
  </si>
  <si>
    <t>2000-07-28</t>
  </si>
  <si>
    <t>2000-07-29</t>
  </si>
  <si>
    <t>2000-07-30</t>
  </si>
  <si>
    <t>2000-07-31</t>
  </si>
  <si>
    <t>2000-08-01</t>
  </si>
  <si>
    <t>2000-08-02</t>
  </si>
  <si>
    <t>2000-08-03</t>
  </si>
  <si>
    <t>2000-08-04</t>
  </si>
  <si>
    <t>2000-08-05</t>
  </si>
  <si>
    <t>2000-08-06</t>
  </si>
  <si>
    <t>2000-08-07</t>
  </si>
  <si>
    <t>2000-08-08</t>
  </si>
  <si>
    <t>2000-08-09</t>
  </si>
  <si>
    <t>2000-08-10</t>
  </si>
  <si>
    <t>2000-08-11</t>
  </si>
  <si>
    <t>2000-08-12</t>
  </si>
  <si>
    <t>2000-08-13</t>
  </si>
  <si>
    <t>2000-08-14</t>
  </si>
  <si>
    <t>2000-08-15</t>
  </si>
  <si>
    <t>2000-08-16</t>
  </si>
  <si>
    <t>2000-08-17</t>
  </si>
  <si>
    <t>2000-08-18</t>
  </si>
  <si>
    <t>2000-08-19</t>
  </si>
  <si>
    <t>2000-08-20</t>
  </si>
  <si>
    <t>2000-08-21</t>
  </si>
  <si>
    <t>2000-08-22</t>
  </si>
  <si>
    <t>2000-08-23</t>
  </si>
  <si>
    <t>2000-08-24</t>
  </si>
  <si>
    <t>2000-08-25</t>
  </si>
  <si>
    <t>2000-08-26</t>
  </si>
  <si>
    <t>2000-08-27</t>
  </si>
  <si>
    <t>2000-08-28</t>
  </si>
  <si>
    <t>2000-08-29</t>
  </si>
  <si>
    <t>2000-08-30</t>
  </si>
  <si>
    <t>2000-08-31</t>
  </si>
  <si>
    <t>2000-09-01</t>
  </si>
  <si>
    <t>2000-09-02</t>
  </si>
  <si>
    <t>2000-09-03</t>
  </si>
  <si>
    <t>2000-09-04</t>
  </si>
  <si>
    <t>2000-09-05</t>
  </si>
  <si>
    <t>2000-09-06</t>
  </si>
  <si>
    <t>2000-09-07</t>
  </si>
  <si>
    <t>2000-09-08</t>
  </si>
  <si>
    <t>2000-09-09</t>
  </si>
  <si>
    <t>2000-09-10</t>
  </si>
  <si>
    <t>2000-09-11</t>
  </si>
  <si>
    <t>2000-09-12</t>
  </si>
  <si>
    <t>2000-09-13</t>
  </si>
  <si>
    <t>2000-09-14</t>
  </si>
  <si>
    <t>2000-09-15</t>
  </si>
  <si>
    <t>2000-09-16</t>
  </si>
  <si>
    <t>2000-09-17</t>
  </si>
  <si>
    <t>2000-09-18</t>
  </si>
  <si>
    <t>2000-09-19</t>
  </si>
  <si>
    <t>2000-09-20</t>
  </si>
  <si>
    <t>2000-09-21</t>
  </si>
  <si>
    <t>2000-09-22</t>
  </si>
  <si>
    <t>2000-09-23</t>
  </si>
  <si>
    <t>2000-09-24</t>
  </si>
  <si>
    <t>2000-09-25</t>
  </si>
  <si>
    <t>2000-09-26</t>
  </si>
  <si>
    <t>2000-09-27</t>
  </si>
  <si>
    <t>2000-09-28</t>
  </si>
  <si>
    <t>2000-09-29</t>
  </si>
  <si>
    <t>2000-09-30</t>
  </si>
  <si>
    <t>2000-10-01</t>
  </si>
  <si>
    <t>2000-10-02</t>
  </si>
  <si>
    <t>2000-10-03</t>
  </si>
  <si>
    <t>2000-10-04</t>
  </si>
  <si>
    <t>2000-10-05</t>
  </si>
  <si>
    <t>2000-10-06</t>
  </si>
  <si>
    <t>2000-10-07</t>
  </si>
  <si>
    <t>2000-10-08</t>
  </si>
  <si>
    <t>2000-10-09</t>
  </si>
  <si>
    <t>2000-10-10</t>
  </si>
  <si>
    <t>2000-10-11</t>
  </si>
  <si>
    <t>2000-10-12</t>
  </si>
  <si>
    <t>2000-10-13</t>
  </si>
  <si>
    <t>2000-10-14</t>
  </si>
  <si>
    <t>2000-10-15</t>
  </si>
  <si>
    <t>2000-10-16</t>
  </si>
  <si>
    <t>2000-10-17</t>
  </si>
  <si>
    <t>2000-10-18</t>
  </si>
  <si>
    <t>2000-10-19</t>
  </si>
  <si>
    <t>2000-10-20</t>
  </si>
  <si>
    <t>2000-10-21</t>
  </si>
  <si>
    <t>2000-10-22</t>
  </si>
  <si>
    <t>2000-10-23</t>
  </si>
  <si>
    <t>2000-10-24</t>
  </si>
  <si>
    <t>2000-10-25</t>
  </si>
  <si>
    <t>2000-10-26</t>
  </si>
  <si>
    <t>2000-10-27</t>
  </si>
  <si>
    <t>2000-10-28</t>
  </si>
  <si>
    <t>2000-10-29</t>
  </si>
  <si>
    <t>2000-10-30</t>
  </si>
  <si>
    <t>2000-10-31</t>
  </si>
  <si>
    <t>2000-11-01</t>
  </si>
  <si>
    <t>2000-11-02</t>
  </si>
  <si>
    <t>2000-11-03</t>
  </si>
  <si>
    <t>2000-11-04</t>
  </si>
  <si>
    <t>2000-11-05</t>
  </si>
  <si>
    <t>2000-11-06</t>
  </si>
  <si>
    <t>2000-11-07</t>
  </si>
  <si>
    <t>2000-11-08</t>
  </si>
  <si>
    <t>2000-11-09</t>
  </si>
  <si>
    <t>2000-11-10</t>
  </si>
  <si>
    <t>2000-11-11</t>
  </si>
  <si>
    <t>2000-11-12</t>
  </si>
  <si>
    <t>2000-11-13</t>
  </si>
  <si>
    <t>2000-11-14</t>
  </si>
  <si>
    <t>2000-11-15</t>
  </si>
  <si>
    <t>2000-11-16</t>
  </si>
  <si>
    <t>2000-11-17</t>
  </si>
  <si>
    <t>2000-11-18</t>
  </si>
  <si>
    <t>2000-11-19</t>
  </si>
  <si>
    <t>2000-11-20</t>
  </si>
  <si>
    <t>2000-11-21</t>
  </si>
  <si>
    <t>2000-11-22</t>
  </si>
  <si>
    <t>2000-11-23</t>
  </si>
  <si>
    <t>2000-11-24</t>
  </si>
  <si>
    <t>2000-11-25</t>
  </si>
  <si>
    <t>2000-11-26</t>
  </si>
  <si>
    <t>2000-11-27</t>
  </si>
  <si>
    <t>2000-11-28</t>
  </si>
  <si>
    <t>2000-11-29</t>
  </si>
  <si>
    <t>2000-11-30</t>
  </si>
  <si>
    <t>2000-12-01</t>
  </si>
  <si>
    <t>2000-12-02</t>
  </si>
  <si>
    <t>2000-12-03</t>
  </si>
  <si>
    <t>2000-12-04</t>
  </si>
  <si>
    <t>2000-12-05</t>
  </si>
  <si>
    <t>2000-12-06</t>
  </si>
  <si>
    <t>2000-12-07</t>
  </si>
  <si>
    <t>2000-12-08</t>
  </si>
  <si>
    <t>2000-12-09</t>
  </si>
  <si>
    <t>2000-12-10</t>
  </si>
  <si>
    <t>2000-12-11</t>
  </si>
  <si>
    <t>2000-12-12</t>
  </si>
  <si>
    <t>2000-12-13</t>
  </si>
  <si>
    <t>2000-12-14</t>
  </si>
  <si>
    <t>2000-12-15</t>
  </si>
  <si>
    <t>2000-12-16</t>
  </si>
  <si>
    <t>2000-12-17</t>
  </si>
  <si>
    <t>2000-12-18</t>
  </si>
  <si>
    <t>2000-12-19</t>
  </si>
  <si>
    <t>2000-12-20</t>
  </si>
  <si>
    <t>2000-12-21</t>
  </si>
  <si>
    <t>2000-12-22</t>
  </si>
  <si>
    <t>2000-12-23</t>
  </si>
  <si>
    <t>2000-12-24</t>
  </si>
  <si>
    <t>2000-12-25</t>
  </si>
  <si>
    <t>2000-12-26</t>
  </si>
  <si>
    <t>2000-12-27</t>
  </si>
  <si>
    <t>2000-12-28</t>
  </si>
  <si>
    <t>2000-12-29</t>
  </si>
  <si>
    <t>2000-12-30</t>
  </si>
  <si>
    <t>2000-12-31</t>
  </si>
  <si>
    <t>2001-01-01</t>
  </si>
  <si>
    <t>2001-01-02</t>
  </si>
  <si>
    <t>2001-01-03</t>
  </si>
  <si>
    <t>2001-01-04</t>
  </si>
  <si>
    <t>2001-01-05</t>
  </si>
  <si>
    <t>2001-01-06</t>
  </si>
  <si>
    <t>2001-01-07</t>
  </si>
  <si>
    <t>2001-01-08</t>
  </si>
  <si>
    <t>2001-01-09</t>
  </si>
  <si>
    <t>2001-01-10</t>
  </si>
  <si>
    <t>2001-01-11</t>
  </si>
  <si>
    <t>2001-01-12</t>
  </si>
  <si>
    <t>2001-01-13</t>
  </si>
  <si>
    <t>2001-01-14</t>
  </si>
  <si>
    <t>2001-01-15</t>
  </si>
  <si>
    <t>2001-01-16</t>
  </si>
  <si>
    <t>2001-01-17</t>
  </si>
  <si>
    <t>2001-01-18</t>
  </si>
  <si>
    <t>2001-01-19</t>
  </si>
  <si>
    <t>2001-01-20</t>
  </si>
  <si>
    <t>2001-01-21</t>
  </si>
  <si>
    <t>2001-01-22</t>
  </si>
  <si>
    <t>2001-01-23</t>
  </si>
  <si>
    <t>2001-01-24</t>
  </si>
  <si>
    <t>2001-01-25</t>
  </si>
  <si>
    <t>2001-01-26</t>
  </si>
  <si>
    <t>2001-01-27</t>
  </si>
  <si>
    <t>2001-01-28</t>
  </si>
  <si>
    <t>2001-01-29</t>
  </si>
  <si>
    <t>2001-01-30</t>
  </si>
  <si>
    <t>2001-01-31</t>
  </si>
  <si>
    <t>2001-02-01</t>
  </si>
  <si>
    <t>2001-02-02</t>
  </si>
  <si>
    <t>2001-02-03</t>
  </si>
  <si>
    <t>2001-02-04</t>
  </si>
  <si>
    <t>2001-02-05</t>
  </si>
  <si>
    <t>2001-02-06</t>
  </si>
  <si>
    <t>2001-02-07</t>
  </si>
  <si>
    <t>2001-02-08</t>
  </si>
  <si>
    <t>2001-02-09</t>
  </si>
  <si>
    <t>2001-02-10</t>
  </si>
  <si>
    <t>2001-02-11</t>
  </si>
  <si>
    <t>2001-02-12</t>
  </si>
  <si>
    <t>2001-02-13</t>
  </si>
  <si>
    <t>2001-02-14</t>
  </si>
  <si>
    <t>2001-02-15</t>
  </si>
  <si>
    <t>2001-02-16</t>
  </si>
  <si>
    <t>2001-02-17</t>
  </si>
  <si>
    <t>2001-02-18</t>
  </si>
  <si>
    <t>2001-02-19</t>
  </si>
  <si>
    <t>2001-02-20</t>
  </si>
  <si>
    <t>2001-02-21</t>
  </si>
  <si>
    <t>2001-02-22</t>
  </si>
  <si>
    <t>2001-02-23</t>
  </si>
  <si>
    <t>2001-02-24</t>
  </si>
  <si>
    <t>2001-02-25</t>
  </si>
  <si>
    <t>2001-02-26</t>
  </si>
  <si>
    <t>2001-02-27</t>
  </si>
  <si>
    <t>2001-02-28</t>
  </si>
  <si>
    <t>1996-02-29</t>
  </si>
  <si>
    <t>2001-03-01</t>
  </si>
  <si>
    <t>2001-03-02</t>
  </si>
  <si>
    <t>2001-03-03</t>
  </si>
  <si>
    <t>2001-03-04</t>
  </si>
  <si>
    <t>2001-03-05</t>
  </si>
  <si>
    <t>2001-03-06</t>
  </si>
  <si>
    <t>2001-03-07</t>
  </si>
  <si>
    <t>2001-03-08</t>
  </si>
  <si>
    <t>2001-03-09</t>
  </si>
  <si>
    <t>2001-03-10</t>
  </si>
  <si>
    <t>2001-03-11</t>
  </si>
  <si>
    <t>2001-03-12</t>
  </si>
  <si>
    <t>2001-03-13</t>
  </si>
  <si>
    <t>2001-03-14</t>
  </si>
  <si>
    <t>2001-03-15</t>
  </si>
  <si>
    <t>2001-03-16</t>
  </si>
  <si>
    <t>2001-03-17</t>
  </si>
  <si>
    <t>2001-03-18</t>
  </si>
  <si>
    <t>2001-03-19</t>
  </si>
  <si>
    <t>2001-03-20</t>
  </si>
  <si>
    <t>2001-03-21</t>
  </si>
  <si>
    <t>2001-03-22</t>
  </si>
  <si>
    <t>2001-03-23</t>
  </si>
  <si>
    <t>2001-03-24</t>
  </si>
  <si>
    <t>2001-03-25</t>
  </si>
  <si>
    <t>2001-03-26</t>
  </si>
  <si>
    <t>2001-03-27</t>
  </si>
  <si>
    <t>2001-03-28</t>
  </si>
  <si>
    <t>2001-03-29</t>
  </si>
  <si>
    <t>2001-03-30</t>
  </si>
  <si>
    <t>2001-03-31</t>
  </si>
  <si>
    <t>2001-04-01</t>
  </si>
  <si>
    <t>2001-04-02</t>
  </si>
  <si>
    <t>2001-04-03</t>
  </si>
  <si>
    <t>2001-04-04</t>
  </si>
  <si>
    <t>2001-04-05</t>
  </si>
  <si>
    <t>2001-04-06</t>
  </si>
  <si>
    <t>2001-04-07</t>
  </si>
  <si>
    <t>2001-04-08</t>
  </si>
  <si>
    <t>2001-04-09</t>
  </si>
  <si>
    <t>2001-04-10</t>
  </si>
  <si>
    <t>2001-04-11</t>
  </si>
  <si>
    <t>2001-04-12</t>
  </si>
  <si>
    <t>2001-04-13</t>
  </si>
  <si>
    <t>2001-04-14</t>
  </si>
  <si>
    <t>2001-04-15</t>
  </si>
  <si>
    <t>2001-04-16</t>
  </si>
  <si>
    <t>2001-04-17</t>
  </si>
  <si>
    <t>2001-04-18</t>
  </si>
  <si>
    <t>2001-04-19</t>
  </si>
  <si>
    <t>2001-04-20</t>
  </si>
  <si>
    <t>2001-04-21</t>
  </si>
  <si>
    <t>2001-04-22</t>
  </si>
  <si>
    <t>2001-04-23</t>
  </si>
  <si>
    <t>2001-04-24</t>
  </si>
  <si>
    <t>2001-04-25</t>
  </si>
  <si>
    <t>2001-04-26</t>
  </si>
  <si>
    <t>2001-04-27</t>
  </si>
  <si>
    <t>2001-04-28</t>
  </si>
  <si>
    <t>2001-04-29</t>
  </si>
  <si>
    <t>2001-04-30</t>
  </si>
  <si>
    <t>2001-05-01</t>
  </si>
  <si>
    <t>2001-05-02</t>
  </si>
  <si>
    <t>2001-05-03</t>
  </si>
  <si>
    <t>2001-05-04</t>
  </si>
  <si>
    <t>2001-05-05</t>
  </si>
  <si>
    <t>2001-05-06</t>
  </si>
  <si>
    <t>2001-05-07</t>
  </si>
  <si>
    <t>2001-05-08</t>
  </si>
  <si>
    <t>2001-05-09</t>
  </si>
  <si>
    <t>2001-05-10</t>
  </si>
  <si>
    <t>2001-05-11</t>
  </si>
  <si>
    <t>2001-05-12</t>
  </si>
  <si>
    <t>2001-05-13</t>
  </si>
  <si>
    <t>2001-05-14</t>
  </si>
  <si>
    <t>2001-05-15</t>
  </si>
  <si>
    <t>2001-05-16</t>
  </si>
  <si>
    <t>2001-05-17</t>
  </si>
  <si>
    <t>2001-05-18</t>
  </si>
  <si>
    <t>2001-05-19</t>
  </si>
  <si>
    <t>2001-05-20</t>
  </si>
  <si>
    <t>2001-05-21</t>
  </si>
  <si>
    <t>2001-05-22</t>
  </si>
  <si>
    <t>2001-05-23</t>
  </si>
  <si>
    <t>2001-05-24</t>
  </si>
  <si>
    <t>2001-05-25</t>
  </si>
  <si>
    <t>2001-05-26</t>
  </si>
  <si>
    <t>2001-05-27</t>
  </si>
  <si>
    <t>2001-05-28</t>
  </si>
  <si>
    <t>2001-05-29</t>
  </si>
  <si>
    <t>2001-05-30</t>
  </si>
  <si>
    <t>2001-05-31</t>
  </si>
  <si>
    <t>2001-06-01</t>
  </si>
  <si>
    <t>2001-06-02</t>
  </si>
  <si>
    <t>2001-06-03</t>
  </si>
  <si>
    <t>2001-06-04</t>
  </si>
  <si>
    <t>2001-06-05</t>
  </si>
  <si>
    <t>2001-06-06</t>
  </si>
  <si>
    <t>2001-06-07</t>
  </si>
  <si>
    <t>2001-06-08</t>
  </si>
  <si>
    <t>2001-06-09</t>
  </si>
  <si>
    <t>2001-06-10</t>
  </si>
  <si>
    <t>2001-06-11</t>
  </si>
  <si>
    <t>2001-06-12</t>
  </si>
  <si>
    <t>2001-06-13</t>
  </si>
  <si>
    <t>2001-06-14</t>
  </si>
  <si>
    <t>2001-06-15</t>
  </si>
  <si>
    <t>2001-06-16</t>
  </si>
  <si>
    <t>2001-06-17</t>
  </si>
  <si>
    <t>2001-06-18</t>
  </si>
  <si>
    <t>2001-06-19</t>
  </si>
  <si>
    <t>2001-06-20</t>
  </si>
  <si>
    <t>2001-06-21</t>
  </si>
  <si>
    <t>2001-06-22</t>
  </si>
  <si>
    <t>2001-06-23</t>
  </si>
  <si>
    <t>2001-06-24</t>
  </si>
  <si>
    <t>2001-06-25</t>
  </si>
  <si>
    <t>2001-06-26</t>
  </si>
  <si>
    <t>2001-06-27</t>
  </si>
  <si>
    <t>2001-06-28</t>
  </si>
  <si>
    <t>2001-06-29</t>
  </si>
  <si>
    <t>2001-06-30</t>
  </si>
  <si>
    <t>2001-07-01</t>
  </si>
  <si>
    <t>2001-07-02</t>
  </si>
  <si>
    <t>2001-07-03</t>
  </si>
  <si>
    <t>2001-07-04</t>
  </si>
  <si>
    <t>2001-07-05</t>
  </si>
  <si>
    <t>2001-07-06</t>
  </si>
  <si>
    <t>2001-07-07</t>
  </si>
  <si>
    <t>2001-07-08</t>
  </si>
  <si>
    <t>2001-07-09</t>
  </si>
  <si>
    <t>2001-07-10</t>
  </si>
  <si>
    <t>2001-07-11</t>
  </si>
  <si>
    <t>2001-07-12</t>
  </si>
  <si>
    <t>2001-07-13</t>
  </si>
  <si>
    <t>2001-07-14</t>
  </si>
  <si>
    <t>2001-07-15</t>
  </si>
  <si>
    <t>2001-07-16</t>
  </si>
  <si>
    <t>2001-07-17</t>
  </si>
  <si>
    <t>2001-07-18</t>
  </si>
  <si>
    <t>2001-07-19</t>
  </si>
  <si>
    <t>2001-07-20</t>
  </si>
  <si>
    <t>2001-07-21</t>
  </si>
  <si>
    <t>2001-07-22</t>
  </si>
  <si>
    <t>2001-07-23</t>
  </si>
  <si>
    <t>2001-07-24</t>
  </si>
  <si>
    <t>2001-07-25</t>
  </si>
  <si>
    <t>2001-07-26</t>
  </si>
  <si>
    <t>2001-07-27</t>
  </si>
  <si>
    <t>2001-07-28</t>
  </si>
  <si>
    <t>2001-07-29</t>
  </si>
  <si>
    <t>2001-07-30</t>
  </si>
  <si>
    <t>2001-07-31</t>
  </si>
  <si>
    <t>2001-08-01</t>
  </si>
  <si>
    <t>2001-08-02</t>
  </si>
  <si>
    <t>2001-08-03</t>
  </si>
  <si>
    <t>2001-08-04</t>
  </si>
  <si>
    <t>2001-08-05</t>
  </si>
  <si>
    <t>2001-08-06</t>
  </si>
  <si>
    <t>2001-08-07</t>
  </si>
  <si>
    <t>2001-08-08</t>
  </si>
  <si>
    <t>2001-08-09</t>
  </si>
  <si>
    <t>2001-08-10</t>
  </si>
  <si>
    <t>2001-08-11</t>
  </si>
  <si>
    <t>2001-08-12</t>
  </si>
  <si>
    <t>2001-08-13</t>
  </si>
  <si>
    <t>2001-08-14</t>
  </si>
  <si>
    <t>2001-08-15</t>
  </si>
  <si>
    <t>2001-08-16</t>
  </si>
  <si>
    <t>2001-08-17</t>
  </si>
  <si>
    <t>2001-08-18</t>
  </si>
  <si>
    <t>2001-08-19</t>
  </si>
  <si>
    <t>2001-08-20</t>
  </si>
  <si>
    <t>2001-08-21</t>
  </si>
  <si>
    <t>2001-08-22</t>
  </si>
  <si>
    <t>2001-08-23</t>
  </si>
  <si>
    <t>2001-08-24</t>
  </si>
  <si>
    <t>2001-08-25</t>
  </si>
  <si>
    <t>2001-08-26</t>
  </si>
  <si>
    <t>2001-08-27</t>
  </si>
  <si>
    <t>2001-08-28</t>
  </si>
  <si>
    <t>2001-08-29</t>
  </si>
  <si>
    <t>2001-08-30</t>
  </si>
  <si>
    <t>2001-08-31</t>
  </si>
  <si>
    <t>2001-09-01</t>
  </si>
  <si>
    <t>2001-09-02</t>
  </si>
  <si>
    <t>2001-09-03</t>
  </si>
  <si>
    <t>2001-09-04</t>
  </si>
  <si>
    <t>2001-09-05</t>
  </si>
  <si>
    <t>2001-09-06</t>
  </si>
  <si>
    <t>2001-09-07</t>
  </si>
  <si>
    <t>2001-09-08</t>
  </si>
  <si>
    <t>2001-09-09</t>
  </si>
  <si>
    <t>2001-09-10</t>
  </si>
  <si>
    <t>2001-09-11</t>
  </si>
  <si>
    <t>2001-09-12</t>
  </si>
  <si>
    <t>2001-09-13</t>
  </si>
  <si>
    <t>2001-09-14</t>
  </si>
  <si>
    <t>2001-09-15</t>
  </si>
  <si>
    <t>2001-09-16</t>
  </si>
  <si>
    <t>2001-09-17</t>
  </si>
  <si>
    <t>2001-09-18</t>
  </si>
  <si>
    <t>2001-09-19</t>
  </si>
  <si>
    <t>2001-09-20</t>
  </si>
  <si>
    <t>2001-09-21</t>
  </si>
  <si>
    <t>2001-09-22</t>
  </si>
  <si>
    <t>2001-09-23</t>
  </si>
  <si>
    <t>2001-09-24</t>
  </si>
  <si>
    <t>2001-09-25</t>
  </si>
  <si>
    <t>2001-09-26</t>
  </si>
  <si>
    <t>2001-09-27</t>
  </si>
  <si>
    <t>2001-09-28</t>
  </si>
  <si>
    <t>2001-09-29</t>
  </si>
  <si>
    <t>2001-09-30</t>
  </si>
  <si>
    <t>2001-10-01</t>
  </si>
  <si>
    <t>2001-10-02</t>
  </si>
  <si>
    <t>2001-10-03</t>
  </si>
  <si>
    <t>2001-10-04</t>
  </si>
  <si>
    <t>2001-10-05</t>
  </si>
  <si>
    <t>2001-10-06</t>
  </si>
  <si>
    <t>2001-10-07</t>
  </si>
  <si>
    <t>2001-10-08</t>
  </si>
  <si>
    <t>2001-10-09</t>
  </si>
  <si>
    <t>2001-10-10</t>
  </si>
  <si>
    <t>2001-10-11</t>
  </si>
  <si>
    <t>2001-10-12</t>
  </si>
  <si>
    <t>2001-10-13</t>
  </si>
  <si>
    <t>2001-10-14</t>
  </si>
  <si>
    <t>2001-10-15</t>
  </si>
  <si>
    <t>2001-10-16</t>
  </si>
  <si>
    <t>2001-10-17</t>
  </si>
  <si>
    <t>2001-10-18</t>
  </si>
  <si>
    <t>2001-10-19</t>
  </si>
  <si>
    <t>2001-10-20</t>
  </si>
  <si>
    <t>2001-10-21</t>
  </si>
  <si>
    <t>2001-10-22</t>
  </si>
  <si>
    <t>2001-10-23</t>
  </si>
  <si>
    <t>2001-10-24</t>
  </si>
  <si>
    <t>2001-10-25</t>
  </si>
  <si>
    <t>2001-10-26</t>
  </si>
  <si>
    <t>2001-10-27</t>
  </si>
  <si>
    <t>2001-10-28</t>
  </si>
  <si>
    <t>2001-10-29</t>
  </si>
  <si>
    <t>2001-10-30</t>
  </si>
  <si>
    <t>2001-10-31</t>
  </si>
  <si>
    <t>2001-11-01</t>
  </si>
  <si>
    <t>2001-11-02</t>
  </si>
  <si>
    <t>2001-11-03</t>
  </si>
  <si>
    <t>2001-11-04</t>
  </si>
  <si>
    <t>2001-11-05</t>
  </si>
  <si>
    <t>2001-11-06</t>
  </si>
  <si>
    <t>2001-11-07</t>
  </si>
  <si>
    <t>2001-11-08</t>
  </si>
  <si>
    <t>2001-11-09</t>
  </si>
  <si>
    <t>2001-11-10</t>
  </si>
  <si>
    <t>2001-11-11</t>
  </si>
  <si>
    <t>2001-11-12</t>
  </si>
  <si>
    <t>2001-11-13</t>
  </si>
  <si>
    <t>2001-11-14</t>
  </si>
  <si>
    <t>2001-11-15</t>
  </si>
  <si>
    <t>2001-11-16</t>
  </si>
  <si>
    <t>2001-11-17</t>
  </si>
  <si>
    <t>2001-11-18</t>
  </si>
  <si>
    <t>2001-11-19</t>
  </si>
  <si>
    <t>2001-11-20</t>
  </si>
  <si>
    <t>2001-11-21</t>
  </si>
  <si>
    <t>2001-11-22</t>
  </si>
  <si>
    <t>2001-11-23</t>
  </si>
  <si>
    <t>2001-11-24</t>
  </si>
  <si>
    <t>2001-11-25</t>
  </si>
  <si>
    <t>2001-11-26</t>
  </si>
  <si>
    <t>2001-11-27</t>
  </si>
  <si>
    <t>2001-11-28</t>
  </si>
  <si>
    <t>2001-11-29</t>
  </si>
  <si>
    <t>2001-11-30</t>
  </si>
  <si>
    <t>2001-12-01</t>
  </si>
  <si>
    <t>2001-12-02</t>
  </si>
  <si>
    <t>2001-12-03</t>
  </si>
  <si>
    <t>2001-12-04</t>
  </si>
  <si>
    <t>2001-12-05</t>
  </si>
  <si>
    <t>2001-12-06</t>
  </si>
  <si>
    <t>2001-12-07</t>
  </si>
  <si>
    <t>2001-12-08</t>
  </si>
  <si>
    <t>2001-12-09</t>
  </si>
  <si>
    <t>2001-12-10</t>
  </si>
  <si>
    <t>2001-12-11</t>
  </si>
  <si>
    <t>2001-12-12</t>
  </si>
  <si>
    <t>2001-12-13</t>
  </si>
  <si>
    <t>2001-12-14</t>
  </si>
  <si>
    <t>2001-12-15</t>
  </si>
  <si>
    <t>2001-12-16</t>
  </si>
  <si>
    <t>2001-12-17</t>
  </si>
  <si>
    <t>2001-12-18</t>
  </si>
  <si>
    <t>2001-12-19</t>
  </si>
  <si>
    <t>2001-12-20</t>
  </si>
  <si>
    <t>2001-12-21</t>
  </si>
  <si>
    <t>2001-12-22</t>
  </si>
  <si>
    <t>2001-12-23</t>
  </si>
  <si>
    <t>2001-12-24</t>
  </si>
  <si>
    <t>2001-12-25</t>
  </si>
  <si>
    <t>2001-12-26</t>
  </si>
  <si>
    <t>2001-12-27</t>
  </si>
  <si>
    <t>2001-12-28</t>
  </si>
  <si>
    <t>2001-12-29</t>
  </si>
  <si>
    <t>2001-12-30</t>
  </si>
  <si>
    <t>2001-12-31</t>
  </si>
  <si>
    <t>2002-01-01</t>
  </si>
  <si>
    <t>2002-01-02</t>
  </si>
  <si>
    <t>2002-01-03</t>
  </si>
  <si>
    <t>2002-01-04</t>
  </si>
  <si>
    <t>2002-01-05</t>
  </si>
  <si>
    <t>2002-01-06</t>
  </si>
  <si>
    <t>2002-01-07</t>
  </si>
  <si>
    <t>2002-01-08</t>
  </si>
  <si>
    <t>2002-01-09</t>
  </si>
  <si>
    <t>2002-01-10</t>
  </si>
  <si>
    <t>2002-01-11</t>
  </si>
  <si>
    <t>2002-01-12</t>
  </si>
  <si>
    <t>2002-01-13</t>
  </si>
  <si>
    <t>2002-01-14</t>
  </si>
  <si>
    <t>2002-01-15</t>
  </si>
  <si>
    <t>2002-01-16</t>
  </si>
  <si>
    <t>2002-01-17</t>
  </si>
  <si>
    <t>2002-01-18</t>
  </si>
  <si>
    <t>2002-01-19</t>
  </si>
  <si>
    <t>2002-01-20</t>
  </si>
  <si>
    <t>2002-01-21</t>
  </si>
  <si>
    <t>2002-01-22</t>
  </si>
  <si>
    <t>2002-01-23</t>
  </si>
  <si>
    <t>2002-01-24</t>
  </si>
  <si>
    <t>2002-01-25</t>
  </si>
  <si>
    <t>2002-01-26</t>
  </si>
  <si>
    <t>2002-01-27</t>
  </si>
  <si>
    <t>2002-01-28</t>
  </si>
  <si>
    <t>2002-01-29</t>
  </si>
  <si>
    <t>2002-01-30</t>
  </si>
  <si>
    <t>2002-01-31</t>
  </si>
  <si>
    <t>2002-02-01</t>
  </si>
  <si>
    <t>2002-02-02</t>
  </si>
  <si>
    <t>2002-02-03</t>
  </si>
  <si>
    <t>2002-02-04</t>
  </si>
  <si>
    <t>2002-02-05</t>
  </si>
  <si>
    <t>2002-02-06</t>
  </si>
  <si>
    <t>2002-02-07</t>
  </si>
  <si>
    <t>2002-02-08</t>
  </si>
  <si>
    <t>2002-02-09</t>
  </si>
  <si>
    <t>2002-02-10</t>
  </si>
  <si>
    <t>2002-02-11</t>
  </si>
  <si>
    <t>2002-02-12</t>
  </si>
  <si>
    <t>2002-02-13</t>
  </si>
  <si>
    <t>2002-02-14</t>
  </si>
  <si>
    <t>2002-02-15</t>
  </si>
  <si>
    <t>2002-02-16</t>
  </si>
  <si>
    <t>2002-02-17</t>
  </si>
  <si>
    <t>2002-02-18</t>
  </si>
  <si>
    <t>2002-02-19</t>
  </si>
  <si>
    <t>2002-02-20</t>
  </si>
  <si>
    <t>2002-02-21</t>
  </si>
  <si>
    <t>2002-02-22</t>
  </si>
  <si>
    <t>2002-02-23</t>
  </si>
  <si>
    <t>2002-02-24</t>
  </si>
  <si>
    <t>2002-02-25</t>
  </si>
  <si>
    <t>2002-02-26</t>
  </si>
  <si>
    <t>2002-02-27</t>
  </si>
  <si>
    <t>2002-02-28</t>
  </si>
  <si>
    <t>2002-03-01</t>
  </si>
  <si>
    <t>2002-03-02</t>
  </si>
  <si>
    <t>2002-03-03</t>
  </si>
  <si>
    <t>2002-03-04</t>
  </si>
  <si>
    <t>2002-03-05</t>
  </si>
  <si>
    <t>2002-03-06</t>
  </si>
  <si>
    <t>2002-03-07</t>
  </si>
  <si>
    <t>2002-03-08</t>
  </si>
  <si>
    <t>2002-03-09</t>
  </si>
  <si>
    <t>2002-03-10</t>
  </si>
  <si>
    <t>2002-03-11</t>
  </si>
  <si>
    <t>2002-03-12</t>
  </si>
  <si>
    <t>2002-03-13</t>
  </si>
  <si>
    <t>2002-03-14</t>
  </si>
  <si>
    <t>2002-03-15</t>
  </si>
  <si>
    <t>2002-03-16</t>
  </si>
  <si>
    <t>2002-03-17</t>
  </si>
  <si>
    <t>2002-03-18</t>
  </si>
  <si>
    <t>2002-03-19</t>
  </si>
  <si>
    <t>2002-03-20</t>
  </si>
  <si>
    <t>2002-03-21</t>
  </si>
  <si>
    <t>2002-03-22</t>
  </si>
  <si>
    <t>2002-03-23</t>
  </si>
  <si>
    <t>2002-03-24</t>
  </si>
  <si>
    <t>2002-03-25</t>
  </si>
  <si>
    <t>2002-03-26</t>
  </si>
  <si>
    <t>2002-03-27</t>
  </si>
  <si>
    <t>2002-03-28</t>
  </si>
  <si>
    <t>2002-03-29</t>
  </si>
  <si>
    <t>2002-03-30</t>
  </si>
  <si>
    <t>2002-03-31</t>
  </si>
  <si>
    <t>2002-04-01</t>
  </si>
  <si>
    <t>2002-04-02</t>
  </si>
  <si>
    <t>2002-04-03</t>
  </si>
  <si>
    <t>2002-04-04</t>
  </si>
  <si>
    <t>2002-04-05</t>
  </si>
  <si>
    <t>2002-04-06</t>
  </si>
  <si>
    <t>2002-04-07</t>
  </si>
  <si>
    <t>2002-04-08</t>
  </si>
  <si>
    <t>2002-04-09</t>
  </si>
  <si>
    <t>2002-04-10</t>
  </si>
  <si>
    <t>2002-04-11</t>
  </si>
  <si>
    <t>2002-04-12</t>
  </si>
  <si>
    <t>2002-04-13</t>
  </si>
  <si>
    <t>2002-04-14</t>
  </si>
  <si>
    <t>2002-04-15</t>
  </si>
  <si>
    <t>2002-04-16</t>
  </si>
  <si>
    <t>2002-04-17</t>
  </si>
  <si>
    <t>2002-04-18</t>
  </si>
  <si>
    <t>2002-04-19</t>
  </si>
  <si>
    <t>2002-04-20</t>
  </si>
  <si>
    <t>2002-04-21</t>
  </si>
  <si>
    <t>2002-04-22</t>
  </si>
  <si>
    <t>2002-04-23</t>
  </si>
  <si>
    <t>2002-04-24</t>
  </si>
  <si>
    <t>2002-04-25</t>
  </si>
  <si>
    <t>2002-04-26</t>
  </si>
  <si>
    <t>2002-04-27</t>
  </si>
  <si>
    <t>2002-04-28</t>
  </si>
  <si>
    <t>2002-04-29</t>
  </si>
  <si>
    <t>2002-04-30</t>
  </si>
  <si>
    <t>2002-05-01</t>
  </si>
  <si>
    <t>2002-05-02</t>
  </si>
  <si>
    <t>2002-05-03</t>
  </si>
  <si>
    <t>2002-05-04</t>
  </si>
  <si>
    <t>2002-05-05</t>
  </si>
  <si>
    <t>2002-05-06</t>
  </si>
  <si>
    <t>2002-05-07</t>
  </si>
  <si>
    <t>2002-05-08</t>
  </si>
  <si>
    <t>2002-05-09</t>
  </si>
  <si>
    <t>2002-05-10</t>
  </si>
  <si>
    <t>2002-05-11</t>
  </si>
  <si>
    <t>2002-05-12</t>
  </si>
  <si>
    <t>2002-05-13</t>
  </si>
  <si>
    <t>2002-05-14</t>
  </si>
  <si>
    <t>2002-05-15</t>
  </si>
  <si>
    <t>2002-05-16</t>
  </si>
  <si>
    <t>2002-05-17</t>
  </si>
  <si>
    <t>2002-05-18</t>
  </si>
  <si>
    <t>2002-05-19</t>
  </si>
  <si>
    <t>2002-05-20</t>
  </si>
  <si>
    <t>2002-05-21</t>
  </si>
  <si>
    <t>2002-05-22</t>
  </si>
  <si>
    <t>2002-05-23</t>
  </si>
  <si>
    <t>2002-05-24</t>
  </si>
  <si>
    <t>2002-05-25</t>
  </si>
  <si>
    <t>2002-05-26</t>
  </si>
  <si>
    <t>2002-05-27</t>
  </si>
  <si>
    <t>2002-05-28</t>
  </si>
  <si>
    <t>2002-05-29</t>
  </si>
  <si>
    <t>2002-05-30</t>
  </si>
  <si>
    <t>2002-05-31</t>
  </si>
  <si>
    <t>2002-06-01</t>
  </si>
  <si>
    <t>2002-06-02</t>
  </si>
  <si>
    <t>2002-06-03</t>
  </si>
  <si>
    <t>2002-06-04</t>
  </si>
  <si>
    <t>2002-06-05</t>
  </si>
  <si>
    <t>2002-06-06</t>
  </si>
  <si>
    <t>2002-06-07</t>
  </si>
  <si>
    <t>2002-06-08</t>
  </si>
  <si>
    <t>2002-06-09</t>
  </si>
  <si>
    <t>2002-06-10</t>
  </si>
  <si>
    <t>2002-06-11</t>
  </si>
  <si>
    <t>2002-06-12</t>
  </si>
  <si>
    <t>2002-06-13</t>
  </si>
  <si>
    <t>2002-06-14</t>
  </si>
  <si>
    <t>2002-06-15</t>
  </si>
  <si>
    <t>2002-06-16</t>
  </si>
  <si>
    <t>2002-06-17</t>
  </si>
  <si>
    <t>2002-06-18</t>
  </si>
  <si>
    <t>2002-06-19</t>
  </si>
  <si>
    <t>2002-06-20</t>
  </si>
  <si>
    <t>2002-06-21</t>
  </si>
  <si>
    <t>2002-06-22</t>
  </si>
  <si>
    <t>2002-06-23</t>
  </si>
  <si>
    <t>2002-06-24</t>
  </si>
  <si>
    <t>2002-06-25</t>
  </si>
  <si>
    <t>2002-06-26</t>
  </si>
  <si>
    <t>2002-06-27</t>
  </si>
  <si>
    <t>2002-06-28</t>
  </si>
  <si>
    <t>2002-06-29</t>
  </si>
  <si>
    <t>2002-06-30</t>
  </si>
  <si>
    <t>2002-07-01</t>
  </si>
  <si>
    <t>2002-07-02</t>
  </si>
  <si>
    <t>2002-07-03</t>
  </si>
  <si>
    <t>2002-07-04</t>
  </si>
  <si>
    <t>2002-07-05</t>
  </si>
  <si>
    <t>2002-07-06</t>
  </si>
  <si>
    <t>2002-07-07</t>
  </si>
  <si>
    <t>2002-07-08</t>
  </si>
  <si>
    <t>2002-07-09</t>
  </si>
  <si>
    <t>2002-07-10</t>
  </si>
  <si>
    <t>2002-07-11</t>
  </si>
  <si>
    <t>2002-07-12</t>
  </si>
  <si>
    <t>2002-07-13</t>
  </si>
  <si>
    <t>2002-07-14</t>
  </si>
  <si>
    <t>2002-07-15</t>
  </si>
  <si>
    <t>2002-07-16</t>
  </si>
  <si>
    <t>2002-07-17</t>
  </si>
  <si>
    <t>2002-07-18</t>
  </si>
  <si>
    <t>2002-07-19</t>
  </si>
  <si>
    <t>2002-07-20</t>
  </si>
  <si>
    <t>2002-07-21</t>
  </si>
  <si>
    <t>2002-07-22</t>
  </si>
  <si>
    <t>2002-07-23</t>
  </si>
  <si>
    <t>2002-07-24</t>
  </si>
  <si>
    <t>2002-07-25</t>
  </si>
  <si>
    <t>2002-07-26</t>
  </si>
  <si>
    <t>2002-07-27</t>
  </si>
  <si>
    <t>2002-07-28</t>
  </si>
  <si>
    <t>2002-07-29</t>
  </si>
  <si>
    <t>2002-07-30</t>
  </si>
  <si>
    <t>2002-07-31</t>
  </si>
  <si>
    <t>2002-08-01</t>
  </si>
  <si>
    <t>2002-08-02</t>
  </si>
  <si>
    <t>2002-08-03</t>
  </si>
  <si>
    <t>2002-08-04</t>
  </si>
  <si>
    <t>2002-08-05</t>
  </si>
  <si>
    <t>2002-08-06</t>
  </si>
  <si>
    <t>2002-08-07</t>
  </si>
  <si>
    <t>2002-08-08</t>
  </si>
  <si>
    <t>2002-08-09</t>
  </si>
  <si>
    <t>2002-08-10</t>
  </si>
  <si>
    <t>2002-08-11</t>
  </si>
  <si>
    <t>2002-08-12</t>
  </si>
  <si>
    <t>2002-08-13</t>
  </si>
  <si>
    <t>2002-08-14</t>
  </si>
  <si>
    <t>2002-08-15</t>
  </si>
  <si>
    <t>2002-08-16</t>
  </si>
  <si>
    <t>2002-08-17</t>
  </si>
  <si>
    <t>2002-08-18</t>
  </si>
  <si>
    <t>2002-08-19</t>
  </si>
  <si>
    <t>2002-08-20</t>
  </si>
  <si>
    <t>2002-08-21</t>
  </si>
  <si>
    <t>2002-08-22</t>
  </si>
  <si>
    <t>2002-08-23</t>
  </si>
  <si>
    <t>2002-08-24</t>
  </si>
  <si>
    <t>2002-08-25</t>
  </si>
  <si>
    <t>2002-08-26</t>
  </si>
  <si>
    <t>2002-08-27</t>
  </si>
  <si>
    <t>2002-08-28</t>
  </si>
  <si>
    <t>2002-08-29</t>
  </si>
  <si>
    <t>2002-08-30</t>
  </si>
  <si>
    <t>2002-08-31</t>
  </si>
  <si>
    <t>2002-09-01</t>
  </si>
  <si>
    <t>2002-09-02</t>
  </si>
  <si>
    <t>2002-09-03</t>
  </si>
  <si>
    <t>2002-09-04</t>
  </si>
  <si>
    <t>2002-09-05</t>
  </si>
  <si>
    <t>2002-09-06</t>
  </si>
  <si>
    <t>2002-09-07</t>
  </si>
  <si>
    <t>2002-09-08</t>
  </si>
  <si>
    <t>2002-09-09</t>
  </si>
  <si>
    <t>2002-09-10</t>
  </si>
  <si>
    <t>2002-09-11</t>
  </si>
  <si>
    <t>2002-09-12</t>
  </si>
  <si>
    <t>2002-09-13</t>
  </si>
  <si>
    <t>2002-09-14</t>
  </si>
  <si>
    <t>2002-09-15</t>
  </si>
  <si>
    <t>2002-09-16</t>
  </si>
  <si>
    <t>2002-09-17</t>
  </si>
  <si>
    <t>2002-09-18</t>
  </si>
  <si>
    <t>2002-09-19</t>
  </si>
  <si>
    <t>2002-09-20</t>
  </si>
  <si>
    <t>2002-09-21</t>
  </si>
  <si>
    <t>2002-09-22</t>
  </si>
  <si>
    <t>2002-09-23</t>
  </si>
  <si>
    <t>2002-09-24</t>
  </si>
  <si>
    <t>2002-09-25</t>
  </si>
  <si>
    <t>2002-09-26</t>
  </si>
  <si>
    <t>2002-09-27</t>
  </si>
  <si>
    <t>2002-09-28</t>
  </si>
  <si>
    <t>2002-09-29</t>
  </si>
  <si>
    <t>2002-09-30</t>
  </si>
  <si>
    <t>2002-10-01</t>
  </si>
  <si>
    <t>2002-10-02</t>
  </si>
  <si>
    <t>2002-10-03</t>
  </si>
  <si>
    <t>2002-10-04</t>
  </si>
  <si>
    <t>2002-10-05</t>
  </si>
  <si>
    <t>2002-10-06</t>
  </si>
  <si>
    <t>2002-10-07</t>
  </si>
  <si>
    <t>2002-10-08</t>
  </si>
  <si>
    <t>2002-10-09</t>
  </si>
  <si>
    <t>2002-10-10</t>
  </si>
  <si>
    <t>2002-10-11</t>
  </si>
  <si>
    <t>2002-10-12</t>
  </si>
  <si>
    <t>2002-10-13</t>
  </si>
  <si>
    <t>2002-10-14</t>
  </si>
  <si>
    <t>2002-10-15</t>
  </si>
  <si>
    <t>2002-10-16</t>
  </si>
  <si>
    <t>2002-10-17</t>
  </si>
  <si>
    <t>2002-10-18</t>
  </si>
  <si>
    <t>2002-10-19</t>
  </si>
  <si>
    <t>2002-10-20</t>
  </si>
  <si>
    <t>2002-10-21</t>
  </si>
  <si>
    <t>2002-10-22</t>
  </si>
  <si>
    <t>2002-10-23</t>
  </si>
  <si>
    <t>2002-10-24</t>
  </si>
  <si>
    <t>2002-10-25</t>
  </si>
  <si>
    <t>2002-10-26</t>
  </si>
  <si>
    <t>2002-10-27</t>
  </si>
  <si>
    <t>2002-10-28</t>
  </si>
  <si>
    <t>2002-10-29</t>
  </si>
  <si>
    <t>2002-10-30</t>
  </si>
  <si>
    <t>2002-10-31</t>
  </si>
  <si>
    <t>2002-11-01</t>
  </si>
  <si>
    <t>2002-11-02</t>
  </si>
  <si>
    <t>2002-11-03</t>
  </si>
  <si>
    <t>2002-11-04</t>
  </si>
  <si>
    <t>2002-11-05</t>
  </si>
  <si>
    <t>2002-11-06</t>
  </si>
  <si>
    <t>2002-11-07</t>
  </si>
  <si>
    <t>2002-11-08</t>
  </si>
  <si>
    <t>2002-11-09</t>
  </si>
  <si>
    <t>2002-11-10</t>
  </si>
  <si>
    <t>2002-11-11</t>
  </si>
  <si>
    <t>2002-11-12</t>
  </si>
  <si>
    <t>2002-11-13</t>
  </si>
  <si>
    <t>2002-11-14</t>
  </si>
  <si>
    <t>2002-11-15</t>
  </si>
  <si>
    <t>2002-11-16</t>
  </si>
  <si>
    <t>2002-11-17</t>
  </si>
  <si>
    <t>2002-11-18</t>
  </si>
  <si>
    <t>2002-11-19</t>
  </si>
  <si>
    <t>2002-11-20</t>
  </si>
  <si>
    <t>2002-11-21</t>
  </si>
  <si>
    <t>2002-11-22</t>
  </si>
  <si>
    <t>2002-11-23</t>
  </si>
  <si>
    <t>2002-11-24</t>
  </si>
  <si>
    <t>2002-11-25</t>
  </si>
  <si>
    <t>2002-11-26</t>
  </si>
  <si>
    <t>2002-11-27</t>
  </si>
  <si>
    <t>2002-11-28</t>
  </si>
  <si>
    <t>2002-11-29</t>
  </si>
  <si>
    <t>2002-11-30</t>
  </si>
  <si>
    <t>2002-12-01</t>
  </si>
  <si>
    <t>2002-12-02</t>
  </si>
  <si>
    <t>2002-12-03</t>
  </si>
  <si>
    <t>2002-12-04</t>
  </si>
  <si>
    <t>2002-12-05</t>
  </si>
  <si>
    <t>2002-12-06</t>
  </si>
  <si>
    <t>2002-12-07</t>
  </si>
  <si>
    <t>2002-12-08</t>
  </si>
  <si>
    <t>2002-12-09</t>
  </si>
  <si>
    <t>2002-12-10</t>
  </si>
  <si>
    <t>2002-12-11</t>
  </si>
  <si>
    <t>2002-12-12</t>
  </si>
  <si>
    <t>2002-12-13</t>
  </si>
  <si>
    <t>2002-12-14</t>
  </si>
  <si>
    <t>2002-12-15</t>
  </si>
  <si>
    <t>2002-12-16</t>
  </si>
  <si>
    <t>2002-12-17</t>
  </si>
  <si>
    <t>2002-12-18</t>
  </si>
  <si>
    <t>2002-12-19</t>
  </si>
  <si>
    <t>2002-12-20</t>
  </si>
  <si>
    <t>2002-12-21</t>
  </si>
  <si>
    <t>2002-12-22</t>
  </si>
  <si>
    <t>2002-12-23</t>
  </si>
  <si>
    <t>2002-12-24</t>
  </si>
  <si>
    <t>2002-12-25</t>
  </si>
  <si>
    <t>2002-12-26</t>
  </si>
  <si>
    <t>2002-12-27</t>
  </si>
  <si>
    <t>2002-12-28</t>
  </si>
  <si>
    <t>2002-12-29</t>
  </si>
  <si>
    <t>2002-12-30</t>
  </si>
  <si>
    <t>2002-12-31</t>
  </si>
  <si>
    <t>2003-01-01</t>
  </si>
  <si>
    <t>2003-01-02</t>
  </si>
  <si>
    <t>2003-01-03</t>
  </si>
  <si>
    <t>2003-01-04</t>
  </si>
  <si>
    <t>2003-01-05</t>
  </si>
  <si>
    <t>2003-01-06</t>
  </si>
  <si>
    <t>2003-01-07</t>
  </si>
  <si>
    <t>2003-01-08</t>
  </si>
  <si>
    <t>2003-01-09</t>
  </si>
  <si>
    <t>2003-01-10</t>
  </si>
  <si>
    <t>2003-01-11</t>
  </si>
  <si>
    <t>2003-01-12</t>
  </si>
  <si>
    <t>2003-01-13</t>
  </si>
  <si>
    <t>2003-01-14</t>
  </si>
  <si>
    <t>2003-01-15</t>
  </si>
  <si>
    <t>2003-01-16</t>
  </si>
  <si>
    <t>2003-01-17</t>
  </si>
  <si>
    <t>2003-01-18</t>
  </si>
  <si>
    <t>2003-01-19</t>
  </si>
  <si>
    <t>2003-01-20</t>
  </si>
  <si>
    <t>2003-01-21</t>
  </si>
  <si>
    <t>2003-01-22</t>
  </si>
  <si>
    <t>2003-01-23</t>
  </si>
  <si>
    <t>2003-01-24</t>
  </si>
  <si>
    <t>2003-01-25</t>
  </si>
  <si>
    <t>2003-01-26</t>
  </si>
  <si>
    <t>2003-01-27</t>
  </si>
  <si>
    <t>2003-01-28</t>
  </si>
  <si>
    <t>2003-01-29</t>
  </si>
  <si>
    <t>2003-01-30</t>
  </si>
  <si>
    <t>2003-01-31</t>
  </si>
  <si>
    <t>2003-02-01</t>
  </si>
  <si>
    <t>2003-02-02</t>
  </si>
  <si>
    <t>2003-02-03</t>
  </si>
  <si>
    <t>2003-02-04</t>
  </si>
  <si>
    <t>2003-02-05</t>
  </si>
  <si>
    <t>2003-02-06</t>
  </si>
  <si>
    <t>2003-02-07</t>
  </si>
  <si>
    <t>2003-02-08</t>
  </si>
  <si>
    <t>2003-02-09</t>
  </si>
  <si>
    <t>2003-02-10</t>
  </si>
  <si>
    <t>2003-02-11</t>
  </si>
  <si>
    <t>2003-02-12</t>
  </si>
  <si>
    <t>2003-02-13</t>
  </si>
  <si>
    <t>2003-02-14</t>
  </si>
  <si>
    <t>2003-02-15</t>
  </si>
  <si>
    <t>2003-02-16</t>
  </si>
  <si>
    <t>2003-02-17</t>
  </si>
  <si>
    <t>2003-02-18</t>
  </si>
  <si>
    <t>2003-02-19</t>
  </si>
  <si>
    <t>2003-02-20</t>
  </si>
  <si>
    <t>2003-02-21</t>
  </si>
  <si>
    <t>2003-02-22</t>
  </si>
  <si>
    <t>2003-02-23</t>
  </si>
  <si>
    <t>2003-02-24</t>
  </si>
  <si>
    <t>2003-02-25</t>
  </si>
  <si>
    <t>2003-02-26</t>
  </si>
  <si>
    <t>2003-02-27</t>
  </si>
  <si>
    <t>2003-02-28</t>
  </si>
  <si>
    <t>2003-03-01</t>
  </si>
  <si>
    <t>2003-03-02</t>
  </si>
  <si>
    <t>2003-03-03</t>
  </si>
  <si>
    <t>2003-03-04</t>
  </si>
  <si>
    <t>2003-03-05</t>
  </si>
  <si>
    <t>2003-03-06</t>
  </si>
  <si>
    <t>2003-03-07</t>
  </si>
  <si>
    <t>2003-03-08</t>
  </si>
  <si>
    <t>2003-03-09</t>
  </si>
  <si>
    <t>2003-03-10</t>
  </si>
  <si>
    <t>2003-03-11</t>
  </si>
  <si>
    <t>2003-03-12</t>
  </si>
  <si>
    <t>2003-03-13</t>
  </si>
  <si>
    <t>2003-03-14</t>
  </si>
  <si>
    <t>2003-03-15</t>
  </si>
  <si>
    <t>2003-03-16</t>
  </si>
  <si>
    <t>2003-03-17</t>
  </si>
  <si>
    <t>2003-03-18</t>
  </si>
  <si>
    <t>2003-03-19</t>
  </si>
  <si>
    <t>2003-03-20</t>
  </si>
  <si>
    <t>2003-03-21</t>
  </si>
  <si>
    <t>2003-03-22</t>
  </si>
  <si>
    <t>2003-03-23</t>
  </si>
  <si>
    <t>2003-03-24</t>
  </si>
  <si>
    <t>2003-03-25</t>
  </si>
  <si>
    <t>2003-03-26</t>
  </si>
  <si>
    <t>2003-03-27</t>
  </si>
  <si>
    <t>2003-03-28</t>
  </si>
  <si>
    <t>2003-03-29</t>
  </si>
  <si>
    <t>2003-03-30</t>
  </si>
  <si>
    <t>2003-03-31</t>
  </si>
  <si>
    <t>2003-04-01</t>
  </si>
  <si>
    <t>2003-04-02</t>
  </si>
  <si>
    <t>2003-04-03</t>
  </si>
  <si>
    <t>2003-04-04</t>
  </si>
  <si>
    <t>2003-04-05</t>
  </si>
  <si>
    <t>2003-04-06</t>
  </si>
  <si>
    <t>2003-04-07</t>
  </si>
  <si>
    <t>2003-04-08</t>
  </si>
  <si>
    <t>2003-04-09</t>
  </si>
  <si>
    <t>2003-04-10</t>
  </si>
  <si>
    <t>2003-04-11</t>
  </si>
  <si>
    <t>2003-04-12</t>
  </si>
  <si>
    <t>2003-04-13</t>
  </si>
  <si>
    <t>2003-04-14</t>
  </si>
  <si>
    <t>2003-04-15</t>
  </si>
  <si>
    <t>2003-04-16</t>
  </si>
  <si>
    <t>2003-04-17</t>
  </si>
  <si>
    <t>2003-04-18</t>
  </si>
  <si>
    <t>2003-04-19</t>
  </si>
  <si>
    <t>2003-04-20</t>
  </si>
  <si>
    <t>2003-04-21</t>
  </si>
  <si>
    <t>2003-04-22</t>
  </si>
  <si>
    <t>2003-04-23</t>
  </si>
  <si>
    <t>2003-04-24</t>
  </si>
  <si>
    <t>2003-04-25</t>
  </si>
  <si>
    <t>2003-04-26</t>
  </si>
  <si>
    <t>2003-04-27</t>
  </si>
  <si>
    <t>2003-04-28</t>
  </si>
  <si>
    <t>2003-04-29</t>
  </si>
  <si>
    <t>2003-04-30</t>
  </si>
  <si>
    <t>2003-05-01</t>
  </si>
  <si>
    <t>2003-05-02</t>
  </si>
  <si>
    <t>2003-05-03</t>
  </si>
  <si>
    <t>2003-05-04</t>
  </si>
  <si>
    <t>2003-05-05</t>
  </si>
  <si>
    <t>2003-05-06</t>
  </si>
  <si>
    <t>2003-05-07</t>
  </si>
  <si>
    <t>2003-05-08</t>
  </si>
  <si>
    <t>2003-05-09</t>
  </si>
  <si>
    <t>2003-05-10</t>
  </si>
  <si>
    <t>2003-05-11</t>
  </si>
  <si>
    <t>2003-05-12</t>
  </si>
  <si>
    <t>2003-05-13</t>
  </si>
  <si>
    <t>2003-05-14</t>
  </si>
  <si>
    <t>2003-05-15</t>
  </si>
  <si>
    <t>2003-05-16</t>
  </si>
  <si>
    <t>2003-05-17</t>
  </si>
  <si>
    <t>2003-05-18</t>
  </si>
  <si>
    <t>2003-05-19</t>
  </si>
  <si>
    <t>2003-05-20</t>
  </si>
  <si>
    <t>2003-05-21</t>
  </si>
  <si>
    <t>2003-05-22</t>
  </si>
  <si>
    <t>2003-05-23</t>
  </si>
  <si>
    <t>2003-05-24</t>
  </si>
  <si>
    <t>2003-05-25</t>
  </si>
  <si>
    <t>2003-05-26</t>
  </si>
  <si>
    <t>2003-05-27</t>
  </si>
  <si>
    <t>2003-05-28</t>
  </si>
  <si>
    <t>2003-05-29</t>
  </si>
  <si>
    <t>2003-05-30</t>
  </si>
  <si>
    <t>2003-05-31</t>
  </si>
  <si>
    <t>2003-06-01</t>
  </si>
  <si>
    <t>2003-06-02</t>
  </si>
  <si>
    <t>2003-06-03</t>
  </si>
  <si>
    <t>2003-06-04</t>
  </si>
  <si>
    <t>2003-06-05</t>
  </si>
  <si>
    <t>2003-06-06</t>
  </si>
  <si>
    <t>2003-06-07</t>
  </si>
  <si>
    <t>2003-06-08</t>
  </si>
  <si>
    <t>2003-06-09</t>
  </si>
  <si>
    <t>2003-06-10</t>
  </si>
  <si>
    <t>2003-06-11</t>
  </si>
  <si>
    <t>2003-06-12</t>
  </si>
  <si>
    <t>2003-06-13</t>
  </si>
  <si>
    <t>2003-06-14</t>
  </si>
  <si>
    <t>2003-06-15</t>
  </si>
  <si>
    <t>2003-06-16</t>
  </si>
  <si>
    <t>2003-06-17</t>
  </si>
  <si>
    <t>2003-06-18</t>
  </si>
  <si>
    <t>2003-06-19</t>
  </si>
  <si>
    <t>2003-06-20</t>
  </si>
  <si>
    <t>2003-06-21</t>
  </si>
  <si>
    <t>2003-06-22</t>
  </si>
  <si>
    <t>2003-06-23</t>
  </si>
  <si>
    <t>2003-06-24</t>
  </si>
  <si>
    <t>2003-06-25</t>
  </si>
  <si>
    <t>2003-06-26</t>
  </si>
  <si>
    <t>2003-06-27</t>
  </si>
  <si>
    <t>2003-06-28</t>
  </si>
  <si>
    <t>2003-06-29</t>
  </si>
  <si>
    <t>2003-06-30</t>
  </si>
  <si>
    <t>2003-07-01</t>
  </si>
  <si>
    <t>2003-07-02</t>
  </si>
  <si>
    <t>2003-07-03</t>
  </si>
  <si>
    <t>2003-07-04</t>
  </si>
  <si>
    <t>2003-07-05</t>
  </si>
  <si>
    <t>2003-07-06</t>
  </si>
  <si>
    <t>2003-07-07</t>
  </si>
  <si>
    <t>2003-07-08</t>
  </si>
  <si>
    <t>2003-07-09</t>
  </si>
  <si>
    <t>2003-07-10</t>
  </si>
  <si>
    <t>2003-07-11</t>
  </si>
  <si>
    <t>2003-07-12</t>
  </si>
  <si>
    <t>2003-07-13</t>
  </si>
  <si>
    <t>2003-07-14</t>
  </si>
  <si>
    <t>2003-07-15</t>
  </si>
  <si>
    <t>2003-07-16</t>
  </si>
  <si>
    <t>2003-07-17</t>
  </si>
  <si>
    <t>2003-07-18</t>
  </si>
  <si>
    <t>2003-07-19</t>
  </si>
  <si>
    <t>2003-07-20</t>
  </si>
  <si>
    <t>2003-07-21</t>
  </si>
  <si>
    <t>2003-07-22</t>
  </si>
  <si>
    <t>2003-07-23</t>
  </si>
  <si>
    <t>2003-07-24</t>
  </si>
  <si>
    <t>2003-07-25</t>
  </si>
  <si>
    <t>2003-07-26</t>
  </si>
  <si>
    <t>2003-07-27</t>
  </si>
  <si>
    <t>2003-07-28</t>
  </si>
  <si>
    <t>2003-07-29</t>
  </si>
  <si>
    <t>2003-07-30</t>
  </si>
  <si>
    <t>2003-07-31</t>
  </si>
  <si>
    <t>2003-08-01</t>
  </si>
  <si>
    <t>2003-08-02</t>
  </si>
  <si>
    <t>2003-08-03</t>
  </si>
  <si>
    <t>2003-08-04</t>
  </si>
  <si>
    <t>2003-08-05</t>
  </si>
  <si>
    <t>2003-08-06</t>
  </si>
  <si>
    <t>2003-08-07</t>
  </si>
  <si>
    <t>2003-08-08</t>
  </si>
  <si>
    <t>2003-08-09</t>
  </si>
  <si>
    <t>2003-08-10</t>
  </si>
  <si>
    <t>2003-08-11</t>
  </si>
  <si>
    <t>2003-08-12</t>
  </si>
  <si>
    <t>2003-08-13</t>
  </si>
  <si>
    <t>2003-08-14</t>
  </si>
  <si>
    <t>2003-08-15</t>
  </si>
  <si>
    <t>2003-08-16</t>
  </si>
  <si>
    <t>2003-08-17</t>
  </si>
  <si>
    <t>2003-08-18</t>
  </si>
  <si>
    <t>2003-08-19</t>
  </si>
  <si>
    <t>2003-08-20</t>
  </si>
  <si>
    <t>2003-08-21</t>
  </si>
  <si>
    <t>2003-08-22</t>
  </si>
  <si>
    <t>2003-08-23</t>
  </si>
  <si>
    <t>2003-08-24</t>
  </si>
  <si>
    <t>2003-08-25</t>
  </si>
  <si>
    <t>2003-08-26</t>
  </si>
  <si>
    <t>2003-08-27</t>
  </si>
  <si>
    <t>2003-08-28</t>
  </si>
  <si>
    <t>2003-08-29</t>
  </si>
  <si>
    <t>2003-08-30</t>
  </si>
  <si>
    <t>2003-08-31</t>
  </si>
  <si>
    <t>2003-09-01</t>
  </si>
  <si>
    <t>2003-09-02</t>
  </si>
  <si>
    <t>2003-09-03</t>
  </si>
  <si>
    <t>2003-09-04</t>
  </si>
  <si>
    <t>2003-09-05</t>
  </si>
  <si>
    <t>2003-09-06</t>
  </si>
  <si>
    <t>2003-09-07</t>
  </si>
  <si>
    <t>2003-09-08</t>
  </si>
  <si>
    <t>2003-09-09</t>
  </si>
  <si>
    <t>2003-09-10</t>
  </si>
  <si>
    <t>2003-09-11</t>
  </si>
  <si>
    <t>2003-09-12</t>
  </si>
  <si>
    <t>2003-09-13</t>
  </si>
  <si>
    <t>2003-09-14</t>
  </si>
  <si>
    <t>2003-09-15</t>
  </si>
  <si>
    <t>2003-09-16</t>
  </si>
  <si>
    <t>2003-09-17</t>
  </si>
  <si>
    <t>2003-09-18</t>
  </si>
  <si>
    <t>2003-09-19</t>
  </si>
  <si>
    <t>2003-09-20</t>
  </si>
  <si>
    <t>2003-09-21</t>
  </si>
  <si>
    <t>2003-09-22</t>
  </si>
  <si>
    <t>2003-09-23</t>
  </si>
  <si>
    <t>2003-09-24</t>
  </si>
  <si>
    <t>2003-09-25</t>
  </si>
  <si>
    <t>2003-09-26</t>
  </si>
  <si>
    <t>2003-09-27</t>
  </si>
  <si>
    <t>2003-09-28</t>
  </si>
  <si>
    <t>2003-09-29</t>
  </si>
  <si>
    <t>2003-09-30</t>
  </si>
  <si>
    <t>2003-10-01</t>
  </si>
  <si>
    <t>2003-10-02</t>
  </si>
  <si>
    <t>2003-10-03</t>
  </si>
  <si>
    <t>2003-10-04</t>
  </si>
  <si>
    <t>2003-10-05</t>
  </si>
  <si>
    <t>2003-10-06</t>
  </si>
  <si>
    <t>2003-10-07</t>
  </si>
  <si>
    <t>2003-10-08</t>
  </si>
  <si>
    <t>2003-10-09</t>
  </si>
  <si>
    <t>2003-10-10</t>
  </si>
  <si>
    <t>2003-10-11</t>
  </si>
  <si>
    <t>2003-10-12</t>
  </si>
  <si>
    <t>2003-10-13</t>
  </si>
  <si>
    <t>2003-10-14</t>
  </si>
  <si>
    <t>2003-10-15</t>
  </si>
  <si>
    <t>2003-10-16</t>
  </si>
  <si>
    <t>2003-10-17</t>
  </si>
  <si>
    <t>2003-10-18</t>
  </si>
  <si>
    <t>2003-10-19</t>
  </si>
  <si>
    <t>2003-10-20</t>
  </si>
  <si>
    <t>2003-10-21</t>
  </si>
  <si>
    <t>2003-10-22</t>
  </si>
  <si>
    <t>2003-10-23</t>
  </si>
  <si>
    <t>2003-10-24</t>
  </si>
  <si>
    <t>2003-10-25</t>
  </si>
  <si>
    <t>2003-10-26</t>
  </si>
  <si>
    <t>2003-10-27</t>
  </si>
  <si>
    <t>2003-10-28</t>
  </si>
  <si>
    <t>2003-10-29</t>
  </si>
  <si>
    <t>2003-10-30</t>
  </si>
  <si>
    <t>2003-10-31</t>
  </si>
  <si>
    <t>2003-11-01</t>
  </si>
  <si>
    <t>2003-11-02</t>
  </si>
  <si>
    <t>2003-11-03</t>
  </si>
  <si>
    <t>2003-11-04</t>
  </si>
  <si>
    <t>2003-11-05</t>
  </si>
  <si>
    <t>2003-11-06</t>
  </si>
  <si>
    <t>2003-11-07</t>
  </si>
  <si>
    <t>2003-11-08</t>
  </si>
  <si>
    <t>2003-11-09</t>
  </si>
  <si>
    <t>2003-11-10</t>
  </si>
  <si>
    <t>2003-11-11</t>
  </si>
  <si>
    <t>2003-11-12</t>
  </si>
  <si>
    <t>2003-11-13</t>
  </si>
  <si>
    <t>2003-11-14</t>
  </si>
  <si>
    <t>2003-11-15</t>
  </si>
  <si>
    <t>2003-11-16</t>
  </si>
  <si>
    <t>2003-11-17</t>
  </si>
  <si>
    <t>2003-11-18</t>
  </si>
  <si>
    <t>2003-11-19</t>
  </si>
  <si>
    <t>2003-11-20</t>
  </si>
  <si>
    <t>2003-11-21</t>
  </si>
  <si>
    <t>2003-11-22</t>
  </si>
  <si>
    <t>2003-11-23</t>
  </si>
  <si>
    <t>2003-11-24</t>
  </si>
  <si>
    <t>2003-11-25</t>
  </si>
  <si>
    <t>2003-11-26</t>
  </si>
  <si>
    <t>2003-11-27</t>
  </si>
  <si>
    <t>2003-11-28</t>
  </si>
  <si>
    <t>2003-11-29</t>
  </si>
  <si>
    <t>2003-11-30</t>
  </si>
  <si>
    <t>2003-12-01</t>
  </si>
  <si>
    <t>2003-12-02</t>
  </si>
  <si>
    <t>2003-12-03</t>
  </si>
  <si>
    <t>2003-12-04</t>
  </si>
  <si>
    <t>2003-12-05</t>
  </si>
  <si>
    <t>2003-12-06</t>
  </si>
  <si>
    <t>2003-12-07</t>
  </si>
  <si>
    <t>2003-12-08</t>
  </si>
  <si>
    <t>2003-12-09</t>
  </si>
  <si>
    <t>2003-12-10</t>
  </si>
  <si>
    <t>2003-12-11</t>
  </si>
  <si>
    <t>2003-12-12</t>
  </si>
  <si>
    <t>2003-12-13</t>
  </si>
  <si>
    <t>2003-12-14</t>
  </si>
  <si>
    <t>2003-12-15</t>
  </si>
  <si>
    <t>2003-12-16</t>
  </si>
  <si>
    <t>2003-12-17</t>
  </si>
  <si>
    <t>2003-12-18</t>
  </si>
  <si>
    <t>2003-12-19</t>
  </si>
  <si>
    <t>2003-12-20</t>
  </si>
  <si>
    <t>2003-12-21</t>
  </si>
  <si>
    <t>2003-12-22</t>
  </si>
  <si>
    <t>2003-12-23</t>
  </si>
  <si>
    <t>2003-12-24</t>
  </si>
  <si>
    <t>2003-12-25</t>
  </si>
  <si>
    <t>2003-12-26</t>
  </si>
  <si>
    <t>2003-12-27</t>
  </si>
  <si>
    <t>2003-12-28</t>
  </si>
  <si>
    <t>2003-12-29</t>
  </si>
  <si>
    <t>2003-12-30</t>
  </si>
  <si>
    <t>2003-12-31</t>
  </si>
  <si>
    <t>2004-01-01</t>
  </si>
  <si>
    <t>2004-01-02</t>
  </si>
  <si>
    <t>2004-01-03</t>
  </si>
  <si>
    <t>2004-01-04</t>
  </si>
  <si>
    <t>2004-01-05</t>
  </si>
  <si>
    <t>2004-01-06</t>
  </si>
  <si>
    <t>2004-01-07</t>
  </si>
  <si>
    <t>2004-01-08</t>
  </si>
  <si>
    <t>2004-01-09</t>
  </si>
  <si>
    <t>2004-01-10</t>
  </si>
  <si>
    <t>2004-01-11</t>
  </si>
  <si>
    <t>2004-01-12</t>
  </si>
  <si>
    <t>2004-01-13</t>
  </si>
  <si>
    <t>2004-01-14</t>
  </si>
  <si>
    <t>2004-01-15</t>
  </si>
  <si>
    <t>2004-01-16</t>
  </si>
  <si>
    <t>2004-01-17</t>
  </si>
  <si>
    <t>2004-01-18</t>
  </si>
  <si>
    <t>2004-01-19</t>
  </si>
  <si>
    <t>2004-01-20</t>
  </si>
  <si>
    <t>2004-01-21</t>
  </si>
  <si>
    <t>2004-01-22</t>
  </si>
  <si>
    <t>2004-01-23</t>
  </si>
  <si>
    <t>2004-01-24</t>
  </si>
  <si>
    <t>2004-01-25</t>
  </si>
  <si>
    <t>2004-01-26</t>
  </si>
  <si>
    <t>2004-01-27</t>
  </si>
  <si>
    <t>2004-01-28</t>
  </si>
  <si>
    <t>2004-01-29</t>
  </si>
  <si>
    <t>2004-01-30</t>
  </si>
  <si>
    <t>2004-01-31</t>
  </si>
  <si>
    <t>2004-02-01</t>
  </si>
  <si>
    <t>2004-02-02</t>
  </si>
  <si>
    <t>2004-02-03</t>
  </si>
  <si>
    <t>2004-02-04</t>
  </si>
  <si>
    <t>2004-02-05</t>
  </si>
  <si>
    <t>2004-02-06</t>
  </si>
  <si>
    <t>2004-02-07</t>
  </si>
  <si>
    <t>2004-02-08</t>
  </si>
  <si>
    <t>2004-02-09</t>
  </si>
  <si>
    <t>2004-02-10</t>
  </si>
  <si>
    <t>2004-02-11</t>
  </si>
  <si>
    <t>2004-02-12</t>
  </si>
  <si>
    <t>2004-02-13</t>
  </si>
  <si>
    <t>2004-02-14</t>
  </si>
  <si>
    <t>2004-02-15</t>
  </si>
  <si>
    <t>2004-02-16</t>
  </si>
  <si>
    <t>2004-02-17</t>
  </si>
  <si>
    <t>2004-02-18</t>
  </si>
  <si>
    <t>2004-02-19</t>
  </si>
  <si>
    <t>2004-02-20</t>
  </si>
  <si>
    <t>2004-02-21</t>
  </si>
  <si>
    <t>2004-02-22</t>
  </si>
  <si>
    <t>2004-02-23</t>
  </si>
  <si>
    <t>2004-02-24</t>
  </si>
  <si>
    <t>2004-02-25</t>
  </si>
  <si>
    <t>2004-02-26</t>
  </si>
  <si>
    <t>2004-02-27</t>
  </si>
  <si>
    <t>2004-02-28</t>
  </si>
  <si>
    <t>2004-03-01</t>
  </si>
  <si>
    <t>2004-03-02</t>
  </si>
  <si>
    <t>2004-03-03</t>
  </si>
  <si>
    <t>2004-03-04</t>
  </si>
  <si>
    <t>2004-03-05</t>
  </si>
  <si>
    <t>2004-03-06</t>
  </si>
  <si>
    <t>2004-03-07</t>
  </si>
  <si>
    <t>2004-03-08</t>
  </si>
  <si>
    <t>2004-03-09</t>
  </si>
  <si>
    <t>2004-03-10</t>
  </si>
  <si>
    <t>2004-03-11</t>
  </si>
  <si>
    <t>2004-03-12</t>
  </si>
  <si>
    <t>2004-03-13</t>
  </si>
  <si>
    <t>2004-03-14</t>
  </si>
  <si>
    <t>2004-03-15</t>
  </si>
  <si>
    <t>2004-03-16</t>
  </si>
  <si>
    <t>2004-03-17</t>
  </si>
  <si>
    <t>2004-03-18</t>
  </si>
  <si>
    <t>2004-03-19</t>
  </si>
  <si>
    <t>2004-03-20</t>
  </si>
  <si>
    <t>2004-03-21</t>
  </si>
  <si>
    <t>2004-03-22</t>
  </si>
  <si>
    <t>2004-03-23</t>
  </si>
  <si>
    <t>2004-03-24</t>
  </si>
  <si>
    <t>2004-03-25</t>
  </si>
  <si>
    <t>2004-03-26</t>
  </si>
  <si>
    <t>2004-03-27</t>
  </si>
  <si>
    <t>2004-03-28</t>
  </si>
  <si>
    <t>2004-03-29</t>
  </si>
  <si>
    <t>2004-03-30</t>
  </si>
  <si>
    <t>2004-03-31</t>
  </si>
  <si>
    <t>2004-04-01</t>
  </si>
  <si>
    <t>2004-04-02</t>
  </si>
  <si>
    <t>2004-04-03</t>
  </si>
  <si>
    <t>2004-04-04</t>
  </si>
  <si>
    <t>2004-04-05</t>
  </si>
  <si>
    <t>2004-04-06</t>
  </si>
  <si>
    <t>2004-04-07</t>
  </si>
  <si>
    <t>2004-04-08</t>
  </si>
  <si>
    <t>2004-04-09</t>
  </si>
  <si>
    <t>2004-04-10</t>
  </si>
  <si>
    <t>2004-04-11</t>
  </si>
  <si>
    <t>2004-04-12</t>
  </si>
  <si>
    <t>2004-04-13</t>
  </si>
  <si>
    <t>2004-04-14</t>
  </si>
  <si>
    <t>2004-04-15</t>
  </si>
  <si>
    <t>2004-04-16</t>
  </si>
  <si>
    <t>2004-04-17</t>
  </si>
  <si>
    <t>2004-04-18</t>
  </si>
  <si>
    <t>2004-04-19</t>
  </si>
  <si>
    <t>2004-04-20</t>
  </si>
  <si>
    <t>2004-04-21</t>
  </si>
  <si>
    <t>2004-04-22</t>
  </si>
  <si>
    <t>2004-04-23</t>
  </si>
  <si>
    <t>2004-04-24</t>
  </si>
  <si>
    <t>2004-04-25</t>
  </si>
  <si>
    <t>2004-04-26</t>
  </si>
  <si>
    <t>2004-04-27</t>
  </si>
  <si>
    <t>2004-04-28</t>
  </si>
  <si>
    <t>2004-04-29</t>
  </si>
  <si>
    <t>2004-04-30</t>
  </si>
  <si>
    <t>2004-05-01</t>
  </si>
  <si>
    <t>2004-05-02</t>
  </si>
  <si>
    <t>2004-05-03</t>
  </si>
  <si>
    <t>2004-05-04</t>
  </si>
  <si>
    <t>2004-05-05</t>
  </si>
  <si>
    <t>2004-05-06</t>
  </si>
  <si>
    <t>2004-05-07</t>
  </si>
  <si>
    <t>2004-05-08</t>
  </si>
  <si>
    <t>2004-05-09</t>
  </si>
  <si>
    <t>2004-05-10</t>
  </si>
  <si>
    <t>2004-05-11</t>
  </si>
  <si>
    <t>2004-05-12</t>
  </si>
  <si>
    <t>2004-05-13</t>
  </si>
  <si>
    <t>2004-05-14</t>
  </si>
  <si>
    <t>2004-05-15</t>
  </si>
  <si>
    <t>2004-05-16</t>
  </si>
  <si>
    <t>2004-05-17</t>
  </si>
  <si>
    <t>2004-05-18</t>
  </si>
  <si>
    <t>2004-05-19</t>
  </si>
  <si>
    <t>2004-05-20</t>
  </si>
  <si>
    <t>2004-05-21</t>
  </si>
  <si>
    <t>2004-05-22</t>
  </si>
  <si>
    <t>2004-05-23</t>
  </si>
  <si>
    <t>2004-05-24</t>
  </si>
  <si>
    <t>2004-05-25</t>
  </si>
  <si>
    <t>2004-05-26</t>
  </si>
  <si>
    <t>2004-05-27</t>
  </si>
  <si>
    <t>2004-05-28</t>
  </si>
  <si>
    <t>2004-05-29</t>
  </si>
  <si>
    <t>2004-05-30</t>
  </si>
  <si>
    <t>2004-05-31</t>
  </si>
  <si>
    <t>2004-06-01</t>
  </si>
  <si>
    <t>2004-06-02</t>
  </si>
  <si>
    <t>2004-06-03</t>
  </si>
  <si>
    <t>2004-06-04</t>
  </si>
  <si>
    <t>2004-06-05</t>
  </si>
  <si>
    <t>2004-06-06</t>
  </si>
  <si>
    <t>2004-06-07</t>
  </si>
  <si>
    <t>2004-06-08</t>
  </si>
  <si>
    <t>2004-06-09</t>
  </si>
  <si>
    <t>2004-06-10</t>
  </si>
  <si>
    <t>2004-06-11</t>
  </si>
  <si>
    <t>2004-06-12</t>
  </si>
  <si>
    <t>2004-06-13</t>
  </si>
  <si>
    <t>2004-06-14</t>
  </si>
  <si>
    <t>2004-06-15</t>
  </si>
  <si>
    <t>2004-06-16</t>
  </si>
  <si>
    <t>2004-06-17</t>
  </si>
  <si>
    <t>2004-06-18</t>
  </si>
  <si>
    <t>2004-06-19</t>
  </si>
  <si>
    <t>2004-06-20</t>
  </si>
  <si>
    <t>2004-06-21</t>
  </si>
  <si>
    <t>2004-06-22</t>
  </si>
  <si>
    <t>2004-06-23</t>
  </si>
  <si>
    <t>2004-06-24</t>
  </si>
  <si>
    <t>2004-06-25</t>
  </si>
  <si>
    <t>2004-06-26</t>
  </si>
  <si>
    <t>2004-06-27</t>
  </si>
  <si>
    <t>2004-06-28</t>
  </si>
  <si>
    <t>2004-06-29</t>
  </si>
  <si>
    <t>2004-06-30</t>
  </si>
  <si>
    <t>2004-07-01</t>
  </si>
  <si>
    <t>2004-07-02</t>
  </si>
  <si>
    <t>2004-07-03</t>
  </si>
  <si>
    <t>2004-07-04</t>
  </si>
  <si>
    <t>2004-07-05</t>
  </si>
  <si>
    <t>2004-07-06</t>
  </si>
  <si>
    <t>2004-07-07</t>
  </si>
  <si>
    <t>2004-07-08</t>
  </si>
  <si>
    <t>2004-07-09</t>
  </si>
  <si>
    <t>2004-07-10</t>
  </si>
  <si>
    <t>2004-07-11</t>
  </si>
  <si>
    <t>2004-07-12</t>
  </si>
  <si>
    <t>2004-07-13</t>
  </si>
  <si>
    <t>2004-07-14</t>
  </si>
  <si>
    <t>2004-07-15</t>
  </si>
  <si>
    <t>2004-07-16</t>
  </si>
  <si>
    <t>2004-07-17</t>
  </si>
  <si>
    <t>2004-07-18</t>
  </si>
  <si>
    <t>2004-07-19</t>
  </si>
  <si>
    <t>2004-07-20</t>
  </si>
  <si>
    <t>2004-07-21</t>
  </si>
  <si>
    <t>2004-07-22</t>
  </si>
  <si>
    <t>2004-07-23</t>
  </si>
  <si>
    <t>2004-07-24</t>
  </si>
  <si>
    <t>2004-07-25</t>
  </si>
  <si>
    <t>2004-07-26</t>
  </si>
  <si>
    <t>2004-07-27</t>
  </si>
  <si>
    <t>2004-07-28</t>
  </si>
  <si>
    <t>2004-07-29</t>
  </si>
  <si>
    <t>2004-07-30</t>
  </si>
  <si>
    <t>2004-07-31</t>
  </si>
  <si>
    <t>2004-08-01</t>
  </si>
  <si>
    <t>2004-08-02</t>
  </si>
  <si>
    <t>2004-08-03</t>
  </si>
  <si>
    <t>2004-08-04</t>
  </si>
  <si>
    <t>2004-08-05</t>
  </si>
  <si>
    <t>2004-08-06</t>
  </si>
  <si>
    <t>2004-08-07</t>
  </si>
  <si>
    <t>2004-08-08</t>
  </si>
  <si>
    <t>2004-08-09</t>
  </si>
  <si>
    <t>2004-08-10</t>
  </si>
  <si>
    <t>2004-08-11</t>
  </si>
  <si>
    <t>2004-08-12</t>
  </si>
  <si>
    <t>2004-08-13</t>
  </si>
  <si>
    <t>2004-08-14</t>
  </si>
  <si>
    <t>2004-08-15</t>
  </si>
  <si>
    <t>2004-08-16</t>
  </si>
  <si>
    <t>2004-08-17</t>
  </si>
  <si>
    <t>2004-08-18</t>
  </si>
  <si>
    <t>2004-08-19</t>
  </si>
  <si>
    <t>2004-08-20</t>
  </si>
  <si>
    <t>2004-08-21</t>
  </si>
  <si>
    <t>2004-08-22</t>
  </si>
  <si>
    <t>2004-08-23</t>
  </si>
  <si>
    <t>2004-08-24</t>
  </si>
  <si>
    <t>2004-08-25</t>
  </si>
  <si>
    <t>2004-08-26</t>
  </si>
  <si>
    <t>2004-08-27</t>
  </si>
  <si>
    <t>2004-08-28</t>
  </si>
  <si>
    <t>2004-08-29</t>
  </si>
  <si>
    <t>2004-08-30</t>
  </si>
  <si>
    <t>2004-08-31</t>
  </si>
  <si>
    <t>2004-09-01</t>
  </si>
  <si>
    <t>2004-09-02</t>
  </si>
  <si>
    <t>2004-09-03</t>
  </si>
  <si>
    <t>2004-09-04</t>
  </si>
  <si>
    <t>2004-09-05</t>
  </si>
  <si>
    <t>2004-09-06</t>
  </si>
  <si>
    <t>2004-09-07</t>
  </si>
  <si>
    <t>2004-09-08</t>
  </si>
  <si>
    <t>2004-09-09</t>
  </si>
  <si>
    <t>2004-09-10</t>
  </si>
  <si>
    <t>2004-09-11</t>
  </si>
  <si>
    <t>2004-09-12</t>
  </si>
  <si>
    <t>2004-09-13</t>
  </si>
  <si>
    <t>2004-09-14</t>
  </si>
  <si>
    <t>2004-09-15</t>
  </si>
  <si>
    <t>2004-09-16</t>
  </si>
  <si>
    <t>2004-09-17</t>
  </si>
  <si>
    <t>2004-09-18</t>
  </si>
  <si>
    <t>2004-09-19</t>
  </si>
  <si>
    <t>2004-09-20</t>
  </si>
  <si>
    <t>2004-09-21</t>
  </si>
  <si>
    <t>2004-09-22</t>
  </si>
  <si>
    <t>2004-09-23</t>
  </si>
  <si>
    <t>2004-09-24</t>
  </si>
  <si>
    <t>2004-09-25</t>
  </si>
  <si>
    <t>2004-09-26</t>
  </si>
  <si>
    <t>2004-09-27</t>
  </si>
  <si>
    <t>2004-09-28</t>
  </si>
  <si>
    <t>2004-09-29</t>
  </si>
  <si>
    <t>2004-09-30</t>
  </si>
  <si>
    <t>2004-10-01</t>
  </si>
  <si>
    <t>2004-10-02</t>
  </si>
  <si>
    <t>2004-10-03</t>
  </si>
  <si>
    <t>2004-10-04</t>
  </si>
  <si>
    <t>2004-10-05</t>
  </si>
  <si>
    <t>2004-10-06</t>
  </si>
  <si>
    <t>2004-10-07</t>
  </si>
  <si>
    <t>2004-10-08</t>
  </si>
  <si>
    <t>2004-10-09</t>
  </si>
  <si>
    <t>2004-10-10</t>
  </si>
  <si>
    <t>2004-10-11</t>
  </si>
  <si>
    <t>2004-10-12</t>
  </si>
  <si>
    <t>2004-10-13</t>
  </si>
  <si>
    <t>2004-10-14</t>
  </si>
  <si>
    <t>2004-10-15</t>
  </si>
  <si>
    <t>2004-10-16</t>
  </si>
  <si>
    <t>2004-10-17</t>
  </si>
  <si>
    <t>2004-10-18</t>
  </si>
  <si>
    <t>2004-10-19</t>
  </si>
  <si>
    <t>2004-10-20</t>
  </si>
  <si>
    <t>2004-10-21</t>
  </si>
  <si>
    <t>2004-10-22</t>
  </si>
  <si>
    <t>2004-10-23</t>
  </si>
  <si>
    <t>2004-10-24</t>
  </si>
  <si>
    <t>2004-10-25</t>
  </si>
  <si>
    <t>2004-10-26</t>
  </si>
  <si>
    <t>2004-10-27</t>
  </si>
  <si>
    <t>2004-10-28</t>
  </si>
  <si>
    <t>2004-10-29</t>
  </si>
  <si>
    <t>2004-10-30</t>
  </si>
  <si>
    <t>2004-10-31</t>
  </si>
  <si>
    <t>2004-11-01</t>
  </si>
  <si>
    <t>2004-11-02</t>
  </si>
  <si>
    <t>2004-11-03</t>
  </si>
  <si>
    <t>2004-11-04</t>
  </si>
  <si>
    <t>2004-11-05</t>
  </si>
  <si>
    <t>2004-11-06</t>
  </si>
  <si>
    <t>2004-11-07</t>
  </si>
  <si>
    <t>2004-11-08</t>
  </si>
  <si>
    <t>2004-11-09</t>
  </si>
  <si>
    <t>2004-11-10</t>
  </si>
  <si>
    <t>2004-11-11</t>
  </si>
  <si>
    <t>2004-11-12</t>
  </si>
  <si>
    <t>2004-11-13</t>
  </si>
  <si>
    <t>2004-11-14</t>
  </si>
  <si>
    <t>2004-11-15</t>
  </si>
  <si>
    <t>2004-11-16</t>
  </si>
  <si>
    <t>2004-11-17</t>
  </si>
  <si>
    <t>2004-11-18</t>
  </si>
  <si>
    <t>2004-11-19</t>
  </si>
  <si>
    <t>2004-11-20</t>
  </si>
  <si>
    <t>2004-11-21</t>
  </si>
  <si>
    <t>2004-11-22</t>
  </si>
  <si>
    <t>2004-11-23</t>
  </si>
  <si>
    <t>2004-11-24</t>
  </si>
  <si>
    <t>2004-11-25</t>
  </si>
  <si>
    <t>2004-11-26</t>
  </si>
  <si>
    <t>2004-11-27</t>
  </si>
  <si>
    <t>2004-11-28</t>
  </si>
  <si>
    <t>2004-11-29</t>
  </si>
  <si>
    <t>2004-11-30</t>
  </si>
  <si>
    <t>2004-12-01</t>
  </si>
  <si>
    <t>2004-12-02</t>
  </si>
  <si>
    <t>2004-12-03</t>
  </si>
  <si>
    <t>2004-12-04</t>
  </si>
  <si>
    <t>2004-12-05</t>
  </si>
  <si>
    <t>2004-12-06</t>
  </si>
  <si>
    <t>2004-12-07</t>
  </si>
  <si>
    <t>2004-12-08</t>
  </si>
  <si>
    <t>2004-12-09</t>
  </si>
  <si>
    <t>2004-12-10</t>
  </si>
  <si>
    <t>2004-12-11</t>
  </si>
  <si>
    <t>2004-12-12</t>
  </si>
  <si>
    <t>2004-12-13</t>
  </si>
  <si>
    <t>2004-12-14</t>
  </si>
  <si>
    <t>2004-12-15</t>
  </si>
  <si>
    <t>2004-12-16</t>
  </si>
  <si>
    <t>2004-12-17</t>
  </si>
  <si>
    <t>2004-12-18</t>
  </si>
  <si>
    <t>2004-12-19</t>
  </si>
  <si>
    <t>2004-12-20</t>
  </si>
  <si>
    <t>2004-12-21</t>
  </si>
  <si>
    <t>2004-12-22</t>
  </si>
  <si>
    <t>2004-12-23</t>
  </si>
  <si>
    <t>2004-12-24</t>
  </si>
  <si>
    <t>2004-12-25</t>
  </si>
  <si>
    <t>2004-12-26</t>
  </si>
  <si>
    <t>2004-12-27</t>
  </si>
  <si>
    <t>2004-12-28</t>
  </si>
  <si>
    <t>2004-12-29</t>
  </si>
  <si>
    <t>2004-12-30</t>
  </si>
  <si>
    <t>2004-12-31</t>
  </si>
  <si>
    <t>2005-01-01</t>
  </si>
  <si>
    <t>2005-01-02</t>
  </si>
  <si>
    <t>2005-01-03</t>
  </si>
  <si>
    <t>2005-01-04</t>
  </si>
  <si>
    <t>2005-01-05</t>
  </si>
  <si>
    <t>2005-01-06</t>
  </si>
  <si>
    <t>2005-01-07</t>
  </si>
  <si>
    <t>2005-01-08</t>
  </si>
  <si>
    <t>2005-01-09</t>
  </si>
  <si>
    <t>2005-01-10</t>
  </si>
  <si>
    <t>2005-01-11</t>
  </si>
  <si>
    <t>2005-01-12</t>
  </si>
  <si>
    <t>2005-01-13</t>
  </si>
  <si>
    <t>2005-01-14</t>
  </si>
  <si>
    <t>2005-01-15</t>
  </si>
  <si>
    <t>2005-01-16</t>
  </si>
  <si>
    <t>2005-01-17</t>
  </si>
  <si>
    <t>2005-01-18</t>
  </si>
  <si>
    <t>2005-01-19</t>
  </si>
  <si>
    <t>2005-01-20</t>
  </si>
  <si>
    <t>2005-01-21</t>
  </si>
  <si>
    <t>2005-01-22</t>
  </si>
  <si>
    <t>2005-01-23</t>
  </si>
  <si>
    <t>2005-01-24</t>
  </si>
  <si>
    <t>2005-01-25</t>
  </si>
  <si>
    <t>2005-01-26</t>
  </si>
  <si>
    <t>2005-01-27</t>
  </si>
  <si>
    <t>2005-01-28</t>
  </si>
  <si>
    <t>2005-01-29</t>
  </si>
  <si>
    <t>2005-01-30</t>
  </si>
  <si>
    <t>2005-01-31</t>
  </si>
  <si>
    <t>2005-02-01</t>
  </si>
  <si>
    <t>2005-02-02</t>
  </si>
  <si>
    <t>2005-02-03</t>
  </si>
  <si>
    <t>2005-02-04</t>
  </si>
  <si>
    <t>2005-02-05</t>
  </si>
  <si>
    <t>2005-02-06</t>
  </si>
  <si>
    <t>2005-02-07</t>
  </si>
  <si>
    <t>2005-02-08</t>
  </si>
  <si>
    <t>2005-02-09</t>
  </si>
  <si>
    <t>2005-02-10</t>
  </si>
  <si>
    <t>2005-02-11</t>
  </si>
  <si>
    <t>2005-02-12</t>
  </si>
  <si>
    <t>2005-02-13</t>
  </si>
  <si>
    <t>2005-02-14</t>
  </si>
  <si>
    <t>2005-02-15</t>
  </si>
  <si>
    <t>2005-02-16</t>
  </si>
  <si>
    <t>2005-02-17</t>
  </si>
  <si>
    <t>2005-02-18</t>
  </si>
  <si>
    <t>2005-02-19</t>
  </si>
  <si>
    <t>2005-02-20</t>
  </si>
  <si>
    <t>2005-02-21</t>
  </si>
  <si>
    <t>2005-02-22</t>
  </si>
  <si>
    <t>2005-02-23</t>
  </si>
  <si>
    <t>2005-02-24</t>
  </si>
  <si>
    <t>2005-02-25</t>
  </si>
  <si>
    <t>2005-02-26</t>
  </si>
  <si>
    <t>2005-02-27</t>
  </si>
  <si>
    <t>2005-02-28</t>
  </si>
  <si>
    <t>2000-02-29</t>
  </si>
  <si>
    <t>2005-03-01</t>
  </si>
  <si>
    <t>2005-03-02</t>
  </si>
  <si>
    <t>2005-03-03</t>
  </si>
  <si>
    <t>2005-03-04</t>
  </si>
  <si>
    <t>2005-03-05</t>
  </si>
  <si>
    <t>2005-03-06</t>
  </si>
  <si>
    <t>2005-03-07</t>
  </si>
  <si>
    <t>2005-03-08</t>
  </si>
  <si>
    <t>2005-03-09</t>
  </si>
  <si>
    <t>2005-03-10</t>
  </si>
  <si>
    <t>2005-03-11</t>
  </si>
  <si>
    <t>2005-03-12</t>
  </si>
  <si>
    <t>2005-03-13</t>
  </si>
  <si>
    <t>2005-03-14</t>
  </si>
  <si>
    <t>2005-03-15</t>
  </si>
  <si>
    <t>2005-03-16</t>
  </si>
  <si>
    <t>2005-03-17</t>
  </si>
  <si>
    <t>2005-03-18</t>
  </si>
  <si>
    <t>2005-03-19</t>
  </si>
  <si>
    <t>2005-03-20</t>
  </si>
  <si>
    <t>2005-03-21</t>
  </si>
  <si>
    <t>2005-03-22</t>
  </si>
  <si>
    <t>2005-03-23</t>
  </si>
  <si>
    <t>2005-03-24</t>
  </si>
  <si>
    <t>2005-03-25</t>
  </si>
  <si>
    <t>2005-03-26</t>
  </si>
  <si>
    <t>2005-03-27</t>
  </si>
  <si>
    <t>2005-03-28</t>
  </si>
  <si>
    <t>2005-03-29</t>
  </si>
  <si>
    <t>2005-03-30</t>
  </si>
  <si>
    <t>2005-03-31</t>
  </si>
  <si>
    <t>2005-04-01</t>
  </si>
  <si>
    <t>2005-04-02</t>
  </si>
  <si>
    <t>2005-04-03</t>
  </si>
  <si>
    <t>2005-04-04</t>
  </si>
  <si>
    <t>2005-04-05</t>
  </si>
  <si>
    <t>2005-04-06</t>
  </si>
  <si>
    <t>2005-04-07</t>
  </si>
  <si>
    <t>2005-04-08</t>
  </si>
  <si>
    <t>2005-04-09</t>
  </si>
  <si>
    <t>2005-04-10</t>
  </si>
  <si>
    <t>2005-04-11</t>
  </si>
  <si>
    <t>2005-04-12</t>
  </si>
  <si>
    <t>2005-04-13</t>
  </si>
  <si>
    <t>2005-04-14</t>
  </si>
  <si>
    <t>2005-04-15</t>
  </si>
  <si>
    <t>2005-04-16</t>
  </si>
  <si>
    <t>2005-04-17</t>
  </si>
  <si>
    <t>2005-04-18</t>
  </si>
  <si>
    <t>2005-04-19</t>
  </si>
  <si>
    <t>2005-04-20</t>
  </si>
  <si>
    <t>2005-04-21</t>
  </si>
  <si>
    <t>2005-04-22</t>
  </si>
  <si>
    <t>2005-04-23</t>
  </si>
  <si>
    <t>2005-04-24</t>
  </si>
  <si>
    <t>2005-04-25</t>
  </si>
  <si>
    <t>2005-04-26</t>
  </si>
  <si>
    <t>2005-04-27</t>
  </si>
  <si>
    <t>2005-04-28</t>
  </si>
  <si>
    <t>2005-04-29</t>
  </si>
  <si>
    <t>2005-04-30</t>
  </si>
  <si>
    <t>2005-05-01</t>
  </si>
  <si>
    <t>2005-05-02</t>
  </si>
  <si>
    <t>2005-05-03</t>
  </si>
  <si>
    <t>2005-05-04</t>
  </si>
  <si>
    <t>2005-05-05</t>
  </si>
  <si>
    <t>2005-05-06</t>
  </si>
  <si>
    <t>2005-05-07</t>
  </si>
  <si>
    <t>2005-05-08</t>
  </si>
  <si>
    <t>2005-05-09</t>
  </si>
  <si>
    <t>2005-05-10</t>
  </si>
  <si>
    <t>2005-05-11</t>
  </si>
  <si>
    <t>2005-05-12</t>
  </si>
  <si>
    <t>2005-05-13</t>
  </si>
  <si>
    <t>2005-05-14</t>
  </si>
  <si>
    <t>2005-05-15</t>
  </si>
  <si>
    <t>2005-05-16</t>
  </si>
  <si>
    <t>2005-05-17</t>
  </si>
  <si>
    <t>2005-05-18</t>
  </si>
  <si>
    <t>2005-05-19</t>
  </si>
  <si>
    <t>2005-05-20</t>
  </si>
  <si>
    <t>2005-05-21</t>
  </si>
  <si>
    <t>2005-05-22</t>
  </si>
  <si>
    <t>2005-05-23</t>
  </si>
  <si>
    <t>2005-05-24</t>
  </si>
  <si>
    <t>2005-05-25</t>
  </si>
  <si>
    <t>2005-05-26</t>
  </si>
  <si>
    <t>2005-05-27</t>
  </si>
  <si>
    <t>2005-05-28</t>
  </si>
  <si>
    <t>2005-05-29</t>
  </si>
  <si>
    <t>2005-05-30</t>
  </si>
  <si>
    <t>2005-05-31</t>
  </si>
  <si>
    <t>2005-06-01</t>
  </si>
  <si>
    <t>2005-06-02</t>
  </si>
  <si>
    <t>2005-06-03</t>
  </si>
  <si>
    <t>2005-06-04</t>
  </si>
  <si>
    <t>2005-06-05</t>
  </si>
  <si>
    <t>2005-06-06</t>
  </si>
  <si>
    <t>2005-06-07</t>
  </si>
  <si>
    <t>2005-06-08</t>
  </si>
  <si>
    <t>2005-06-09</t>
  </si>
  <si>
    <t>2005-06-10</t>
  </si>
  <si>
    <t>2005-06-11</t>
  </si>
  <si>
    <t>2005-06-12</t>
  </si>
  <si>
    <t>2005-06-13</t>
  </si>
  <si>
    <t>2005-06-14</t>
  </si>
  <si>
    <t>2005-06-15</t>
  </si>
  <si>
    <t>2005-06-16</t>
  </si>
  <si>
    <t>2005-06-17</t>
  </si>
  <si>
    <t>2005-06-18</t>
  </si>
  <si>
    <t>2005-06-19</t>
  </si>
  <si>
    <t>2005-06-20</t>
  </si>
  <si>
    <t>2005-06-21</t>
  </si>
  <si>
    <t>2005-06-22</t>
  </si>
  <si>
    <t>2005-06-23</t>
  </si>
  <si>
    <t>2005-06-24</t>
  </si>
  <si>
    <t>2005-06-25</t>
  </si>
  <si>
    <t>2005-06-26</t>
  </si>
  <si>
    <t>2005-06-27</t>
  </si>
  <si>
    <t>2005-06-28</t>
  </si>
  <si>
    <t>2005-06-29</t>
  </si>
  <si>
    <t>2005-06-30</t>
  </si>
  <si>
    <t>2005-07-01</t>
  </si>
  <si>
    <t>2005-07-02</t>
  </si>
  <si>
    <t>2005-07-03</t>
  </si>
  <si>
    <t>2005-07-04</t>
  </si>
  <si>
    <t>2005-07-05</t>
  </si>
  <si>
    <t>2005-07-06</t>
  </si>
  <si>
    <t>2005-07-07</t>
  </si>
  <si>
    <t>2005-07-08</t>
  </si>
  <si>
    <t>2005-07-09</t>
  </si>
  <si>
    <t>2005-07-10</t>
  </si>
  <si>
    <t>2005-07-11</t>
  </si>
  <si>
    <t>2005-07-12</t>
  </si>
  <si>
    <t>2005-07-13</t>
  </si>
  <si>
    <t>2005-07-14</t>
  </si>
  <si>
    <t>2005-07-15</t>
  </si>
  <si>
    <t>2005-07-16</t>
  </si>
  <si>
    <t>2005-07-17</t>
  </si>
  <si>
    <t>2005-07-18</t>
  </si>
  <si>
    <t>2005-07-19</t>
  </si>
  <si>
    <t>2005-07-20</t>
  </si>
  <si>
    <t>2005-07-21</t>
  </si>
  <si>
    <t>2005-07-22</t>
  </si>
  <si>
    <t>2005-07-23</t>
  </si>
  <si>
    <t>2005-07-24</t>
  </si>
  <si>
    <t>2005-07-25</t>
  </si>
  <si>
    <t>2005-07-26</t>
  </si>
  <si>
    <t>2005-07-27</t>
  </si>
  <si>
    <t>2005-07-28</t>
  </si>
  <si>
    <t>2005-07-29</t>
  </si>
  <si>
    <t>2005-07-30</t>
  </si>
  <si>
    <t>2005-07-31</t>
  </si>
  <si>
    <t>2005-08-01</t>
  </si>
  <si>
    <t>2005-08-02</t>
  </si>
  <si>
    <t>2005-08-03</t>
  </si>
  <si>
    <t>2005-08-04</t>
  </si>
  <si>
    <t>2005-08-05</t>
  </si>
  <si>
    <t>2005-08-06</t>
  </si>
  <si>
    <t>2005-08-07</t>
  </si>
  <si>
    <t>2005-08-08</t>
  </si>
  <si>
    <t>2005-08-09</t>
  </si>
  <si>
    <t>2005-08-10</t>
  </si>
  <si>
    <t>2005-08-11</t>
  </si>
  <si>
    <t>2005-08-12</t>
  </si>
  <si>
    <t>2005-08-13</t>
  </si>
  <si>
    <t>2005-08-14</t>
  </si>
  <si>
    <t>2005-08-15</t>
  </si>
  <si>
    <t>2005-08-16</t>
  </si>
  <si>
    <t>2005-08-17</t>
  </si>
  <si>
    <t>2005-08-18</t>
  </si>
  <si>
    <t>2005-08-19</t>
  </si>
  <si>
    <t>2005-08-20</t>
  </si>
  <si>
    <t>2005-08-21</t>
  </si>
  <si>
    <t>2005-08-22</t>
  </si>
  <si>
    <t>2005-08-23</t>
  </si>
  <si>
    <t>2005-08-24</t>
  </si>
  <si>
    <t>2005-08-25</t>
  </si>
  <si>
    <t>2005-08-26</t>
  </si>
  <si>
    <t>2005-08-27</t>
  </si>
  <si>
    <t>2005-08-28</t>
  </si>
  <si>
    <t>2005-08-29</t>
  </si>
  <si>
    <t>2005-08-30</t>
  </si>
  <si>
    <t>2005-08-31</t>
  </si>
  <si>
    <t>2005-09-01</t>
  </si>
  <si>
    <t>2005-09-02</t>
  </si>
  <si>
    <t>2005-09-03</t>
  </si>
  <si>
    <t>2005-09-04</t>
  </si>
  <si>
    <t>2005-09-05</t>
  </si>
  <si>
    <t>2005-09-06</t>
  </si>
  <si>
    <t>2005-09-07</t>
  </si>
  <si>
    <t>2005-09-08</t>
  </si>
  <si>
    <t>2005-09-09</t>
  </si>
  <si>
    <t>2005-09-10</t>
  </si>
  <si>
    <t>2005-09-11</t>
  </si>
  <si>
    <t>2005-09-12</t>
  </si>
  <si>
    <t>2005-09-13</t>
  </si>
  <si>
    <t>2005-09-14</t>
  </si>
  <si>
    <t>2005-09-15</t>
  </si>
  <si>
    <t>2005-09-16</t>
  </si>
  <si>
    <t>2005-09-17</t>
  </si>
  <si>
    <t>2005-09-18</t>
  </si>
  <si>
    <t>2005-09-19</t>
  </si>
  <si>
    <t>2005-09-20</t>
  </si>
  <si>
    <t>2005-09-21</t>
  </si>
  <si>
    <t>2005-09-22</t>
  </si>
  <si>
    <t>2005-09-23</t>
  </si>
  <si>
    <t>2005-09-24</t>
  </si>
  <si>
    <t>2005-09-25</t>
  </si>
  <si>
    <t>2005-09-26</t>
  </si>
  <si>
    <t>2005-09-27</t>
  </si>
  <si>
    <t>2005-09-28</t>
  </si>
  <si>
    <t>2005-09-29</t>
  </si>
  <si>
    <t>2005-09-30</t>
  </si>
  <si>
    <t>2005-10-01</t>
  </si>
  <si>
    <t>2005-10-02</t>
  </si>
  <si>
    <t>2005-10-03</t>
  </si>
  <si>
    <t>2005-10-04</t>
  </si>
  <si>
    <t>2005-10-05</t>
  </si>
  <si>
    <t>2005-10-06</t>
  </si>
  <si>
    <t>2005-10-07</t>
  </si>
  <si>
    <t>2005-10-08</t>
  </si>
  <si>
    <t>2005-10-09</t>
  </si>
  <si>
    <t>2005-10-10</t>
  </si>
  <si>
    <t>2005-10-11</t>
  </si>
  <si>
    <t>2005-10-12</t>
  </si>
  <si>
    <t>2005-10-13</t>
  </si>
  <si>
    <t>2005-10-14</t>
  </si>
  <si>
    <t>2005-10-15</t>
  </si>
  <si>
    <t>2005-10-16</t>
  </si>
  <si>
    <t>2005-10-17</t>
  </si>
  <si>
    <t>2005-10-18</t>
  </si>
  <si>
    <t>2005-10-19</t>
  </si>
  <si>
    <t>2005-10-20</t>
  </si>
  <si>
    <t>2005-10-21</t>
  </si>
  <si>
    <t>2005-10-22</t>
  </si>
  <si>
    <t>2005-10-23</t>
  </si>
  <si>
    <t>2005-10-24</t>
  </si>
  <si>
    <t>2005-10-25</t>
  </si>
  <si>
    <t>2005-10-26</t>
  </si>
  <si>
    <t>2005-10-27</t>
  </si>
  <si>
    <t>2005-10-28</t>
  </si>
  <si>
    <t>2005-10-29</t>
  </si>
  <si>
    <t>2005-10-30</t>
  </si>
  <si>
    <t>2005-10-31</t>
  </si>
  <si>
    <t>2005-11-01</t>
  </si>
  <si>
    <t>2005-11-02</t>
  </si>
  <si>
    <t>2005-11-03</t>
  </si>
  <si>
    <t>2005-11-04</t>
  </si>
  <si>
    <t>2005-11-05</t>
  </si>
  <si>
    <t>2005-11-06</t>
  </si>
  <si>
    <t>2005-11-07</t>
  </si>
  <si>
    <t>2005-11-08</t>
  </si>
  <si>
    <t>2005-11-09</t>
  </si>
  <si>
    <t>2005-11-10</t>
  </si>
  <si>
    <t>2005-11-11</t>
  </si>
  <si>
    <t>2005-11-12</t>
  </si>
  <si>
    <t>2005-11-13</t>
  </si>
  <si>
    <t>2005-11-14</t>
  </si>
  <si>
    <t>2005-11-15</t>
  </si>
  <si>
    <t>2005-11-16</t>
  </si>
  <si>
    <t>2005-11-17</t>
  </si>
  <si>
    <t>2005-11-18</t>
  </si>
  <si>
    <t>2005-11-19</t>
  </si>
  <si>
    <t>2005-11-20</t>
  </si>
  <si>
    <t>2005-11-21</t>
  </si>
  <si>
    <t>2005-11-22</t>
  </si>
  <si>
    <t>2005-11-23</t>
  </si>
  <si>
    <t>2005-11-24</t>
  </si>
  <si>
    <t>2005-11-25</t>
  </si>
  <si>
    <t>2005-11-26</t>
  </si>
  <si>
    <t>2005-11-27</t>
  </si>
  <si>
    <t>2005-11-28</t>
  </si>
  <si>
    <t>2005-11-29</t>
  </si>
  <si>
    <t>2005-11-30</t>
  </si>
  <si>
    <t>2005-12-01</t>
  </si>
  <si>
    <t>2005-12-02</t>
  </si>
  <si>
    <t>2005-12-03</t>
  </si>
  <si>
    <t>2005-12-04</t>
  </si>
  <si>
    <t>2005-12-05</t>
  </si>
  <si>
    <t>2005-12-06</t>
  </si>
  <si>
    <t>2005-12-07</t>
  </si>
  <si>
    <t>2005-12-08</t>
  </si>
  <si>
    <t>2005-12-09</t>
  </si>
  <si>
    <t>2005-12-10</t>
  </si>
  <si>
    <t>2005-12-11</t>
  </si>
  <si>
    <t>2005-12-12</t>
  </si>
  <si>
    <t>2005-12-13</t>
  </si>
  <si>
    <t>2005-12-14</t>
  </si>
  <si>
    <t>2005-12-15</t>
  </si>
  <si>
    <t>2005-12-16</t>
  </si>
  <si>
    <t>2005-12-17</t>
  </si>
  <si>
    <t>2005-12-18</t>
  </si>
  <si>
    <t>2005-12-19</t>
  </si>
  <si>
    <t>2005-12-20</t>
  </si>
  <si>
    <t>2005-12-21</t>
  </si>
  <si>
    <t>2005-12-22</t>
  </si>
  <si>
    <t>2005-12-23</t>
  </si>
  <si>
    <t>2005-12-24</t>
  </si>
  <si>
    <t>2005-12-25</t>
  </si>
  <si>
    <t>2005-12-26</t>
  </si>
  <si>
    <t>2005-12-27</t>
  </si>
  <si>
    <t>2005-12-28</t>
  </si>
  <si>
    <t>2005-12-29</t>
  </si>
  <si>
    <t>2005-12-30</t>
  </si>
  <si>
    <t>2005-12-31</t>
  </si>
  <si>
    <t>2006-01-01</t>
  </si>
  <si>
    <t>2006-01-02</t>
  </si>
  <si>
    <t>2006-01-03</t>
  </si>
  <si>
    <t>2006-01-04</t>
  </si>
  <si>
    <t>2006-01-05</t>
  </si>
  <si>
    <t>2006-01-06</t>
  </si>
  <si>
    <t>2006-01-07</t>
  </si>
  <si>
    <t>2006-01-08</t>
  </si>
  <si>
    <t>2006-01-09</t>
  </si>
  <si>
    <t>2006-01-10</t>
  </si>
  <si>
    <t>2006-01-11</t>
  </si>
  <si>
    <t>2006-01-12</t>
  </si>
  <si>
    <t>2006-01-13</t>
  </si>
  <si>
    <t>2006-01-14</t>
  </si>
  <si>
    <t>2006-01-15</t>
  </si>
  <si>
    <t>2006-01-16</t>
  </si>
  <si>
    <t>2006-01-17</t>
  </si>
  <si>
    <t>2006-01-18</t>
  </si>
  <si>
    <t>2006-01-19</t>
  </si>
  <si>
    <t>2006-01-20</t>
  </si>
  <si>
    <t>2006-01-21</t>
  </si>
  <si>
    <t>2006-01-22</t>
  </si>
  <si>
    <t>2006-01-23</t>
  </si>
  <si>
    <t>2006-01-24</t>
  </si>
  <si>
    <t>2006-01-25</t>
  </si>
  <si>
    <t>2006-01-26</t>
  </si>
  <si>
    <t>2006-01-27</t>
  </si>
  <si>
    <t>2006-01-28</t>
  </si>
  <si>
    <t>2006-01-29</t>
  </si>
  <si>
    <t>2006-01-30</t>
  </si>
  <si>
    <t>2006-01-31</t>
  </si>
  <si>
    <t>2006-02-01</t>
  </si>
  <si>
    <t>2006-02-02</t>
  </si>
  <si>
    <t>2006-02-03</t>
  </si>
  <si>
    <t>2006-02-04</t>
  </si>
  <si>
    <t>2006-02-05</t>
  </si>
  <si>
    <t>2006-02-06</t>
  </si>
  <si>
    <t>2006-02-07</t>
  </si>
  <si>
    <t>2006-02-08</t>
  </si>
  <si>
    <t>2006-02-09</t>
  </si>
  <si>
    <t>2006-02-10</t>
  </si>
  <si>
    <t>2006-02-11</t>
  </si>
  <si>
    <t>2006-02-12</t>
  </si>
  <si>
    <t>2006-02-13</t>
  </si>
  <si>
    <t>2006-02-14</t>
  </si>
  <si>
    <t>2006-02-15</t>
  </si>
  <si>
    <t>2006-02-16</t>
  </si>
  <si>
    <t>2006-02-17</t>
  </si>
  <si>
    <t>2006-02-18</t>
  </si>
  <si>
    <t>2006-02-19</t>
  </si>
  <si>
    <t>2006-02-20</t>
  </si>
  <si>
    <t>2006-02-21</t>
  </si>
  <si>
    <t>2006-02-22</t>
  </si>
  <si>
    <t>2006-02-23</t>
  </si>
  <si>
    <t>2006-02-24</t>
  </si>
  <si>
    <t>2006-02-25</t>
  </si>
  <si>
    <t>2006-02-26</t>
  </si>
  <si>
    <t>2006-02-27</t>
  </si>
  <si>
    <t>2006-02-28</t>
  </si>
  <si>
    <t>2006-03-01</t>
  </si>
  <si>
    <t>2006-03-02</t>
  </si>
  <si>
    <t>2006-03-03</t>
  </si>
  <si>
    <t>2006-03-04</t>
  </si>
  <si>
    <t>2006-03-05</t>
  </si>
  <si>
    <t>2006-03-06</t>
  </si>
  <si>
    <t>2006-03-07</t>
  </si>
  <si>
    <t>2006-03-08</t>
  </si>
  <si>
    <t>2006-03-09</t>
  </si>
  <si>
    <t>2006-03-10</t>
  </si>
  <si>
    <t>2006-03-11</t>
  </si>
  <si>
    <t>2006-03-12</t>
  </si>
  <si>
    <t>2006-03-13</t>
  </si>
  <si>
    <t>2006-03-14</t>
  </si>
  <si>
    <t>2006-03-15</t>
  </si>
  <si>
    <t>2006-03-16</t>
  </si>
  <si>
    <t>2006-03-17</t>
  </si>
  <si>
    <t>2006-03-18</t>
  </si>
  <si>
    <t>2006-03-19</t>
  </si>
  <si>
    <t>2006-03-20</t>
  </si>
  <si>
    <t>2006-03-21</t>
  </si>
  <si>
    <t>2006-03-22</t>
  </si>
  <si>
    <t>2006-03-23</t>
  </si>
  <si>
    <t>2006-03-24</t>
  </si>
  <si>
    <t>2006-03-25</t>
  </si>
  <si>
    <t>2006-03-26</t>
  </si>
  <si>
    <t>2006-03-27</t>
  </si>
  <si>
    <t>2006-03-28</t>
  </si>
  <si>
    <t>2006-03-29</t>
  </si>
  <si>
    <t>2006-03-30</t>
  </si>
  <si>
    <t>2006-03-31</t>
  </si>
  <si>
    <t>2006-04-01</t>
  </si>
  <si>
    <t>2006-04-02</t>
  </si>
  <si>
    <t>2006-04-03</t>
  </si>
  <si>
    <t>2006-04-04</t>
  </si>
  <si>
    <t>2006-04-05</t>
  </si>
  <si>
    <t>2006-04-06</t>
  </si>
  <si>
    <t>2006-04-07</t>
  </si>
  <si>
    <t>2006-04-08</t>
  </si>
  <si>
    <t>2006-04-09</t>
  </si>
  <si>
    <t>2006-04-10</t>
  </si>
  <si>
    <t>2006-04-11</t>
  </si>
  <si>
    <t>2006-04-12</t>
  </si>
  <si>
    <t>2006-04-13</t>
  </si>
  <si>
    <t>2006-04-14</t>
  </si>
  <si>
    <t>2006-04-15</t>
  </si>
  <si>
    <t>2006-04-16</t>
  </si>
  <si>
    <t>2006-04-17</t>
  </si>
  <si>
    <t>2006-04-18</t>
  </si>
  <si>
    <t>2006-04-19</t>
  </si>
  <si>
    <t>2006-04-20</t>
  </si>
  <si>
    <t>2006-04-21</t>
  </si>
  <si>
    <t>2006-04-22</t>
  </si>
  <si>
    <t>2006-04-23</t>
  </si>
  <si>
    <t>2006-04-24</t>
  </si>
  <si>
    <t>2006-04-25</t>
  </si>
  <si>
    <t>2006-04-26</t>
  </si>
  <si>
    <t>2006-04-27</t>
  </si>
  <si>
    <t>2006-04-28</t>
  </si>
  <si>
    <t>2006-04-29</t>
  </si>
  <si>
    <t>2006-04-30</t>
  </si>
  <si>
    <t>2006-05-01</t>
  </si>
  <si>
    <t>2006-05-02</t>
  </si>
  <si>
    <t>2006-05-03</t>
  </si>
  <si>
    <t>2006-05-04</t>
  </si>
  <si>
    <t>2006-05-05</t>
  </si>
  <si>
    <t>2006-05-06</t>
  </si>
  <si>
    <t>2006-05-07</t>
  </si>
  <si>
    <t>2006-05-08</t>
  </si>
  <si>
    <t>2006-05-09</t>
  </si>
  <si>
    <t>2006-05-10</t>
  </si>
  <si>
    <t>2006-05-11</t>
  </si>
  <si>
    <t>2006-05-12</t>
  </si>
  <si>
    <t>2006-05-13</t>
  </si>
  <si>
    <t>2006-05-14</t>
  </si>
  <si>
    <t>2006-05-15</t>
  </si>
  <si>
    <t>2006-05-16</t>
  </si>
  <si>
    <t>2006-05-17</t>
  </si>
  <si>
    <t>2006-05-18</t>
  </si>
  <si>
    <t>2006-05-19</t>
  </si>
  <si>
    <t>2006-05-20</t>
  </si>
  <si>
    <t>2006-05-21</t>
  </si>
  <si>
    <t>2006-05-22</t>
  </si>
  <si>
    <t>2006-05-23</t>
  </si>
  <si>
    <t>2006-05-24</t>
  </si>
  <si>
    <t>2006-05-25</t>
  </si>
  <si>
    <t>2006-05-26</t>
  </si>
  <si>
    <t>2006-05-27</t>
  </si>
  <si>
    <t>2006-05-28</t>
  </si>
  <si>
    <t>2006-05-29</t>
  </si>
  <si>
    <t>2006-05-30</t>
  </si>
  <si>
    <t>2006-05-31</t>
  </si>
  <si>
    <t>2006-06-01</t>
  </si>
  <si>
    <t>2006-06-02</t>
  </si>
  <si>
    <t>2006-06-03</t>
  </si>
  <si>
    <t>2006-06-04</t>
  </si>
  <si>
    <t>2006-06-05</t>
  </si>
  <si>
    <t>2006-06-06</t>
  </si>
  <si>
    <t>2006-06-07</t>
  </si>
  <si>
    <t>2006-06-08</t>
  </si>
  <si>
    <t>2006-06-09</t>
  </si>
  <si>
    <t>2006-06-10</t>
  </si>
  <si>
    <t>2006-06-11</t>
  </si>
  <si>
    <t>2006-06-12</t>
  </si>
  <si>
    <t>2006-06-13</t>
  </si>
  <si>
    <t>2006-06-14</t>
  </si>
  <si>
    <t>2006-06-15</t>
  </si>
  <si>
    <t>2006-06-16</t>
  </si>
  <si>
    <t>2006-06-17</t>
  </si>
  <si>
    <t>2006-06-18</t>
  </si>
  <si>
    <t>2006-06-19</t>
  </si>
  <si>
    <t>2006-06-20</t>
  </si>
  <si>
    <t>2006-06-21</t>
  </si>
  <si>
    <t>2006-06-22</t>
  </si>
  <si>
    <t>2006-06-23</t>
  </si>
  <si>
    <t>2006-06-24</t>
  </si>
  <si>
    <t>2006-06-25</t>
  </si>
  <si>
    <t>2006-06-26</t>
  </si>
  <si>
    <t>2006-06-27</t>
  </si>
  <si>
    <t>2006-06-28</t>
  </si>
  <si>
    <t>2006-06-29</t>
  </si>
  <si>
    <t>2006-06-30</t>
  </si>
  <si>
    <t>2006-07-01</t>
  </si>
  <si>
    <t>2006-07-02</t>
  </si>
  <si>
    <t>2006-07-03</t>
  </si>
  <si>
    <t>2006-07-04</t>
  </si>
  <si>
    <t>2006-07-05</t>
  </si>
  <si>
    <t>2006-07-06</t>
  </si>
  <si>
    <t>2006-07-07</t>
  </si>
  <si>
    <t>2006-07-08</t>
  </si>
  <si>
    <t>2006-07-09</t>
  </si>
  <si>
    <t>2006-07-10</t>
  </si>
  <si>
    <t>2006-07-11</t>
  </si>
  <si>
    <t>2006-07-12</t>
  </si>
  <si>
    <t>2006-07-13</t>
  </si>
  <si>
    <t>2006-07-14</t>
  </si>
  <si>
    <t>2006-07-15</t>
  </si>
  <si>
    <t>2006-07-16</t>
  </si>
  <si>
    <t>2006-07-17</t>
  </si>
  <si>
    <t>2006-07-18</t>
  </si>
  <si>
    <t>2006-07-19</t>
  </si>
  <si>
    <t>2006-07-20</t>
  </si>
  <si>
    <t>2006-07-21</t>
  </si>
  <si>
    <t>2006-07-22</t>
  </si>
  <si>
    <t>2006-07-23</t>
  </si>
  <si>
    <t>2006-07-24</t>
  </si>
  <si>
    <t>2006-07-25</t>
  </si>
  <si>
    <t>2006-07-26</t>
  </si>
  <si>
    <t>2006-07-27</t>
  </si>
  <si>
    <t>2006-07-28</t>
  </si>
  <si>
    <t>2006-07-29</t>
  </si>
  <si>
    <t>2006-07-30</t>
  </si>
  <si>
    <t>2006-07-31</t>
  </si>
  <si>
    <t>2006-08-01</t>
  </si>
  <si>
    <t>2006-08-02</t>
  </si>
  <si>
    <t>2006-08-03</t>
  </si>
  <si>
    <t>2006-08-04</t>
  </si>
  <si>
    <t>2006-08-05</t>
  </si>
  <si>
    <t>2006-08-06</t>
  </si>
  <si>
    <t>2006-08-07</t>
  </si>
  <si>
    <t>2006-08-08</t>
  </si>
  <si>
    <t>2006-08-09</t>
  </si>
  <si>
    <t>2006-08-10</t>
  </si>
  <si>
    <t>2006-08-11</t>
  </si>
  <si>
    <t>2006-08-12</t>
  </si>
  <si>
    <t>2006-08-13</t>
  </si>
  <si>
    <t>2006-08-14</t>
  </si>
  <si>
    <t>2006-08-15</t>
  </si>
  <si>
    <t>2006-08-16</t>
  </si>
  <si>
    <t>2006-08-17</t>
  </si>
  <si>
    <t>2006-08-18</t>
  </si>
  <si>
    <t>2006-08-19</t>
  </si>
  <si>
    <t>2006-08-20</t>
  </si>
  <si>
    <t>2006-08-21</t>
  </si>
  <si>
    <t>2006-08-22</t>
  </si>
  <si>
    <t>2006-08-23</t>
  </si>
  <si>
    <t>2006-08-24</t>
  </si>
  <si>
    <t>2006-08-25</t>
  </si>
  <si>
    <t>2006-08-26</t>
  </si>
  <si>
    <t>2006-08-27</t>
  </si>
  <si>
    <t>2006-08-28</t>
  </si>
  <si>
    <t>2006-08-29</t>
  </si>
  <si>
    <t>2006-08-30</t>
  </si>
  <si>
    <t>2006-08-31</t>
  </si>
  <si>
    <t>2006-09-01</t>
  </si>
  <si>
    <t>2006-09-02</t>
  </si>
  <si>
    <t>2006-09-03</t>
  </si>
  <si>
    <t>2006-09-04</t>
  </si>
  <si>
    <t>2006-09-05</t>
  </si>
  <si>
    <t>2006-09-06</t>
  </si>
  <si>
    <t>2006-09-07</t>
  </si>
  <si>
    <t>2006-09-08</t>
  </si>
  <si>
    <t>2006-09-09</t>
  </si>
  <si>
    <t>2006-09-10</t>
  </si>
  <si>
    <t>2006-09-11</t>
  </si>
  <si>
    <t>2006-09-12</t>
  </si>
  <si>
    <t>2006-09-13</t>
  </si>
  <si>
    <t>2006-09-14</t>
  </si>
  <si>
    <t>2006-09-15</t>
  </si>
  <si>
    <t>2006-09-16</t>
  </si>
  <si>
    <t>2006-09-17</t>
  </si>
  <si>
    <t>2006-09-18</t>
  </si>
  <si>
    <t>2006-09-19</t>
  </si>
  <si>
    <t>2006-09-20</t>
  </si>
  <si>
    <t>2006-09-21</t>
  </si>
  <si>
    <t>2006-09-22</t>
  </si>
  <si>
    <t>2006-09-23</t>
  </si>
  <si>
    <t>2006-09-24</t>
  </si>
  <si>
    <t>2006-09-25</t>
  </si>
  <si>
    <t>2006-09-26</t>
  </si>
  <si>
    <t>2006-09-27</t>
  </si>
  <si>
    <t>2006-09-28</t>
  </si>
  <si>
    <t>2006-09-29</t>
  </si>
  <si>
    <t>2006-09-30</t>
  </si>
  <si>
    <t>2006-10-01</t>
  </si>
  <si>
    <t>2006-10-02</t>
  </si>
  <si>
    <t>2006-10-03</t>
  </si>
  <si>
    <t>2006-10-04</t>
  </si>
  <si>
    <t>2006-10-05</t>
  </si>
  <si>
    <t>2006-10-06</t>
  </si>
  <si>
    <t>2006-10-07</t>
  </si>
  <si>
    <t>2006-10-08</t>
  </si>
  <si>
    <t>2006-10-09</t>
  </si>
  <si>
    <t>2006-10-10</t>
  </si>
  <si>
    <t>2006-10-11</t>
  </si>
  <si>
    <t>2006-10-12</t>
  </si>
  <si>
    <t>2006-10-13</t>
  </si>
  <si>
    <t>2006-10-14</t>
  </si>
  <si>
    <t>2006-10-15</t>
  </si>
  <si>
    <t>2006-10-16</t>
  </si>
  <si>
    <t>2006-10-17</t>
  </si>
  <si>
    <t>2006-10-18</t>
  </si>
  <si>
    <t>2006-10-19</t>
  </si>
  <si>
    <t>2006-10-20</t>
  </si>
  <si>
    <t>2006-10-21</t>
  </si>
  <si>
    <t>2006-10-22</t>
  </si>
  <si>
    <t>2006-10-23</t>
  </si>
  <si>
    <t>2006-10-24</t>
  </si>
  <si>
    <t>2006-10-25</t>
  </si>
  <si>
    <t>2006-10-26</t>
  </si>
  <si>
    <t>2006-10-27</t>
  </si>
  <si>
    <t>2006-10-28</t>
  </si>
  <si>
    <t>2006-10-29</t>
  </si>
  <si>
    <t>2006-10-30</t>
  </si>
  <si>
    <t>2006-10-31</t>
  </si>
  <si>
    <t>2006-11-01</t>
  </si>
  <si>
    <t>2006-11-02</t>
  </si>
  <si>
    <t>2006-11-03</t>
  </si>
  <si>
    <t>2006-11-04</t>
  </si>
  <si>
    <t>2006-11-05</t>
  </si>
  <si>
    <t>2006-11-06</t>
  </si>
  <si>
    <t>2006-11-07</t>
  </si>
  <si>
    <t>2006-11-08</t>
  </si>
  <si>
    <t>2006-11-09</t>
  </si>
  <si>
    <t>2006-11-10</t>
  </si>
  <si>
    <t>2006-11-11</t>
  </si>
  <si>
    <t>2006-11-12</t>
  </si>
  <si>
    <t>2006-11-13</t>
  </si>
  <si>
    <t>2006-11-14</t>
  </si>
  <si>
    <t>2006-11-15</t>
  </si>
  <si>
    <t>2006-11-16</t>
  </si>
  <si>
    <t>2006-11-17</t>
  </si>
  <si>
    <t>2006-11-18</t>
  </si>
  <si>
    <t>2006-11-19</t>
  </si>
  <si>
    <t>2006-11-20</t>
  </si>
  <si>
    <t>2006-11-21</t>
  </si>
  <si>
    <t>2006-11-22</t>
  </si>
  <si>
    <t>2006-11-23</t>
  </si>
  <si>
    <t>2006-11-24</t>
  </si>
  <si>
    <t>2006-11-25</t>
  </si>
  <si>
    <t>2006-11-26</t>
  </si>
  <si>
    <t>2006-11-27</t>
  </si>
  <si>
    <t>2006-11-28</t>
  </si>
  <si>
    <t>2006-11-29</t>
  </si>
  <si>
    <t>2006-11-30</t>
  </si>
  <si>
    <t>2006-12-01</t>
  </si>
  <si>
    <t>2006-12-02</t>
  </si>
  <si>
    <t>2006-12-03</t>
  </si>
  <si>
    <t>2006-12-04</t>
  </si>
  <si>
    <t>2006-12-05</t>
  </si>
  <si>
    <t>2006-12-06</t>
  </si>
  <si>
    <t>2006-12-07</t>
  </si>
  <si>
    <t>2006-12-08</t>
  </si>
  <si>
    <t>2006-12-09</t>
  </si>
  <si>
    <t>2006-12-10</t>
  </si>
  <si>
    <t>2006-12-11</t>
  </si>
  <si>
    <t>2006-12-12</t>
  </si>
  <si>
    <t>2006-12-13</t>
  </si>
  <si>
    <t>2006-12-14</t>
  </si>
  <si>
    <t>2006-12-15</t>
  </si>
  <si>
    <t>2006-12-16</t>
  </si>
  <si>
    <t>2006-12-17</t>
  </si>
  <si>
    <t>2006-12-18</t>
  </si>
  <si>
    <t>2006-12-19</t>
  </si>
  <si>
    <t>2006-12-20</t>
  </si>
  <si>
    <t>2006-12-21</t>
  </si>
  <si>
    <t>2006-12-22</t>
  </si>
  <si>
    <t>2006-12-23</t>
  </si>
  <si>
    <t>2006-12-24</t>
  </si>
  <si>
    <t>2006-12-25</t>
  </si>
  <si>
    <t>2006-12-26</t>
  </si>
  <si>
    <t>2006-12-27</t>
  </si>
  <si>
    <t>2006-12-28</t>
  </si>
  <si>
    <t>2006-12-29</t>
  </si>
  <si>
    <t>2006-12-30</t>
  </si>
  <si>
    <t>2006-12-31</t>
  </si>
  <si>
    <t>2007-01-01</t>
  </si>
  <si>
    <t>2007-01-02</t>
  </si>
  <si>
    <t>2007-01-03</t>
  </si>
  <si>
    <t>2007-01-04</t>
  </si>
  <si>
    <t>2007-01-05</t>
  </si>
  <si>
    <t>2007-01-06</t>
  </si>
  <si>
    <t>2007-01-07</t>
  </si>
  <si>
    <t>2007-01-08</t>
  </si>
  <si>
    <t>2007-01-09</t>
  </si>
  <si>
    <t>2007-01-10</t>
  </si>
  <si>
    <t>2007-01-11</t>
  </si>
  <si>
    <t>2007-01-12</t>
  </si>
  <si>
    <t>2007-01-13</t>
  </si>
  <si>
    <t>2007-01-14</t>
  </si>
  <si>
    <t>2007-01-15</t>
  </si>
  <si>
    <t>2007-01-16</t>
  </si>
  <si>
    <t>2007-01-17</t>
  </si>
  <si>
    <t>2007-01-18</t>
  </si>
  <si>
    <t>2007-01-19</t>
  </si>
  <si>
    <t>2007-01-20</t>
  </si>
  <si>
    <t>2007-01-21</t>
  </si>
  <si>
    <t>2007-01-22</t>
  </si>
  <si>
    <t>2007-01-23</t>
  </si>
  <si>
    <t>2007-01-24</t>
  </si>
  <si>
    <t>2007-01-25</t>
  </si>
  <si>
    <t>2007-01-26</t>
  </si>
  <si>
    <t>2007-01-27</t>
  </si>
  <si>
    <t>2007-01-28</t>
  </si>
  <si>
    <t>2007-01-29</t>
  </si>
  <si>
    <t>2007-01-30</t>
  </si>
  <si>
    <t>2007-01-31</t>
  </si>
  <si>
    <t>2007-02-01</t>
  </si>
  <si>
    <t>2007-02-02</t>
  </si>
  <si>
    <t>2007-02-03</t>
  </si>
  <si>
    <t>2007-02-04</t>
  </si>
  <si>
    <t>2007-02-05</t>
  </si>
  <si>
    <t>2007-02-06</t>
  </si>
  <si>
    <t>2007-02-07</t>
  </si>
  <si>
    <t>2007-02-08</t>
  </si>
  <si>
    <t>2007-02-09</t>
  </si>
  <si>
    <t>2007-02-10</t>
  </si>
  <si>
    <t>2007-02-11</t>
  </si>
  <si>
    <t>2007-02-12</t>
  </si>
  <si>
    <t>2007-02-13</t>
  </si>
  <si>
    <t>2007-02-14</t>
  </si>
  <si>
    <t>2007-02-15</t>
  </si>
  <si>
    <t>2007-02-16</t>
  </si>
  <si>
    <t>2007-02-17</t>
  </si>
  <si>
    <t>2007-02-18</t>
  </si>
  <si>
    <t>2007-02-19</t>
  </si>
  <si>
    <t>2007-02-20</t>
  </si>
  <si>
    <t>2007-02-21</t>
  </si>
  <si>
    <t>2007-02-22</t>
  </si>
  <si>
    <t>2007-02-23</t>
  </si>
  <si>
    <t>2007-02-24</t>
  </si>
  <si>
    <t>2007-02-25</t>
  </si>
  <si>
    <t>2007-02-26</t>
  </si>
  <si>
    <t>2007-02-27</t>
  </si>
  <si>
    <t>2007-02-28</t>
  </si>
  <si>
    <t>2007-03-01</t>
  </si>
  <si>
    <t>2007-03-02</t>
  </si>
  <si>
    <t>2007-03-03</t>
  </si>
  <si>
    <t>2007-03-04</t>
  </si>
  <si>
    <t>2007-03-05</t>
  </si>
  <si>
    <t>2007-03-06</t>
  </si>
  <si>
    <t>2007-03-07</t>
  </si>
  <si>
    <t>2007-03-08</t>
  </si>
  <si>
    <t>2007-03-09</t>
  </si>
  <si>
    <t>2007-03-10</t>
  </si>
  <si>
    <t>2007-03-11</t>
  </si>
  <si>
    <t>2007-03-12</t>
  </si>
  <si>
    <t>2007-03-13</t>
  </si>
  <si>
    <t>2007-03-14</t>
  </si>
  <si>
    <t>2007-03-15</t>
  </si>
  <si>
    <t>2007-03-16</t>
  </si>
  <si>
    <t>2007-03-17</t>
  </si>
  <si>
    <t>2007-03-18</t>
  </si>
  <si>
    <t>2007-03-19</t>
  </si>
  <si>
    <t>2007-03-20</t>
  </si>
  <si>
    <t>2007-03-21</t>
  </si>
  <si>
    <t>2007-03-22</t>
  </si>
  <si>
    <t>2007-03-23</t>
  </si>
  <si>
    <t>2007-03-24</t>
  </si>
  <si>
    <t>2007-03-25</t>
  </si>
  <si>
    <t>2007-03-26</t>
  </si>
  <si>
    <t>2007-03-27</t>
  </si>
  <si>
    <t>2007-03-28</t>
  </si>
  <si>
    <t>2007-03-29</t>
  </si>
  <si>
    <t>2007-03-30</t>
  </si>
  <si>
    <t>2007-03-31</t>
  </si>
  <si>
    <t>2007-04-01</t>
  </si>
  <si>
    <t>2007-04-02</t>
  </si>
  <si>
    <t>2007-04-03</t>
  </si>
  <si>
    <t>2007-04-04</t>
  </si>
  <si>
    <t>2007-04-05</t>
  </si>
  <si>
    <t>2007-04-06</t>
  </si>
  <si>
    <t>2007-04-07</t>
  </si>
  <si>
    <t>2007-04-08</t>
  </si>
  <si>
    <t>2007-04-09</t>
  </si>
  <si>
    <t>2007-04-10</t>
  </si>
  <si>
    <t>2007-04-11</t>
  </si>
  <si>
    <t>2007-04-12</t>
  </si>
  <si>
    <t>2007-04-13</t>
  </si>
  <si>
    <t>2007-04-14</t>
  </si>
  <si>
    <t>2007-04-15</t>
  </si>
  <si>
    <t>2007-04-16</t>
  </si>
  <si>
    <t>2007-04-17</t>
  </si>
  <si>
    <t>2007-04-18</t>
  </si>
  <si>
    <t>2007-04-19</t>
  </si>
  <si>
    <t>2007-04-20</t>
  </si>
  <si>
    <t>2007-04-21</t>
  </si>
  <si>
    <t>2007-04-22</t>
  </si>
  <si>
    <t>2007-04-23</t>
  </si>
  <si>
    <t>2007-04-24</t>
  </si>
  <si>
    <t>2007-04-25</t>
  </si>
  <si>
    <t>2007-04-26</t>
  </si>
  <si>
    <t>2007-04-27</t>
  </si>
  <si>
    <t>2007-04-28</t>
  </si>
  <si>
    <t>2007-04-29</t>
  </si>
  <si>
    <t>2007-04-30</t>
  </si>
  <si>
    <t>2007-05-01</t>
  </si>
  <si>
    <t>2007-05-02</t>
  </si>
  <si>
    <t>2007-05-03</t>
  </si>
  <si>
    <t>2007-05-04</t>
  </si>
  <si>
    <t>2007-05-05</t>
  </si>
  <si>
    <t>2007-05-06</t>
  </si>
  <si>
    <t>2007-05-07</t>
  </si>
  <si>
    <t>2007-05-08</t>
  </si>
  <si>
    <t>2007-05-09</t>
  </si>
  <si>
    <t>2007-05-10</t>
  </si>
  <si>
    <t>2007-05-11</t>
  </si>
  <si>
    <t>2007-05-12</t>
  </si>
  <si>
    <t>2007-05-13</t>
  </si>
  <si>
    <t>2007-05-14</t>
  </si>
  <si>
    <t>2007-05-15</t>
  </si>
  <si>
    <t>2007-05-16</t>
  </si>
  <si>
    <t>2007-05-17</t>
  </si>
  <si>
    <t>2007-05-18</t>
  </si>
  <si>
    <t>2007-05-19</t>
  </si>
  <si>
    <t>2007-05-20</t>
  </si>
  <si>
    <t>2007-05-21</t>
  </si>
  <si>
    <t>2007-05-22</t>
  </si>
  <si>
    <t>2007-05-23</t>
  </si>
  <si>
    <t>2007-05-24</t>
  </si>
  <si>
    <t>2007-05-25</t>
  </si>
  <si>
    <t>2007-05-26</t>
  </si>
  <si>
    <t>2007-05-27</t>
  </si>
  <si>
    <t>2007-05-28</t>
  </si>
  <si>
    <t>2007-05-29</t>
  </si>
  <si>
    <t>2007-05-30</t>
  </si>
  <si>
    <t>2007-05-31</t>
  </si>
  <si>
    <t>2007-06-01</t>
  </si>
  <si>
    <t>2007-06-02</t>
  </si>
  <si>
    <t>2007-06-03</t>
  </si>
  <si>
    <t>2007-06-04</t>
  </si>
  <si>
    <t>2007-06-05</t>
  </si>
  <si>
    <t>2007-06-06</t>
  </si>
  <si>
    <t>2007-06-07</t>
  </si>
  <si>
    <t>2007-06-08</t>
  </si>
  <si>
    <t>2007-06-09</t>
  </si>
  <si>
    <t>2007-06-10</t>
  </si>
  <si>
    <t>2007-06-11</t>
  </si>
  <si>
    <t>2007-06-12</t>
  </si>
  <si>
    <t>2007-06-13</t>
  </si>
  <si>
    <t>2007-06-14</t>
  </si>
  <si>
    <t>2007-06-15</t>
  </si>
  <si>
    <t>2007-06-16</t>
  </si>
  <si>
    <t>2007-06-17</t>
  </si>
  <si>
    <t>2007-06-18</t>
  </si>
  <si>
    <t>2007-06-19</t>
  </si>
  <si>
    <t>2007-06-20</t>
  </si>
  <si>
    <t>2007-06-21</t>
  </si>
  <si>
    <t>2007-06-22</t>
  </si>
  <si>
    <t>2007-06-23</t>
  </si>
  <si>
    <t>2007-06-24</t>
  </si>
  <si>
    <t>2007-06-25</t>
  </si>
  <si>
    <t>2007-06-26</t>
  </si>
  <si>
    <t>2007-06-27</t>
  </si>
  <si>
    <t>2007-06-28</t>
  </si>
  <si>
    <t>2007-06-29</t>
  </si>
  <si>
    <t>2007-06-30</t>
  </si>
  <si>
    <t>2007-07-01</t>
  </si>
  <si>
    <t>2007-07-02</t>
  </si>
  <si>
    <t>2007-07-03</t>
  </si>
  <si>
    <t>2007-07-04</t>
  </si>
  <si>
    <t>2007-07-05</t>
  </si>
  <si>
    <t>2007-07-06</t>
  </si>
  <si>
    <t>2007-07-07</t>
  </si>
  <si>
    <t>2007-07-08</t>
  </si>
  <si>
    <t>2007-07-09</t>
  </si>
  <si>
    <t>2007-07-10</t>
  </si>
  <si>
    <t>2007-07-11</t>
  </si>
  <si>
    <t>2007-07-12</t>
  </si>
  <si>
    <t>2007-07-13</t>
  </si>
  <si>
    <t>2007-07-14</t>
  </si>
  <si>
    <t>2007-07-15</t>
  </si>
  <si>
    <t>2007-07-16</t>
  </si>
  <si>
    <t>2007-07-17</t>
  </si>
  <si>
    <t>2007-07-18</t>
  </si>
  <si>
    <t>2007-07-19</t>
  </si>
  <si>
    <t>2007-07-20</t>
  </si>
  <si>
    <t>2007-07-21</t>
  </si>
  <si>
    <t>2007-07-22</t>
  </si>
  <si>
    <t>2007-07-23</t>
  </si>
  <si>
    <t>2007-07-24</t>
  </si>
  <si>
    <t>2007-07-25</t>
  </si>
  <si>
    <t>2007-07-26</t>
  </si>
  <si>
    <t>2007-07-27</t>
  </si>
  <si>
    <t>2007-07-28</t>
  </si>
  <si>
    <t>2007-07-29</t>
  </si>
  <si>
    <t>2007-07-30</t>
  </si>
  <si>
    <t>2007-07-31</t>
  </si>
  <si>
    <t>2007-08-01</t>
  </si>
  <si>
    <t>2007-08-02</t>
  </si>
  <si>
    <t>2007-08-03</t>
  </si>
  <si>
    <t>2007-08-04</t>
  </si>
  <si>
    <t>2007-08-05</t>
  </si>
  <si>
    <t>2007-08-06</t>
  </si>
  <si>
    <t>2007-08-07</t>
  </si>
  <si>
    <t>2007-08-08</t>
  </si>
  <si>
    <t>2007-08-09</t>
  </si>
  <si>
    <t>2007-08-10</t>
  </si>
  <si>
    <t>2007-08-11</t>
  </si>
  <si>
    <t>2007-08-12</t>
  </si>
  <si>
    <t>2007-08-13</t>
  </si>
  <si>
    <t>2007-08-14</t>
  </si>
  <si>
    <t>2007-08-15</t>
  </si>
  <si>
    <t>2007-08-16</t>
  </si>
  <si>
    <t>2007-08-17</t>
  </si>
  <si>
    <t>2007-08-18</t>
  </si>
  <si>
    <t>2007-08-19</t>
  </si>
  <si>
    <t>2007-08-20</t>
  </si>
  <si>
    <t>2007-08-21</t>
  </si>
  <si>
    <t>2007-08-22</t>
  </si>
  <si>
    <t>2007-08-23</t>
  </si>
  <si>
    <t>2007-08-24</t>
  </si>
  <si>
    <t>2007-08-25</t>
  </si>
  <si>
    <t>2007-08-26</t>
  </si>
  <si>
    <t>2007-08-27</t>
  </si>
  <si>
    <t>2007-08-28</t>
  </si>
  <si>
    <t>2007-08-29</t>
  </si>
  <si>
    <t>2007-08-30</t>
  </si>
  <si>
    <t>2007-08-31</t>
  </si>
  <si>
    <t>2007-09-01</t>
  </si>
  <si>
    <t>2007-09-02</t>
  </si>
  <si>
    <t>2007-09-03</t>
  </si>
  <si>
    <t>2007-09-04</t>
  </si>
  <si>
    <t>2007-09-05</t>
  </si>
  <si>
    <t>2007-09-06</t>
  </si>
  <si>
    <t>2007-09-07</t>
  </si>
  <si>
    <t>2007-09-08</t>
  </si>
  <si>
    <t>2007-09-09</t>
  </si>
  <si>
    <t>2007-09-10</t>
  </si>
  <si>
    <t>2007-09-11</t>
  </si>
  <si>
    <t>2007-09-12</t>
  </si>
  <si>
    <t>2007-09-13</t>
  </si>
  <si>
    <t>2007-09-14</t>
  </si>
  <si>
    <t>2007-09-15</t>
  </si>
  <si>
    <t>2007-09-16</t>
  </si>
  <si>
    <t>2007-09-17</t>
  </si>
  <si>
    <t>2007-09-18</t>
  </si>
  <si>
    <t>2007-09-19</t>
  </si>
  <si>
    <t>2007-09-20</t>
  </si>
  <si>
    <t>2007-09-21</t>
  </si>
  <si>
    <t>2007-09-22</t>
  </si>
  <si>
    <t>2007-09-23</t>
  </si>
  <si>
    <t>2007-09-24</t>
  </si>
  <si>
    <t>2007-09-25</t>
  </si>
  <si>
    <t>2007-09-26</t>
  </si>
  <si>
    <t>2007-09-27</t>
  </si>
  <si>
    <t>2007-09-28</t>
  </si>
  <si>
    <t>2007-09-29</t>
  </si>
  <si>
    <t>2007-09-30</t>
  </si>
  <si>
    <t>2007-10-01</t>
  </si>
  <si>
    <t>2007-10-02</t>
  </si>
  <si>
    <t>2007-10-03</t>
  </si>
  <si>
    <t>2007-10-04</t>
  </si>
  <si>
    <t>2007-10-05</t>
  </si>
  <si>
    <t>2007-10-06</t>
  </si>
  <si>
    <t>2007-10-07</t>
  </si>
  <si>
    <t>2007-10-08</t>
  </si>
  <si>
    <t>2007-10-09</t>
  </si>
  <si>
    <t>2007-10-10</t>
  </si>
  <si>
    <t>2007-10-11</t>
  </si>
  <si>
    <t>2007-10-12</t>
  </si>
  <si>
    <t>2007-10-13</t>
  </si>
  <si>
    <t>2007-10-14</t>
  </si>
  <si>
    <t>2007-10-15</t>
  </si>
  <si>
    <t>2007-10-16</t>
  </si>
  <si>
    <t>2007-10-17</t>
  </si>
  <si>
    <t>2007-10-18</t>
  </si>
  <si>
    <t>2007-10-19</t>
  </si>
  <si>
    <t>2007-10-20</t>
  </si>
  <si>
    <t>2007-10-21</t>
  </si>
  <si>
    <t>2007-10-22</t>
  </si>
  <si>
    <t>2007-10-23</t>
  </si>
  <si>
    <t>2007-10-24</t>
  </si>
  <si>
    <t>2007-10-25</t>
  </si>
  <si>
    <t>2007-10-26</t>
  </si>
  <si>
    <t>2007-10-27</t>
  </si>
  <si>
    <t>2007-10-28</t>
  </si>
  <si>
    <t>2007-10-29</t>
  </si>
  <si>
    <t>2007-10-30</t>
  </si>
  <si>
    <t>2007-10-31</t>
  </si>
  <si>
    <t>2007-11-01</t>
  </si>
  <si>
    <t>2007-11-02</t>
  </si>
  <si>
    <t>2007-11-03</t>
  </si>
  <si>
    <t>2007-11-04</t>
  </si>
  <si>
    <t>2007-11-05</t>
  </si>
  <si>
    <t>2007-11-06</t>
  </si>
  <si>
    <t>2007-11-07</t>
  </si>
  <si>
    <t>2007-11-08</t>
  </si>
  <si>
    <t>2007-11-09</t>
  </si>
  <si>
    <t>2007-11-10</t>
  </si>
  <si>
    <t>2007-11-11</t>
  </si>
  <si>
    <t>2007-11-12</t>
  </si>
  <si>
    <t>2007-11-13</t>
  </si>
  <si>
    <t>2007-11-14</t>
  </si>
  <si>
    <t>2007-11-15</t>
  </si>
  <si>
    <t>2007-11-16</t>
  </si>
  <si>
    <t>2007-11-17</t>
  </si>
  <si>
    <t>2007-11-18</t>
  </si>
  <si>
    <t>2007-11-19</t>
  </si>
  <si>
    <t>2007-11-20</t>
  </si>
  <si>
    <t>2007-11-21</t>
  </si>
  <si>
    <t>2007-11-22</t>
  </si>
  <si>
    <t>2007-11-23</t>
  </si>
  <si>
    <t>2007-11-24</t>
  </si>
  <si>
    <t>2007-11-25</t>
  </si>
  <si>
    <t>2007-11-26</t>
  </si>
  <si>
    <t>2007-11-27</t>
  </si>
  <si>
    <t>2007-11-28</t>
  </si>
  <si>
    <t>2007-11-29</t>
  </si>
  <si>
    <t>2007-11-30</t>
  </si>
  <si>
    <t>2007-12-01</t>
  </si>
  <si>
    <t>2007-12-02</t>
  </si>
  <si>
    <t>2007-12-03</t>
  </si>
  <si>
    <t>2007-12-04</t>
  </si>
  <si>
    <t>2007-12-05</t>
  </si>
  <si>
    <t>2007-12-06</t>
  </si>
  <si>
    <t>2007-12-07</t>
  </si>
  <si>
    <t>2007-12-08</t>
  </si>
  <si>
    <t>2007-12-09</t>
  </si>
  <si>
    <t>2007-12-10</t>
  </si>
  <si>
    <t>2007-12-11</t>
  </si>
  <si>
    <t>2007-12-12</t>
  </si>
  <si>
    <t>2007-12-13</t>
  </si>
  <si>
    <t>2007-12-14</t>
  </si>
  <si>
    <t>2007-12-15</t>
  </si>
  <si>
    <t>2007-12-16</t>
  </si>
  <si>
    <t>2007-12-17</t>
  </si>
  <si>
    <t>2007-12-18</t>
  </si>
  <si>
    <t>2007-12-19</t>
  </si>
  <si>
    <t>2007-12-20</t>
  </si>
  <si>
    <t>2007-12-21</t>
  </si>
  <si>
    <t>2007-12-22</t>
  </si>
  <si>
    <t>2007-12-23</t>
  </si>
  <si>
    <t>2007-12-24</t>
  </si>
  <si>
    <t>2007-12-25</t>
  </si>
  <si>
    <t>2007-12-26</t>
  </si>
  <si>
    <t>2007-12-27</t>
  </si>
  <si>
    <t>2007-12-28</t>
  </si>
  <si>
    <t>2007-12-29</t>
  </si>
  <si>
    <t>2007-12-30</t>
  </si>
  <si>
    <t>2007-12-31</t>
  </si>
  <si>
    <t>2008-01-01</t>
  </si>
  <si>
    <t>2008-01-02</t>
  </si>
  <si>
    <t>2008-01-03</t>
  </si>
  <si>
    <t>2008-01-04</t>
  </si>
  <si>
    <t>2008-01-05</t>
  </si>
  <si>
    <t>2008-01-06</t>
  </si>
  <si>
    <t>2008-01-07</t>
  </si>
  <si>
    <t>2008-01-08</t>
  </si>
  <si>
    <t>2008-01-09</t>
  </si>
  <si>
    <t>2008-01-10</t>
  </si>
  <si>
    <t>2008-01-11</t>
  </si>
  <si>
    <t>2008-01-12</t>
  </si>
  <si>
    <t>2008-01-13</t>
  </si>
  <si>
    <t>2008-01-14</t>
  </si>
  <si>
    <t>2008-01-15</t>
  </si>
  <si>
    <t>2008-01-16</t>
  </si>
  <si>
    <t>2008-01-17</t>
  </si>
  <si>
    <t>2008-01-18</t>
  </si>
  <si>
    <t>2008-01-19</t>
  </si>
  <si>
    <t>2008-01-20</t>
  </si>
  <si>
    <t>2008-01-21</t>
  </si>
  <si>
    <t>2008-01-22</t>
  </si>
  <si>
    <t>2008-01-23</t>
  </si>
  <si>
    <t>2008-01-24</t>
  </si>
  <si>
    <t>2008-01-25</t>
  </si>
  <si>
    <t>2008-01-26</t>
  </si>
  <si>
    <t>2008-01-27</t>
  </si>
  <si>
    <t>2008-01-28</t>
  </si>
  <si>
    <t>2008-01-29</t>
  </si>
  <si>
    <t>2008-01-30</t>
  </si>
  <si>
    <t>2008-01-31</t>
  </si>
  <si>
    <t>2008-02-01</t>
  </si>
  <si>
    <t>2008-02-02</t>
  </si>
  <si>
    <t>2008-02-03</t>
  </si>
  <si>
    <t>2008-02-04</t>
  </si>
  <si>
    <t>2008-02-05</t>
  </si>
  <si>
    <t>2008-02-06</t>
  </si>
  <si>
    <t>2008-02-07</t>
  </si>
  <si>
    <t>2008-02-08</t>
  </si>
  <si>
    <t>2008-02-09</t>
  </si>
  <si>
    <t>2008-02-10</t>
  </si>
  <si>
    <t>2008-02-11</t>
  </si>
  <si>
    <t>2008-02-12</t>
  </si>
  <si>
    <t>2008-02-13</t>
  </si>
  <si>
    <t>2008-02-14</t>
  </si>
  <si>
    <t>2008-02-15</t>
  </si>
  <si>
    <t>2008-02-16</t>
  </si>
  <si>
    <t>2008-02-17</t>
  </si>
  <si>
    <t>2008-02-18</t>
  </si>
  <si>
    <t>2008-02-19</t>
  </si>
  <si>
    <t>2008-02-20</t>
  </si>
  <si>
    <t>2008-02-21</t>
  </si>
  <si>
    <t>2008-02-22</t>
  </si>
  <si>
    <t>2008-02-23</t>
  </si>
  <si>
    <t>2008-02-24</t>
  </si>
  <si>
    <t>2008-02-25</t>
  </si>
  <si>
    <t>2008-02-26</t>
  </si>
  <si>
    <t>2008-02-27</t>
  </si>
  <si>
    <t>2008-02-28</t>
  </si>
  <si>
    <t>2008-03-01</t>
  </si>
  <si>
    <t>2008-03-02</t>
  </si>
  <si>
    <t>2008-03-03</t>
  </si>
  <si>
    <t>2008-03-04</t>
  </si>
  <si>
    <t>2008-03-05</t>
  </si>
  <si>
    <t>2008-03-06</t>
  </si>
  <si>
    <t>2008-03-07</t>
  </si>
  <si>
    <t>2008-03-08</t>
  </si>
  <si>
    <t>2008-03-09</t>
  </si>
  <si>
    <t>2008-03-10</t>
  </si>
  <si>
    <t>2008-03-11</t>
  </si>
  <si>
    <t>2008-03-12</t>
  </si>
  <si>
    <t>2008-03-13</t>
  </si>
  <si>
    <t>2008-03-14</t>
  </si>
  <si>
    <t>2008-03-15</t>
  </si>
  <si>
    <t>2008-03-16</t>
  </si>
  <si>
    <t>2008-03-17</t>
  </si>
  <si>
    <t>2008-03-18</t>
  </si>
  <si>
    <t>2008-03-19</t>
  </si>
  <si>
    <t>2008-03-20</t>
  </si>
  <si>
    <t>2008-03-21</t>
  </si>
  <si>
    <t>2008-03-22</t>
  </si>
  <si>
    <t>2008-03-23</t>
  </si>
  <si>
    <t>2008-03-24</t>
  </si>
  <si>
    <t>2008-03-25</t>
  </si>
  <si>
    <t>2008-03-26</t>
  </si>
  <si>
    <t>2008-03-27</t>
  </si>
  <si>
    <t>2008-03-28</t>
  </si>
  <si>
    <t>2008-03-29</t>
  </si>
  <si>
    <t>2008-03-30</t>
  </si>
  <si>
    <t>2008-03-31</t>
  </si>
  <si>
    <t>2008-04-01</t>
  </si>
  <si>
    <t>2008-04-02</t>
  </si>
  <si>
    <t>2008-04-03</t>
  </si>
  <si>
    <t>2008-04-04</t>
  </si>
  <si>
    <t>2008-04-05</t>
  </si>
  <si>
    <t>2008-04-06</t>
  </si>
  <si>
    <t>2008-04-07</t>
  </si>
  <si>
    <t>2008-04-08</t>
  </si>
  <si>
    <t>2008-04-09</t>
  </si>
  <si>
    <t>2008-04-10</t>
  </si>
  <si>
    <t>2008-04-11</t>
  </si>
  <si>
    <t>2008-04-12</t>
  </si>
  <si>
    <t>2008-04-13</t>
  </si>
  <si>
    <t>2008-04-14</t>
  </si>
  <si>
    <t>2008-04-15</t>
  </si>
  <si>
    <t>2008-04-16</t>
  </si>
  <si>
    <t>2008-04-17</t>
  </si>
  <si>
    <t>2008-04-18</t>
  </si>
  <si>
    <t>2008-04-19</t>
  </si>
  <si>
    <t>2008-04-20</t>
  </si>
  <si>
    <t>2008-04-21</t>
  </si>
  <si>
    <t>2008-04-22</t>
  </si>
  <si>
    <t>2008-04-23</t>
  </si>
  <si>
    <t>2008-04-24</t>
  </si>
  <si>
    <t>2008-04-25</t>
  </si>
  <si>
    <t>2008-04-26</t>
  </si>
  <si>
    <t>2008-04-27</t>
  </si>
  <si>
    <t>2008-04-28</t>
  </si>
  <si>
    <t>2008-04-29</t>
  </si>
  <si>
    <t>2008-04-30</t>
  </si>
  <si>
    <t>2008-05-01</t>
  </si>
  <si>
    <t>2008-05-02</t>
  </si>
  <si>
    <t>2008-05-03</t>
  </si>
  <si>
    <t>2008-05-04</t>
  </si>
  <si>
    <t>2008-05-05</t>
  </si>
  <si>
    <t>2008-05-06</t>
  </si>
  <si>
    <t>2008-05-07</t>
  </si>
  <si>
    <t>2008-05-08</t>
  </si>
  <si>
    <t>2008-05-09</t>
  </si>
  <si>
    <t>2008-05-10</t>
  </si>
  <si>
    <t>2008-05-11</t>
  </si>
  <si>
    <t>2008-05-12</t>
  </si>
  <si>
    <t>2008-05-13</t>
  </si>
  <si>
    <t>2008-05-14</t>
  </si>
  <si>
    <t>2008-05-15</t>
  </si>
  <si>
    <t>2008-05-16</t>
  </si>
  <si>
    <t>2008-05-17</t>
  </si>
  <si>
    <t>2008-05-18</t>
  </si>
  <si>
    <t>2008-05-19</t>
  </si>
  <si>
    <t>2008-05-20</t>
  </si>
  <si>
    <t>2008-05-21</t>
  </si>
  <si>
    <t>2008-05-22</t>
  </si>
  <si>
    <t>2008-05-23</t>
  </si>
  <si>
    <t>2008-05-24</t>
  </si>
  <si>
    <t>2008-05-25</t>
  </si>
  <si>
    <t>2008-05-26</t>
  </si>
  <si>
    <t>2008-05-27</t>
  </si>
  <si>
    <t>2008-05-28</t>
  </si>
  <si>
    <t>2008-05-29</t>
  </si>
  <si>
    <t>2008-05-30</t>
  </si>
  <si>
    <t>2008-05-31</t>
  </si>
  <si>
    <t>2008-06-01</t>
  </si>
  <si>
    <t>2008-06-02</t>
  </si>
  <si>
    <t>2008-06-03</t>
  </si>
  <si>
    <t>2008-06-04</t>
  </si>
  <si>
    <t>2008-06-05</t>
  </si>
  <si>
    <t>2008-06-06</t>
  </si>
  <si>
    <t>2008-06-07</t>
  </si>
  <si>
    <t>2008-06-08</t>
  </si>
  <si>
    <t>2008-06-09</t>
  </si>
  <si>
    <t>2008-06-10</t>
  </si>
  <si>
    <t>2008-06-11</t>
  </si>
  <si>
    <t>2008-06-12</t>
  </si>
  <si>
    <t>2008-06-13</t>
  </si>
  <si>
    <t>2008-06-14</t>
  </si>
  <si>
    <t>2008-06-15</t>
  </si>
  <si>
    <t>2008-06-16</t>
  </si>
  <si>
    <t>2008-06-17</t>
  </si>
  <si>
    <t>2008-06-18</t>
  </si>
  <si>
    <t>2008-06-19</t>
  </si>
  <si>
    <t>2008-06-20</t>
  </si>
  <si>
    <t>2008-06-21</t>
  </si>
  <si>
    <t>2008-06-22</t>
  </si>
  <si>
    <t>2008-06-23</t>
  </si>
  <si>
    <t>2008-06-24</t>
  </si>
  <si>
    <t>2008-06-25</t>
  </si>
  <si>
    <t>2008-06-26</t>
  </si>
  <si>
    <t>2008-06-27</t>
  </si>
  <si>
    <t>2008-06-28</t>
  </si>
  <si>
    <t>2008-06-29</t>
  </si>
  <si>
    <t>2008-06-30</t>
  </si>
  <si>
    <t>2008-07-01</t>
  </si>
  <si>
    <t>2008-07-02</t>
  </si>
  <si>
    <t>2008-07-03</t>
  </si>
  <si>
    <t>2008-07-04</t>
  </si>
  <si>
    <t>2008-07-05</t>
  </si>
  <si>
    <t>2008-07-06</t>
  </si>
  <si>
    <t>2008-07-07</t>
  </si>
  <si>
    <t>2008-07-08</t>
  </si>
  <si>
    <t>2008-07-09</t>
  </si>
  <si>
    <t>2008-07-10</t>
  </si>
  <si>
    <t>2008-07-11</t>
  </si>
  <si>
    <t>2008-07-12</t>
  </si>
  <si>
    <t>2008-07-13</t>
  </si>
  <si>
    <t>2008-07-14</t>
  </si>
  <si>
    <t>2008-07-15</t>
  </si>
  <si>
    <t>2008-07-16</t>
  </si>
  <si>
    <t>2008-07-17</t>
  </si>
  <si>
    <t>2008-07-18</t>
  </si>
  <si>
    <t>2008-07-19</t>
  </si>
  <si>
    <t>2008-07-20</t>
  </si>
  <si>
    <t>2008-07-21</t>
  </si>
  <si>
    <t>2008-07-22</t>
  </si>
  <si>
    <t>2008-07-23</t>
  </si>
  <si>
    <t>2008-07-24</t>
  </si>
  <si>
    <t>2008-07-25</t>
  </si>
  <si>
    <t>2008-07-26</t>
  </si>
  <si>
    <t>2008-07-27</t>
  </si>
  <si>
    <t>2008-07-28</t>
  </si>
  <si>
    <t>2008-07-29</t>
  </si>
  <si>
    <t>2008-07-30</t>
  </si>
  <si>
    <t>2008-07-31</t>
  </si>
  <si>
    <t>2008-08-01</t>
  </si>
  <si>
    <t>2008-08-02</t>
  </si>
  <si>
    <t>2008-08-03</t>
  </si>
  <si>
    <t>2008-08-04</t>
  </si>
  <si>
    <t>2008-08-05</t>
  </si>
  <si>
    <t>2008-08-06</t>
  </si>
  <si>
    <t>2008-08-07</t>
  </si>
  <si>
    <t>2008-08-08</t>
  </si>
  <si>
    <t>2008-08-09</t>
  </si>
  <si>
    <t>2008-08-10</t>
  </si>
  <si>
    <t>2008-08-11</t>
  </si>
  <si>
    <t>2008-08-12</t>
  </si>
  <si>
    <t>2008-08-13</t>
  </si>
  <si>
    <t>2008-08-14</t>
  </si>
  <si>
    <t>2008-08-15</t>
  </si>
  <si>
    <t>2008-08-16</t>
  </si>
  <si>
    <t>2008-08-17</t>
  </si>
  <si>
    <t>2008-08-18</t>
  </si>
  <si>
    <t>2008-08-19</t>
  </si>
  <si>
    <t>2008-08-20</t>
  </si>
  <si>
    <t>2008-08-21</t>
  </si>
  <si>
    <t>2008-08-22</t>
  </si>
  <si>
    <t>2008-08-23</t>
  </si>
  <si>
    <t>2008-08-24</t>
  </si>
  <si>
    <t>2008-08-25</t>
  </si>
  <si>
    <t>2008-08-26</t>
  </si>
  <si>
    <t>2008-08-27</t>
  </si>
  <si>
    <t>2008-08-28</t>
  </si>
  <si>
    <t>2008-08-29</t>
  </si>
  <si>
    <t>2008-08-30</t>
  </si>
  <si>
    <t>2008-08-31</t>
  </si>
  <si>
    <t>2008-09-01</t>
  </si>
  <si>
    <t>2008-09-02</t>
  </si>
  <si>
    <t>2008-09-03</t>
  </si>
  <si>
    <t>2008-09-04</t>
  </si>
  <si>
    <t>2008-09-05</t>
  </si>
  <si>
    <t>2008-09-06</t>
  </si>
  <si>
    <t>2008-09-07</t>
  </si>
  <si>
    <t>2008-09-08</t>
  </si>
  <si>
    <t>2008-09-09</t>
  </si>
  <si>
    <t>2008-09-10</t>
  </si>
  <si>
    <t>2008-09-11</t>
  </si>
  <si>
    <t>2008-09-12</t>
  </si>
  <si>
    <t>2008-09-13</t>
  </si>
  <si>
    <t>2008-09-14</t>
  </si>
  <si>
    <t>2008-09-15</t>
  </si>
  <si>
    <t>2008-09-16</t>
  </si>
  <si>
    <t>2008-09-17</t>
  </si>
  <si>
    <t>2008-09-18</t>
  </si>
  <si>
    <t>2008-09-19</t>
  </si>
  <si>
    <t>2008-09-20</t>
  </si>
  <si>
    <t>2008-09-21</t>
  </si>
  <si>
    <t>2008-09-22</t>
  </si>
  <si>
    <t>2008-09-23</t>
  </si>
  <si>
    <t>2008-09-24</t>
  </si>
  <si>
    <t>2008-09-25</t>
  </si>
  <si>
    <t>2008-09-26</t>
  </si>
  <si>
    <t>2008-09-27</t>
  </si>
  <si>
    <t>2008-09-28</t>
  </si>
  <si>
    <t>2008-09-29</t>
  </si>
  <si>
    <t>2008-09-30</t>
  </si>
  <si>
    <t>2008-10-01</t>
  </si>
  <si>
    <t>2008-10-02</t>
  </si>
  <si>
    <t>2008-10-03</t>
  </si>
  <si>
    <t>2008-10-04</t>
  </si>
  <si>
    <t>2008-10-05</t>
  </si>
  <si>
    <t>2008-10-06</t>
  </si>
  <si>
    <t>2008-10-07</t>
  </si>
  <si>
    <t>2008-10-08</t>
  </si>
  <si>
    <t>2008-10-09</t>
  </si>
  <si>
    <t>2008-10-10</t>
  </si>
  <si>
    <t>2008-10-11</t>
  </si>
  <si>
    <t>2008-10-12</t>
  </si>
  <si>
    <t>2008-10-13</t>
  </si>
  <si>
    <t>2008-10-14</t>
  </si>
  <si>
    <t>2008-10-15</t>
  </si>
  <si>
    <t>2008-10-16</t>
  </si>
  <si>
    <t>2008-10-17</t>
  </si>
  <si>
    <t>2008-10-18</t>
  </si>
  <si>
    <t>2008-10-19</t>
  </si>
  <si>
    <t>2008-10-20</t>
  </si>
  <si>
    <t>2008-10-21</t>
  </si>
  <si>
    <t>2008-10-22</t>
  </si>
  <si>
    <t>2008-10-23</t>
  </si>
  <si>
    <t>2008-10-24</t>
  </si>
  <si>
    <t>2008-10-25</t>
  </si>
  <si>
    <t>2008-10-26</t>
  </si>
  <si>
    <t>2008-10-27</t>
  </si>
  <si>
    <t>2008-10-28</t>
  </si>
  <si>
    <t>2008-10-29</t>
  </si>
  <si>
    <t>2008-10-30</t>
  </si>
  <si>
    <t>2008-10-31</t>
  </si>
  <si>
    <t>2008-11-01</t>
  </si>
  <si>
    <t>2008-11-02</t>
  </si>
  <si>
    <t>2008-11-03</t>
  </si>
  <si>
    <t>2008-11-04</t>
  </si>
  <si>
    <t>2008-11-05</t>
  </si>
  <si>
    <t>2008-11-06</t>
  </si>
  <si>
    <t>2008-11-07</t>
  </si>
  <si>
    <t>2008-11-08</t>
  </si>
  <si>
    <t>2008-11-09</t>
  </si>
  <si>
    <t>2008-11-10</t>
  </si>
  <si>
    <t>2008-11-11</t>
  </si>
  <si>
    <t>2008-11-12</t>
  </si>
  <si>
    <t>2008-11-13</t>
  </si>
  <si>
    <t>2008-11-14</t>
  </si>
  <si>
    <t>2008-11-15</t>
  </si>
  <si>
    <t>2008-11-16</t>
  </si>
  <si>
    <t>2008-11-17</t>
  </si>
  <si>
    <t>2008-11-18</t>
  </si>
  <si>
    <t>2008-11-19</t>
  </si>
  <si>
    <t>2008-11-20</t>
  </si>
  <si>
    <t>2008-11-21</t>
  </si>
  <si>
    <t>2008-11-22</t>
  </si>
  <si>
    <t>2008-11-23</t>
  </si>
  <si>
    <t>2008-11-24</t>
  </si>
  <si>
    <t>2008-11-25</t>
  </si>
  <si>
    <t>2008-11-26</t>
  </si>
  <si>
    <t>2008-11-27</t>
  </si>
  <si>
    <t>2008-11-28</t>
  </si>
  <si>
    <t>2008-11-29</t>
  </si>
  <si>
    <t>2008-11-30</t>
  </si>
  <si>
    <t>2008-12-01</t>
  </si>
  <si>
    <t>2008-12-02</t>
  </si>
  <si>
    <t>2008-12-03</t>
  </si>
  <si>
    <t>2008-12-04</t>
  </si>
  <si>
    <t>2008-12-05</t>
  </si>
  <si>
    <t>2008-12-06</t>
  </si>
  <si>
    <t>2008-12-07</t>
  </si>
  <si>
    <t>2008-12-08</t>
  </si>
  <si>
    <t>2008-12-09</t>
  </si>
  <si>
    <t>2008-12-10</t>
  </si>
  <si>
    <t>2008-12-11</t>
  </si>
  <si>
    <t>2008-12-12</t>
  </si>
  <si>
    <t>2008-12-13</t>
  </si>
  <si>
    <t>2008-12-14</t>
  </si>
  <si>
    <t>2008-12-15</t>
  </si>
  <si>
    <t>2008-12-16</t>
  </si>
  <si>
    <t>2008-12-17</t>
  </si>
  <si>
    <t>2008-12-18</t>
  </si>
  <si>
    <t>2008-12-19</t>
  </si>
  <si>
    <t>2008-12-20</t>
  </si>
  <si>
    <t>2008-12-21</t>
  </si>
  <si>
    <t>2008-12-22</t>
  </si>
  <si>
    <t>2008-12-23</t>
  </si>
  <si>
    <t>2008-12-24</t>
  </si>
  <si>
    <t>2008-12-25</t>
  </si>
  <si>
    <t>2008-12-26</t>
  </si>
  <si>
    <t>2008-12-27</t>
  </si>
  <si>
    <t>2008-12-28</t>
  </si>
  <si>
    <t>2008-12-29</t>
  </si>
  <si>
    <t>2008-12-30</t>
  </si>
  <si>
    <t>2008-12-31</t>
  </si>
  <si>
    <t>2009-01-01</t>
  </si>
  <si>
    <t>2009-01-02</t>
  </si>
  <si>
    <t>2009-01-03</t>
  </si>
  <si>
    <t>2009-01-04</t>
  </si>
  <si>
    <t>2009-01-05</t>
  </si>
  <si>
    <t>2009-01-06</t>
  </si>
  <si>
    <t>2009-01-07</t>
  </si>
  <si>
    <t>2009-01-08</t>
  </si>
  <si>
    <t>2009-01-09</t>
  </si>
  <si>
    <t>2009-01-10</t>
  </si>
  <si>
    <t>2009-01-11</t>
  </si>
  <si>
    <t>2009-01-12</t>
  </si>
  <si>
    <t>2009-01-13</t>
  </si>
  <si>
    <t>2009-01-14</t>
  </si>
  <si>
    <t>2009-01-15</t>
  </si>
  <si>
    <t>2009-01-16</t>
  </si>
  <si>
    <t>2009-01-17</t>
  </si>
  <si>
    <t>2009-01-18</t>
  </si>
  <si>
    <t>2009-01-19</t>
  </si>
  <si>
    <t>2009-01-20</t>
  </si>
  <si>
    <t>2009-01-21</t>
  </si>
  <si>
    <t>2009-01-22</t>
  </si>
  <si>
    <t>2009-01-23</t>
  </si>
  <si>
    <t>2009-01-24</t>
  </si>
  <si>
    <t>2009-01-25</t>
  </si>
  <si>
    <t>2009-01-26</t>
  </si>
  <si>
    <t>2009-01-27</t>
  </si>
  <si>
    <t>2009-01-28</t>
  </si>
  <si>
    <t>2009-01-29</t>
  </si>
  <si>
    <t>2009-01-30</t>
  </si>
  <si>
    <t>2009-01-31</t>
  </si>
  <si>
    <t>2009-02-01</t>
  </si>
  <si>
    <t>2009-02-02</t>
  </si>
  <si>
    <t>2009-02-03</t>
  </si>
  <si>
    <t>2009-02-04</t>
  </si>
  <si>
    <t>2009-02-05</t>
  </si>
  <si>
    <t>2009-02-06</t>
  </si>
  <si>
    <t>2009-02-07</t>
  </si>
  <si>
    <t>2009-02-08</t>
  </si>
  <si>
    <t>2009-02-09</t>
  </si>
  <si>
    <t>2009-02-10</t>
  </si>
  <si>
    <t>2009-02-11</t>
  </si>
  <si>
    <t>2009-02-12</t>
  </si>
  <si>
    <t>2009-02-13</t>
  </si>
  <si>
    <t>2009-02-14</t>
  </si>
  <si>
    <t>2009-02-15</t>
  </si>
  <si>
    <t>2009-02-16</t>
  </si>
  <si>
    <t>2009-02-17</t>
  </si>
  <si>
    <t>2009-02-18</t>
  </si>
  <si>
    <t>2009-02-19</t>
  </si>
  <si>
    <t>2009-02-20</t>
  </si>
  <si>
    <t>2009-02-21</t>
  </si>
  <si>
    <t>2009-02-22</t>
  </si>
  <si>
    <t>2009-02-23</t>
  </si>
  <si>
    <t>2009-02-24</t>
  </si>
  <si>
    <t>2009-02-25</t>
  </si>
  <si>
    <t>2009-02-26</t>
  </si>
  <si>
    <t>2009-02-27</t>
  </si>
  <si>
    <t>2009-02-28</t>
  </si>
  <si>
    <t>2004-02-29</t>
  </si>
  <si>
    <t>2009-03-01</t>
  </si>
  <si>
    <t>2009-03-02</t>
  </si>
  <si>
    <t>2009-03-03</t>
  </si>
  <si>
    <t>2009-03-04</t>
  </si>
  <si>
    <t>2009-03-05</t>
  </si>
  <si>
    <t>2009-03-06</t>
  </si>
  <si>
    <t>2009-03-07</t>
  </si>
  <si>
    <t>2009-03-08</t>
  </si>
  <si>
    <t>2009-03-09</t>
  </si>
  <si>
    <t>2009-03-10</t>
  </si>
  <si>
    <t>2009-03-11</t>
  </si>
  <si>
    <t>2009-03-12</t>
  </si>
  <si>
    <t>2009-03-13</t>
  </si>
  <si>
    <t>2009-03-14</t>
  </si>
  <si>
    <t>2009-03-15</t>
  </si>
  <si>
    <t>2009-03-16</t>
  </si>
  <si>
    <t>2009-03-17</t>
  </si>
  <si>
    <t>2009-03-18</t>
  </si>
  <si>
    <t>2009-03-19</t>
  </si>
  <si>
    <t>2009-03-20</t>
  </si>
  <si>
    <t>2009-03-21</t>
  </si>
  <si>
    <t>2009-03-22</t>
  </si>
  <si>
    <t>2009-03-23</t>
  </si>
  <si>
    <t>2009-03-24</t>
  </si>
  <si>
    <t>2009-03-25</t>
  </si>
  <si>
    <t>2009-03-26</t>
  </si>
  <si>
    <t>2009-03-27</t>
  </si>
  <si>
    <t>2009-03-28</t>
  </si>
  <si>
    <t>2009-03-29</t>
  </si>
  <si>
    <t>2009-03-30</t>
  </si>
  <si>
    <t>2009-03-31</t>
  </si>
  <si>
    <t>2009-04-01</t>
  </si>
  <si>
    <t>2009-04-02</t>
  </si>
  <si>
    <t>2009-04-03</t>
  </si>
  <si>
    <t>2009-04-04</t>
  </si>
  <si>
    <t>2009-04-05</t>
  </si>
  <si>
    <t>2009-04-06</t>
  </si>
  <si>
    <t>2009-04-07</t>
  </si>
  <si>
    <t>2009-04-08</t>
  </si>
  <si>
    <t>2009-04-09</t>
  </si>
  <si>
    <t>2009-04-10</t>
  </si>
  <si>
    <t>2009-04-11</t>
  </si>
  <si>
    <t>2009-04-12</t>
  </si>
  <si>
    <t>2009-04-13</t>
  </si>
  <si>
    <t>2009-04-14</t>
  </si>
  <si>
    <t>2009-04-15</t>
  </si>
  <si>
    <t>2009-04-16</t>
  </si>
  <si>
    <t>2009-04-17</t>
  </si>
  <si>
    <t>2009-04-18</t>
  </si>
  <si>
    <t>2009-04-19</t>
  </si>
  <si>
    <t>2009-04-20</t>
  </si>
  <si>
    <t>2009-04-21</t>
  </si>
  <si>
    <t>2009-04-22</t>
  </si>
  <si>
    <t>2009-04-23</t>
  </si>
  <si>
    <t>2009-04-24</t>
  </si>
  <si>
    <t>2009-04-25</t>
  </si>
  <si>
    <t>2009-04-26</t>
  </si>
  <si>
    <t>2009-04-27</t>
  </si>
  <si>
    <t>2009-04-28</t>
  </si>
  <si>
    <t>2009-04-29</t>
  </si>
  <si>
    <t>2009-04-30</t>
  </si>
  <si>
    <t>2009-05-01</t>
  </si>
  <si>
    <t>2009-05-02</t>
  </si>
  <si>
    <t>2009-05-03</t>
  </si>
  <si>
    <t>2009-05-04</t>
  </si>
  <si>
    <t>2009-05-05</t>
  </si>
  <si>
    <t>2009-05-06</t>
  </si>
  <si>
    <t>2009-05-07</t>
  </si>
  <si>
    <t>2009-05-08</t>
  </si>
  <si>
    <t>2009-05-09</t>
  </si>
  <si>
    <t>2009-05-10</t>
  </si>
  <si>
    <t>2009-05-11</t>
  </si>
  <si>
    <t>2009-05-12</t>
  </si>
  <si>
    <t>2009-05-13</t>
  </si>
  <si>
    <t>2009-05-14</t>
  </si>
  <si>
    <t>2009-05-15</t>
  </si>
  <si>
    <t>2009-05-16</t>
  </si>
  <si>
    <t>2009-05-17</t>
  </si>
  <si>
    <t>2009-05-18</t>
  </si>
  <si>
    <t>2009-05-19</t>
  </si>
  <si>
    <t>2009-05-20</t>
  </si>
  <si>
    <t>2009-05-21</t>
  </si>
  <si>
    <t>2009-05-22</t>
  </si>
  <si>
    <t>2009-05-23</t>
  </si>
  <si>
    <t>2009-05-24</t>
  </si>
  <si>
    <t>2009-05-25</t>
  </si>
  <si>
    <t>2009-05-26</t>
  </si>
  <si>
    <t>2009-05-27</t>
  </si>
  <si>
    <t>2009-05-28</t>
  </si>
  <si>
    <t>2009-05-29</t>
  </si>
  <si>
    <t>2009-05-30</t>
  </si>
  <si>
    <t>2009-05-31</t>
  </si>
  <si>
    <t>2009-06-01</t>
  </si>
  <si>
    <t>2009-06-02</t>
  </si>
  <si>
    <t>2009-06-03</t>
  </si>
  <si>
    <t>2009-06-04</t>
  </si>
  <si>
    <t>2009-06-05</t>
  </si>
  <si>
    <t>2009-06-06</t>
  </si>
  <si>
    <t>2009-06-07</t>
  </si>
  <si>
    <t>2009-06-08</t>
  </si>
  <si>
    <t>2009-06-09</t>
  </si>
  <si>
    <t>2009-06-10</t>
  </si>
  <si>
    <t>2009-06-11</t>
  </si>
  <si>
    <t>2009-06-12</t>
  </si>
  <si>
    <t>2009-06-13</t>
  </si>
  <si>
    <t>2009-06-14</t>
  </si>
  <si>
    <t>2009-06-15</t>
  </si>
  <si>
    <t>2009-06-16</t>
  </si>
  <si>
    <t>2009-06-17</t>
  </si>
  <si>
    <t>2009-06-18</t>
  </si>
  <si>
    <t>2009-06-19</t>
  </si>
  <si>
    <t>2009-06-20</t>
  </si>
  <si>
    <t>2009-06-21</t>
  </si>
  <si>
    <t>2009-06-22</t>
  </si>
  <si>
    <t>2009-06-23</t>
  </si>
  <si>
    <t>2009-06-24</t>
  </si>
  <si>
    <t>2009-06-25</t>
  </si>
  <si>
    <t>2009-06-26</t>
  </si>
  <si>
    <t>2009-06-27</t>
  </si>
  <si>
    <t>2009-06-28</t>
  </si>
  <si>
    <t>2009-06-29</t>
  </si>
  <si>
    <t>2009-06-30</t>
  </si>
  <si>
    <t>2009-07-01</t>
  </si>
  <si>
    <t>2009-07-02</t>
  </si>
  <si>
    <t>2009-07-03</t>
  </si>
  <si>
    <t>2009-07-04</t>
  </si>
  <si>
    <t>2009-07-05</t>
  </si>
  <si>
    <t>2009-07-06</t>
  </si>
  <si>
    <t>2009-07-07</t>
  </si>
  <si>
    <t>2009-07-08</t>
  </si>
  <si>
    <t>2009-07-09</t>
  </si>
  <si>
    <t>2009-07-10</t>
  </si>
  <si>
    <t>2009-07-11</t>
  </si>
  <si>
    <t>2009-07-12</t>
  </si>
  <si>
    <t>2009-07-13</t>
  </si>
  <si>
    <t>2009-07-14</t>
  </si>
  <si>
    <t>2009-07-15</t>
  </si>
  <si>
    <t>2009-07-16</t>
  </si>
  <si>
    <t>2009-07-17</t>
  </si>
  <si>
    <t>2009-07-18</t>
  </si>
  <si>
    <t>2009-07-19</t>
  </si>
  <si>
    <t>2009-07-20</t>
  </si>
  <si>
    <t>2009-07-21</t>
  </si>
  <si>
    <t>2009-07-22</t>
  </si>
  <si>
    <t>2009-07-23</t>
  </si>
  <si>
    <t>2009-07-24</t>
  </si>
  <si>
    <t>2009-07-25</t>
  </si>
  <si>
    <t>2009-07-26</t>
  </si>
  <si>
    <t>2009-07-27</t>
  </si>
  <si>
    <t>2009-07-28</t>
  </si>
  <si>
    <t>2009-07-29</t>
  </si>
  <si>
    <t>2009-07-30</t>
  </si>
  <si>
    <t>2009-07-31</t>
  </si>
  <si>
    <t>2009-08-01</t>
  </si>
  <si>
    <t>2009-08-02</t>
  </si>
  <si>
    <t>2009-08-03</t>
  </si>
  <si>
    <t>2009-08-04</t>
  </si>
  <si>
    <t>2009-08-05</t>
  </si>
  <si>
    <t>2009-08-06</t>
  </si>
  <si>
    <t>2009-08-07</t>
  </si>
  <si>
    <t>2009-08-08</t>
  </si>
  <si>
    <t>2009-08-09</t>
  </si>
  <si>
    <t>2009-08-10</t>
  </si>
  <si>
    <t>2009-08-11</t>
  </si>
  <si>
    <t>2009-08-12</t>
  </si>
  <si>
    <t>2009-08-13</t>
  </si>
  <si>
    <t>2009-08-14</t>
  </si>
  <si>
    <t>2009-08-15</t>
  </si>
  <si>
    <t>2009-08-16</t>
  </si>
  <si>
    <t>2009-08-17</t>
  </si>
  <si>
    <t>2009-08-18</t>
  </si>
  <si>
    <t>2009-08-19</t>
  </si>
  <si>
    <t>2009-08-20</t>
  </si>
  <si>
    <t>2009-08-21</t>
  </si>
  <si>
    <t>2009-08-22</t>
  </si>
  <si>
    <t>2009-08-23</t>
  </si>
  <si>
    <t>2009-08-24</t>
  </si>
  <si>
    <t>2009-08-25</t>
  </si>
  <si>
    <t>2009-08-26</t>
  </si>
  <si>
    <t>2009-08-27</t>
  </si>
  <si>
    <t>2009-08-28</t>
  </si>
  <si>
    <t>2009-08-29</t>
  </si>
  <si>
    <t>2009-08-30</t>
  </si>
  <si>
    <t>2009-08-31</t>
  </si>
  <si>
    <t>2009-09-01</t>
  </si>
  <si>
    <t>2009-09-02</t>
  </si>
  <si>
    <t>2009-09-03</t>
  </si>
  <si>
    <t>2009-09-04</t>
  </si>
  <si>
    <t>2009-09-05</t>
  </si>
  <si>
    <t>2009-09-06</t>
  </si>
  <si>
    <t>2009-09-07</t>
  </si>
  <si>
    <t>2009-09-08</t>
  </si>
  <si>
    <t>2009-09-09</t>
  </si>
  <si>
    <t>2009-09-10</t>
  </si>
  <si>
    <t>2009-09-11</t>
  </si>
  <si>
    <t>2009-09-12</t>
  </si>
  <si>
    <t>2009-09-13</t>
  </si>
  <si>
    <t>2009-09-14</t>
  </si>
  <si>
    <t>2009-09-15</t>
  </si>
  <si>
    <t>2009-09-16</t>
  </si>
  <si>
    <t>2009-09-17</t>
  </si>
  <si>
    <t>2009-09-18</t>
  </si>
  <si>
    <t>2009-09-19</t>
  </si>
  <si>
    <t>2009-09-20</t>
  </si>
  <si>
    <t>2009-09-21</t>
  </si>
  <si>
    <t>2009-09-22</t>
  </si>
  <si>
    <t>2009-09-23</t>
  </si>
  <si>
    <t>2009-09-24</t>
  </si>
  <si>
    <t>2009-09-25</t>
  </si>
  <si>
    <t>2009-09-26</t>
  </si>
  <si>
    <t>2009-09-27</t>
  </si>
  <si>
    <t>2009-09-28</t>
  </si>
  <si>
    <t>2009-09-29</t>
  </si>
  <si>
    <t>2009-09-30</t>
  </si>
  <si>
    <t>2009-10-01</t>
  </si>
  <si>
    <t>2009-10-02</t>
  </si>
  <si>
    <t>2009-10-03</t>
  </si>
  <si>
    <t>2009-10-04</t>
  </si>
  <si>
    <t>2009-10-05</t>
  </si>
  <si>
    <t>2009-10-06</t>
  </si>
  <si>
    <t>2009-10-07</t>
  </si>
  <si>
    <t>2009-10-08</t>
  </si>
  <si>
    <t>2009-10-09</t>
  </si>
  <si>
    <t>2009-10-10</t>
  </si>
  <si>
    <t>2009-10-11</t>
  </si>
  <si>
    <t>2009-10-12</t>
  </si>
  <si>
    <t>2009-10-13</t>
  </si>
  <si>
    <t>2009-10-14</t>
  </si>
  <si>
    <t>2009-10-15</t>
  </si>
  <si>
    <t>2009-10-16</t>
  </si>
  <si>
    <t>2009-10-17</t>
  </si>
  <si>
    <t>2009-10-18</t>
  </si>
  <si>
    <t>2009-10-19</t>
  </si>
  <si>
    <t>2009-10-20</t>
  </si>
  <si>
    <t>2009-10-21</t>
  </si>
  <si>
    <t>2009-10-22</t>
  </si>
  <si>
    <t>2009-10-23</t>
  </si>
  <si>
    <t>2009-10-24</t>
  </si>
  <si>
    <t>2009-10-25</t>
  </si>
  <si>
    <t>2009-10-26</t>
  </si>
  <si>
    <t>2009-10-27</t>
  </si>
  <si>
    <t>2009-10-28</t>
  </si>
  <si>
    <t>2009-10-29</t>
  </si>
  <si>
    <t>2009-10-30</t>
  </si>
  <si>
    <t>2009-10-31</t>
  </si>
  <si>
    <t>2009-11-01</t>
  </si>
  <si>
    <t>2009-11-02</t>
  </si>
  <si>
    <t>2009-11-03</t>
  </si>
  <si>
    <t>2009-11-04</t>
  </si>
  <si>
    <t>2009-11-05</t>
  </si>
  <si>
    <t>2009-11-06</t>
  </si>
  <si>
    <t>2009-11-07</t>
  </si>
  <si>
    <t>2009-11-08</t>
  </si>
  <si>
    <t>2009-11-09</t>
  </si>
  <si>
    <t>2009-11-10</t>
  </si>
  <si>
    <t>2009-11-11</t>
  </si>
  <si>
    <t>2009-11-12</t>
  </si>
  <si>
    <t>2009-11-13</t>
  </si>
  <si>
    <t>2009-11-14</t>
  </si>
  <si>
    <t>2009-11-15</t>
  </si>
  <si>
    <t>2009-11-16</t>
  </si>
  <si>
    <t>2009-11-17</t>
  </si>
  <si>
    <t>2009-11-18</t>
  </si>
  <si>
    <t>2009-11-19</t>
  </si>
  <si>
    <t>2009-11-20</t>
  </si>
  <si>
    <t>2009-11-21</t>
  </si>
  <si>
    <t>2009-11-22</t>
  </si>
  <si>
    <t>2009-11-23</t>
  </si>
  <si>
    <t>2009-11-24</t>
  </si>
  <si>
    <t>2009-11-25</t>
  </si>
  <si>
    <t>2009-11-26</t>
  </si>
  <si>
    <t>2009-11-27</t>
  </si>
  <si>
    <t>2009-11-28</t>
  </si>
  <si>
    <t>2009-11-29</t>
  </si>
  <si>
    <t>2009-11-30</t>
  </si>
  <si>
    <t>2009-12-01</t>
  </si>
  <si>
    <t>2009-12-02</t>
  </si>
  <si>
    <t>2009-12-03</t>
  </si>
  <si>
    <t>2009-12-04</t>
  </si>
  <si>
    <t>2009-12-05</t>
  </si>
  <si>
    <t>2009-12-06</t>
  </si>
  <si>
    <t>2009-12-07</t>
  </si>
  <si>
    <t>2009-12-08</t>
  </si>
  <si>
    <t>2009-12-09</t>
  </si>
  <si>
    <t>2009-12-10</t>
  </si>
  <si>
    <t>2009-12-11</t>
  </si>
  <si>
    <t>2009-12-12</t>
  </si>
  <si>
    <t>2009-12-13</t>
  </si>
  <si>
    <t>2009-12-14</t>
  </si>
  <si>
    <t>2009-12-15</t>
  </si>
  <si>
    <t>2009-12-16</t>
  </si>
  <si>
    <t>2009-12-17</t>
  </si>
  <si>
    <t>2009-12-18</t>
  </si>
  <si>
    <t>2009-12-19</t>
  </si>
  <si>
    <t>2009-12-20</t>
  </si>
  <si>
    <t>2009-12-21</t>
  </si>
  <si>
    <t>2009-12-22</t>
  </si>
  <si>
    <t>2009-12-23</t>
  </si>
  <si>
    <t>2009-12-24</t>
  </si>
  <si>
    <t>2009-12-25</t>
  </si>
  <si>
    <t>2009-12-26</t>
  </si>
  <si>
    <t>2009-12-27</t>
  </si>
  <si>
    <t>2009-12-28</t>
  </si>
  <si>
    <t>2009-12-29</t>
  </si>
  <si>
    <t>2009-12-30</t>
  </si>
  <si>
    <t>2009-12-31</t>
  </si>
  <si>
    <t>2010-01-01</t>
  </si>
  <si>
    <t>2010-01-02</t>
  </si>
  <si>
    <t>2010-01-03</t>
  </si>
  <si>
    <t>2010-01-04</t>
  </si>
  <si>
    <t>2010-01-05</t>
  </si>
  <si>
    <t>2010-01-06</t>
  </si>
  <si>
    <t>2010-01-07</t>
  </si>
  <si>
    <t>2010-01-08</t>
  </si>
  <si>
    <t>2010-01-09</t>
  </si>
  <si>
    <t>2010-01-10</t>
  </si>
  <si>
    <t>2010-01-11</t>
  </si>
  <si>
    <t>2010-01-12</t>
  </si>
  <si>
    <t>2010-01-13</t>
  </si>
  <si>
    <t>2010-01-14</t>
  </si>
  <si>
    <t>2010-01-15</t>
  </si>
  <si>
    <t>2010-01-16</t>
  </si>
  <si>
    <t>2010-01-17</t>
  </si>
  <si>
    <t>2010-01-18</t>
  </si>
  <si>
    <t>2010-01-19</t>
  </si>
  <si>
    <t>2010-01-20</t>
  </si>
  <si>
    <t>2010-01-21</t>
  </si>
  <si>
    <t>2010-01-22</t>
  </si>
  <si>
    <t>2010-01-23</t>
  </si>
  <si>
    <t>2010-01-24</t>
  </si>
  <si>
    <t>2010-01-25</t>
  </si>
  <si>
    <t>2010-01-26</t>
  </si>
  <si>
    <t>2010-01-27</t>
  </si>
  <si>
    <t>2010-01-28</t>
  </si>
  <si>
    <t>2010-01-29</t>
  </si>
  <si>
    <t>2010-01-30</t>
  </si>
  <si>
    <t>2010-01-31</t>
  </si>
  <si>
    <t>2010-02-01</t>
  </si>
  <si>
    <t>2010-02-02</t>
  </si>
  <si>
    <t>2010-02-03</t>
  </si>
  <si>
    <t>2010-02-04</t>
  </si>
  <si>
    <t>2010-02-05</t>
  </si>
  <si>
    <t>2010-02-06</t>
  </si>
  <si>
    <t>2010-02-07</t>
  </si>
  <si>
    <t>2010-02-08</t>
  </si>
  <si>
    <t>2010-02-09</t>
  </si>
  <si>
    <t>2010-02-10</t>
  </si>
  <si>
    <t>2010-02-11</t>
  </si>
  <si>
    <t>2010-02-12</t>
  </si>
  <si>
    <t>2010-02-13</t>
  </si>
  <si>
    <t>2010-02-14</t>
  </si>
  <si>
    <t>2010-02-15</t>
  </si>
  <si>
    <t>2010-02-16</t>
  </si>
  <si>
    <t>2010-02-17</t>
  </si>
  <si>
    <t>2010-02-18</t>
  </si>
  <si>
    <t>2010-02-19</t>
  </si>
  <si>
    <t>2010-02-20</t>
  </si>
  <si>
    <t>2010-02-21</t>
  </si>
  <si>
    <t>2010-02-22</t>
  </si>
  <si>
    <t>2010-02-23</t>
  </si>
  <si>
    <t>2010-02-24</t>
  </si>
  <si>
    <t>2010-02-25</t>
  </si>
  <si>
    <t>2010-02-26</t>
  </si>
  <si>
    <t>2010-02-27</t>
  </si>
  <si>
    <t>2010-02-28</t>
  </si>
  <si>
    <t>2010-03-01</t>
  </si>
  <si>
    <t>2010-03-02</t>
  </si>
  <si>
    <t>2010-03-03</t>
  </si>
  <si>
    <t>2010-03-04</t>
  </si>
  <si>
    <t>2010-03-05</t>
  </si>
  <si>
    <t>2010-03-06</t>
  </si>
  <si>
    <t>2010-03-07</t>
  </si>
  <si>
    <t>2010-03-08</t>
  </si>
  <si>
    <t>2010-03-09</t>
  </si>
  <si>
    <t>2010-03-10</t>
  </si>
  <si>
    <t>2010-03-11</t>
  </si>
  <si>
    <t>2010-03-12</t>
  </si>
  <si>
    <t>2010-03-13</t>
  </si>
  <si>
    <t>2010-03-14</t>
  </si>
  <si>
    <t>2010-03-15</t>
  </si>
  <si>
    <t>2010-03-16</t>
  </si>
  <si>
    <t>2010-03-17</t>
  </si>
  <si>
    <t>2010-03-18</t>
  </si>
  <si>
    <t>2010-03-19</t>
  </si>
  <si>
    <t>2010-03-20</t>
  </si>
  <si>
    <t>2010-03-21</t>
  </si>
  <si>
    <t>2010-03-22</t>
  </si>
  <si>
    <t>2010-03-23</t>
  </si>
  <si>
    <t>2010-03-24</t>
  </si>
  <si>
    <t>2010-03-25</t>
  </si>
  <si>
    <t>2010-03-26</t>
  </si>
  <si>
    <t>2010-03-27</t>
  </si>
  <si>
    <t>2010-03-28</t>
  </si>
  <si>
    <t>2010-03-29</t>
  </si>
  <si>
    <t>2010-03-30</t>
  </si>
  <si>
    <t>2010-03-31</t>
  </si>
  <si>
    <t>2010-04-01</t>
  </si>
  <si>
    <t>2010-04-02</t>
  </si>
  <si>
    <t>2010-04-03</t>
  </si>
  <si>
    <t>2010-04-04</t>
  </si>
  <si>
    <t>2010-04-05</t>
  </si>
  <si>
    <t>2010-04-06</t>
  </si>
  <si>
    <t>2010-04-07</t>
  </si>
  <si>
    <t>2010-04-08</t>
  </si>
  <si>
    <t>2010-04-09</t>
  </si>
  <si>
    <t>2010-04-10</t>
  </si>
  <si>
    <t>2010-04-11</t>
  </si>
  <si>
    <t>2010-04-12</t>
  </si>
  <si>
    <t>2010-04-13</t>
  </si>
  <si>
    <t>2010-04-14</t>
  </si>
  <si>
    <t>2010-04-15</t>
  </si>
  <si>
    <t>2010-04-16</t>
  </si>
  <si>
    <t>2010-04-17</t>
  </si>
  <si>
    <t>2010-04-18</t>
  </si>
  <si>
    <t>2010-04-19</t>
  </si>
  <si>
    <t>2010-04-20</t>
  </si>
  <si>
    <t>2010-04-21</t>
  </si>
  <si>
    <t>2010-04-22</t>
  </si>
  <si>
    <t>2010-04-23</t>
  </si>
  <si>
    <t>2010-04-24</t>
  </si>
  <si>
    <t>2010-04-25</t>
  </si>
  <si>
    <t>2010-04-26</t>
  </si>
  <si>
    <t>2010-04-27</t>
  </si>
  <si>
    <t>2010-04-28</t>
  </si>
  <si>
    <t>2010-04-29</t>
  </si>
  <si>
    <t>2010-04-30</t>
  </si>
  <si>
    <t>2010-05-01</t>
  </si>
  <si>
    <t>2010-05-02</t>
  </si>
  <si>
    <t>2010-05-03</t>
  </si>
  <si>
    <t>2010-05-04</t>
  </si>
  <si>
    <t>2010-05-05</t>
  </si>
  <si>
    <t>2010-05-06</t>
  </si>
  <si>
    <t>2010-05-07</t>
  </si>
  <si>
    <t>2010-05-08</t>
  </si>
  <si>
    <t>2010-05-09</t>
  </si>
  <si>
    <t>2010-05-10</t>
  </si>
  <si>
    <t>2010-05-11</t>
  </si>
  <si>
    <t>2010-05-12</t>
  </si>
  <si>
    <t>2010-05-13</t>
  </si>
  <si>
    <t>2010-05-14</t>
  </si>
  <si>
    <t>2010-05-15</t>
  </si>
  <si>
    <t>2010-05-16</t>
  </si>
  <si>
    <t>2010-05-17</t>
  </si>
  <si>
    <t>2010-05-18</t>
  </si>
  <si>
    <t>2010-05-19</t>
  </si>
  <si>
    <t>2010-05-20</t>
  </si>
  <si>
    <t>2010-05-21</t>
  </si>
  <si>
    <t>2010-05-22</t>
  </si>
  <si>
    <t>2010-05-23</t>
  </si>
  <si>
    <t>2010-05-24</t>
  </si>
  <si>
    <t>2010-05-25</t>
  </si>
  <si>
    <t>2010-05-26</t>
  </si>
  <si>
    <t>2010-05-27</t>
  </si>
  <si>
    <t>2010-05-28</t>
  </si>
  <si>
    <t>2010-05-29</t>
  </si>
  <si>
    <t>2010-05-30</t>
  </si>
  <si>
    <t>2010-05-31</t>
  </si>
  <si>
    <t>2010-06-01</t>
  </si>
  <si>
    <t>2010-06-02</t>
  </si>
  <si>
    <t>2010-06-03</t>
  </si>
  <si>
    <t>2010-06-04</t>
  </si>
  <si>
    <t>2010-06-05</t>
  </si>
  <si>
    <t>2010-06-06</t>
  </si>
  <si>
    <t>2010-06-07</t>
  </si>
  <si>
    <t>2010-06-08</t>
  </si>
  <si>
    <t>2010-06-09</t>
  </si>
  <si>
    <t>2010-06-10</t>
  </si>
  <si>
    <t>2010-06-11</t>
  </si>
  <si>
    <t>2010-06-12</t>
  </si>
  <si>
    <t>2010-06-13</t>
  </si>
  <si>
    <t>2010-06-14</t>
  </si>
  <si>
    <t>2010-06-15</t>
  </si>
  <si>
    <t>2010-06-16</t>
  </si>
  <si>
    <t>2010-06-17</t>
  </si>
  <si>
    <t>2010-06-18</t>
  </si>
  <si>
    <t>2010-06-19</t>
  </si>
  <si>
    <t>2010-06-20</t>
  </si>
  <si>
    <t>2010-06-21</t>
  </si>
  <si>
    <t>2010-06-22</t>
  </si>
  <si>
    <t>2010-06-23</t>
  </si>
  <si>
    <t>2010-06-24</t>
  </si>
  <si>
    <t>2010-06-25</t>
  </si>
  <si>
    <t>2010-06-26</t>
  </si>
  <si>
    <t>2010-06-27</t>
  </si>
  <si>
    <t>2010-06-28</t>
  </si>
  <si>
    <t>2010-06-29</t>
  </si>
  <si>
    <t>2010-06-30</t>
  </si>
  <si>
    <t>2010-07-01</t>
  </si>
  <si>
    <t>2010-07-02</t>
  </si>
  <si>
    <t>2010-07-03</t>
  </si>
  <si>
    <t>2010-07-04</t>
  </si>
  <si>
    <t>2010-07-05</t>
  </si>
  <si>
    <t>2010-07-06</t>
  </si>
  <si>
    <t>2010-07-07</t>
  </si>
  <si>
    <t>2010-07-08</t>
  </si>
  <si>
    <t>2010-07-09</t>
  </si>
  <si>
    <t>2010-07-10</t>
  </si>
  <si>
    <t>2010-07-11</t>
  </si>
  <si>
    <t>2010-07-12</t>
  </si>
  <si>
    <t>2010-07-13</t>
  </si>
  <si>
    <t>2010-07-14</t>
  </si>
  <si>
    <t>2010-07-15</t>
  </si>
  <si>
    <t>2010-07-16</t>
  </si>
  <si>
    <t>2010-07-17</t>
  </si>
  <si>
    <t>2010-07-18</t>
  </si>
  <si>
    <t>2010-07-19</t>
  </si>
  <si>
    <t>2010-07-20</t>
  </si>
  <si>
    <t>2010-07-21</t>
  </si>
  <si>
    <t>2010-07-22</t>
  </si>
  <si>
    <t>2010-07-23</t>
  </si>
  <si>
    <t>2010-07-24</t>
  </si>
  <si>
    <t>2010-07-25</t>
  </si>
  <si>
    <t>2010-07-26</t>
  </si>
  <si>
    <t>2010-07-27</t>
  </si>
  <si>
    <t>2010-07-28</t>
  </si>
  <si>
    <t>2010-07-29</t>
  </si>
  <si>
    <t>2010-07-30</t>
  </si>
  <si>
    <t>2010-07-31</t>
  </si>
  <si>
    <t>2010-08-01</t>
  </si>
  <si>
    <t>2010-08-02</t>
  </si>
  <si>
    <t>2010-08-03</t>
  </si>
  <si>
    <t>2010-08-04</t>
  </si>
  <si>
    <t>2010-08-05</t>
  </si>
  <si>
    <t>2010-08-06</t>
  </si>
  <si>
    <t>2010-08-07</t>
  </si>
  <si>
    <t>2010-08-08</t>
  </si>
  <si>
    <t>2010-08-09</t>
  </si>
  <si>
    <t>2010-08-10</t>
  </si>
  <si>
    <t>2010-08-11</t>
  </si>
  <si>
    <t>2010-08-12</t>
  </si>
  <si>
    <t>2010-08-13</t>
  </si>
  <si>
    <t>2010-08-14</t>
  </si>
  <si>
    <t>2010-08-15</t>
  </si>
  <si>
    <t>2010-08-16</t>
  </si>
  <si>
    <t>2010-08-17</t>
  </si>
  <si>
    <t>2010-08-18</t>
  </si>
  <si>
    <t>2010-08-19</t>
  </si>
  <si>
    <t>2010-08-20</t>
  </si>
  <si>
    <t>2010-08-21</t>
  </si>
  <si>
    <t>2010-08-22</t>
  </si>
  <si>
    <t>2010-08-23</t>
  </si>
  <si>
    <t>2010-08-24</t>
  </si>
  <si>
    <t>2010-08-25</t>
  </si>
  <si>
    <t>2010-08-26</t>
  </si>
  <si>
    <t>2010-08-27</t>
  </si>
  <si>
    <t>2010-08-28</t>
  </si>
  <si>
    <t>2010-08-29</t>
  </si>
  <si>
    <t>2010-08-30</t>
  </si>
  <si>
    <t>2010-08-31</t>
  </si>
  <si>
    <t>2010-09-01</t>
  </si>
  <si>
    <t>2010-09-02</t>
  </si>
  <si>
    <t>2010-09-03</t>
  </si>
  <si>
    <t>2010-09-04</t>
  </si>
  <si>
    <t>2010-09-05</t>
  </si>
  <si>
    <t>2010-09-06</t>
  </si>
  <si>
    <t>2010-09-07</t>
  </si>
  <si>
    <t>2010-09-08</t>
  </si>
  <si>
    <t>2010-09-09</t>
  </si>
  <si>
    <t>2010-09-10</t>
  </si>
  <si>
    <t>2010-09-11</t>
  </si>
  <si>
    <t>2010-09-12</t>
  </si>
  <si>
    <t>2010-09-13</t>
  </si>
  <si>
    <t>2010-09-14</t>
  </si>
  <si>
    <t>2010-09-15</t>
  </si>
  <si>
    <t>2010-09-16</t>
  </si>
  <si>
    <t>2010-09-17</t>
  </si>
  <si>
    <t>2010-09-18</t>
  </si>
  <si>
    <t>2010-09-19</t>
  </si>
  <si>
    <t>2010-09-20</t>
  </si>
  <si>
    <t>2010-09-21</t>
  </si>
  <si>
    <t>2010-09-22</t>
  </si>
  <si>
    <t>2010-09-23</t>
  </si>
  <si>
    <t>2010-09-24</t>
  </si>
  <si>
    <t>2010-09-25</t>
  </si>
  <si>
    <t>2010-09-26</t>
  </si>
  <si>
    <t>2010-09-27</t>
  </si>
  <si>
    <t>2010-09-28</t>
  </si>
  <si>
    <t>2010-09-29</t>
  </si>
  <si>
    <t>2010-09-30</t>
  </si>
  <si>
    <t>2010-10-01</t>
  </si>
  <si>
    <t>2010-10-02</t>
  </si>
  <si>
    <t>2010-10-03</t>
  </si>
  <si>
    <t>2010-10-04</t>
  </si>
  <si>
    <t>2010-10-05</t>
  </si>
  <si>
    <t>2010-10-06</t>
  </si>
  <si>
    <t>2010-10-07</t>
  </si>
  <si>
    <t>2010-10-08</t>
  </si>
  <si>
    <t>2010-10-09</t>
  </si>
  <si>
    <t>2010-10-10</t>
  </si>
  <si>
    <t>2010-10-11</t>
  </si>
  <si>
    <t>2010-10-12</t>
  </si>
  <si>
    <t>2010-10-13</t>
  </si>
  <si>
    <t>2010-10-14</t>
  </si>
  <si>
    <t>2010-10-15</t>
  </si>
  <si>
    <t>2010-10-16</t>
  </si>
  <si>
    <t>2010-10-17</t>
  </si>
  <si>
    <t>2010-10-18</t>
  </si>
  <si>
    <t>2010-10-19</t>
  </si>
  <si>
    <t>2010-10-20</t>
  </si>
  <si>
    <t>2010-10-21</t>
  </si>
  <si>
    <t>2010-10-22</t>
  </si>
  <si>
    <t>2010-10-23</t>
  </si>
  <si>
    <t>2010-10-24</t>
  </si>
  <si>
    <t>2010-10-25</t>
  </si>
  <si>
    <t>2010-10-26</t>
  </si>
  <si>
    <t>2010-10-27</t>
  </si>
  <si>
    <t>2010-10-28</t>
  </si>
  <si>
    <t>2010-10-29</t>
  </si>
  <si>
    <t>2010-10-30</t>
  </si>
  <si>
    <t>2010-10-31</t>
  </si>
  <si>
    <t>2010-11-01</t>
  </si>
  <si>
    <t>2010-11-02</t>
  </si>
  <si>
    <t>2010-11-03</t>
  </si>
  <si>
    <t>2010-11-04</t>
  </si>
  <si>
    <t>2010-11-05</t>
  </si>
  <si>
    <t>2010-11-06</t>
  </si>
  <si>
    <t>2010-11-07</t>
  </si>
  <si>
    <t>2010-11-08</t>
  </si>
  <si>
    <t>2010-11-09</t>
  </si>
  <si>
    <t>2010-11-10</t>
  </si>
  <si>
    <t>2010-11-11</t>
  </si>
  <si>
    <t>2010-11-12</t>
  </si>
  <si>
    <t>2010-11-13</t>
  </si>
  <si>
    <t>2010-11-14</t>
  </si>
  <si>
    <t>2010-11-15</t>
  </si>
  <si>
    <t>2010-11-16</t>
  </si>
  <si>
    <t>2010-11-17</t>
  </si>
  <si>
    <t>2010-11-18</t>
  </si>
  <si>
    <t>2010-11-19</t>
  </si>
  <si>
    <t>2010-11-20</t>
  </si>
  <si>
    <t>2010-11-21</t>
  </si>
  <si>
    <t>2010-11-22</t>
  </si>
  <si>
    <t>2010-11-23</t>
  </si>
  <si>
    <t>2010-11-24</t>
  </si>
  <si>
    <t>2010-11-25</t>
  </si>
  <si>
    <t>2010-11-26</t>
  </si>
  <si>
    <t>2010-11-27</t>
  </si>
  <si>
    <t>2010-11-28</t>
  </si>
  <si>
    <t>2010-11-29</t>
  </si>
  <si>
    <t>2010-11-30</t>
  </si>
  <si>
    <t>2010-12-01</t>
  </si>
  <si>
    <t>2010-12-02</t>
  </si>
  <si>
    <t>2010-12-03</t>
  </si>
  <si>
    <t>2010-12-04</t>
  </si>
  <si>
    <t>2010-12-05</t>
  </si>
  <si>
    <t>2010-12-06</t>
  </si>
  <si>
    <t>2010-12-07</t>
  </si>
  <si>
    <t>2010-12-08</t>
  </si>
  <si>
    <t>2010-12-09</t>
  </si>
  <si>
    <t>2010-12-10</t>
  </si>
  <si>
    <t>2010-12-11</t>
  </si>
  <si>
    <t>2010-12-12</t>
  </si>
  <si>
    <t>2010-12-13</t>
  </si>
  <si>
    <t>2010-12-14</t>
  </si>
  <si>
    <t>2010-12-15</t>
  </si>
  <si>
    <t>2010-12-16</t>
  </si>
  <si>
    <t>2010-12-17</t>
  </si>
  <si>
    <t>2010-12-18</t>
  </si>
  <si>
    <t>2010-12-19</t>
  </si>
  <si>
    <t>2010-12-20</t>
  </si>
  <si>
    <t>2010-12-21</t>
  </si>
  <si>
    <t>2010-12-22</t>
  </si>
  <si>
    <t>2010-12-23</t>
  </si>
  <si>
    <t>2010-12-24</t>
  </si>
  <si>
    <t>2010-12-25</t>
  </si>
  <si>
    <t>2010-12-26</t>
  </si>
  <si>
    <t>2010-12-27</t>
  </si>
  <si>
    <t>2010-12-28</t>
  </si>
  <si>
    <t>2010-12-29</t>
  </si>
  <si>
    <t>2010-12-30</t>
  </si>
  <si>
    <t>2010-12-31</t>
  </si>
  <si>
    <t>2011-01-01</t>
  </si>
  <si>
    <t>2011-01-02</t>
  </si>
  <si>
    <t>2011-01-03</t>
  </si>
  <si>
    <t>2011-01-04</t>
  </si>
  <si>
    <t>2011-01-05</t>
  </si>
  <si>
    <t>2011-01-06</t>
  </si>
  <si>
    <t>2011-01-07</t>
  </si>
  <si>
    <t>2011-01-08</t>
  </si>
  <si>
    <t>2011-01-09</t>
  </si>
  <si>
    <t>2011-01-10</t>
  </si>
  <si>
    <t>2011-01-11</t>
  </si>
  <si>
    <t>2011-01-12</t>
  </si>
  <si>
    <t>2011-01-13</t>
  </si>
  <si>
    <t>2011-01-14</t>
  </si>
  <si>
    <t>2011-01-15</t>
  </si>
  <si>
    <t>2011-01-16</t>
  </si>
  <si>
    <t>2011-01-17</t>
  </si>
  <si>
    <t>2011-01-18</t>
  </si>
  <si>
    <t>2011-01-19</t>
  </si>
  <si>
    <t>2011-01-20</t>
  </si>
  <si>
    <t>2011-01-21</t>
  </si>
  <si>
    <t>2011-01-22</t>
  </si>
  <si>
    <t>2011-01-23</t>
  </si>
  <si>
    <t>2011-01-24</t>
  </si>
  <si>
    <t>2011-01-25</t>
  </si>
  <si>
    <t>2011-01-26</t>
  </si>
  <si>
    <t>2011-01-27</t>
  </si>
  <si>
    <t>2011-01-28</t>
  </si>
  <si>
    <t>2011-01-29</t>
  </si>
  <si>
    <t>2011-01-30</t>
  </si>
  <si>
    <t>2011-01-31</t>
  </si>
  <si>
    <t>2011-02-01</t>
  </si>
  <si>
    <t>2011-02-02</t>
  </si>
  <si>
    <t>2011-02-03</t>
  </si>
  <si>
    <t>2011-02-04</t>
  </si>
  <si>
    <t>2011-02-05</t>
  </si>
  <si>
    <t>2011-02-06</t>
  </si>
  <si>
    <t>2011-02-07</t>
  </si>
  <si>
    <t>2011-02-08</t>
  </si>
  <si>
    <t>2011-02-09</t>
  </si>
  <si>
    <t>2011-02-10</t>
  </si>
  <si>
    <t>2011-02-11</t>
  </si>
  <si>
    <t>2011-02-12</t>
  </si>
  <si>
    <t>2011-02-13</t>
  </si>
  <si>
    <t>2011-02-14</t>
  </si>
  <si>
    <t>2011-02-15</t>
  </si>
  <si>
    <t>2011-02-16</t>
  </si>
  <si>
    <t>2011-02-17</t>
  </si>
  <si>
    <t>2011-02-18</t>
  </si>
  <si>
    <t>2011-02-19</t>
  </si>
  <si>
    <t>2011-02-20</t>
  </si>
  <si>
    <t>2011-02-21</t>
  </si>
  <si>
    <t>2011-02-22</t>
  </si>
  <si>
    <t>2011-02-23</t>
  </si>
  <si>
    <t>2011-02-24</t>
  </si>
  <si>
    <t>2011-02-25</t>
  </si>
  <si>
    <t>2011-02-26</t>
  </si>
  <si>
    <t>2011-02-27</t>
  </si>
  <si>
    <t>2011-02-28</t>
  </si>
  <si>
    <t>2011-03-01</t>
  </si>
  <si>
    <t>2011-03-02</t>
  </si>
  <si>
    <t>2011-03-03</t>
  </si>
  <si>
    <t>2011-03-04</t>
  </si>
  <si>
    <t>2011-03-05</t>
  </si>
  <si>
    <t>2011-03-06</t>
  </si>
  <si>
    <t>2011-03-07</t>
  </si>
  <si>
    <t>2011-03-08</t>
  </si>
  <si>
    <t>2011-03-09</t>
  </si>
  <si>
    <t>2011-03-10</t>
  </si>
  <si>
    <t>2011-03-11</t>
  </si>
  <si>
    <t>2011-03-12</t>
  </si>
  <si>
    <t>2011-03-13</t>
  </si>
  <si>
    <t>2011-03-14</t>
  </si>
  <si>
    <t>2011-03-15</t>
  </si>
  <si>
    <t>2011-03-16</t>
  </si>
  <si>
    <t>2011-03-17</t>
  </si>
  <si>
    <t>2011-03-18</t>
  </si>
  <si>
    <t>2011-03-19</t>
  </si>
  <si>
    <t>2011-03-20</t>
  </si>
  <si>
    <t>2011-03-21</t>
  </si>
  <si>
    <t>2011-03-22</t>
  </si>
  <si>
    <t>2011-03-23</t>
  </si>
  <si>
    <t>2011-03-24</t>
  </si>
  <si>
    <t>2011-03-25</t>
  </si>
  <si>
    <t>2011-03-26</t>
  </si>
  <si>
    <t>2011-03-27</t>
  </si>
  <si>
    <t>2011-03-28</t>
  </si>
  <si>
    <t>2011-03-29</t>
  </si>
  <si>
    <t>2011-03-30</t>
  </si>
  <si>
    <t>2011-03-31</t>
  </si>
  <si>
    <t>2011-04-01</t>
  </si>
  <si>
    <t>2011-04-02</t>
  </si>
  <si>
    <t>2011-04-03</t>
  </si>
  <si>
    <t>2011-04-04</t>
  </si>
  <si>
    <t>2011-04-05</t>
  </si>
  <si>
    <t>2011-04-06</t>
  </si>
  <si>
    <t>2011-04-07</t>
  </si>
  <si>
    <t>2011-04-08</t>
  </si>
  <si>
    <t>2011-04-09</t>
  </si>
  <si>
    <t>2011-04-10</t>
  </si>
  <si>
    <t>2011-04-11</t>
  </si>
  <si>
    <t>2011-04-12</t>
  </si>
  <si>
    <t>2011-04-13</t>
  </si>
  <si>
    <t>2011-04-14</t>
  </si>
  <si>
    <t>2011-04-15</t>
  </si>
  <si>
    <t>2011-04-16</t>
  </si>
  <si>
    <t>2011-04-17</t>
  </si>
  <si>
    <t>2011-04-18</t>
  </si>
  <si>
    <t>2011-04-19</t>
  </si>
  <si>
    <t>2011-04-20</t>
  </si>
  <si>
    <t>2011-04-21</t>
  </si>
  <si>
    <t>2011-04-22</t>
  </si>
  <si>
    <t>2011-04-23</t>
  </si>
  <si>
    <t>2011-04-24</t>
  </si>
  <si>
    <t>2011-04-25</t>
  </si>
  <si>
    <t>2011-04-26</t>
  </si>
  <si>
    <t>2011-04-27</t>
  </si>
  <si>
    <t>2011-04-28</t>
  </si>
  <si>
    <t>2011-04-29</t>
  </si>
  <si>
    <t>2011-04-30</t>
  </si>
  <si>
    <t>2011-05-01</t>
  </si>
  <si>
    <t>2011-05-02</t>
  </si>
  <si>
    <t>2011-05-03</t>
  </si>
  <si>
    <t>2011-05-04</t>
  </si>
  <si>
    <t>2011-05-05</t>
  </si>
  <si>
    <t>2011-05-06</t>
  </si>
  <si>
    <t>2011-05-07</t>
  </si>
  <si>
    <t>2011-05-08</t>
  </si>
  <si>
    <t>2011-05-09</t>
  </si>
  <si>
    <t>2011-05-10</t>
  </si>
  <si>
    <t>2011-05-11</t>
  </si>
  <si>
    <t>2011-05-12</t>
  </si>
  <si>
    <t>2011-05-13</t>
  </si>
  <si>
    <t>2011-05-14</t>
  </si>
  <si>
    <t>2011-05-15</t>
  </si>
  <si>
    <t>2011-05-16</t>
  </si>
  <si>
    <t>2011-05-17</t>
  </si>
  <si>
    <t>2011-05-18</t>
  </si>
  <si>
    <t>2011-05-19</t>
  </si>
  <si>
    <t>2011-05-20</t>
  </si>
  <si>
    <t>2011-05-21</t>
  </si>
  <si>
    <t>2011-05-22</t>
  </si>
  <si>
    <t>2011-05-23</t>
  </si>
  <si>
    <t>2011-05-24</t>
  </si>
  <si>
    <t>2011-05-25</t>
  </si>
  <si>
    <t>2011-05-26</t>
  </si>
  <si>
    <t>2011-05-27</t>
  </si>
  <si>
    <t>2011-05-28</t>
  </si>
  <si>
    <t>2011-05-29</t>
  </si>
  <si>
    <t>2011-05-30</t>
  </si>
  <si>
    <t>2011-05-31</t>
  </si>
  <si>
    <t>2011-06-01</t>
  </si>
  <si>
    <t>2011-06-02</t>
  </si>
  <si>
    <t>2011-06-03</t>
  </si>
  <si>
    <t>2011-06-04</t>
  </si>
  <si>
    <t>2011-06-05</t>
  </si>
  <si>
    <t>2011-06-06</t>
  </si>
  <si>
    <t>2011-06-07</t>
  </si>
  <si>
    <t>2011-06-08</t>
  </si>
  <si>
    <t>2011-06-09</t>
  </si>
  <si>
    <t>2011-06-10</t>
  </si>
  <si>
    <t>2011-06-11</t>
  </si>
  <si>
    <t>2011-06-12</t>
  </si>
  <si>
    <t>2011-06-13</t>
  </si>
  <si>
    <t>2011-06-14</t>
  </si>
  <si>
    <t>2011-06-15</t>
  </si>
  <si>
    <t>2011-06-16</t>
  </si>
  <si>
    <t>2011-06-17</t>
  </si>
  <si>
    <t>2011-06-18</t>
  </si>
  <si>
    <t>2011-06-19</t>
  </si>
  <si>
    <t>2011-06-20</t>
  </si>
  <si>
    <t>2011-06-21</t>
  </si>
  <si>
    <t>2011-06-22</t>
  </si>
  <si>
    <t>2011-06-23</t>
  </si>
  <si>
    <t>2011-06-24</t>
  </si>
  <si>
    <t>2011-06-25</t>
  </si>
  <si>
    <t>2011-06-26</t>
  </si>
  <si>
    <t>2011-06-27</t>
  </si>
  <si>
    <t>2011-06-28</t>
  </si>
  <si>
    <t>2011-06-29</t>
  </si>
  <si>
    <t>2011-06-30</t>
  </si>
  <si>
    <t>2011-07-01</t>
  </si>
  <si>
    <t>2011-07-02</t>
  </si>
  <si>
    <t>2011-07-03</t>
  </si>
  <si>
    <t>2011-07-04</t>
  </si>
  <si>
    <t>2011-07-05</t>
  </si>
  <si>
    <t>2011-07-06</t>
  </si>
  <si>
    <t>2011-07-07</t>
  </si>
  <si>
    <t>2011-07-08</t>
  </si>
  <si>
    <t>2011-07-09</t>
  </si>
  <si>
    <t>2011-07-10</t>
  </si>
  <si>
    <t>2011-07-11</t>
  </si>
  <si>
    <t>2011-07-12</t>
  </si>
  <si>
    <t>2011-07-13</t>
  </si>
  <si>
    <t>2011-07-14</t>
  </si>
  <si>
    <t>2011-07-15</t>
  </si>
  <si>
    <t>2011-07-16</t>
  </si>
  <si>
    <t>2011-07-17</t>
  </si>
  <si>
    <t>2011-07-18</t>
  </si>
  <si>
    <t>2011-07-19</t>
  </si>
  <si>
    <t>2011-07-20</t>
  </si>
  <si>
    <t>2011-07-21</t>
  </si>
  <si>
    <t>2011-07-22</t>
  </si>
  <si>
    <t>2011-07-23</t>
  </si>
  <si>
    <t>2011-07-24</t>
  </si>
  <si>
    <t>2011-07-25</t>
  </si>
  <si>
    <t>2011-07-26</t>
  </si>
  <si>
    <t>2011-07-27</t>
  </si>
  <si>
    <t>2011-07-28</t>
  </si>
  <si>
    <t>2011-07-29</t>
  </si>
  <si>
    <t>2011-07-30</t>
  </si>
  <si>
    <t>2011-07-31</t>
  </si>
  <si>
    <t>2011-08-01</t>
  </si>
  <si>
    <t>2011-08-02</t>
  </si>
  <si>
    <t>2011-08-03</t>
  </si>
  <si>
    <t>2011-08-04</t>
  </si>
  <si>
    <t>2011-08-05</t>
  </si>
  <si>
    <t>2011-08-06</t>
  </si>
  <si>
    <t>2011-08-07</t>
  </si>
  <si>
    <t>2011-08-08</t>
  </si>
  <si>
    <t>2011-08-09</t>
  </si>
  <si>
    <t>2011-08-10</t>
  </si>
  <si>
    <t>2011-08-11</t>
  </si>
  <si>
    <t>2011-08-12</t>
  </si>
  <si>
    <t>2011-08-13</t>
  </si>
  <si>
    <t>2011-08-14</t>
  </si>
  <si>
    <t>2011-08-15</t>
  </si>
  <si>
    <t>2011-08-16</t>
  </si>
  <si>
    <t>2011-08-17</t>
  </si>
  <si>
    <t>2011-08-18</t>
  </si>
  <si>
    <t>2011-08-19</t>
  </si>
  <si>
    <t>2011-08-20</t>
  </si>
  <si>
    <t>2011-08-21</t>
  </si>
  <si>
    <t>2011-08-22</t>
  </si>
  <si>
    <t>2011-08-23</t>
  </si>
  <si>
    <t>2011-08-24</t>
  </si>
  <si>
    <t>2011-08-25</t>
  </si>
  <si>
    <t>2011-08-26</t>
  </si>
  <si>
    <t>2011-08-27</t>
  </si>
  <si>
    <t>2011-08-28</t>
  </si>
  <si>
    <t>2011-08-29</t>
  </si>
  <si>
    <t>2011-08-30</t>
  </si>
  <si>
    <t>2011-08-31</t>
  </si>
  <si>
    <t>2011-09-01</t>
  </si>
  <si>
    <t>2011-09-02</t>
  </si>
  <si>
    <t>2011-09-03</t>
  </si>
  <si>
    <t>2011-09-04</t>
  </si>
  <si>
    <t>2011-09-05</t>
  </si>
  <si>
    <t>2011-09-06</t>
  </si>
  <si>
    <t>2011-09-07</t>
  </si>
  <si>
    <t>2011-09-08</t>
  </si>
  <si>
    <t>2011-09-09</t>
  </si>
  <si>
    <t>2011-09-10</t>
  </si>
  <si>
    <t>2011-09-11</t>
  </si>
  <si>
    <t>2011-09-12</t>
  </si>
  <si>
    <t>2011-09-13</t>
  </si>
  <si>
    <t>2011-09-14</t>
  </si>
  <si>
    <t>2011-09-15</t>
  </si>
  <si>
    <t>2011-09-16</t>
  </si>
  <si>
    <t>2011-09-17</t>
  </si>
  <si>
    <t>2011-09-18</t>
  </si>
  <si>
    <t>2011-09-19</t>
  </si>
  <si>
    <t>2011-09-20</t>
  </si>
  <si>
    <t>2011-09-21</t>
  </si>
  <si>
    <t>2011-09-22</t>
  </si>
  <si>
    <t>2011-09-23</t>
  </si>
  <si>
    <t>2011-09-24</t>
  </si>
  <si>
    <t>2011-09-25</t>
  </si>
  <si>
    <t>2011-09-26</t>
  </si>
  <si>
    <t>2011-09-27</t>
  </si>
  <si>
    <t>2011-09-28</t>
  </si>
  <si>
    <t>2011-09-29</t>
  </si>
  <si>
    <t>2011-09-30</t>
  </si>
  <si>
    <t>2011-10-01</t>
  </si>
  <si>
    <t>2011-10-02</t>
  </si>
  <si>
    <t>2011-10-03</t>
  </si>
  <si>
    <t>2011-10-04</t>
  </si>
  <si>
    <t>2011-10-05</t>
  </si>
  <si>
    <t>2011-10-06</t>
  </si>
  <si>
    <t>2011-10-07</t>
  </si>
  <si>
    <t>2011-10-08</t>
  </si>
  <si>
    <t>2011-10-09</t>
  </si>
  <si>
    <t>2011-10-10</t>
  </si>
  <si>
    <t>2011-10-11</t>
  </si>
  <si>
    <t>2011-10-12</t>
  </si>
  <si>
    <t>2011-10-13</t>
  </si>
  <si>
    <t>2011-10-14</t>
  </si>
  <si>
    <t>2011-10-15</t>
  </si>
  <si>
    <t>2011-10-16</t>
  </si>
  <si>
    <t>2011-10-17</t>
  </si>
  <si>
    <t>2011-10-18</t>
  </si>
  <si>
    <t>2011-10-19</t>
  </si>
  <si>
    <t>2011-10-20</t>
  </si>
  <si>
    <t>2011-10-21</t>
  </si>
  <si>
    <t>2011-10-22</t>
  </si>
  <si>
    <t>2011-10-23</t>
  </si>
  <si>
    <t>2011-10-24</t>
  </si>
  <si>
    <t>2011-10-25</t>
  </si>
  <si>
    <t>2011-10-26</t>
  </si>
  <si>
    <t>2011-10-27</t>
  </si>
  <si>
    <t>2011-10-28</t>
  </si>
  <si>
    <t>2011-10-29</t>
  </si>
  <si>
    <t>2011-10-30</t>
  </si>
  <si>
    <t>2011-10-31</t>
  </si>
  <si>
    <t>2011-11-01</t>
  </si>
  <si>
    <t>2011-11-02</t>
  </si>
  <si>
    <t>2011-11-03</t>
  </si>
  <si>
    <t>2011-11-04</t>
  </si>
  <si>
    <t>2011-11-05</t>
  </si>
  <si>
    <t>2011-11-06</t>
  </si>
  <si>
    <t>2011-11-07</t>
  </si>
  <si>
    <t>2011-11-08</t>
  </si>
  <si>
    <t>2011-11-09</t>
  </si>
  <si>
    <t>2011-11-10</t>
  </si>
  <si>
    <t>2011-11-11</t>
  </si>
  <si>
    <t>2011-11-12</t>
  </si>
  <si>
    <t>2011-11-13</t>
  </si>
  <si>
    <t>2011-11-14</t>
  </si>
  <si>
    <t>2011-11-15</t>
  </si>
  <si>
    <t>2011-11-16</t>
  </si>
  <si>
    <t>2011-11-17</t>
  </si>
  <si>
    <t>2011-11-18</t>
  </si>
  <si>
    <t>2011-11-19</t>
  </si>
  <si>
    <t>2011-11-20</t>
  </si>
  <si>
    <t>2011-11-21</t>
  </si>
  <si>
    <t>2011-11-22</t>
  </si>
  <si>
    <t>2011-11-23</t>
  </si>
  <si>
    <t>2011-11-24</t>
  </si>
  <si>
    <t>2011-11-25</t>
  </si>
  <si>
    <t>2011-11-26</t>
  </si>
  <si>
    <t>2011-11-27</t>
  </si>
  <si>
    <t>2011-11-28</t>
  </si>
  <si>
    <t>2011-11-29</t>
  </si>
  <si>
    <t>2011-11-30</t>
  </si>
  <si>
    <t>2011-12-01</t>
  </si>
  <si>
    <t>2011-12-02</t>
  </si>
  <si>
    <t>2011-12-03</t>
  </si>
  <si>
    <t>2011-12-04</t>
  </si>
  <si>
    <t>2011-12-05</t>
  </si>
  <si>
    <t>2011-12-06</t>
  </si>
  <si>
    <t>2011-12-07</t>
  </si>
  <si>
    <t>2011-12-08</t>
  </si>
  <si>
    <t>2011-12-09</t>
  </si>
  <si>
    <t>2011-12-10</t>
  </si>
  <si>
    <t>2011-12-11</t>
  </si>
  <si>
    <t>2011-12-12</t>
  </si>
  <si>
    <t>2011-12-13</t>
  </si>
  <si>
    <t>2011-12-14</t>
  </si>
  <si>
    <t>2011-12-15</t>
  </si>
  <si>
    <t>2011-12-16</t>
  </si>
  <si>
    <t>2011-12-17</t>
  </si>
  <si>
    <t>2011-12-18</t>
  </si>
  <si>
    <t>2011-12-19</t>
  </si>
  <si>
    <t>2011-12-20</t>
  </si>
  <si>
    <t>2011-12-21</t>
  </si>
  <si>
    <t>2011-12-22</t>
  </si>
  <si>
    <t>2011-12-23</t>
  </si>
  <si>
    <t>2011-12-24</t>
  </si>
  <si>
    <t>2011-12-25</t>
  </si>
  <si>
    <t>2011-12-26</t>
  </si>
  <si>
    <t>2011-12-27</t>
  </si>
  <si>
    <t>2011-12-28</t>
  </si>
  <si>
    <t>2011-12-29</t>
  </si>
  <si>
    <t>2011-12-30</t>
  </si>
  <si>
    <t>2011-12-31</t>
  </si>
  <si>
    <t>2012-01-01</t>
  </si>
  <si>
    <t>2012-01-02</t>
  </si>
  <si>
    <t>2012-01-03</t>
  </si>
  <si>
    <t>2012-01-04</t>
  </si>
  <si>
    <t>2012-01-05</t>
  </si>
  <si>
    <t>2012-01-06</t>
  </si>
  <si>
    <t>2012-01-07</t>
  </si>
  <si>
    <t>2012-01-08</t>
  </si>
  <si>
    <t>2012-01-09</t>
  </si>
  <si>
    <t>2012-01-10</t>
  </si>
  <si>
    <t>2012-01-11</t>
  </si>
  <si>
    <t>2012-01-12</t>
  </si>
  <si>
    <t>2012-01-13</t>
  </si>
  <si>
    <t>2012-01-14</t>
  </si>
  <si>
    <t>2012-01-15</t>
  </si>
  <si>
    <t>2012-01-16</t>
  </si>
  <si>
    <t>2012-01-17</t>
  </si>
  <si>
    <t>2012-01-18</t>
  </si>
  <si>
    <t>2012-01-19</t>
  </si>
  <si>
    <t>2012-01-20</t>
  </si>
  <si>
    <t>2012-01-21</t>
  </si>
  <si>
    <t>2012-01-22</t>
  </si>
  <si>
    <t>2012-01-23</t>
  </si>
  <si>
    <t>2012-01-24</t>
  </si>
  <si>
    <t>2012-01-25</t>
  </si>
  <si>
    <t>2012-01-26</t>
  </si>
  <si>
    <t>2012-01-27</t>
  </si>
  <si>
    <t>2012-01-28</t>
  </si>
  <si>
    <t>2012-01-29</t>
  </si>
  <si>
    <t>2012-01-30</t>
  </si>
  <si>
    <t>2012-01-31</t>
  </si>
  <si>
    <t>2012-02-01</t>
  </si>
  <si>
    <t>2012-02-02</t>
  </si>
  <si>
    <t>2012-02-03</t>
  </si>
  <si>
    <t>2012-02-04</t>
  </si>
  <si>
    <t>2012-02-05</t>
  </si>
  <si>
    <t>2012-02-06</t>
  </si>
  <si>
    <t>2012-02-07</t>
  </si>
  <si>
    <t>2012-02-08</t>
  </si>
  <si>
    <t>2012-02-09</t>
  </si>
  <si>
    <t>2012-02-10</t>
  </si>
  <si>
    <t>2012-02-11</t>
  </si>
  <si>
    <t>2012-02-12</t>
  </si>
  <si>
    <t>2012-02-13</t>
  </si>
  <si>
    <t>2012-02-14</t>
  </si>
  <si>
    <t>2012-02-15</t>
  </si>
  <si>
    <t>2012-02-16</t>
  </si>
  <si>
    <t>2012-02-17</t>
  </si>
  <si>
    <t>2012-02-18</t>
  </si>
  <si>
    <t>2012-02-19</t>
  </si>
  <si>
    <t>2012-02-20</t>
  </si>
  <si>
    <t>2012-02-21</t>
  </si>
  <si>
    <t>2012-02-22</t>
  </si>
  <si>
    <t>2012-02-23</t>
  </si>
  <si>
    <t>2012-02-24</t>
  </si>
  <si>
    <t>2012-02-25</t>
  </si>
  <si>
    <t>2012-02-26</t>
  </si>
  <si>
    <t>2012-02-27</t>
  </si>
  <si>
    <t>2012-02-28</t>
  </si>
  <si>
    <t>2012-03-01</t>
  </si>
  <si>
    <t>2012-03-02</t>
  </si>
  <si>
    <t>2012-03-03</t>
  </si>
  <si>
    <t>2012-03-04</t>
  </si>
  <si>
    <t>2012-03-05</t>
  </si>
  <si>
    <t>2012-03-06</t>
  </si>
  <si>
    <t>2012-03-07</t>
  </si>
  <si>
    <t>2012-03-08</t>
  </si>
  <si>
    <t>2012-03-09</t>
  </si>
  <si>
    <t>2012-03-10</t>
  </si>
  <si>
    <t>2012-03-11</t>
  </si>
  <si>
    <t>2012-03-12</t>
  </si>
  <si>
    <t>2012-03-13</t>
  </si>
  <si>
    <t>2012-03-14</t>
  </si>
  <si>
    <t>2012-03-15</t>
  </si>
  <si>
    <t>2012-03-16</t>
  </si>
  <si>
    <t>2012-03-17</t>
  </si>
  <si>
    <t>2012-03-18</t>
  </si>
  <si>
    <t>2012-03-19</t>
  </si>
  <si>
    <t>2012-03-20</t>
  </si>
  <si>
    <t>2012-03-21</t>
  </si>
  <si>
    <t>2012-03-22</t>
  </si>
  <si>
    <t>2012-03-23</t>
  </si>
  <si>
    <t>2012-03-24</t>
  </si>
  <si>
    <t>2012-03-25</t>
  </si>
  <si>
    <t>2012-03-26</t>
  </si>
  <si>
    <t>2012-03-27</t>
  </si>
  <si>
    <t>2012-03-28</t>
  </si>
  <si>
    <t>2012-03-29</t>
  </si>
  <si>
    <t>2012-03-30</t>
  </si>
  <si>
    <t>2012-03-31</t>
  </si>
  <si>
    <t>2012-04-01</t>
  </si>
  <si>
    <t>2012-04-02</t>
  </si>
  <si>
    <t>2012-04-03</t>
  </si>
  <si>
    <t>2012-04-04</t>
  </si>
  <si>
    <t>2012-04-05</t>
  </si>
  <si>
    <t>2012-04-06</t>
  </si>
  <si>
    <t>2012-04-07</t>
  </si>
  <si>
    <t>2012-04-08</t>
  </si>
  <si>
    <t>2012-04-09</t>
  </si>
  <si>
    <t>2012-04-10</t>
  </si>
  <si>
    <t>2012-04-11</t>
  </si>
  <si>
    <t>2012-04-12</t>
  </si>
  <si>
    <t>2012-04-13</t>
  </si>
  <si>
    <t>2012-04-14</t>
  </si>
  <si>
    <t>2012-04-15</t>
  </si>
  <si>
    <t>2012-04-16</t>
  </si>
  <si>
    <t>2012-04-17</t>
  </si>
  <si>
    <t>2012-04-18</t>
  </si>
  <si>
    <t>2012-04-19</t>
  </si>
  <si>
    <t>2012-04-20</t>
  </si>
  <si>
    <t>2012-04-21</t>
  </si>
  <si>
    <t>2012-04-22</t>
  </si>
  <si>
    <t>2012-04-23</t>
  </si>
  <si>
    <t>2012-04-24</t>
  </si>
  <si>
    <t>2012-04-25</t>
  </si>
  <si>
    <t>2012-04-26</t>
  </si>
  <si>
    <t>2012-04-27</t>
  </si>
  <si>
    <t>2012-04-28</t>
  </si>
  <si>
    <t>2012-04-29</t>
  </si>
  <si>
    <t>2012-04-30</t>
  </si>
  <si>
    <t>2012-05-01</t>
  </si>
  <si>
    <t>2012-05-02</t>
  </si>
  <si>
    <t>2012-05-03</t>
  </si>
  <si>
    <t>2012-05-04</t>
  </si>
  <si>
    <t>2012-05-05</t>
  </si>
  <si>
    <t>2012-05-06</t>
  </si>
  <si>
    <t>2012-05-07</t>
  </si>
  <si>
    <t>2012-05-08</t>
  </si>
  <si>
    <t>2012-05-09</t>
  </si>
  <si>
    <t>2012-05-10</t>
  </si>
  <si>
    <t>2012-05-11</t>
  </si>
  <si>
    <t>2012-05-12</t>
  </si>
  <si>
    <t>2012-05-13</t>
  </si>
  <si>
    <t>2012-05-14</t>
  </si>
  <si>
    <t>2012-05-15</t>
  </si>
  <si>
    <t>2012-05-16</t>
  </si>
  <si>
    <t>2012-05-17</t>
  </si>
  <si>
    <t>2012-05-18</t>
  </si>
  <si>
    <t>2012-05-19</t>
  </si>
  <si>
    <t>2012-05-20</t>
  </si>
  <si>
    <t>2012-05-21</t>
  </si>
  <si>
    <t>2012-05-22</t>
  </si>
  <si>
    <t>2012-05-23</t>
  </si>
  <si>
    <t>2012-05-24</t>
  </si>
  <si>
    <t>2012-05-25</t>
  </si>
  <si>
    <t>2012-05-26</t>
  </si>
  <si>
    <t>2012-05-27</t>
  </si>
  <si>
    <t>2012-05-28</t>
  </si>
  <si>
    <t>2012-05-29</t>
  </si>
  <si>
    <t>2012-05-30</t>
  </si>
  <si>
    <t>2012-05-31</t>
  </si>
  <si>
    <t>2012-06-01</t>
  </si>
  <si>
    <t>2012-06-02</t>
  </si>
  <si>
    <t>2012-06-03</t>
  </si>
  <si>
    <t>2012-06-04</t>
  </si>
  <si>
    <t>2012-06-05</t>
  </si>
  <si>
    <t>2012-06-06</t>
  </si>
  <si>
    <t>2012-06-07</t>
  </si>
  <si>
    <t>2012-06-08</t>
  </si>
  <si>
    <t>2012-06-09</t>
  </si>
  <si>
    <t>2012-06-10</t>
  </si>
  <si>
    <t>2012-06-11</t>
  </si>
  <si>
    <t>2012-06-12</t>
  </si>
  <si>
    <t>2012-06-13</t>
  </si>
  <si>
    <t>2012-06-14</t>
  </si>
  <si>
    <t>2012-06-15</t>
  </si>
  <si>
    <t>2012-06-16</t>
  </si>
  <si>
    <t>2012-06-17</t>
  </si>
  <si>
    <t>2012-06-18</t>
  </si>
  <si>
    <t>2012-06-19</t>
  </si>
  <si>
    <t>2012-06-20</t>
  </si>
  <si>
    <t>2012-06-21</t>
  </si>
  <si>
    <t>2012-06-22</t>
  </si>
  <si>
    <t>2012-06-23</t>
  </si>
  <si>
    <t>2012-06-24</t>
  </si>
  <si>
    <t>2012-06-25</t>
  </si>
  <si>
    <t>2012-06-26</t>
  </si>
  <si>
    <t>2012-06-27</t>
  </si>
  <si>
    <t>2012-06-28</t>
  </si>
  <si>
    <t>2012-06-29</t>
  </si>
  <si>
    <t>2012-06-30</t>
  </si>
  <si>
    <t>2012-07-01</t>
  </si>
  <si>
    <t>2012-07-02</t>
  </si>
  <si>
    <t>2012-07-03</t>
  </si>
  <si>
    <t>2012-07-04</t>
  </si>
  <si>
    <t>2012-07-05</t>
  </si>
  <si>
    <t>2012-07-06</t>
  </si>
  <si>
    <t>2012-07-07</t>
  </si>
  <si>
    <t>2012-07-08</t>
  </si>
  <si>
    <t>2012-07-09</t>
  </si>
  <si>
    <t>2012-07-10</t>
  </si>
  <si>
    <t>2012-07-11</t>
  </si>
  <si>
    <t>2012-07-12</t>
  </si>
  <si>
    <t>2012-07-13</t>
  </si>
  <si>
    <t>2012-07-14</t>
  </si>
  <si>
    <t>2012-07-15</t>
  </si>
  <si>
    <t>2012-07-16</t>
  </si>
  <si>
    <t>2012-07-17</t>
  </si>
  <si>
    <t>2012-07-18</t>
  </si>
  <si>
    <t>2012-07-19</t>
  </si>
  <si>
    <t>2012-07-20</t>
  </si>
  <si>
    <t>2012-07-21</t>
  </si>
  <si>
    <t>2012-07-22</t>
  </si>
  <si>
    <t>2012-07-23</t>
  </si>
  <si>
    <t>2012-07-24</t>
  </si>
  <si>
    <t>2012-07-25</t>
  </si>
  <si>
    <t>2012-07-26</t>
  </si>
  <si>
    <t>2012-07-27</t>
  </si>
  <si>
    <t>2012-07-28</t>
  </si>
  <si>
    <t>2012-07-29</t>
  </si>
  <si>
    <t>2012-07-30</t>
  </si>
  <si>
    <t>2012-07-31</t>
  </si>
  <si>
    <t>2012-08-01</t>
  </si>
  <si>
    <t>2012-08-02</t>
  </si>
  <si>
    <t>2012-08-03</t>
  </si>
  <si>
    <t>2012-08-04</t>
  </si>
  <si>
    <t>2012-08-05</t>
  </si>
  <si>
    <t>2012-08-06</t>
  </si>
  <si>
    <t>2012-08-07</t>
  </si>
  <si>
    <t>2012-08-08</t>
  </si>
  <si>
    <t>2012-08-09</t>
  </si>
  <si>
    <t>2012-08-10</t>
  </si>
  <si>
    <t>2012-08-11</t>
  </si>
  <si>
    <t>2012-08-12</t>
  </si>
  <si>
    <t>2012-08-13</t>
  </si>
  <si>
    <t>2012-08-14</t>
  </si>
  <si>
    <t>2012-08-15</t>
  </si>
  <si>
    <t>2012-08-16</t>
  </si>
  <si>
    <t>2012-08-17</t>
  </si>
  <si>
    <t>2012-08-18</t>
  </si>
  <si>
    <t>2012-08-19</t>
  </si>
  <si>
    <t>2012-08-20</t>
  </si>
  <si>
    <t>2012-08-21</t>
  </si>
  <si>
    <t>2012-08-22</t>
  </si>
  <si>
    <t>2012-08-23</t>
  </si>
  <si>
    <t>2012-08-24</t>
  </si>
  <si>
    <t>2012-08-25</t>
  </si>
  <si>
    <t>2012-08-26</t>
  </si>
  <si>
    <t>2012-08-27</t>
  </si>
  <si>
    <t>2012-08-28</t>
  </si>
  <si>
    <t>2012-08-29</t>
  </si>
  <si>
    <t>2012-08-30</t>
  </si>
  <si>
    <t>2012-08-31</t>
  </si>
  <si>
    <t>2012-09-01</t>
  </si>
  <si>
    <t>2012-09-02</t>
  </si>
  <si>
    <t>2012-09-03</t>
  </si>
  <si>
    <t>2012-09-04</t>
  </si>
  <si>
    <t>2012-09-05</t>
  </si>
  <si>
    <t>2012-09-06</t>
  </si>
  <si>
    <t>2012-09-07</t>
  </si>
  <si>
    <t>2012-09-08</t>
  </si>
  <si>
    <t>2012-09-09</t>
  </si>
  <si>
    <t>2012-09-10</t>
  </si>
  <si>
    <t>2012-09-11</t>
  </si>
  <si>
    <t>2012-09-12</t>
  </si>
  <si>
    <t>2012-09-13</t>
  </si>
  <si>
    <t>2012-09-14</t>
  </si>
  <si>
    <t>2012-09-15</t>
  </si>
  <si>
    <t>2012-09-16</t>
  </si>
  <si>
    <t>2012-09-17</t>
  </si>
  <si>
    <t>2012-09-18</t>
  </si>
  <si>
    <t>2012-09-19</t>
  </si>
  <si>
    <t>2012-09-20</t>
  </si>
  <si>
    <t>2012-09-21</t>
  </si>
  <si>
    <t>2012-09-22</t>
  </si>
  <si>
    <t>2012-09-23</t>
  </si>
  <si>
    <t>2012-09-24</t>
  </si>
  <si>
    <t>2012-09-25</t>
  </si>
  <si>
    <t>2012-09-26</t>
  </si>
  <si>
    <t>2012-09-27</t>
  </si>
  <si>
    <t>2012-09-28</t>
  </si>
  <si>
    <t>2012-09-29</t>
  </si>
  <si>
    <t>2012-09-30</t>
  </si>
  <si>
    <t>2012-10-01</t>
  </si>
  <si>
    <t>2012-10-02</t>
  </si>
  <si>
    <t>2012-10-03</t>
  </si>
  <si>
    <t>2012-10-04</t>
  </si>
  <si>
    <t>2012-10-05</t>
  </si>
  <si>
    <t>2012-10-06</t>
  </si>
  <si>
    <t>2012-10-07</t>
  </si>
  <si>
    <t>2012-10-08</t>
  </si>
  <si>
    <t>2012-10-09</t>
  </si>
  <si>
    <t>2012-10-10</t>
  </si>
  <si>
    <t>2012-10-11</t>
  </si>
  <si>
    <t>2012-10-12</t>
  </si>
  <si>
    <t>2012-10-13</t>
  </si>
  <si>
    <t>2012-10-14</t>
  </si>
  <si>
    <t>2012-10-15</t>
  </si>
  <si>
    <t>2012-10-16</t>
  </si>
  <si>
    <t>2012-10-17</t>
  </si>
  <si>
    <t>2012-10-18</t>
  </si>
  <si>
    <t>2012-10-19</t>
  </si>
  <si>
    <t>2012-10-20</t>
  </si>
  <si>
    <t>2012-10-21</t>
  </si>
  <si>
    <t>2012-10-22</t>
  </si>
  <si>
    <t>2012-10-23</t>
  </si>
  <si>
    <t>2012-10-24</t>
  </si>
  <si>
    <t>2012-10-25</t>
  </si>
  <si>
    <t>2012-10-26</t>
  </si>
  <si>
    <t>2012-10-27</t>
  </si>
  <si>
    <t>2012-10-28</t>
  </si>
  <si>
    <t>2012-10-29</t>
  </si>
  <si>
    <t>2012-10-30</t>
  </si>
  <si>
    <t>2012-10-31</t>
  </si>
  <si>
    <t>2012-11-01</t>
  </si>
  <si>
    <t>2012-11-02</t>
  </si>
  <si>
    <t>2012-11-03</t>
  </si>
  <si>
    <t>2012-11-04</t>
  </si>
  <si>
    <t>2012-11-05</t>
  </si>
  <si>
    <t>2012-11-06</t>
  </si>
  <si>
    <t>2012-11-07</t>
  </si>
  <si>
    <t>2012-11-08</t>
  </si>
  <si>
    <t>2012-11-09</t>
  </si>
  <si>
    <t>2012-11-10</t>
  </si>
  <si>
    <t>2012-11-11</t>
  </si>
  <si>
    <t>2012-11-12</t>
  </si>
  <si>
    <t>2012-11-13</t>
  </si>
  <si>
    <t>2012-11-14</t>
  </si>
  <si>
    <t>2012-11-15</t>
  </si>
  <si>
    <t>2012-11-16</t>
  </si>
  <si>
    <t>2012-11-17</t>
  </si>
  <si>
    <t>2012-11-18</t>
  </si>
  <si>
    <t>2012-11-19</t>
  </si>
  <si>
    <t>2012-11-20</t>
  </si>
  <si>
    <t>2012-11-21</t>
  </si>
  <si>
    <t>2012-11-22</t>
  </si>
  <si>
    <t>2012-11-23</t>
  </si>
  <si>
    <t>2012-11-24</t>
  </si>
  <si>
    <t>2012-11-25</t>
  </si>
  <si>
    <t>2012-11-26</t>
  </si>
  <si>
    <t>2012-11-27</t>
  </si>
  <si>
    <t>2012-11-28</t>
  </si>
  <si>
    <t>2012-11-29</t>
  </si>
  <si>
    <t>2012-11-30</t>
  </si>
  <si>
    <t>2012-12-01</t>
  </si>
  <si>
    <t>2012-12-02</t>
  </si>
  <si>
    <t>2012-12-03</t>
  </si>
  <si>
    <t>2012-12-04</t>
  </si>
  <si>
    <t>2012-12-05</t>
  </si>
  <si>
    <t>2012-12-06</t>
  </si>
  <si>
    <t>2012-12-07</t>
  </si>
  <si>
    <t>2012-12-08</t>
  </si>
  <si>
    <t>2012-12-09</t>
  </si>
  <si>
    <t>2012-12-10</t>
  </si>
  <si>
    <t>2012-12-11</t>
  </si>
  <si>
    <t>2012-12-12</t>
  </si>
  <si>
    <t>2012-12-13</t>
  </si>
  <si>
    <t>2012-12-14</t>
  </si>
  <si>
    <t>2012-12-15</t>
  </si>
  <si>
    <t>2012-12-16</t>
  </si>
  <si>
    <t>2012-12-17</t>
  </si>
  <si>
    <t>2012-12-18</t>
  </si>
  <si>
    <t>2012-12-19</t>
  </si>
  <si>
    <t>2012-12-20</t>
  </si>
  <si>
    <t>2012-12-21</t>
  </si>
  <si>
    <t>2012-12-22</t>
  </si>
  <si>
    <t>2012-12-23</t>
  </si>
  <si>
    <t>2012-12-24</t>
  </si>
  <si>
    <t>2012-12-25</t>
  </si>
  <si>
    <t>2012-12-26</t>
  </si>
  <si>
    <t>2012-12-27</t>
  </si>
  <si>
    <t>2012-12-28</t>
  </si>
  <si>
    <t>2012-12-29</t>
  </si>
  <si>
    <t>2012-12-30</t>
  </si>
  <si>
    <t>2012-12-31</t>
  </si>
  <si>
    <t>2013-01-01</t>
  </si>
  <si>
    <t>2013-01-02</t>
  </si>
  <si>
    <t>2013-01-03</t>
  </si>
  <si>
    <t>2013-01-04</t>
  </si>
  <si>
    <t>2013-01-05</t>
  </si>
  <si>
    <t>2013-01-06</t>
  </si>
  <si>
    <t>2013-01-07</t>
  </si>
  <si>
    <t>2013-01-08</t>
  </si>
  <si>
    <t>2013-01-09</t>
  </si>
  <si>
    <t>2013-01-10</t>
  </si>
  <si>
    <t>2013-01-11</t>
  </si>
  <si>
    <t>2013-01-12</t>
  </si>
  <si>
    <t>2013-01-13</t>
  </si>
  <si>
    <t>2013-01-14</t>
  </si>
  <si>
    <t>2013-01-15</t>
  </si>
  <si>
    <t>2013-01-16</t>
  </si>
  <si>
    <t>2013-01-17</t>
  </si>
  <si>
    <t>2013-01-18</t>
  </si>
  <si>
    <t>2013-01-19</t>
  </si>
  <si>
    <t>2013-01-20</t>
  </si>
  <si>
    <t>2013-01-21</t>
  </si>
  <si>
    <t>2013-01-22</t>
  </si>
  <si>
    <t>2013-01-23</t>
  </si>
  <si>
    <t>2013-01-24</t>
  </si>
  <si>
    <t>2013-01-25</t>
  </si>
  <si>
    <t>2013-01-26</t>
  </si>
  <si>
    <t>2013-01-27</t>
  </si>
  <si>
    <t>2013-01-28</t>
  </si>
  <si>
    <t>2013-01-29</t>
  </si>
  <si>
    <t>2013-01-30</t>
  </si>
  <si>
    <t>2013-01-31</t>
  </si>
  <si>
    <t>2013-02-01</t>
  </si>
  <si>
    <t>2013-02-02</t>
  </si>
  <si>
    <t>2013-02-03</t>
  </si>
  <si>
    <t>2013-02-04</t>
  </si>
  <si>
    <t>2013-02-05</t>
  </si>
  <si>
    <t>2013-02-06</t>
  </si>
  <si>
    <t>2013-02-07</t>
  </si>
  <si>
    <t>2013-02-08</t>
  </si>
  <si>
    <t>2013-02-09</t>
  </si>
  <si>
    <t>2013-02-10</t>
  </si>
  <si>
    <t>2013-02-11</t>
  </si>
  <si>
    <t>2013-02-12</t>
  </si>
  <si>
    <t>2013-02-13</t>
  </si>
  <si>
    <t>2013-02-14</t>
  </si>
  <si>
    <t>2013-02-15</t>
  </si>
  <si>
    <t>2013-02-16</t>
  </si>
  <si>
    <t>2013-02-17</t>
  </si>
  <si>
    <t>2013-02-18</t>
  </si>
  <si>
    <t>2013-02-19</t>
  </si>
  <si>
    <t>2013-02-20</t>
  </si>
  <si>
    <t>2013-02-21</t>
  </si>
  <si>
    <t>2013-02-22</t>
  </si>
  <si>
    <t>2013-02-23</t>
  </si>
  <si>
    <t>2013-02-24</t>
  </si>
  <si>
    <t>2013-02-25</t>
  </si>
  <si>
    <t>2013-02-26</t>
  </si>
  <si>
    <t>2013-02-27</t>
  </si>
  <si>
    <t>2013-02-28</t>
  </si>
  <si>
    <t>2008-02-29</t>
  </si>
  <si>
    <t>2013-03-01</t>
  </si>
  <si>
    <t>2013-03-02</t>
  </si>
  <si>
    <t>2013-03-03</t>
  </si>
  <si>
    <t>2013-03-04</t>
  </si>
  <si>
    <t>2013-03-05</t>
  </si>
  <si>
    <t>2013-03-06</t>
  </si>
  <si>
    <t>2013-03-07</t>
  </si>
  <si>
    <t>2013-03-08</t>
  </si>
  <si>
    <t>2013-03-09</t>
  </si>
  <si>
    <t>2013-03-10</t>
  </si>
  <si>
    <t>2013-03-11</t>
  </si>
  <si>
    <t>2013-03-12</t>
  </si>
  <si>
    <t>2013-03-13</t>
  </si>
  <si>
    <t>2013-03-14</t>
  </si>
  <si>
    <t>2013-03-15</t>
  </si>
  <si>
    <t>2013-03-16</t>
  </si>
  <si>
    <t>2013-03-17</t>
  </si>
  <si>
    <t>2013-03-18</t>
  </si>
  <si>
    <t>2013-03-19</t>
  </si>
  <si>
    <t>2013-03-20</t>
  </si>
  <si>
    <t>2013-03-21</t>
  </si>
  <si>
    <t>2013-03-22</t>
  </si>
  <si>
    <t>2013-03-23</t>
  </si>
  <si>
    <t>2013-03-24</t>
  </si>
  <si>
    <t>2013-03-25</t>
  </si>
  <si>
    <t>2013-03-26</t>
  </si>
  <si>
    <t>2013-03-27</t>
  </si>
  <si>
    <t>2013-03-28</t>
  </si>
  <si>
    <t>2013-03-29</t>
  </si>
  <si>
    <t>2013-03-30</t>
  </si>
  <si>
    <t>2013-03-31</t>
  </si>
  <si>
    <t>2013-04-01</t>
  </si>
  <si>
    <t>2013-04-02</t>
  </si>
  <si>
    <t>2013-04-03</t>
  </si>
  <si>
    <t>2013-04-04</t>
  </si>
  <si>
    <t>2013-04-05</t>
  </si>
  <si>
    <t>2013-04-06</t>
  </si>
  <si>
    <t>2013-04-07</t>
  </si>
  <si>
    <t>2013-04-08</t>
  </si>
  <si>
    <t>2013-04-09</t>
  </si>
  <si>
    <t>2013-04-10</t>
  </si>
  <si>
    <t>2013-04-11</t>
  </si>
  <si>
    <t>2013-04-12</t>
  </si>
  <si>
    <t>2013-04-13</t>
  </si>
  <si>
    <t>2013-04-14</t>
  </si>
  <si>
    <t>2013-04-15</t>
  </si>
  <si>
    <t>2013-04-16</t>
  </si>
  <si>
    <t>2013-04-17</t>
  </si>
  <si>
    <t>2013-04-18</t>
  </si>
  <si>
    <t>2013-04-19</t>
  </si>
  <si>
    <t>2013-04-20</t>
  </si>
  <si>
    <t>2013-04-21</t>
  </si>
  <si>
    <t>2013-04-22</t>
  </si>
  <si>
    <t>2013-04-23</t>
  </si>
  <si>
    <t>2013-04-24</t>
  </si>
  <si>
    <t>2013-04-25</t>
  </si>
  <si>
    <t>2013-04-26</t>
  </si>
  <si>
    <t>2013-04-27</t>
  </si>
  <si>
    <t>2013-04-28</t>
  </si>
  <si>
    <t>2013-04-29</t>
  </si>
  <si>
    <t>2013-04-30</t>
  </si>
  <si>
    <t>2013-05-01</t>
  </si>
  <si>
    <t>2013-05-02</t>
  </si>
  <si>
    <t>2013-05-03</t>
  </si>
  <si>
    <t>2013-05-04</t>
  </si>
  <si>
    <t>2013-05-05</t>
  </si>
  <si>
    <t>2013-05-06</t>
  </si>
  <si>
    <t>2013-05-07</t>
  </si>
  <si>
    <t>2013-05-08</t>
  </si>
  <si>
    <t>2013-05-09</t>
  </si>
  <si>
    <t>2013-05-10</t>
  </si>
  <si>
    <t>2013-05-11</t>
  </si>
  <si>
    <t>2013-05-12</t>
  </si>
  <si>
    <t>2013-05-13</t>
  </si>
  <si>
    <t>2013-05-14</t>
  </si>
  <si>
    <t>2013-05-15</t>
  </si>
  <si>
    <t>2013-05-16</t>
  </si>
  <si>
    <t>2013-05-17</t>
  </si>
  <si>
    <t>2013-05-18</t>
  </si>
  <si>
    <t>2013-05-19</t>
  </si>
  <si>
    <t>2013-05-20</t>
  </si>
  <si>
    <t>2013-05-21</t>
  </si>
  <si>
    <t>2013-05-22</t>
  </si>
  <si>
    <t>2013-05-23</t>
  </si>
  <si>
    <t>2013-05-24</t>
  </si>
  <si>
    <t>2013-05-25</t>
  </si>
  <si>
    <t>2013-05-26</t>
  </si>
  <si>
    <t>2013-05-27</t>
  </si>
  <si>
    <t>2013-05-28</t>
  </si>
  <si>
    <t>2013-05-29</t>
  </si>
  <si>
    <t>2013-05-30</t>
  </si>
  <si>
    <t>2013-05-31</t>
  </si>
  <si>
    <t>2013-06-01</t>
  </si>
  <si>
    <t>2013-06-02</t>
  </si>
  <si>
    <t>2013-06-03</t>
  </si>
  <si>
    <t>2013-06-04</t>
  </si>
  <si>
    <t>2013-06-05</t>
  </si>
  <si>
    <t>2013-06-06</t>
  </si>
  <si>
    <t>2013-06-07</t>
  </si>
  <si>
    <t>2013-06-08</t>
  </si>
  <si>
    <t>2013-06-09</t>
  </si>
  <si>
    <t>2013-06-10</t>
  </si>
  <si>
    <t>2013-06-11</t>
  </si>
  <si>
    <t>2013-06-12</t>
  </si>
  <si>
    <t>2013-06-13</t>
  </si>
  <si>
    <t>2013-06-14</t>
  </si>
  <si>
    <t>2013-06-15</t>
  </si>
  <si>
    <t>2013-06-16</t>
  </si>
  <si>
    <t>2013-06-17</t>
  </si>
  <si>
    <t>2013-06-18</t>
  </si>
  <si>
    <t>2013-06-19</t>
  </si>
  <si>
    <t>2013-06-20</t>
  </si>
  <si>
    <t>2013-06-21</t>
  </si>
  <si>
    <t>2013-06-22</t>
  </si>
  <si>
    <t>2013-06-23</t>
  </si>
  <si>
    <t>2013-06-24</t>
  </si>
  <si>
    <t>2013-06-25</t>
  </si>
  <si>
    <t>2013-06-26</t>
  </si>
  <si>
    <t>2013-06-27</t>
  </si>
  <si>
    <t>2013-06-28</t>
  </si>
  <si>
    <t>2013-06-29</t>
  </si>
  <si>
    <t>2013-06-30</t>
  </si>
  <si>
    <t>2013-07-01</t>
  </si>
  <si>
    <t>2013-07-02</t>
  </si>
  <si>
    <t>2013-07-03</t>
  </si>
  <si>
    <t>2013-07-04</t>
  </si>
  <si>
    <t>2013-07-05</t>
  </si>
  <si>
    <t>2013-07-06</t>
  </si>
  <si>
    <t>2013-07-07</t>
  </si>
  <si>
    <t>2013-07-08</t>
  </si>
  <si>
    <t>2013-07-09</t>
  </si>
  <si>
    <t>2013-07-10</t>
  </si>
  <si>
    <t>2013-07-11</t>
  </si>
  <si>
    <t>2013-07-12</t>
  </si>
  <si>
    <t>2013-07-13</t>
  </si>
  <si>
    <t>2013-07-14</t>
  </si>
  <si>
    <t>2013-07-15</t>
  </si>
  <si>
    <t>2013-07-16</t>
  </si>
  <si>
    <t>2013-07-17</t>
  </si>
  <si>
    <t>2013-07-18</t>
  </si>
  <si>
    <t>2013-07-19</t>
  </si>
  <si>
    <t>2013-07-20</t>
  </si>
  <si>
    <t>2013-07-21</t>
  </si>
  <si>
    <t>2013-07-22</t>
  </si>
  <si>
    <t>2013-07-23</t>
  </si>
  <si>
    <t>2013-07-24</t>
  </si>
  <si>
    <t>2013-07-25</t>
  </si>
  <si>
    <t>2013-07-26</t>
  </si>
  <si>
    <t>2013-07-27</t>
  </si>
  <si>
    <t>2013-07-28</t>
  </si>
  <si>
    <t>2013-07-29</t>
  </si>
  <si>
    <t>2013-07-30</t>
  </si>
  <si>
    <t>2013-07-31</t>
  </si>
  <si>
    <t>2013-08-01</t>
  </si>
  <si>
    <t>2013-08-02</t>
  </si>
  <si>
    <t>2013-08-03</t>
  </si>
  <si>
    <t>2013-08-04</t>
  </si>
  <si>
    <t>2013-08-05</t>
  </si>
  <si>
    <t>2013-08-06</t>
  </si>
  <si>
    <t>2013-08-07</t>
  </si>
  <si>
    <t>2013-08-08</t>
  </si>
  <si>
    <t>2013-08-09</t>
  </si>
  <si>
    <t>2013-08-10</t>
  </si>
  <si>
    <t>2013-08-11</t>
  </si>
  <si>
    <t>2013-08-12</t>
  </si>
  <si>
    <t>2013-08-13</t>
  </si>
  <si>
    <t>2013-08-14</t>
  </si>
  <si>
    <t>2013-08-15</t>
  </si>
  <si>
    <t>2013-08-16</t>
  </si>
  <si>
    <t>2013-08-17</t>
  </si>
  <si>
    <t>2013-08-18</t>
  </si>
  <si>
    <t>2013-08-19</t>
  </si>
  <si>
    <t>2013-08-20</t>
  </si>
  <si>
    <t>2013-08-21</t>
  </si>
  <si>
    <t>2013-08-22</t>
  </si>
  <si>
    <t>2013-08-23</t>
  </si>
  <si>
    <t>2013-08-24</t>
  </si>
  <si>
    <t>2013-08-25</t>
  </si>
  <si>
    <t>2013-08-26</t>
  </si>
  <si>
    <t>2013-08-27</t>
  </si>
  <si>
    <t>2013-08-28</t>
  </si>
  <si>
    <t>2013-08-29</t>
  </si>
  <si>
    <t>2013-08-30</t>
  </si>
  <si>
    <t>2013-08-31</t>
  </si>
  <si>
    <t>2013-09-01</t>
  </si>
  <si>
    <t>2013-09-02</t>
  </si>
  <si>
    <t>2013-09-03</t>
  </si>
  <si>
    <t>2013-09-04</t>
  </si>
  <si>
    <t>2013-09-05</t>
  </si>
  <si>
    <t>2013-09-06</t>
  </si>
  <si>
    <t>2013-09-07</t>
  </si>
  <si>
    <t>2013-09-08</t>
  </si>
  <si>
    <t>2013-09-09</t>
  </si>
  <si>
    <t>2013-09-10</t>
  </si>
  <si>
    <t>2013-09-11</t>
  </si>
  <si>
    <t>2013-09-12</t>
  </si>
  <si>
    <t>2013-09-13</t>
  </si>
  <si>
    <t>2013-09-14</t>
  </si>
  <si>
    <t>2013-09-15</t>
  </si>
  <si>
    <t>2013-09-16</t>
  </si>
  <si>
    <t>2013-09-17</t>
  </si>
  <si>
    <t>2013-09-18</t>
  </si>
  <si>
    <t>2013-09-19</t>
  </si>
  <si>
    <t>2013-09-20</t>
  </si>
  <si>
    <t>2013-09-21</t>
  </si>
  <si>
    <t>2013-09-22</t>
  </si>
  <si>
    <t>2013-09-23</t>
  </si>
  <si>
    <t>2013-09-24</t>
  </si>
  <si>
    <t>2013-09-25</t>
  </si>
  <si>
    <t>2013-09-26</t>
  </si>
  <si>
    <t>2013-09-27</t>
  </si>
  <si>
    <t>2013-09-28</t>
  </si>
  <si>
    <t>2013-09-29</t>
  </si>
  <si>
    <t>2013-09-30</t>
  </si>
  <si>
    <t>2013-10-01</t>
  </si>
  <si>
    <t>2013-10-02</t>
  </si>
  <si>
    <t>2013-10-03</t>
  </si>
  <si>
    <t>2013-10-04</t>
  </si>
  <si>
    <t>2013-10-05</t>
  </si>
  <si>
    <t>2013-10-06</t>
  </si>
  <si>
    <t>2013-10-07</t>
  </si>
  <si>
    <t>2013-10-08</t>
  </si>
  <si>
    <t>2013-10-09</t>
  </si>
  <si>
    <t>2013-10-10</t>
  </si>
  <si>
    <t>2013-10-11</t>
  </si>
  <si>
    <t>2013-10-12</t>
  </si>
  <si>
    <t>2013-10-13</t>
  </si>
  <si>
    <t>2013-10-14</t>
  </si>
  <si>
    <t>2013-10-15</t>
  </si>
  <si>
    <t>2013-10-16</t>
  </si>
  <si>
    <t>2013-10-17</t>
  </si>
  <si>
    <t>2013-10-18</t>
  </si>
  <si>
    <t>2013-10-19</t>
  </si>
  <si>
    <t>2013-10-20</t>
  </si>
  <si>
    <t>2013-10-21</t>
  </si>
  <si>
    <t>2013-10-22</t>
  </si>
  <si>
    <t>2013-10-23</t>
  </si>
  <si>
    <t>2013-10-24</t>
  </si>
  <si>
    <t>2013-10-25</t>
  </si>
  <si>
    <t>2013-10-26</t>
  </si>
  <si>
    <t>2013-10-27</t>
  </si>
  <si>
    <t>2013-10-28</t>
  </si>
  <si>
    <t>2013-10-29</t>
  </si>
  <si>
    <t>2013-10-30</t>
  </si>
  <si>
    <t>2013-10-31</t>
  </si>
  <si>
    <t>2013-11-01</t>
  </si>
  <si>
    <t>2013-11-02</t>
  </si>
  <si>
    <t>2013-11-03</t>
  </si>
  <si>
    <t>2013-11-04</t>
  </si>
  <si>
    <t>2013-11-05</t>
  </si>
  <si>
    <t>2013-11-06</t>
  </si>
  <si>
    <t>2013-11-07</t>
  </si>
  <si>
    <t>2013-11-08</t>
  </si>
  <si>
    <t>2013-11-09</t>
  </si>
  <si>
    <t>2013-11-10</t>
  </si>
  <si>
    <t>2013-11-11</t>
  </si>
  <si>
    <t>2013-11-12</t>
  </si>
  <si>
    <t>2013-11-13</t>
  </si>
  <si>
    <t>2013-11-14</t>
  </si>
  <si>
    <t>2013-11-15</t>
  </si>
  <si>
    <t>2013-11-16</t>
  </si>
  <si>
    <t>2013-11-17</t>
  </si>
  <si>
    <t>2013-11-18</t>
  </si>
  <si>
    <t>2013-11-19</t>
  </si>
  <si>
    <t>2013-11-20</t>
  </si>
  <si>
    <t>2013-11-21</t>
  </si>
  <si>
    <t>2013-11-22</t>
  </si>
  <si>
    <t>2013-11-23</t>
  </si>
  <si>
    <t>2013-11-24</t>
  </si>
  <si>
    <t>2013-11-25</t>
  </si>
  <si>
    <t>2013-11-26</t>
  </si>
  <si>
    <t>2013-11-27</t>
  </si>
  <si>
    <t>2013-11-28</t>
  </si>
  <si>
    <t>2013-11-29</t>
  </si>
  <si>
    <t>2013-11-30</t>
  </si>
  <si>
    <t>2013-12-01</t>
  </si>
  <si>
    <t>2013-12-02</t>
  </si>
  <si>
    <t>2013-12-03</t>
  </si>
  <si>
    <t>2013-12-04</t>
  </si>
  <si>
    <t>2013-12-05</t>
  </si>
  <si>
    <t>2013-12-06</t>
  </si>
  <si>
    <t>2013-12-07</t>
  </si>
  <si>
    <t>2013-12-08</t>
  </si>
  <si>
    <t>2013-12-09</t>
  </si>
  <si>
    <t>2013-12-10</t>
  </si>
  <si>
    <t>2013-12-11</t>
  </si>
  <si>
    <t>2013-12-12</t>
  </si>
  <si>
    <t>2013-12-13</t>
  </si>
  <si>
    <t>2013-12-14</t>
  </si>
  <si>
    <t>2013-12-15</t>
  </si>
  <si>
    <t>2013-12-16</t>
  </si>
  <si>
    <t>2013-12-17</t>
  </si>
  <si>
    <t>2013-12-18</t>
  </si>
  <si>
    <t>2013-12-19</t>
  </si>
  <si>
    <t>2013-12-20</t>
  </si>
  <si>
    <t>2013-12-21</t>
  </si>
  <si>
    <t>2013-12-22</t>
  </si>
  <si>
    <t>2013-12-23</t>
  </si>
  <si>
    <t>2013-12-24</t>
  </si>
  <si>
    <t>2013-12-25</t>
  </si>
  <si>
    <t>2013-12-26</t>
  </si>
  <si>
    <t>2013-12-27</t>
  </si>
  <si>
    <t>2013-12-28</t>
  </si>
  <si>
    <t>2013-12-29</t>
  </si>
  <si>
    <t>2013-12-30</t>
  </si>
  <si>
    <t>2013-12-31</t>
  </si>
  <si>
    <t>2014-01-01</t>
  </si>
  <si>
    <t>2014-01-02</t>
  </si>
  <si>
    <t>2014-01-03</t>
  </si>
  <si>
    <t>2014-01-04</t>
  </si>
  <si>
    <t>2014-01-05</t>
  </si>
  <si>
    <t>2014-01-06</t>
  </si>
  <si>
    <t>2014-01-07</t>
  </si>
  <si>
    <t>2014-01-08</t>
  </si>
  <si>
    <t>2014-01-09</t>
  </si>
  <si>
    <t>2014-01-10</t>
  </si>
  <si>
    <t>2014-01-11</t>
  </si>
  <si>
    <t>2014-01-12</t>
  </si>
  <si>
    <t>2014-01-13</t>
  </si>
  <si>
    <t>2014-01-14</t>
  </si>
  <si>
    <t>2014-01-15</t>
  </si>
  <si>
    <t>2014-01-16</t>
  </si>
  <si>
    <t>2014-01-17</t>
  </si>
  <si>
    <t>2014-01-18</t>
  </si>
  <si>
    <t>2014-01-19</t>
  </si>
  <si>
    <t>2014-01-20</t>
  </si>
  <si>
    <t>2014-01-21</t>
  </si>
  <si>
    <t>2014-01-22</t>
  </si>
  <si>
    <t>2014-01-23</t>
  </si>
  <si>
    <t>2014-01-24</t>
  </si>
  <si>
    <t>2014-01-25</t>
  </si>
  <si>
    <t>2014-01-26</t>
  </si>
  <si>
    <t>2014-01-27</t>
  </si>
  <si>
    <t>2014-01-28</t>
  </si>
  <si>
    <t>2014-01-29</t>
  </si>
  <si>
    <t>2014-01-30</t>
  </si>
  <si>
    <t>2014-01-31</t>
  </si>
  <si>
    <t>2014-02-01</t>
  </si>
  <si>
    <t>2014-02-02</t>
  </si>
  <si>
    <t>2014-02-03</t>
  </si>
  <si>
    <t>2014-02-04</t>
  </si>
  <si>
    <t>2014-02-05</t>
  </si>
  <si>
    <t>2014-02-06</t>
  </si>
  <si>
    <t>2014-02-07</t>
  </si>
  <si>
    <t>2014-02-08</t>
  </si>
  <si>
    <t>2014-02-09</t>
  </si>
  <si>
    <t>2014-02-10</t>
  </si>
  <si>
    <t>2014-02-11</t>
  </si>
  <si>
    <t>2014-02-12</t>
  </si>
  <si>
    <t>2014-02-13</t>
  </si>
  <si>
    <t>2014-02-14</t>
  </si>
  <si>
    <t>2014-02-15</t>
  </si>
  <si>
    <t>2014-02-16</t>
  </si>
  <si>
    <t>2014-02-17</t>
  </si>
  <si>
    <t>2014-02-18</t>
  </si>
  <si>
    <t>2014-02-19</t>
  </si>
  <si>
    <t>2014-02-20</t>
  </si>
  <si>
    <t>2014-02-21</t>
  </si>
  <si>
    <t>2014-02-22</t>
  </si>
  <si>
    <t>2014-02-23</t>
  </si>
  <si>
    <t>2014-02-24</t>
  </si>
  <si>
    <t>2014-02-25</t>
  </si>
  <si>
    <t>2014-02-26</t>
  </si>
  <si>
    <t>2014-02-27</t>
  </si>
  <si>
    <t>2014-02-28</t>
  </si>
  <si>
    <t>2014-03-01</t>
  </si>
  <si>
    <t>2014-03-02</t>
  </si>
  <si>
    <t>2014-03-03</t>
  </si>
  <si>
    <t>2014-03-04</t>
  </si>
  <si>
    <t>2014-03-05</t>
  </si>
  <si>
    <t>2014-03-06</t>
  </si>
  <si>
    <t>2014-03-07</t>
  </si>
  <si>
    <t>2014-03-08</t>
  </si>
  <si>
    <t>2014-03-09</t>
  </si>
  <si>
    <t>2014-03-10</t>
  </si>
  <si>
    <t>2014-03-11</t>
  </si>
  <si>
    <t>2014-03-12</t>
  </si>
  <si>
    <t>2014-03-13</t>
  </si>
  <si>
    <t>2014-03-14</t>
  </si>
  <si>
    <t>2014-03-15</t>
  </si>
  <si>
    <t>2014-03-16</t>
  </si>
  <si>
    <t>2014-03-17</t>
  </si>
  <si>
    <t>2014-03-18</t>
  </si>
  <si>
    <t>2014-03-19</t>
  </si>
  <si>
    <t>2014-03-20</t>
  </si>
  <si>
    <t>2014-03-21</t>
  </si>
  <si>
    <t>2014-03-22</t>
  </si>
  <si>
    <t>2014-03-23</t>
  </si>
  <si>
    <t>2014-03-24</t>
  </si>
  <si>
    <t>2014-03-25</t>
  </si>
  <si>
    <t>2014-03-26</t>
  </si>
  <si>
    <t>2014-03-27</t>
  </si>
  <si>
    <t>2014-03-28</t>
  </si>
  <si>
    <t>2014-03-29</t>
  </si>
  <si>
    <t>2014-03-30</t>
  </si>
  <si>
    <t>2014-03-31</t>
  </si>
  <si>
    <t>2014-04-01</t>
  </si>
  <si>
    <t>2014-04-02</t>
  </si>
  <si>
    <t>2014-04-03</t>
  </si>
  <si>
    <t>2014-04-04</t>
  </si>
  <si>
    <t>2014-04-05</t>
  </si>
  <si>
    <t>2014-04-06</t>
  </si>
  <si>
    <t>2014-04-07</t>
  </si>
  <si>
    <t>2014-04-08</t>
  </si>
  <si>
    <t>2014-04-09</t>
  </si>
  <si>
    <t>2014-04-10</t>
  </si>
  <si>
    <t>2014-04-11</t>
  </si>
  <si>
    <t>2014-04-12</t>
  </si>
  <si>
    <t>2014-04-13</t>
  </si>
  <si>
    <t>2014-04-14</t>
  </si>
  <si>
    <t>2014-04-15</t>
  </si>
  <si>
    <t>2014-04-16</t>
  </si>
  <si>
    <t>2014-04-17</t>
  </si>
  <si>
    <t>2014-04-18</t>
  </si>
  <si>
    <t>2014-04-19</t>
  </si>
  <si>
    <t>2014-04-20</t>
  </si>
  <si>
    <t>2014-04-21</t>
  </si>
  <si>
    <t>2014-04-22</t>
  </si>
  <si>
    <t>2014-04-23</t>
  </si>
  <si>
    <t>2014-04-24</t>
  </si>
  <si>
    <t>2014-04-25</t>
  </si>
  <si>
    <t>2014-04-26</t>
  </si>
  <si>
    <t>2014-04-27</t>
  </si>
  <si>
    <t>2014-04-28</t>
  </si>
  <si>
    <t>2014-04-29</t>
  </si>
  <si>
    <t>2014-04-30</t>
  </si>
  <si>
    <t>2014-05-01</t>
  </si>
  <si>
    <t>2014-05-02</t>
  </si>
  <si>
    <t>2014-05-03</t>
  </si>
  <si>
    <t>2014-05-04</t>
  </si>
  <si>
    <t>2014-05-05</t>
  </si>
  <si>
    <t>2014-05-06</t>
  </si>
  <si>
    <t>2014-05-07</t>
  </si>
  <si>
    <t>2014-05-08</t>
  </si>
  <si>
    <t>2014-05-09</t>
  </si>
  <si>
    <t>2014-05-10</t>
  </si>
  <si>
    <t>2014-05-11</t>
  </si>
  <si>
    <t>2014-05-12</t>
  </si>
  <si>
    <t>2014-05-13</t>
  </si>
  <si>
    <t>2014-05-14</t>
  </si>
  <si>
    <t>2014-05-15</t>
  </si>
  <si>
    <t>2014-05-16</t>
  </si>
  <si>
    <t>2014-05-17</t>
  </si>
  <si>
    <t>2014-05-18</t>
  </si>
  <si>
    <t>2014-05-19</t>
  </si>
  <si>
    <t>2014-05-20</t>
  </si>
  <si>
    <t>2014-05-21</t>
  </si>
  <si>
    <t>2014-05-22</t>
  </si>
  <si>
    <t>2014-05-23</t>
  </si>
  <si>
    <t>2014-05-24</t>
  </si>
  <si>
    <t>2014-05-25</t>
  </si>
  <si>
    <t>2014-05-26</t>
  </si>
  <si>
    <t>2014-05-27</t>
  </si>
  <si>
    <t>2014-05-28</t>
  </si>
  <si>
    <t>2014-05-29</t>
  </si>
  <si>
    <t>2014-05-30</t>
  </si>
  <si>
    <t>2014-05-31</t>
  </si>
  <si>
    <t>2014-06-01</t>
  </si>
  <si>
    <t>2014-06-02</t>
  </si>
  <si>
    <t>2014-06-03</t>
  </si>
  <si>
    <t>2014-06-04</t>
  </si>
  <si>
    <t>2014-06-05</t>
  </si>
  <si>
    <t>2014-06-06</t>
  </si>
  <si>
    <t>2014-06-07</t>
  </si>
  <si>
    <t>2014-06-08</t>
  </si>
  <si>
    <t>2014-06-09</t>
  </si>
  <si>
    <t>2014-06-10</t>
  </si>
  <si>
    <t>2014-06-11</t>
  </si>
  <si>
    <t>2014-06-12</t>
  </si>
  <si>
    <t>2014-06-13</t>
  </si>
  <si>
    <t>2014-06-14</t>
  </si>
  <si>
    <t>2014-06-15</t>
  </si>
  <si>
    <t>2014-06-16</t>
  </si>
  <si>
    <t>2014-06-17</t>
  </si>
  <si>
    <t>2014-06-18</t>
  </si>
  <si>
    <t>2014-06-19</t>
  </si>
  <si>
    <t>2014-06-20</t>
  </si>
  <si>
    <t>2014-06-21</t>
  </si>
  <si>
    <t>2014-06-22</t>
  </si>
  <si>
    <t>2014-06-23</t>
  </si>
  <si>
    <t>2014-06-24</t>
  </si>
  <si>
    <t>2014-06-25</t>
  </si>
  <si>
    <t>2014-06-26</t>
  </si>
  <si>
    <t>2014-06-27</t>
  </si>
  <si>
    <t>2014-06-28</t>
  </si>
  <si>
    <t>2014-06-29</t>
  </si>
  <si>
    <t>2014-06-30</t>
  </si>
  <si>
    <t>2014-07-01</t>
  </si>
  <si>
    <t>2014-07-02</t>
  </si>
  <si>
    <t>2014-07-03</t>
  </si>
  <si>
    <t>2014-07-04</t>
  </si>
  <si>
    <t>2014-07-05</t>
  </si>
  <si>
    <t>2014-07-06</t>
  </si>
  <si>
    <t>2014-07-07</t>
  </si>
  <si>
    <t>2014-07-08</t>
  </si>
  <si>
    <t>2014-07-09</t>
  </si>
  <si>
    <t>2014-07-10</t>
  </si>
  <si>
    <t>2014-07-11</t>
  </si>
  <si>
    <t>2014-07-12</t>
  </si>
  <si>
    <t>2014-07-13</t>
  </si>
  <si>
    <t>2014-07-14</t>
  </si>
  <si>
    <t>2014-07-15</t>
  </si>
  <si>
    <t>2014-07-16</t>
  </si>
  <si>
    <t>2014-07-17</t>
  </si>
  <si>
    <t>2014-07-18</t>
  </si>
  <si>
    <t>2014-07-19</t>
  </si>
  <si>
    <t>2014-07-20</t>
  </si>
  <si>
    <t>2014-07-21</t>
  </si>
  <si>
    <t>2014-07-22</t>
  </si>
  <si>
    <t>2014-07-23</t>
  </si>
  <si>
    <t>2014-07-24</t>
  </si>
  <si>
    <t>2014-07-25</t>
  </si>
  <si>
    <t>2014-07-26</t>
  </si>
  <si>
    <t>2014-07-27</t>
  </si>
  <si>
    <t>2014-07-28</t>
  </si>
  <si>
    <t>2014-07-29</t>
  </si>
  <si>
    <t>2014-07-30</t>
  </si>
  <si>
    <t>2014-07-31</t>
  </si>
  <si>
    <t>2014-08-01</t>
  </si>
  <si>
    <t>2014-08-02</t>
  </si>
  <si>
    <t>2014-08-03</t>
  </si>
  <si>
    <t>2014-08-04</t>
  </si>
  <si>
    <t>2014-08-05</t>
  </si>
  <si>
    <t>2014-08-06</t>
  </si>
  <si>
    <t>2014-08-07</t>
  </si>
  <si>
    <t>2014-08-08</t>
  </si>
  <si>
    <t>2014-08-09</t>
  </si>
  <si>
    <t>2014-08-10</t>
  </si>
  <si>
    <t>2014-08-11</t>
  </si>
  <si>
    <t>2014-08-12</t>
  </si>
  <si>
    <t>2014-08-13</t>
  </si>
  <si>
    <t>2014-08-14</t>
  </si>
  <si>
    <t>2014-08-15</t>
  </si>
  <si>
    <t>2014-08-16</t>
  </si>
  <si>
    <t>2014-08-17</t>
  </si>
  <si>
    <t>2014-08-18</t>
  </si>
  <si>
    <t>2014-08-19</t>
  </si>
  <si>
    <t>2014-08-20</t>
  </si>
  <si>
    <t>2014-08-21</t>
  </si>
  <si>
    <t>2014-08-22</t>
  </si>
  <si>
    <t>2014-08-23</t>
  </si>
  <si>
    <t>2014-08-24</t>
  </si>
  <si>
    <t>2014-08-25</t>
  </si>
  <si>
    <t>2014-08-26</t>
  </si>
  <si>
    <t>2014-08-27</t>
  </si>
  <si>
    <t>2014-08-28</t>
  </si>
  <si>
    <t>2014-08-29</t>
  </si>
  <si>
    <t>2014-08-30</t>
  </si>
  <si>
    <t>2014-08-31</t>
  </si>
  <si>
    <t>2014-09-01</t>
  </si>
  <si>
    <t>2014-09-02</t>
  </si>
  <si>
    <t>2014-09-03</t>
  </si>
  <si>
    <t>2014-09-04</t>
  </si>
  <si>
    <t>2014-09-05</t>
  </si>
  <si>
    <t>2014-09-06</t>
  </si>
  <si>
    <t>2014-09-07</t>
  </si>
  <si>
    <t>2014-09-08</t>
  </si>
  <si>
    <t>2014-09-09</t>
  </si>
  <si>
    <t>2014-09-10</t>
  </si>
  <si>
    <t>2014-09-11</t>
  </si>
  <si>
    <t>2014-09-12</t>
  </si>
  <si>
    <t>2014-09-13</t>
  </si>
  <si>
    <t>2014-09-14</t>
  </si>
  <si>
    <t>2014-09-15</t>
  </si>
  <si>
    <t>2014-09-16</t>
  </si>
  <si>
    <t>2014-09-17</t>
  </si>
  <si>
    <t>2014-09-18</t>
  </si>
  <si>
    <t>2014-09-19</t>
  </si>
  <si>
    <t>2014-09-20</t>
  </si>
  <si>
    <t>2014-09-21</t>
  </si>
  <si>
    <t>2014-09-22</t>
  </si>
  <si>
    <t>2014-09-23</t>
  </si>
  <si>
    <t>2014-09-24</t>
  </si>
  <si>
    <t>2014-09-25</t>
  </si>
  <si>
    <t>2014-09-26</t>
  </si>
  <si>
    <t>2014-09-27</t>
  </si>
  <si>
    <t>2014-09-28</t>
  </si>
  <si>
    <t>2014-09-29</t>
  </si>
  <si>
    <t>2014-09-30</t>
  </si>
  <si>
    <t>2014-10-01</t>
  </si>
  <si>
    <t>2014-10-02</t>
  </si>
  <si>
    <t>2014-10-03</t>
  </si>
  <si>
    <t>2014-10-04</t>
  </si>
  <si>
    <t>2014-10-05</t>
  </si>
  <si>
    <t>2014-10-06</t>
  </si>
  <si>
    <t>2014-10-07</t>
  </si>
  <si>
    <t>2014-10-08</t>
  </si>
  <si>
    <t>2014-10-09</t>
  </si>
  <si>
    <t>2014-10-10</t>
  </si>
  <si>
    <t>2014-10-11</t>
  </si>
  <si>
    <t>2014-10-12</t>
  </si>
  <si>
    <t>2014-10-13</t>
  </si>
  <si>
    <t>2014-10-14</t>
  </si>
  <si>
    <t>2014-10-15</t>
  </si>
  <si>
    <t>2014-10-16</t>
  </si>
  <si>
    <t>2014-10-17</t>
  </si>
  <si>
    <t>2014-10-18</t>
  </si>
  <si>
    <t>2014-10-19</t>
  </si>
  <si>
    <t>2014-10-20</t>
  </si>
  <si>
    <t>2014-10-21</t>
  </si>
  <si>
    <t>2014-10-22</t>
  </si>
  <si>
    <t>2014-10-23</t>
  </si>
  <si>
    <t>2014-10-24</t>
  </si>
  <si>
    <t>2014-10-25</t>
  </si>
  <si>
    <t>2014-10-26</t>
  </si>
  <si>
    <t>2014-10-27</t>
  </si>
  <si>
    <t>2014-10-28</t>
  </si>
  <si>
    <t>2014-10-29</t>
  </si>
  <si>
    <t>2014-10-30</t>
  </si>
  <si>
    <t>2014-10-31</t>
  </si>
  <si>
    <t>2014-11-01</t>
  </si>
  <si>
    <t>2014-11-02</t>
  </si>
  <si>
    <t>2014-11-03</t>
  </si>
  <si>
    <t>2014-11-04</t>
  </si>
  <si>
    <t>2014-11-05</t>
  </si>
  <si>
    <t>2014-11-06</t>
  </si>
  <si>
    <t>2014-11-07</t>
  </si>
  <si>
    <t>2014-11-08</t>
  </si>
  <si>
    <t>2014-11-09</t>
  </si>
  <si>
    <t>2014-11-10</t>
  </si>
  <si>
    <t>2014-11-11</t>
  </si>
  <si>
    <t>2014-11-12</t>
  </si>
  <si>
    <t>2014-11-13</t>
  </si>
  <si>
    <t>2014-11-14</t>
  </si>
  <si>
    <t>2014-11-15</t>
  </si>
  <si>
    <t>2014-11-16</t>
  </si>
  <si>
    <t>2014-11-17</t>
  </si>
  <si>
    <t>2014-11-18</t>
  </si>
  <si>
    <t>2014-11-19</t>
  </si>
  <si>
    <t>2014-11-20</t>
  </si>
  <si>
    <t>2014-11-21</t>
  </si>
  <si>
    <t>2014-11-22</t>
  </si>
  <si>
    <t>2014-11-23</t>
  </si>
  <si>
    <t>2014-11-24</t>
  </si>
  <si>
    <t>2014-11-25</t>
  </si>
  <si>
    <t>2014-11-26</t>
  </si>
  <si>
    <t>2014-11-27</t>
  </si>
  <si>
    <t>2014-11-28</t>
  </si>
  <si>
    <t>2014-11-29</t>
  </si>
  <si>
    <t>2014-11-30</t>
  </si>
  <si>
    <t>2014-12-01</t>
  </si>
  <si>
    <t>2014-12-02</t>
  </si>
  <si>
    <t>2014-12-03</t>
  </si>
  <si>
    <t>2014-12-04</t>
  </si>
  <si>
    <t>2014-12-05</t>
  </si>
  <si>
    <t>2014-12-06</t>
  </si>
  <si>
    <t>2014-12-07</t>
  </si>
  <si>
    <t>2014-12-08</t>
  </si>
  <si>
    <t>2014-12-09</t>
  </si>
  <si>
    <t>2014-12-10</t>
  </si>
  <si>
    <t>2014-12-11</t>
  </si>
  <si>
    <t>2014-12-12</t>
  </si>
  <si>
    <t>2014-12-13</t>
  </si>
  <si>
    <t>2014-12-14</t>
  </si>
  <si>
    <t>2014-12-15</t>
  </si>
  <si>
    <t>2014-12-16</t>
  </si>
  <si>
    <t>2014-12-17</t>
  </si>
  <si>
    <t>2014-12-18</t>
  </si>
  <si>
    <t>2014-12-19</t>
  </si>
  <si>
    <t>2014-12-20</t>
  </si>
  <si>
    <t>2014-12-21</t>
  </si>
  <si>
    <t>2014-12-22</t>
  </si>
  <si>
    <t>2014-12-23</t>
  </si>
  <si>
    <t>2014-12-24</t>
  </si>
  <si>
    <t>2014-12-25</t>
  </si>
  <si>
    <t>2014-12-26</t>
  </si>
  <si>
    <t>2014-12-27</t>
  </si>
  <si>
    <t>2014-12-28</t>
  </si>
  <si>
    <t>2014-12-29</t>
  </si>
  <si>
    <t>2014-12-30</t>
  </si>
  <si>
    <t>2014-12-31</t>
  </si>
  <si>
    <t>2015-01-01</t>
  </si>
  <si>
    <t>2015-01-02</t>
  </si>
  <si>
    <t>2015-01-03</t>
  </si>
  <si>
    <t>2015-01-04</t>
  </si>
  <si>
    <t>2015-01-05</t>
  </si>
  <si>
    <t>2015-01-06</t>
  </si>
  <si>
    <t>2015-01-07</t>
  </si>
  <si>
    <t>2015-01-08</t>
  </si>
  <si>
    <t>2015-01-09</t>
  </si>
  <si>
    <t>2015-01-10</t>
  </si>
  <si>
    <t>2015-01-11</t>
  </si>
  <si>
    <t>2015-01-12</t>
  </si>
  <si>
    <t>2015-01-13</t>
  </si>
  <si>
    <t>2015-01-14</t>
  </si>
  <si>
    <t>2015-01-15</t>
  </si>
  <si>
    <t>2015-01-16</t>
  </si>
  <si>
    <t>2015-01-17</t>
  </si>
  <si>
    <t>2015-01-18</t>
  </si>
  <si>
    <t>2015-01-19</t>
  </si>
  <si>
    <t>2015-01-20</t>
  </si>
  <si>
    <t>2015-01-21</t>
  </si>
  <si>
    <t>2015-01-22</t>
  </si>
  <si>
    <t>2015-01-23</t>
  </si>
  <si>
    <t>2015-01-24</t>
  </si>
  <si>
    <t>2015-01-25</t>
  </si>
  <si>
    <t>2015-01-26</t>
  </si>
  <si>
    <t>2015-01-27</t>
  </si>
  <si>
    <t>2015-01-28</t>
  </si>
  <si>
    <t>2015-01-29</t>
  </si>
  <si>
    <t>2015-01-30</t>
  </si>
  <si>
    <t>2015-01-31</t>
  </si>
  <si>
    <t>2015-02-01</t>
  </si>
  <si>
    <t>2015-02-02</t>
  </si>
  <si>
    <t>2015-02-03</t>
  </si>
  <si>
    <t>2015-02-04</t>
  </si>
  <si>
    <t>2015-02-05</t>
  </si>
  <si>
    <t>2015-02-06</t>
  </si>
  <si>
    <t>2015-02-07</t>
  </si>
  <si>
    <t>2015-02-08</t>
  </si>
  <si>
    <t>2015-02-09</t>
  </si>
  <si>
    <t>2015-02-10</t>
  </si>
  <si>
    <t>2015-02-11</t>
  </si>
  <si>
    <t>2015-02-12</t>
  </si>
  <si>
    <t>2015-02-13</t>
  </si>
  <si>
    <t>2015-02-14</t>
  </si>
  <si>
    <t>2015-02-15</t>
  </si>
  <si>
    <t>2015-02-16</t>
  </si>
  <si>
    <t>2015-02-17</t>
  </si>
  <si>
    <t>2015-02-18</t>
  </si>
  <si>
    <t>2015-02-19</t>
  </si>
  <si>
    <t>2015-02-20</t>
  </si>
  <si>
    <t>2015-02-21</t>
  </si>
  <si>
    <t>2015-02-22</t>
  </si>
  <si>
    <t>2015-02-23</t>
  </si>
  <si>
    <t>2015-02-24</t>
  </si>
  <si>
    <t>2015-02-25</t>
  </si>
  <si>
    <t>2015-02-26</t>
  </si>
  <si>
    <t>2015-02-27</t>
  </si>
  <si>
    <t>2015-02-28</t>
  </si>
  <si>
    <t>2015-03-01</t>
  </si>
  <si>
    <t>2015-03-02</t>
  </si>
  <si>
    <t>2015-03-03</t>
  </si>
  <si>
    <t>2015-03-04</t>
  </si>
  <si>
    <t>2015-03-05</t>
  </si>
  <si>
    <t>2015-03-06</t>
  </si>
  <si>
    <t>2015-03-07</t>
  </si>
  <si>
    <t>2015-03-08</t>
  </si>
  <si>
    <t>2015-03-09</t>
  </si>
  <si>
    <t>2015-03-10</t>
  </si>
  <si>
    <t>2015-03-11</t>
  </si>
  <si>
    <t>2015-03-12</t>
  </si>
  <si>
    <t>2015-03-13</t>
  </si>
  <si>
    <t>2015-03-14</t>
  </si>
  <si>
    <t>2015-03-15</t>
  </si>
  <si>
    <t>2015-03-16</t>
  </si>
  <si>
    <t>2015-03-17</t>
  </si>
  <si>
    <t>2015-03-18</t>
  </si>
  <si>
    <t>2015-03-19</t>
  </si>
  <si>
    <t>2015-03-20</t>
  </si>
  <si>
    <t>2015-03-21</t>
  </si>
  <si>
    <t>2015-03-22</t>
  </si>
  <si>
    <t>2015-03-23</t>
  </si>
  <si>
    <t>2015-03-24</t>
  </si>
  <si>
    <t>2015-03-25</t>
  </si>
  <si>
    <t>2015-03-26</t>
  </si>
  <si>
    <t>2015-03-27</t>
  </si>
  <si>
    <t>2015-03-28</t>
  </si>
  <si>
    <t>2015-03-29</t>
  </si>
  <si>
    <t>2015-03-30</t>
  </si>
  <si>
    <t>2015-03-31</t>
  </si>
  <si>
    <t>2015-04-01</t>
  </si>
  <si>
    <t>2015-04-02</t>
  </si>
  <si>
    <t>2015-04-03</t>
  </si>
  <si>
    <t>2015-04-04</t>
  </si>
  <si>
    <t>2015-04-05</t>
  </si>
  <si>
    <t>2015-04-06</t>
  </si>
  <si>
    <t>2015-04-07</t>
  </si>
  <si>
    <t>2015-04-08</t>
  </si>
  <si>
    <t>2015-04-09</t>
  </si>
  <si>
    <t>2015-04-10</t>
  </si>
  <si>
    <t>2015-04-11</t>
  </si>
  <si>
    <t>2015-04-12</t>
  </si>
  <si>
    <t>2015-04-13</t>
  </si>
  <si>
    <t>2015-04-14</t>
  </si>
  <si>
    <t>2015-04-15</t>
  </si>
  <si>
    <t>2015-04-16</t>
  </si>
  <si>
    <t>2015-04-17</t>
  </si>
  <si>
    <t>2015-04-18</t>
  </si>
  <si>
    <t>2015-04-19</t>
  </si>
  <si>
    <t>2015-04-20</t>
  </si>
  <si>
    <t>2015-04-21</t>
  </si>
  <si>
    <t>2015-04-22</t>
  </si>
  <si>
    <t>2015-04-23</t>
  </si>
  <si>
    <t>2015-04-24</t>
  </si>
  <si>
    <t>2015-04-25</t>
  </si>
  <si>
    <t>2015-04-26</t>
  </si>
  <si>
    <t>2015-04-27</t>
  </si>
  <si>
    <t>2015-04-28</t>
  </si>
  <si>
    <t>2015-04-29</t>
  </si>
  <si>
    <t>2015-04-30</t>
  </si>
  <si>
    <t>2015-05-01</t>
  </si>
  <si>
    <t>2015-05-02</t>
  </si>
  <si>
    <t>2015-05-03</t>
  </si>
  <si>
    <t>2015-05-04</t>
  </si>
  <si>
    <t>2015-05-05</t>
  </si>
  <si>
    <t>2015-05-06</t>
  </si>
  <si>
    <t>2015-05-07</t>
  </si>
  <si>
    <t>2015-05-08</t>
  </si>
  <si>
    <t>2015-05-09</t>
  </si>
  <si>
    <t>2015-05-10</t>
  </si>
  <si>
    <t>2015-05-11</t>
  </si>
  <si>
    <t>2015-05-12</t>
  </si>
  <si>
    <t>2015-05-13</t>
  </si>
  <si>
    <t>2015-05-14</t>
  </si>
  <si>
    <t>2015-05-15</t>
  </si>
  <si>
    <t>2015-05-16</t>
  </si>
  <si>
    <t>2015-05-17</t>
  </si>
  <si>
    <t>2015-05-18</t>
  </si>
  <si>
    <t>2015-05-19</t>
  </si>
  <si>
    <t>2015-05-20</t>
  </si>
  <si>
    <t>2015-05-21</t>
  </si>
  <si>
    <t>2015-05-22</t>
  </si>
  <si>
    <t>2015-05-23</t>
  </si>
  <si>
    <t>2015-05-24</t>
  </si>
  <si>
    <t>2015-05-25</t>
  </si>
  <si>
    <t>2015-05-26</t>
  </si>
  <si>
    <t>2015-05-27</t>
  </si>
  <si>
    <t>2015-05-28</t>
  </si>
  <si>
    <t>2015-05-29</t>
  </si>
  <si>
    <t>2015-05-30</t>
  </si>
  <si>
    <t>2015-05-31</t>
  </si>
  <si>
    <t>2015-06-01</t>
  </si>
  <si>
    <t>2015-06-02</t>
  </si>
  <si>
    <t>2015-06-03</t>
  </si>
  <si>
    <t>2015-06-04</t>
  </si>
  <si>
    <t>2015-06-05</t>
  </si>
  <si>
    <t>2015-06-06</t>
  </si>
  <si>
    <t>2015-06-07</t>
  </si>
  <si>
    <t>2015-06-08</t>
  </si>
  <si>
    <t>2015-06-09</t>
  </si>
  <si>
    <t>2015-06-10</t>
  </si>
  <si>
    <t>2015-06-11</t>
  </si>
  <si>
    <t>2015-06-12</t>
  </si>
  <si>
    <t>2015-06-13</t>
  </si>
  <si>
    <t>2015-06-14</t>
  </si>
  <si>
    <t>2015-06-15</t>
  </si>
  <si>
    <t>2015-06-16</t>
  </si>
  <si>
    <t>2015-06-17</t>
  </si>
  <si>
    <t>2015-06-18</t>
  </si>
  <si>
    <t>2015-06-19</t>
  </si>
  <si>
    <t>2015-06-20</t>
  </si>
  <si>
    <t>2015-06-21</t>
  </si>
  <si>
    <t>2015-06-22</t>
  </si>
  <si>
    <t>2015-06-23</t>
  </si>
  <si>
    <t>2015-06-24</t>
  </si>
  <si>
    <t>2015-06-25</t>
  </si>
  <si>
    <t>2015-06-26</t>
  </si>
  <si>
    <t>2015-06-27</t>
  </si>
  <si>
    <t>2015-06-28</t>
  </si>
  <si>
    <t>2015-06-29</t>
  </si>
  <si>
    <t>2015-06-30</t>
  </si>
  <si>
    <t>2015-07-01</t>
  </si>
  <si>
    <t>2015-07-02</t>
  </si>
  <si>
    <t>2015-07-03</t>
  </si>
  <si>
    <t>2015-07-04</t>
  </si>
  <si>
    <t>2015-07-05</t>
  </si>
  <si>
    <t>2015-07-06</t>
  </si>
  <si>
    <t>2015-07-07</t>
  </si>
  <si>
    <t>2015-07-08</t>
  </si>
  <si>
    <t>2015-07-09</t>
  </si>
  <si>
    <t>2015-07-10</t>
  </si>
  <si>
    <t>2015-07-11</t>
  </si>
  <si>
    <t>2015-07-12</t>
  </si>
  <si>
    <t>2015-07-13</t>
  </si>
  <si>
    <t>2015-07-14</t>
  </si>
  <si>
    <t>2015-07-15</t>
  </si>
  <si>
    <t>2015-07-16</t>
  </si>
  <si>
    <t>2015-07-17</t>
  </si>
  <si>
    <t>2015-07-18</t>
  </si>
  <si>
    <t>2015-07-19</t>
  </si>
  <si>
    <t>2015-07-20</t>
  </si>
  <si>
    <t>2015-07-21</t>
  </si>
  <si>
    <t>2015-07-22</t>
  </si>
  <si>
    <t>2015-07-23</t>
  </si>
  <si>
    <t>2015-07-24</t>
  </si>
  <si>
    <t>2015-07-25</t>
  </si>
  <si>
    <t>2015-07-26</t>
  </si>
  <si>
    <t>2015-07-27</t>
  </si>
  <si>
    <t>2015-07-28</t>
  </si>
  <si>
    <t>2015-07-29</t>
  </si>
  <si>
    <t>2015-07-30</t>
  </si>
  <si>
    <t>2015-07-31</t>
  </si>
  <si>
    <t>2015-08-01</t>
  </si>
  <si>
    <t>2015-08-02</t>
  </si>
  <si>
    <t>2015-08-03</t>
  </si>
  <si>
    <t>2015-08-04</t>
  </si>
  <si>
    <t>2015-08-05</t>
  </si>
  <si>
    <t>2015-08-06</t>
  </si>
  <si>
    <t>2015-08-07</t>
  </si>
  <si>
    <t>2015-08-08</t>
  </si>
  <si>
    <t>2015-08-09</t>
  </si>
  <si>
    <t>2015-08-10</t>
  </si>
  <si>
    <t>2015-08-11</t>
  </si>
  <si>
    <t>2015-08-12</t>
  </si>
  <si>
    <t>2015-08-13</t>
  </si>
  <si>
    <t>2015-08-14</t>
  </si>
  <si>
    <t>2015-08-15</t>
  </si>
  <si>
    <t>2015-08-16</t>
  </si>
  <si>
    <t>2015-08-17</t>
  </si>
  <si>
    <t>2015-08-18</t>
  </si>
  <si>
    <t>2015-08-19</t>
  </si>
  <si>
    <t>2015-08-20</t>
  </si>
  <si>
    <t>2015-08-21</t>
  </si>
  <si>
    <t>2015-08-22</t>
  </si>
  <si>
    <t>2015-08-23</t>
  </si>
  <si>
    <t>2015-08-24</t>
  </si>
  <si>
    <t>2015-08-25</t>
  </si>
  <si>
    <t>2015-08-26</t>
  </si>
  <si>
    <t>2015-08-27</t>
  </si>
  <si>
    <t>2015-08-28</t>
  </si>
  <si>
    <t>2015-08-29</t>
  </si>
  <si>
    <t>2015-08-30</t>
  </si>
  <si>
    <t>2015-08-31</t>
  </si>
  <si>
    <t>2015-09-01</t>
  </si>
  <si>
    <t>2015-09-02</t>
  </si>
  <si>
    <t>2015-09-03</t>
  </si>
  <si>
    <t>2015-09-04</t>
  </si>
  <si>
    <t>2015-09-05</t>
  </si>
  <si>
    <t>2015-09-06</t>
  </si>
  <si>
    <t>2015-09-07</t>
  </si>
  <si>
    <t>2015-09-08</t>
  </si>
  <si>
    <t>2015-09-09</t>
  </si>
  <si>
    <t>2015-09-10</t>
  </si>
  <si>
    <t>2015-09-11</t>
  </si>
  <si>
    <t>2015-09-12</t>
  </si>
  <si>
    <t>2015-09-13</t>
  </si>
  <si>
    <t>2015-09-14</t>
  </si>
  <si>
    <t>2015-09-15</t>
  </si>
  <si>
    <t>2015-09-16</t>
  </si>
  <si>
    <t>2015-09-17</t>
  </si>
  <si>
    <t>2015-09-18</t>
  </si>
  <si>
    <t>2015-09-19</t>
  </si>
  <si>
    <t>2015-09-20</t>
  </si>
  <si>
    <t>2015-09-21</t>
  </si>
  <si>
    <t>2015-09-22</t>
  </si>
  <si>
    <t>2015-09-23</t>
  </si>
  <si>
    <t>2015-09-24</t>
  </si>
  <si>
    <t>2015-09-25</t>
  </si>
  <si>
    <t>2015-09-26</t>
  </si>
  <si>
    <t>2015-09-27</t>
  </si>
  <si>
    <t>2015-09-28</t>
  </si>
  <si>
    <t>2015-09-29</t>
  </si>
  <si>
    <t>2015-09-30</t>
  </si>
  <si>
    <t>2015-10-01</t>
  </si>
  <si>
    <t>2015-10-02</t>
  </si>
  <si>
    <t>2015-10-03</t>
  </si>
  <si>
    <t>2015-10-04</t>
  </si>
  <si>
    <t>2015-10-05</t>
  </si>
  <si>
    <t>2015-10-06</t>
  </si>
  <si>
    <t>2015-10-07</t>
  </si>
  <si>
    <t>2015-10-08</t>
  </si>
  <si>
    <t>2015-10-09</t>
  </si>
  <si>
    <t>2015-10-10</t>
  </si>
  <si>
    <t>2015-10-11</t>
  </si>
  <si>
    <t>2015-10-12</t>
  </si>
  <si>
    <t>2015-10-13</t>
  </si>
  <si>
    <t>2015-10-14</t>
  </si>
  <si>
    <t>2015-10-15</t>
  </si>
  <si>
    <t>2015-10-16</t>
  </si>
  <si>
    <t>2015-10-17</t>
  </si>
  <si>
    <t>2015-10-18</t>
  </si>
  <si>
    <t>2015-10-19</t>
  </si>
  <si>
    <t>2015-10-20</t>
  </si>
  <si>
    <t>2015-10-21</t>
  </si>
  <si>
    <t>2015-10-22</t>
  </si>
  <si>
    <t>2015-10-23</t>
  </si>
  <si>
    <t>2015-10-24</t>
  </si>
  <si>
    <t>2015-10-25</t>
  </si>
  <si>
    <t>2015-10-26</t>
  </si>
  <si>
    <t>2015-10-27</t>
  </si>
  <si>
    <t>2015-10-28</t>
  </si>
  <si>
    <t>2015-10-29</t>
  </si>
  <si>
    <t>2015-10-30</t>
  </si>
  <si>
    <t>2015-10-31</t>
  </si>
  <si>
    <t>2015-11-01</t>
  </si>
  <si>
    <t>2015-11-02</t>
  </si>
  <si>
    <t>2015-11-03</t>
  </si>
  <si>
    <t>2015-11-04</t>
  </si>
  <si>
    <t>2015-11-05</t>
  </si>
  <si>
    <t>2015-11-06</t>
  </si>
  <si>
    <t>2015-11-07</t>
  </si>
  <si>
    <t>2015-11-08</t>
  </si>
  <si>
    <t>2015-11-09</t>
  </si>
  <si>
    <t>2015-11-10</t>
  </si>
  <si>
    <t>2015-11-11</t>
  </si>
  <si>
    <t>2015-11-12</t>
  </si>
  <si>
    <t>2015-11-13</t>
  </si>
  <si>
    <t>2015-11-14</t>
  </si>
  <si>
    <t>2015-11-15</t>
  </si>
  <si>
    <t>2015-11-16</t>
  </si>
  <si>
    <t>2015-11-17</t>
  </si>
  <si>
    <t>2015-11-18</t>
  </si>
  <si>
    <t>2015-11-19</t>
  </si>
  <si>
    <t>2015-11-20</t>
  </si>
  <si>
    <t>2015-11-21</t>
  </si>
  <si>
    <t>2015-11-22</t>
  </si>
  <si>
    <t>2015-11-23</t>
  </si>
  <si>
    <t>2015-11-24</t>
  </si>
  <si>
    <t>2015-11-25</t>
  </si>
  <si>
    <t>2015-11-26</t>
  </si>
  <si>
    <t>2015-11-27</t>
  </si>
  <si>
    <t>2015-11-28</t>
  </si>
  <si>
    <t>2015-11-29</t>
  </si>
  <si>
    <t>2015-11-30</t>
  </si>
  <si>
    <t>2015-12-01</t>
  </si>
  <si>
    <t>2015-12-02</t>
  </si>
  <si>
    <t>2015-12-03</t>
  </si>
  <si>
    <t>2015-12-04</t>
  </si>
  <si>
    <t>2015-12-05</t>
  </si>
  <si>
    <t>2015-12-06</t>
  </si>
  <si>
    <t>2015-12-07</t>
  </si>
  <si>
    <t>2015-12-08</t>
  </si>
  <si>
    <t>2015-12-09</t>
  </si>
  <si>
    <t>2015-12-10</t>
  </si>
  <si>
    <t>2015-12-11</t>
  </si>
  <si>
    <t>2015-12-12</t>
  </si>
  <si>
    <t>2015-12-13</t>
  </si>
  <si>
    <t>2015-12-14</t>
  </si>
  <si>
    <t>2015-12-15</t>
  </si>
  <si>
    <t>2015-12-16</t>
  </si>
  <si>
    <t>2015-12-17</t>
  </si>
  <si>
    <t>2015-12-18</t>
  </si>
  <si>
    <t>2015-12-19</t>
  </si>
  <si>
    <t>2015-12-20</t>
  </si>
  <si>
    <t>2015-12-21</t>
  </si>
  <si>
    <t>2015-12-22</t>
  </si>
  <si>
    <t>2015-12-23</t>
  </si>
  <si>
    <t>2015-12-24</t>
  </si>
  <si>
    <t>2015-12-25</t>
  </si>
  <si>
    <t>2015-12-26</t>
  </si>
  <si>
    <t>2015-12-27</t>
  </si>
  <si>
    <t>2015-12-28</t>
  </si>
  <si>
    <t>2015-12-29</t>
  </si>
  <si>
    <t>2015-12-30</t>
  </si>
  <si>
    <t>2015-12-31</t>
  </si>
  <si>
    <t>2016-01-01</t>
  </si>
  <si>
    <t>2016-01-02</t>
  </si>
  <si>
    <t>2016-01-03</t>
  </si>
  <si>
    <t>2016-01-04</t>
  </si>
  <si>
    <t>2016-01-05</t>
  </si>
  <si>
    <t>2016-01-06</t>
  </si>
  <si>
    <t>2016-01-07</t>
  </si>
  <si>
    <t>2016-01-08</t>
  </si>
  <si>
    <t>2016-01-09</t>
  </si>
  <si>
    <t>2016-01-10</t>
  </si>
  <si>
    <t>2016-01-11</t>
  </si>
  <si>
    <t>2016-01-12</t>
  </si>
  <si>
    <t>2016-01-13</t>
  </si>
  <si>
    <t>2016-01-14</t>
  </si>
  <si>
    <t>2016-01-15</t>
  </si>
  <si>
    <t>2016-01-16</t>
  </si>
  <si>
    <t>2016-01-17</t>
  </si>
  <si>
    <t>2016-01-18</t>
  </si>
  <si>
    <t>2016-01-19</t>
  </si>
  <si>
    <t>2016-01-20</t>
  </si>
  <si>
    <t>2016-01-21</t>
  </si>
  <si>
    <t>2016-01-22</t>
  </si>
  <si>
    <t>2016-01-23</t>
  </si>
  <si>
    <t>2016-01-24</t>
  </si>
  <si>
    <t>2016-01-25</t>
  </si>
  <si>
    <t>2016-01-26</t>
  </si>
  <si>
    <t>2016-01-27</t>
  </si>
  <si>
    <t>2016-01-28</t>
  </si>
  <si>
    <t>2016-01-29</t>
  </si>
  <si>
    <t>2016-01-30</t>
  </si>
  <si>
    <t>2016-01-31</t>
  </si>
  <si>
    <t>2016-02-01</t>
  </si>
  <si>
    <t>2016-02-02</t>
  </si>
  <si>
    <t>2016-02-03</t>
  </si>
  <si>
    <t>2016-02-04</t>
  </si>
  <si>
    <t>2016-02-05</t>
  </si>
  <si>
    <t>2016-02-06</t>
  </si>
  <si>
    <t>2016-02-07</t>
  </si>
  <si>
    <t>2016-02-08</t>
  </si>
  <si>
    <t>2016-02-09</t>
  </si>
  <si>
    <t>2016-02-10</t>
  </si>
  <si>
    <t>2016-02-11</t>
  </si>
  <si>
    <t>2016-02-12</t>
  </si>
  <si>
    <t>2016-02-13</t>
  </si>
  <si>
    <t>2016-02-14</t>
  </si>
  <si>
    <t>2016-02-15</t>
  </si>
  <si>
    <t>2016-02-16</t>
  </si>
  <si>
    <t>2016-02-17</t>
  </si>
  <si>
    <t>2016-02-18</t>
  </si>
  <si>
    <t>2016-02-19</t>
  </si>
  <si>
    <t>2016-02-20</t>
  </si>
  <si>
    <t>2016-02-21</t>
  </si>
  <si>
    <t>2016-02-22</t>
  </si>
  <si>
    <t>2016-02-23</t>
  </si>
  <si>
    <t>2016-02-24</t>
  </si>
  <si>
    <t>2016-02-25</t>
  </si>
  <si>
    <t>2016-02-26</t>
  </si>
  <si>
    <t>2016-02-27</t>
  </si>
  <si>
    <t>2016-02-28</t>
  </si>
  <si>
    <t>2016-03-01</t>
  </si>
  <si>
    <t>2016-03-02</t>
  </si>
  <si>
    <t>2016-03-03</t>
  </si>
  <si>
    <t>2016-03-04</t>
  </si>
  <si>
    <t>2016-03-05</t>
  </si>
  <si>
    <t>2016-03-06</t>
  </si>
  <si>
    <t>2016-03-07</t>
  </si>
  <si>
    <t>2016-03-08</t>
  </si>
  <si>
    <t>2016-03-09</t>
  </si>
  <si>
    <t>2016-03-10</t>
  </si>
  <si>
    <t>2016-03-11</t>
  </si>
  <si>
    <t>2016-03-12</t>
  </si>
  <si>
    <t>2016-03-13</t>
  </si>
  <si>
    <t>2016-03-14</t>
  </si>
  <si>
    <t>2016-03-15</t>
  </si>
  <si>
    <t>2016-03-16</t>
  </si>
  <si>
    <t>2016-03-17</t>
  </si>
  <si>
    <t>2016-03-18</t>
  </si>
  <si>
    <t>2016-03-19</t>
  </si>
  <si>
    <t>2016-03-20</t>
  </si>
  <si>
    <t>2016-03-21</t>
  </si>
  <si>
    <t>2016-03-22</t>
  </si>
  <si>
    <t>2016-03-23</t>
  </si>
  <si>
    <t>2016-03-24</t>
  </si>
  <si>
    <t>2016-03-25</t>
  </si>
  <si>
    <t>2016-03-26</t>
  </si>
  <si>
    <t>2016-03-27</t>
  </si>
  <si>
    <t>2016-03-28</t>
  </si>
  <si>
    <t>2016-03-29</t>
  </si>
  <si>
    <t>2016-03-30</t>
  </si>
  <si>
    <t>2016-03-31</t>
  </si>
  <si>
    <t>2016-04-01</t>
  </si>
  <si>
    <t>2016-04-02</t>
  </si>
  <si>
    <t>2016-04-03</t>
  </si>
  <si>
    <t>2016-04-04</t>
  </si>
  <si>
    <t>2016-04-05</t>
  </si>
  <si>
    <t>2016-04-06</t>
  </si>
  <si>
    <t>2016-04-07</t>
  </si>
  <si>
    <t>2016-04-08</t>
  </si>
  <si>
    <t>2016-04-09</t>
  </si>
  <si>
    <t>2016-04-10</t>
  </si>
  <si>
    <t>2016-04-11</t>
  </si>
  <si>
    <t>2016-04-12</t>
  </si>
  <si>
    <t>2016-04-13</t>
  </si>
  <si>
    <t>2016-04-14</t>
  </si>
  <si>
    <t>2016-04-15</t>
  </si>
  <si>
    <t>2016-04-16</t>
  </si>
  <si>
    <t>2016-04-17</t>
  </si>
  <si>
    <t>2016-04-18</t>
  </si>
  <si>
    <t>2016-04-19</t>
  </si>
  <si>
    <t>2016-04-20</t>
  </si>
  <si>
    <t>2016-04-21</t>
  </si>
  <si>
    <t>2016-04-22</t>
  </si>
  <si>
    <t>2016-04-23</t>
  </si>
  <si>
    <t>2016-04-24</t>
  </si>
  <si>
    <t>2016-04-25</t>
  </si>
  <si>
    <t>2016-04-26</t>
  </si>
  <si>
    <t>2016-04-27</t>
  </si>
  <si>
    <t>2016-04-28</t>
  </si>
  <si>
    <t>2016-04-29</t>
  </si>
  <si>
    <t>2016-04-30</t>
  </si>
  <si>
    <t>2016-05-01</t>
  </si>
  <si>
    <t>2016-05-02</t>
  </si>
  <si>
    <t>2016-05-03</t>
  </si>
  <si>
    <t>2016-05-04</t>
  </si>
  <si>
    <t>2016-05-05</t>
  </si>
  <si>
    <t>2016-05-06</t>
  </si>
  <si>
    <t>2016-05-07</t>
  </si>
  <si>
    <t>2016-05-08</t>
  </si>
  <si>
    <t>2016-05-09</t>
  </si>
  <si>
    <t>2016-05-10</t>
  </si>
  <si>
    <t>2016-05-11</t>
  </si>
  <si>
    <t>2016-05-12</t>
  </si>
  <si>
    <t>2016-05-13</t>
  </si>
  <si>
    <t>2016-05-14</t>
  </si>
  <si>
    <t>2016-05-15</t>
  </si>
  <si>
    <t>2016-05-16</t>
  </si>
  <si>
    <t>2016-05-17</t>
  </si>
  <si>
    <t>2016-05-18</t>
  </si>
  <si>
    <t>2016-05-19</t>
  </si>
  <si>
    <t>2016-05-20</t>
  </si>
  <si>
    <t>2016-05-21</t>
  </si>
  <si>
    <t>2016-05-22</t>
  </si>
  <si>
    <t>2016-05-23</t>
  </si>
  <si>
    <t>2016-05-24</t>
  </si>
  <si>
    <t>2016-05-25</t>
  </si>
  <si>
    <t>2016-05-26</t>
  </si>
  <si>
    <t>2016-05-27</t>
  </si>
  <si>
    <t>2016-05-28</t>
  </si>
  <si>
    <t>2016-05-29</t>
  </si>
  <si>
    <t>2016-05-30</t>
  </si>
  <si>
    <t>2016-05-31</t>
  </si>
  <si>
    <t>2016-06-01</t>
  </si>
  <si>
    <t>2016-06-02</t>
  </si>
  <si>
    <t>2016-06-03</t>
  </si>
  <si>
    <t>2016-06-04</t>
  </si>
  <si>
    <t>2016-06-05</t>
  </si>
  <si>
    <t>2016-06-06</t>
  </si>
  <si>
    <t>2016-06-07</t>
  </si>
  <si>
    <t>2016-06-08</t>
  </si>
  <si>
    <t>2016-06-09</t>
  </si>
  <si>
    <t>2016-06-10</t>
  </si>
  <si>
    <t>2016-06-11</t>
  </si>
  <si>
    <t>2016-06-12</t>
  </si>
  <si>
    <t>2016-06-13</t>
  </si>
  <si>
    <t>2016-06-14</t>
  </si>
  <si>
    <t>2016-06-15</t>
  </si>
  <si>
    <t>2016-06-16</t>
  </si>
  <si>
    <t>2016-06-17</t>
  </si>
  <si>
    <t>2016-06-18</t>
  </si>
  <si>
    <t>2016-06-19</t>
  </si>
  <si>
    <t>2016-06-20</t>
  </si>
  <si>
    <t>2016-06-21</t>
  </si>
  <si>
    <t>2016-06-22</t>
  </si>
  <si>
    <t>2016-06-23</t>
  </si>
  <si>
    <t>2016-06-24</t>
  </si>
  <si>
    <t>2016-06-25</t>
  </si>
  <si>
    <t>2016-06-26</t>
  </si>
  <si>
    <t>2016-06-27</t>
  </si>
  <si>
    <t>2016-06-28</t>
  </si>
  <si>
    <t>2016-06-29</t>
  </si>
  <si>
    <t>2016-06-30</t>
  </si>
  <si>
    <t>2016-07-01</t>
  </si>
  <si>
    <t>2016-07-02</t>
  </si>
  <si>
    <t>2016-07-03</t>
  </si>
  <si>
    <t>2016-07-04</t>
  </si>
  <si>
    <t>2016-07-05</t>
  </si>
  <si>
    <t>2016-07-06</t>
  </si>
  <si>
    <t>2016-07-07</t>
  </si>
  <si>
    <t>2016-07-08</t>
  </si>
  <si>
    <t>2016-07-09</t>
  </si>
  <si>
    <t>2016-07-10</t>
  </si>
  <si>
    <t>2016-07-11</t>
  </si>
  <si>
    <t>2016-07-12</t>
  </si>
  <si>
    <t>2016-07-13</t>
  </si>
  <si>
    <t>2016-07-14</t>
  </si>
  <si>
    <t>2016-07-15</t>
  </si>
  <si>
    <t>2016-07-16</t>
  </si>
  <si>
    <t>2016-07-17</t>
  </si>
  <si>
    <t>2016-07-18</t>
  </si>
  <si>
    <t>2016-07-19</t>
  </si>
  <si>
    <t>2016-07-20</t>
  </si>
  <si>
    <t>2016-07-21</t>
  </si>
  <si>
    <t>2016-07-22</t>
  </si>
  <si>
    <t>2016-07-23</t>
  </si>
  <si>
    <t>2016-07-24</t>
  </si>
  <si>
    <t>2016-07-25</t>
  </si>
  <si>
    <t>2016-07-26</t>
  </si>
  <si>
    <t>2016-07-27</t>
  </si>
  <si>
    <t>2016-07-28</t>
  </si>
  <si>
    <t>2016-07-29</t>
  </si>
  <si>
    <t>2016-07-30</t>
  </si>
  <si>
    <t>2016-07-31</t>
  </si>
  <si>
    <t>2016-08-01</t>
  </si>
  <si>
    <t>2016-08-02</t>
  </si>
  <si>
    <t>2016-08-03</t>
  </si>
  <si>
    <t>2016-08-04</t>
  </si>
  <si>
    <t>2016-08-05</t>
  </si>
  <si>
    <t>2016-08-06</t>
  </si>
  <si>
    <t>2016-08-07</t>
  </si>
  <si>
    <t>2016-08-08</t>
  </si>
  <si>
    <t>2016-08-09</t>
  </si>
  <si>
    <t>2016-08-10</t>
  </si>
  <si>
    <t>2016-08-11</t>
  </si>
  <si>
    <t>2016-08-12</t>
  </si>
  <si>
    <t>2016-08-13</t>
  </si>
  <si>
    <t>2016-08-14</t>
  </si>
  <si>
    <t>2016-08-15</t>
  </si>
  <si>
    <t>2016-08-16</t>
  </si>
  <si>
    <t>2016-08-17</t>
  </si>
  <si>
    <t>2016-08-18</t>
  </si>
  <si>
    <t>2016-08-19</t>
  </si>
  <si>
    <t>2016-08-20</t>
  </si>
  <si>
    <t>2016-08-21</t>
  </si>
  <si>
    <t>2016-08-22</t>
  </si>
  <si>
    <t>2016-08-23</t>
  </si>
  <si>
    <t>2016-08-24</t>
  </si>
  <si>
    <t>2016-08-25</t>
  </si>
  <si>
    <t>2016-08-26</t>
  </si>
  <si>
    <t>2016-08-27</t>
  </si>
  <si>
    <t>2016-08-28</t>
  </si>
  <si>
    <t>2016-08-29</t>
  </si>
  <si>
    <t>2016-08-30</t>
  </si>
  <si>
    <t>2016-08-31</t>
  </si>
  <si>
    <t>2016-09-01</t>
  </si>
  <si>
    <t>2016-09-02</t>
  </si>
  <si>
    <t>2016-09-03</t>
  </si>
  <si>
    <t>2016-09-04</t>
  </si>
  <si>
    <t>2016-09-05</t>
  </si>
  <si>
    <t>2016-09-06</t>
  </si>
  <si>
    <t>2016-09-07</t>
  </si>
  <si>
    <t>2016-09-08</t>
  </si>
  <si>
    <t>2016-09-09</t>
  </si>
  <si>
    <t>2016-09-10</t>
  </si>
  <si>
    <t>2016-09-11</t>
  </si>
  <si>
    <t>2016-09-12</t>
  </si>
  <si>
    <t>2016-09-13</t>
  </si>
  <si>
    <t>2016-09-14</t>
  </si>
  <si>
    <t>2016-09-15</t>
  </si>
  <si>
    <t>2016-09-16</t>
  </si>
  <si>
    <t>2016-09-17</t>
  </si>
  <si>
    <t>2016-09-18</t>
  </si>
  <si>
    <t>2016-09-19</t>
  </si>
  <si>
    <t>2016-09-20</t>
  </si>
  <si>
    <t>2016-09-21</t>
  </si>
  <si>
    <t>2016-09-22</t>
  </si>
  <si>
    <t>2016-09-23</t>
  </si>
  <si>
    <t>2016-09-24</t>
  </si>
  <si>
    <t>2016-09-25</t>
  </si>
  <si>
    <t>2016-09-26</t>
  </si>
  <si>
    <t>2016-09-27</t>
  </si>
  <si>
    <t>2016-09-28</t>
  </si>
  <si>
    <t>2016-09-29</t>
  </si>
  <si>
    <t>2016-09-30</t>
  </si>
  <si>
    <t>2016-10-01</t>
  </si>
  <si>
    <t>2016-10-02</t>
  </si>
  <si>
    <t>2016-10-03</t>
  </si>
  <si>
    <t>2016-10-04</t>
  </si>
  <si>
    <t>2016-10-05</t>
  </si>
  <si>
    <t>2016-10-06</t>
  </si>
  <si>
    <t>2016-10-07</t>
  </si>
  <si>
    <t>2016-10-08</t>
  </si>
  <si>
    <t>2016-10-09</t>
  </si>
  <si>
    <t>2016-10-10</t>
  </si>
  <si>
    <t>2016-10-11</t>
  </si>
  <si>
    <t>2016-10-12</t>
  </si>
  <si>
    <t>2016-10-13</t>
  </si>
  <si>
    <t>2016-10-14</t>
  </si>
  <si>
    <t>2016-10-15</t>
  </si>
  <si>
    <t>2016-10-16</t>
  </si>
  <si>
    <t>2016-10-17</t>
  </si>
  <si>
    <t>2016-10-18</t>
  </si>
  <si>
    <t>2016-10-19</t>
  </si>
  <si>
    <t>2016-10-20</t>
  </si>
  <si>
    <t>2016-10-21</t>
  </si>
  <si>
    <t>2016-10-22</t>
  </si>
  <si>
    <t>2016-10-23</t>
  </si>
  <si>
    <t>2016-10-24</t>
  </si>
  <si>
    <t>2016-10-25</t>
  </si>
  <si>
    <t>2016-10-26</t>
  </si>
  <si>
    <t>2016-10-27</t>
  </si>
  <si>
    <t>2016-10-28</t>
  </si>
  <si>
    <t>2016-10-29</t>
  </si>
  <si>
    <t>2016-10-30</t>
  </si>
  <si>
    <t>2016-10-31</t>
  </si>
  <si>
    <t>2016-11-01</t>
  </si>
  <si>
    <t>2016-11-02</t>
  </si>
  <si>
    <t>2016-11-03</t>
  </si>
  <si>
    <t>2016-11-04</t>
  </si>
  <si>
    <t>2016-11-05</t>
  </si>
  <si>
    <t>2016-11-06</t>
  </si>
  <si>
    <t>2016-11-07</t>
  </si>
  <si>
    <t>2016-11-08</t>
  </si>
  <si>
    <t>2016-11-09</t>
  </si>
  <si>
    <t>2016-11-10</t>
  </si>
  <si>
    <t>2016-11-11</t>
  </si>
  <si>
    <t>2016-11-12</t>
  </si>
  <si>
    <t>2016-11-13</t>
  </si>
  <si>
    <t>2016-11-14</t>
  </si>
  <si>
    <t>2016-11-15</t>
  </si>
  <si>
    <t>2016-11-16</t>
  </si>
  <si>
    <t>2016-11-17</t>
  </si>
  <si>
    <t>2016-11-18</t>
  </si>
  <si>
    <t>2016-11-19</t>
  </si>
  <si>
    <t>2016-11-20</t>
  </si>
  <si>
    <t>2016-11-21</t>
  </si>
  <si>
    <t>2016-11-22</t>
  </si>
  <si>
    <t>2016-11-23</t>
  </si>
  <si>
    <t>2016-11-24</t>
  </si>
  <si>
    <t>2016-11-25</t>
  </si>
  <si>
    <t>2016-11-26</t>
  </si>
  <si>
    <t>2016-11-27</t>
  </si>
  <si>
    <t>2016-11-28</t>
  </si>
  <si>
    <t>2016-11-29</t>
  </si>
  <si>
    <t>2016-11-30</t>
  </si>
  <si>
    <t>2016-12-01</t>
  </si>
  <si>
    <t>2016-12-02</t>
  </si>
  <si>
    <t>2016-12-03</t>
  </si>
  <si>
    <t>2016-12-04</t>
  </si>
  <si>
    <t>2016-12-05</t>
  </si>
  <si>
    <t>2016-12-06</t>
  </si>
  <si>
    <t>2016-12-07</t>
  </si>
  <si>
    <t>2016-12-08</t>
  </si>
  <si>
    <t>2016-12-09</t>
  </si>
  <si>
    <t>2016-12-10</t>
  </si>
  <si>
    <t>2016-12-11</t>
  </si>
  <si>
    <t>2016-12-12</t>
  </si>
  <si>
    <t>2016-12-13</t>
  </si>
  <si>
    <t>2016-12-14</t>
  </si>
  <si>
    <t>2016-12-15</t>
  </si>
  <si>
    <t>2016-12-16</t>
  </si>
  <si>
    <t>2016-12-17</t>
  </si>
  <si>
    <t>2016-12-18</t>
  </si>
  <si>
    <t>2016-12-19</t>
  </si>
  <si>
    <t>2016-12-20</t>
  </si>
  <si>
    <t>2016-12-21</t>
  </si>
  <si>
    <t>2016-12-22</t>
  </si>
  <si>
    <t>2016-12-23</t>
  </si>
  <si>
    <t>2016-12-24</t>
  </si>
  <si>
    <t>2016-12-25</t>
  </si>
  <si>
    <t>2016-12-26</t>
  </si>
  <si>
    <t>2016-12-27</t>
  </si>
  <si>
    <t>2016-12-28</t>
  </si>
  <si>
    <t>2016-12-29</t>
  </si>
  <si>
    <t>2016-12-30</t>
  </si>
  <si>
    <t>2016-12-31</t>
  </si>
  <si>
    <t>2017-01-01</t>
  </si>
  <si>
    <t>2017-01-02</t>
  </si>
  <si>
    <t>2017-01-03</t>
  </si>
  <si>
    <t>2017-01-04</t>
  </si>
  <si>
    <t>2017-01-05</t>
  </si>
  <si>
    <t>2017-01-06</t>
  </si>
  <si>
    <t>2017-01-07</t>
  </si>
  <si>
    <t>2017-01-08</t>
  </si>
  <si>
    <t>2017-01-09</t>
  </si>
  <si>
    <t>2017-01-10</t>
  </si>
  <si>
    <t>2017-01-11</t>
  </si>
  <si>
    <t>2017-01-12</t>
  </si>
  <si>
    <t>2017-01-13</t>
  </si>
  <si>
    <t>2017-01-14</t>
  </si>
  <si>
    <t>2017-01-15</t>
  </si>
  <si>
    <t>2017-01-16</t>
  </si>
  <si>
    <t>2017-01-17</t>
  </si>
  <si>
    <t>2017-01-18</t>
  </si>
  <si>
    <t>2017-01-19</t>
  </si>
  <si>
    <t>2017-01-20</t>
  </si>
  <si>
    <t>2017-01-21</t>
  </si>
  <si>
    <t>2017-01-22</t>
  </si>
  <si>
    <t>2017-01-23</t>
  </si>
  <si>
    <t>2017-01-24</t>
  </si>
  <si>
    <t>2017-01-25</t>
  </si>
  <si>
    <t>2017-01-26</t>
  </si>
  <si>
    <t>2017-01-27</t>
  </si>
  <si>
    <t>2017-01-28</t>
  </si>
  <si>
    <t>2017-01-29</t>
  </si>
  <si>
    <t>2017-01-30</t>
  </si>
  <si>
    <t>2017-01-31</t>
  </si>
  <si>
    <t>2017-02-01</t>
  </si>
  <si>
    <t>2017-02-02</t>
  </si>
  <si>
    <t>2017-02-03</t>
  </si>
  <si>
    <t>2017-02-04</t>
  </si>
  <si>
    <t>2017-02-05</t>
  </si>
  <si>
    <t>2017-02-06</t>
  </si>
  <si>
    <t>2017-02-07</t>
  </si>
  <si>
    <t>2017-02-08</t>
  </si>
  <si>
    <t>2017-02-09</t>
  </si>
  <si>
    <t>2017-02-10</t>
  </si>
  <si>
    <t>2017-02-11</t>
  </si>
  <si>
    <t>2017-02-12</t>
  </si>
  <si>
    <t>2017-02-13</t>
  </si>
  <si>
    <t>2017-02-14</t>
  </si>
  <si>
    <t>2017-02-15</t>
  </si>
  <si>
    <t>2017-02-16</t>
  </si>
  <si>
    <t>2017-02-17</t>
  </si>
  <si>
    <t>2017-02-18</t>
  </si>
  <si>
    <t>2017-02-19</t>
  </si>
  <si>
    <t>2017-02-20</t>
  </si>
  <si>
    <t>2017-02-21</t>
  </si>
  <si>
    <t>2017-02-22</t>
  </si>
  <si>
    <t>2017-02-23</t>
  </si>
  <si>
    <t>2017-02-24</t>
  </si>
  <si>
    <t>2017-02-25</t>
  </si>
  <si>
    <t>2017-02-26</t>
  </si>
  <si>
    <t>2017-02-27</t>
  </si>
  <si>
    <t>2017-02-28</t>
  </si>
  <si>
    <t>2012-02-29</t>
  </si>
  <si>
    <t>2017-03-01</t>
  </si>
  <si>
    <t>2017-03-02</t>
  </si>
  <si>
    <t>2017-03-03</t>
  </si>
  <si>
    <t>2017-03-04</t>
  </si>
  <si>
    <t>2017-03-05</t>
  </si>
  <si>
    <t>2017-03-06</t>
  </si>
  <si>
    <t>2017-03-07</t>
  </si>
  <si>
    <t>2017-03-08</t>
  </si>
  <si>
    <t>2017-03-09</t>
  </si>
  <si>
    <t>2017-03-10</t>
  </si>
  <si>
    <t>2017-03-11</t>
  </si>
  <si>
    <t>2017-03-12</t>
  </si>
  <si>
    <t>2017-03-13</t>
  </si>
  <si>
    <t>2017-03-14</t>
  </si>
  <si>
    <t>2017-03-15</t>
  </si>
  <si>
    <t>2017-03-16</t>
  </si>
  <si>
    <t>2017-03-17</t>
  </si>
  <si>
    <t>2017-03-18</t>
  </si>
  <si>
    <t>2017-03-19</t>
  </si>
  <si>
    <t>2017-03-20</t>
  </si>
  <si>
    <t>2017-03-21</t>
  </si>
  <si>
    <t>2017-03-22</t>
  </si>
  <si>
    <t>2017-03-23</t>
  </si>
  <si>
    <t>2017-03-24</t>
  </si>
  <si>
    <t>2017-03-25</t>
  </si>
  <si>
    <t>2017-03-26</t>
  </si>
  <si>
    <t>2017-03-27</t>
  </si>
  <si>
    <t>2017-03-28</t>
  </si>
  <si>
    <t>2017-03-29</t>
  </si>
  <si>
    <t>2017-03-30</t>
  </si>
  <si>
    <t>2017-03-31</t>
  </si>
  <si>
    <t>2017-04-01</t>
  </si>
  <si>
    <t>2017-04-02</t>
  </si>
  <si>
    <t>2017-04-03</t>
  </si>
  <si>
    <t>2017-04-04</t>
  </si>
  <si>
    <t>2017-04-05</t>
  </si>
  <si>
    <t>2017-04-06</t>
  </si>
  <si>
    <t>2017-04-07</t>
  </si>
  <si>
    <t>2017-04-08</t>
  </si>
  <si>
    <t>2017-04-09</t>
  </si>
  <si>
    <t>2017-04-10</t>
  </si>
  <si>
    <t>2017-04-11</t>
  </si>
  <si>
    <t>2017-04-12</t>
  </si>
  <si>
    <t>2017-04-13</t>
  </si>
  <si>
    <t>2017-04-14</t>
  </si>
  <si>
    <t>2017-04-15</t>
  </si>
  <si>
    <t>2017-04-16</t>
  </si>
  <si>
    <t>2017-04-17</t>
  </si>
  <si>
    <t>2017-04-18</t>
  </si>
  <si>
    <t>2017-04-19</t>
  </si>
  <si>
    <t>2017-04-20</t>
  </si>
  <si>
    <t>2017-04-21</t>
  </si>
  <si>
    <t>2017-04-22</t>
  </si>
  <si>
    <t>2017-04-23</t>
  </si>
  <si>
    <t>2017-04-24</t>
  </si>
  <si>
    <t>2017-04-25</t>
  </si>
  <si>
    <t>2017-04-26</t>
  </si>
  <si>
    <t>2017-04-27</t>
  </si>
  <si>
    <t>2017-04-28</t>
  </si>
  <si>
    <t>2017-04-29</t>
  </si>
  <si>
    <t>2017-04-30</t>
  </si>
  <si>
    <t>2017-05-01</t>
  </si>
  <si>
    <t>2017-05-02</t>
  </si>
  <si>
    <t>2017-05-03</t>
  </si>
  <si>
    <t>2017-05-04</t>
  </si>
  <si>
    <t>2017-05-05</t>
  </si>
  <si>
    <t>2017-05-06</t>
  </si>
  <si>
    <t>2017-05-07</t>
  </si>
  <si>
    <t>2017-05-08</t>
  </si>
  <si>
    <t>2017-05-09</t>
  </si>
  <si>
    <t>2017-05-10</t>
  </si>
  <si>
    <t>2017-05-11</t>
  </si>
  <si>
    <t>2017-05-12</t>
  </si>
  <si>
    <t>2017-05-13</t>
  </si>
  <si>
    <t>2017-05-14</t>
  </si>
  <si>
    <t>2017-05-15</t>
  </si>
  <si>
    <t>2017-05-16</t>
  </si>
  <si>
    <t>2017-05-17</t>
  </si>
  <si>
    <t>2017-05-18</t>
  </si>
  <si>
    <t>2017-05-19</t>
  </si>
  <si>
    <t>2017-05-20</t>
  </si>
  <si>
    <t>2017-05-21</t>
  </si>
  <si>
    <t>2017-05-22</t>
  </si>
  <si>
    <t>2017-05-23</t>
  </si>
  <si>
    <t>2017-05-24</t>
  </si>
  <si>
    <t>2017-05-25</t>
  </si>
  <si>
    <t>2017-05-26</t>
  </si>
  <si>
    <t>2017-05-27</t>
  </si>
  <si>
    <t>2017-05-28</t>
  </si>
  <si>
    <t>2017-05-29</t>
  </si>
  <si>
    <t>2017-05-30</t>
  </si>
  <si>
    <t>2017-05-31</t>
  </si>
  <si>
    <t>2017-06-01</t>
  </si>
  <si>
    <t>2017-06-02</t>
  </si>
  <si>
    <t>2017-06-03</t>
  </si>
  <si>
    <t>2017-06-04</t>
  </si>
  <si>
    <t>2017-06-05</t>
  </si>
  <si>
    <t>2017-06-06</t>
  </si>
  <si>
    <t>2017-06-07</t>
  </si>
  <si>
    <t>2017-06-08</t>
  </si>
  <si>
    <t>2017-06-09</t>
  </si>
  <si>
    <t>2017-06-10</t>
  </si>
  <si>
    <t>2017-06-11</t>
  </si>
  <si>
    <t>2017-06-12</t>
  </si>
  <si>
    <t>2017-06-13</t>
  </si>
  <si>
    <t>2017-06-14</t>
  </si>
  <si>
    <t>2017-06-15</t>
  </si>
  <si>
    <t>2017-06-16</t>
  </si>
  <si>
    <t>2017-06-17</t>
  </si>
  <si>
    <t>2017-06-18</t>
  </si>
  <si>
    <t>2017-06-19</t>
  </si>
  <si>
    <t>2017-06-20</t>
  </si>
  <si>
    <t>2017-06-21</t>
  </si>
  <si>
    <t>2017-06-22</t>
  </si>
  <si>
    <t>2017-06-23</t>
  </si>
  <si>
    <t>2017-06-24</t>
  </si>
  <si>
    <t>2017-06-25</t>
  </si>
  <si>
    <t>2017-06-26</t>
  </si>
  <si>
    <t>2017-06-27</t>
  </si>
  <si>
    <t>2017-06-28</t>
  </si>
  <si>
    <t>2017-06-29</t>
  </si>
  <si>
    <t>2017-06-30</t>
  </si>
  <si>
    <t>2017-07-01</t>
  </si>
  <si>
    <t>2017-07-02</t>
  </si>
  <si>
    <t>2017-07-03</t>
  </si>
  <si>
    <t>2017-07-04</t>
  </si>
  <si>
    <t>2017-07-05</t>
  </si>
  <si>
    <t>2017-07-06</t>
  </si>
  <si>
    <t>2017-07-07</t>
  </si>
  <si>
    <t>2017-07-08</t>
  </si>
  <si>
    <t>2017-07-09</t>
  </si>
  <si>
    <t>2017-07-10</t>
  </si>
  <si>
    <t>2017-07-11</t>
  </si>
  <si>
    <t>2017-07-12</t>
  </si>
  <si>
    <t>2017-07-13</t>
  </si>
  <si>
    <t>2017-07-14</t>
  </si>
  <si>
    <t>2017-07-15</t>
  </si>
  <si>
    <t>2017-07-16</t>
  </si>
  <si>
    <t>2017-07-17</t>
  </si>
  <si>
    <t>2017-07-18</t>
  </si>
  <si>
    <t>2017-07-19</t>
  </si>
  <si>
    <t>2017-07-20</t>
  </si>
  <si>
    <t>2017-07-21</t>
  </si>
  <si>
    <t>2017-07-22</t>
  </si>
  <si>
    <t>2017-07-23</t>
  </si>
  <si>
    <t>2017-07-24</t>
  </si>
  <si>
    <t>2017-07-25</t>
  </si>
  <si>
    <t>2017-07-26</t>
  </si>
  <si>
    <t>2017-07-27</t>
  </si>
  <si>
    <t>2017-07-28</t>
  </si>
  <si>
    <t>2017-07-29</t>
  </si>
  <si>
    <t>2017-07-30</t>
  </si>
  <si>
    <t>2017-07-31</t>
  </si>
  <si>
    <t>2017-08-01</t>
  </si>
  <si>
    <t>2017-08-02</t>
  </si>
  <si>
    <t>2017-08-03</t>
  </si>
  <si>
    <t>2017-08-04</t>
  </si>
  <si>
    <t>2017-08-05</t>
  </si>
  <si>
    <t>2017-08-06</t>
  </si>
  <si>
    <t>2017-08-07</t>
  </si>
  <si>
    <t>2017-08-08</t>
  </si>
  <si>
    <t>2017-08-09</t>
  </si>
  <si>
    <t>2017-08-10</t>
  </si>
  <si>
    <t>2017-08-11</t>
  </si>
  <si>
    <t>2017-08-12</t>
  </si>
  <si>
    <t>2017-08-13</t>
  </si>
  <si>
    <t>2017-08-14</t>
  </si>
  <si>
    <t>2017-08-15</t>
  </si>
  <si>
    <t>2017-08-16</t>
  </si>
  <si>
    <t>2017-08-17</t>
  </si>
  <si>
    <t>2017-08-18</t>
  </si>
  <si>
    <t>2017-08-19</t>
  </si>
  <si>
    <t>2017-08-20</t>
  </si>
  <si>
    <t>2017-08-21</t>
  </si>
  <si>
    <t>2017-08-22</t>
  </si>
  <si>
    <t>2017-08-23</t>
  </si>
  <si>
    <t>2017-08-24</t>
  </si>
  <si>
    <t>2017-08-25</t>
  </si>
  <si>
    <t>2017-08-26</t>
  </si>
  <si>
    <t>2017-08-27</t>
  </si>
  <si>
    <t>2017-08-28</t>
  </si>
  <si>
    <t>2017-08-29</t>
  </si>
  <si>
    <t>2017-08-30</t>
  </si>
  <si>
    <t>2017-08-31</t>
  </si>
  <si>
    <t>2017-09-01</t>
  </si>
  <si>
    <t>2017-09-02</t>
  </si>
  <si>
    <t>2017-09-03</t>
  </si>
  <si>
    <t>2017-09-04</t>
  </si>
  <si>
    <t>2017-09-05</t>
  </si>
  <si>
    <t>2017-09-06</t>
  </si>
  <si>
    <t>2017-09-07</t>
  </si>
  <si>
    <t>2017-09-08</t>
  </si>
  <si>
    <t>2017-09-09</t>
  </si>
  <si>
    <t>2017-09-10</t>
  </si>
  <si>
    <t>2017-09-11</t>
  </si>
  <si>
    <t>2017-09-12</t>
  </si>
  <si>
    <t>2017-09-13</t>
  </si>
  <si>
    <t>2017-09-14</t>
  </si>
  <si>
    <t>2017-09-15</t>
  </si>
  <si>
    <t>2017-09-16</t>
  </si>
  <si>
    <t>2017-09-17</t>
  </si>
  <si>
    <t>2017-09-18</t>
  </si>
  <si>
    <t>2017-09-19</t>
  </si>
  <si>
    <t>2017-09-20</t>
  </si>
  <si>
    <t>2017-09-21</t>
  </si>
  <si>
    <t>2017-09-22</t>
  </si>
  <si>
    <t>2017-09-23</t>
  </si>
  <si>
    <t>2017-09-24</t>
  </si>
  <si>
    <t>2017-09-25</t>
  </si>
  <si>
    <t>2017-09-26</t>
  </si>
  <si>
    <t>2017-09-27</t>
  </si>
  <si>
    <t>2017-09-28</t>
  </si>
  <si>
    <t>2017-09-29</t>
  </si>
  <si>
    <t>2017-09-30</t>
  </si>
  <si>
    <t>2017-10-01</t>
  </si>
  <si>
    <t>2017-10-02</t>
  </si>
  <si>
    <t>2017-10-03</t>
  </si>
  <si>
    <t>2017-10-04</t>
  </si>
  <si>
    <t>2017-10-05</t>
  </si>
  <si>
    <t>2017-10-06</t>
  </si>
  <si>
    <t>2017-10-07</t>
  </si>
  <si>
    <t>2017-10-08</t>
  </si>
  <si>
    <t>2017-10-09</t>
  </si>
  <si>
    <t>2017-10-10</t>
  </si>
  <si>
    <t>2017-10-11</t>
  </si>
  <si>
    <t>2017-10-12</t>
  </si>
  <si>
    <t>2017-10-13</t>
  </si>
  <si>
    <t>2017-10-14</t>
  </si>
  <si>
    <t>2017-10-15</t>
  </si>
  <si>
    <t>2017-10-16</t>
  </si>
  <si>
    <t>2017-10-17</t>
  </si>
  <si>
    <t>2017-10-18</t>
  </si>
  <si>
    <t>2017-10-19</t>
  </si>
  <si>
    <t>2017-10-20</t>
  </si>
  <si>
    <t>2017-10-21</t>
  </si>
  <si>
    <t>2017-10-22</t>
  </si>
  <si>
    <t>2017-10-23</t>
  </si>
  <si>
    <t>2017-10-24</t>
  </si>
  <si>
    <t>2017-10-25</t>
  </si>
  <si>
    <t>2017-10-26</t>
  </si>
  <si>
    <t>2017-10-27</t>
  </si>
  <si>
    <t>2017-10-28</t>
  </si>
  <si>
    <t>2017-10-29</t>
  </si>
  <si>
    <t>2017-10-30</t>
  </si>
  <si>
    <t>2017-10-31</t>
  </si>
  <si>
    <t>2017-11-01</t>
  </si>
  <si>
    <t>2017-11-02</t>
  </si>
  <si>
    <t>2017-11-03</t>
  </si>
  <si>
    <t>2017-11-04</t>
  </si>
  <si>
    <t>2017-11-05</t>
  </si>
  <si>
    <t>2017-11-06</t>
  </si>
  <si>
    <t>2017-11-07</t>
  </si>
  <si>
    <t>2017-11-08</t>
  </si>
  <si>
    <t>2017-11-09</t>
  </si>
  <si>
    <t>2017-11-10</t>
  </si>
  <si>
    <t>2017-11-11</t>
  </si>
  <si>
    <t>2017-11-12</t>
  </si>
  <si>
    <t>2017-11-13</t>
  </si>
  <si>
    <t>2017-11-14</t>
  </si>
  <si>
    <t>2017-11-15</t>
  </si>
  <si>
    <t>2017-11-16</t>
  </si>
  <si>
    <t>2017-11-17</t>
  </si>
  <si>
    <t>2017-11-18</t>
  </si>
  <si>
    <t>2017-11-19</t>
  </si>
  <si>
    <t>2017-11-20</t>
  </si>
  <si>
    <t>2017-11-21</t>
  </si>
  <si>
    <t>2017-11-22</t>
  </si>
  <si>
    <t>2017-11-23</t>
  </si>
  <si>
    <t>2017-11-24</t>
  </si>
  <si>
    <t>2017-11-25</t>
  </si>
  <si>
    <t>2017-11-26</t>
  </si>
  <si>
    <t>2017-11-27</t>
  </si>
  <si>
    <t>2017-11-28</t>
  </si>
  <si>
    <t>2017-11-29</t>
  </si>
  <si>
    <t>2017-11-30</t>
  </si>
  <si>
    <t>2017-12-01</t>
  </si>
  <si>
    <t>2017-12-02</t>
  </si>
  <si>
    <t>2017-12-03</t>
  </si>
  <si>
    <t>2017-12-04</t>
  </si>
  <si>
    <t>2017-12-05</t>
  </si>
  <si>
    <t>2017-12-06</t>
  </si>
  <si>
    <t>2017-12-07</t>
  </si>
  <si>
    <t>2017-12-08</t>
  </si>
  <si>
    <t>2017-12-09</t>
  </si>
  <si>
    <t>2017-12-10</t>
  </si>
  <si>
    <t>2017-12-11</t>
  </si>
  <si>
    <t>2017-12-12</t>
  </si>
  <si>
    <t>2017-12-13</t>
  </si>
  <si>
    <t>2017-12-14</t>
  </si>
  <si>
    <t>2017-12-15</t>
  </si>
  <si>
    <t>2017-12-16</t>
  </si>
  <si>
    <t>2017-12-17</t>
  </si>
  <si>
    <t>2017-12-18</t>
  </si>
  <si>
    <t>2017-12-19</t>
  </si>
  <si>
    <t>2017-12-20</t>
  </si>
  <si>
    <t>2017-12-21</t>
  </si>
  <si>
    <t>2017-12-22</t>
  </si>
  <si>
    <t>2017-12-23</t>
  </si>
  <si>
    <t>2017-12-24</t>
  </si>
  <si>
    <t>2017-12-25</t>
  </si>
  <si>
    <t>2017-12-26</t>
  </si>
  <si>
    <t>2017-12-27</t>
  </si>
  <si>
    <t>2017-12-28</t>
  </si>
  <si>
    <t>2017-12-29</t>
  </si>
  <si>
    <t>2017-12-30</t>
  </si>
  <si>
    <t>2017-12-31</t>
  </si>
  <si>
    <t>2018-01-01</t>
  </si>
  <si>
    <t>2018-01-02</t>
  </si>
  <si>
    <t>2018-01-03</t>
  </si>
  <si>
    <t>2018-01-04</t>
  </si>
  <si>
    <t>2018-01-05</t>
  </si>
  <si>
    <t>2018-01-06</t>
  </si>
  <si>
    <t>2018-01-07</t>
  </si>
  <si>
    <t>2018-01-08</t>
  </si>
  <si>
    <t>2018-01-09</t>
  </si>
  <si>
    <t>2018-01-10</t>
  </si>
  <si>
    <t>2018-01-11</t>
  </si>
  <si>
    <t>2018-01-12</t>
  </si>
  <si>
    <t>2018-01-13</t>
  </si>
  <si>
    <t>2018-01-14</t>
  </si>
  <si>
    <t>2018-01-15</t>
  </si>
  <si>
    <t>2018-01-16</t>
  </si>
  <si>
    <t>2018-01-17</t>
  </si>
  <si>
    <t>2018-01-18</t>
  </si>
  <si>
    <t>2018-01-19</t>
  </si>
  <si>
    <t>2018-01-20</t>
  </si>
  <si>
    <t>2018-01-21</t>
  </si>
  <si>
    <t>2018-01-22</t>
  </si>
  <si>
    <t>2018-01-23</t>
  </si>
  <si>
    <t>2018-01-24</t>
  </si>
  <si>
    <t>2018-01-25</t>
  </si>
  <si>
    <t>2018-01-26</t>
  </si>
  <si>
    <t>2018-01-27</t>
  </si>
  <si>
    <t>2018-01-28</t>
  </si>
  <si>
    <t>2018-01-29</t>
  </si>
  <si>
    <t>2018-01-30</t>
  </si>
  <si>
    <t>2018-01-31</t>
  </si>
  <si>
    <t>2018-02-01</t>
  </si>
  <si>
    <t>2018-02-02</t>
  </si>
  <si>
    <t>2018-02-03</t>
  </si>
  <si>
    <t>2018-02-04</t>
  </si>
  <si>
    <t>2018-02-05</t>
  </si>
  <si>
    <t>2018-02-06</t>
  </si>
  <si>
    <t>2018-02-07</t>
  </si>
  <si>
    <t>2018-02-08</t>
  </si>
  <si>
    <t>2018-02-09</t>
  </si>
  <si>
    <t>2018-02-10</t>
  </si>
  <si>
    <t>2018-02-11</t>
  </si>
  <si>
    <t>2018-02-12</t>
  </si>
  <si>
    <t>2018-02-13</t>
  </si>
  <si>
    <t>2018-02-14</t>
  </si>
  <si>
    <t>2018-02-15</t>
  </si>
  <si>
    <t>2018-02-16</t>
  </si>
  <si>
    <t>2018-02-17</t>
  </si>
  <si>
    <t>2018-02-18</t>
  </si>
  <si>
    <t>2018-02-19</t>
  </si>
  <si>
    <t>2018-02-20</t>
  </si>
  <si>
    <t>2018-02-21</t>
  </si>
  <si>
    <t>2018-02-22</t>
  </si>
  <si>
    <t>2018-02-23</t>
  </si>
  <si>
    <t>2018-02-24</t>
  </si>
  <si>
    <t>2018-02-25</t>
  </si>
  <si>
    <t>2018-02-26</t>
  </si>
  <si>
    <t>2018-02-27</t>
  </si>
  <si>
    <t>2018-02-28</t>
  </si>
  <si>
    <t>2018-03-01</t>
  </si>
  <si>
    <t>2018-03-02</t>
  </si>
  <si>
    <t>2018-03-03</t>
  </si>
  <si>
    <t>2018-03-04</t>
  </si>
  <si>
    <t>2018-03-05</t>
  </si>
  <si>
    <t>2018-03-06</t>
  </si>
  <si>
    <t>2018-03-07</t>
  </si>
  <si>
    <t>2018-03-08</t>
  </si>
  <si>
    <t>2018-03-09</t>
  </si>
  <si>
    <t>2018-03-10</t>
  </si>
  <si>
    <t>2018-03-11</t>
  </si>
  <si>
    <t>2018-03-12</t>
  </si>
  <si>
    <t>2018-03-13</t>
  </si>
  <si>
    <t>2018-03-14</t>
  </si>
  <si>
    <t>2018-03-15</t>
  </si>
  <si>
    <t>2018-03-16</t>
  </si>
  <si>
    <t>2018-03-17</t>
  </si>
  <si>
    <t>2018-03-18</t>
  </si>
  <si>
    <t>2018-03-19</t>
  </si>
  <si>
    <t>2018-03-20</t>
  </si>
  <si>
    <t>2018-03-21</t>
  </si>
  <si>
    <t>2018-03-22</t>
  </si>
  <si>
    <t>2018-03-23</t>
  </si>
  <si>
    <t>2018-03-24</t>
  </si>
  <si>
    <t>2018-03-25</t>
  </si>
  <si>
    <t>2018-03-26</t>
  </si>
  <si>
    <t>2018-03-27</t>
  </si>
  <si>
    <t>2018-03-28</t>
  </si>
  <si>
    <t>2018-03-29</t>
  </si>
  <si>
    <t>2018-03-30</t>
  </si>
  <si>
    <t>2018-03-31</t>
  </si>
  <si>
    <t>2018-04-01</t>
  </si>
  <si>
    <t>2018-04-02</t>
  </si>
  <si>
    <t>2018-04-03</t>
  </si>
  <si>
    <t>2018-04-04</t>
  </si>
  <si>
    <t>2018-04-05</t>
  </si>
  <si>
    <t>2018-04-06</t>
  </si>
  <si>
    <t>2018-04-07</t>
  </si>
  <si>
    <t>2018-04-08</t>
  </si>
  <si>
    <t>2018-04-09</t>
  </si>
  <si>
    <t>2018-04-10</t>
  </si>
  <si>
    <t>2018-04-11</t>
  </si>
  <si>
    <t>2018-04-12</t>
  </si>
  <si>
    <t>2018-04-13</t>
  </si>
  <si>
    <t>2018-04-14</t>
  </si>
  <si>
    <t>2018-04-15</t>
  </si>
  <si>
    <t>2018-04-16</t>
  </si>
  <si>
    <t>2018-04-17</t>
  </si>
  <si>
    <t>2018-04-18</t>
  </si>
  <si>
    <t>2018-04-19</t>
  </si>
  <si>
    <t>2018-04-20</t>
  </si>
  <si>
    <t>2018-04-21</t>
  </si>
  <si>
    <t>2018-04-22</t>
  </si>
  <si>
    <t>2018-04-23</t>
  </si>
  <si>
    <t>2018-04-24</t>
  </si>
  <si>
    <t>2018-04-25</t>
  </si>
  <si>
    <t>2018-04-26</t>
  </si>
  <si>
    <t>2018-04-27</t>
  </si>
  <si>
    <t>2018-04-28</t>
  </si>
  <si>
    <t>2018-04-29</t>
  </si>
  <si>
    <t>2018-04-30</t>
  </si>
  <si>
    <t>2018-05-01</t>
  </si>
  <si>
    <t>2018-05-02</t>
  </si>
  <si>
    <t>2018-05-03</t>
  </si>
  <si>
    <t>2018-05-04</t>
  </si>
  <si>
    <t>2018-05-05</t>
  </si>
  <si>
    <t>2018-05-06</t>
  </si>
  <si>
    <t>2018-05-07</t>
  </si>
  <si>
    <t>2018-05-08</t>
  </si>
  <si>
    <t>2018-05-09</t>
  </si>
  <si>
    <t>2018-05-10</t>
  </si>
  <si>
    <t>2018-05-11</t>
  </si>
  <si>
    <t>2018-05-12</t>
  </si>
  <si>
    <t>2018-05-13</t>
  </si>
  <si>
    <t>2018-05-14</t>
  </si>
  <si>
    <t>2018-05-15</t>
  </si>
  <si>
    <t>2018-05-16</t>
  </si>
  <si>
    <t>2018-05-17</t>
  </si>
  <si>
    <t>2018-05-18</t>
  </si>
  <si>
    <t>2018-05-19</t>
  </si>
  <si>
    <t>2018-05-20</t>
  </si>
  <si>
    <t>2018-05-21</t>
  </si>
  <si>
    <t>2018-05-22</t>
  </si>
  <si>
    <t>2018-05-23</t>
  </si>
  <si>
    <t>2018-05-24</t>
  </si>
  <si>
    <t>2018-05-25</t>
  </si>
  <si>
    <t>2018-05-26</t>
  </si>
  <si>
    <t>2018-05-27</t>
  </si>
  <si>
    <t>2018-05-28</t>
  </si>
  <si>
    <t>2018-05-29</t>
  </si>
  <si>
    <t>2018-05-30</t>
  </si>
  <si>
    <t>2018-05-31</t>
  </si>
  <si>
    <t>2018-06-01</t>
  </si>
  <si>
    <t>2018-06-02</t>
  </si>
  <si>
    <t>2018-06-03</t>
  </si>
  <si>
    <t>2018-06-04</t>
  </si>
  <si>
    <t>2018-06-05</t>
  </si>
  <si>
    <t>2018-06-06</t>
  </si>
  <si>
    <t>2018-06-07</t>
  </si>
  <si>
    <t>2018-06-08</t>
  </si>
  <si>
    <t>2018-06-09</t>
  </si>
  <si>
    <t>2018-06-10</t>
  </si>
  <si>
    <t>2018-06-11</t>
  </si>
  <si>
    <t>2018-06-12</t>
  </si>
  <si>
    <t>2018-06-13</t>
  </si>
  <si>
    <t>2018-06-14</t>
  </si>
  <si>
    <t>2018-06-15</t>
  </si>
  <si>
    <t>2018-06-16</t>
  </si>
  <si>
    <t>2018-06-17</t>
  </si>
  <si>
    <t>2018-06-18</t>
  </si>
  <si>
    <t>2018-06-19</t>
  </si>
  <si>
    <t>2018-06-20</t>
  </si>
  <si>
    <t>2018-06-21</t>
  </si>
  <si>
    <t>2018-06-22</t>
  </si>
  <si>
    <t>2018-06-23</t>
  </si>
  <si>
    <t>2018-06-24</t>
  </si>
  <si>
    <t>2018-06-25</t>
  </si>
  <si>
    <t>2018-06-26</t>
  </si>
  <si>
    <t>2018-06-27</t>
  </si>
  <si>
    <t>2018-06-28</t>
  </si>
  <si>
    <t>2018-06-29</t>
  </si>
  <si>
    <t>2018-06-30</t>
  </si>
  <si>
    <t>2018-07-01</t>
  </si>
  <si>
    <t>2018-07-02</t>
  </si>
  <si>
    <t>2018-07-03</t>
  </si>
  <si>
    <t>2018-07-04</t>
  </si>
  <si>
    <t>2018-07-05</t>
  </si>
  <si>
    <t>2018-07-06</t>
  </si>
  <si>
    <t>2018-07-07</t>
  </si>
  <si>
    <t>2018-07-08</t>
  </si>
  <si>
    <t>2018-07-09</t>
  </si>
  <si>
    <t>2018-07-10</t>
  </si>
  <si>
    <t>2018-07-11</t>
  </si>
  <si>
    <t>2018-07-12</t>
  </si>
  <si>
    <t>2018-07-13</t>
  </si>
  <si>
    <t>2018-07-14</t>
  </si>
  <si>
    <t>2018-07-15</t>
  </si>
  <si>
    <t>2018-07-16</t>
  </si>
  <si>
    <t>2018-07-17</t>
  </si>
  <si>
    <t>2018-07-18</t>
  </si>
  <si>
    <t>2018-07-19</t>
  </si>
  <si>
    <t>2018-07-20</t>
  </si>
  <si>
    <t>2018-07-21</t>
  </si>
  <si>
    <t>2018-07-22</t>
  </si>
  <si>
    <t>2018-07-23</t>
  </si>
  <si>
    <t>2018-07-24</t>
  </si>
  <si>
    <t>2018-07-25</t>
  </si>
  <si>
    <t>2018-07-26</t>
  </si>
  <si>
    <t>2018-07-27</t>
  </si>
  <si>
    <t>2018-07-28</t>
  </si>
  <si>
    <t>2018-07-29</t>
  </si>
  <si>
    <t>2018-07-30</t>
  </si>
  <si>
    <t>2018-07-31</t>
  </si>
  <si>
    <t>2018-08-01</t>
  </si>
  <si>
    <t>2018-08-02</t>
  </si>
  <si>
    <t>2018-08-03</t>
  </si>
  <si>
    <t>2018-08-04</t>
  </si>
  <si>
    <t>2018-08-05</t>
  </si>
  <si>
    <t>2018-08-06</t>
  </si>
  <si>
    <t>2018-08-07</t>
  </si>
  <si>
    <t>2018-08-08</t>
  </si>
  <si>
    <t>2018-08-09</t>
  </si>
  <si>
    <t>2018-08-10</t>
  </si>
  <si>
    <t>2018-08-11</t>
  </si>
  <si>
    <t>2018-08-12</t>
  </si>
  <si>
    <t>2018-08-13</t>
  </si>
  <si>
    <t>2018-08-14</t>
  </si>
  <si>
    <t>2018-08-15</t>
  </si>
  <si>
    <t>2018-08-16</t>
  </si>
  <si>
    <t>2018-08-17</t>
  </si>
  <si>
    <t>2018-08-18</t>
  </si>
  <si>
    <t>2018-08-19</t>
  </si>
  <si>
    <t>2018-08-20</t>
  </si>
  <si>
    <t>2018-08-21</t>
  </si>
  <si>
    <t>2018-08-22</t>
  </si>
  <si>
    <t>2018-08-23</t>
  </si>
  <si>
    <t>2018-08-24</t>
  </si>
  <si>
    <t>2018-08-25</t>
  </si>
  <si>
    <t>2018-08-26</t>
  </si>
  <si>
    <t>2018-08-27</t>
  </si>
  <si>
    <t>2018-08-28</t>
  </si>
  <si>
    <t>2018-08-29</t>
  </si>
  <si>
    <t>2018-08-30</t>
  </si>
  <si>
    <t>2018-08-31</t>
  </si>
  <si>
    <t>2018-09-01</t>
  </si>
  <si>
    <t>2018-09-02</t>
  </si>
  <si>
    <t>2018-09-03</t>
  </si>
  <si>
    <t>2018-09-04</t>
  </si>
  <si>
    <t>2018-09-05</t>
  </si>
  <si>
    <t>2018-09-06</t>
  </si>
  <si>
    <t>2018-09-07</t>
  </si>
  <si>
    <t>2018-09-08</t>
  </si>
  <si>
    <t>2018-09-09</t>
  </si>
  <si>
    <t>2018-09-10</t>
  </si>
  <si>
    <t>2018-09-11</t>
  </si>
  <si>
    <t>2018-09-12</t>
  </si>
  <si>
    <t>2018-09-13</t>
  </si>
  <si>
    <t>2018-09-14</t>
  </si>
  <si>
    <t>2018-09-15</t>
  </si>
  <si>
    <t>2018-09-16</t>
  </si>
  <si>
    <t>2018-09-17</t>
  </si>
  <si>
    <t>2018-09-18</t>
  </si>
  <si>
    <t>2018-09-19</t>
  </si>
  <si>
    <t>2018-09-20</t>
  </si>
  <si>
    <t>2018-09-21</t>
  </si>
  <si>
    <t>2018-09-22</t>
  </si>
  <si>
    <t>2018-09-23</t>
  </si>
  <si>
    <t>2018-09-24</t>
  </si>
  <si>
    <t>2018-09-25</t>
  </si>
  <si>
    <t>2018-09-26</t>
  </si>
  <si>
    <t>2018-09-27</t>
  </si>
  <si>
    <t>2018-09-28</t>
  </si>
  <si>
    <t>2018-09-29</t>
  </si>
  <si>
    <t>2018-09-30</t>
  </si>
  <si>
    <t>2018-10-01</t>
  </si>
  <si>
    <t>2018-10-02</t>
  </si>
  <si>
    <t>2018-10-03</t>
  </si>
  <si>
    <t>2018-10-04</t>
  </si>
  <si>
    <t>2018-10-05</t>
  </si>
  <si>
    <t>2018-10-06</t>
  </si>
  <si>
    <t>2018-10-07</t>
  </si>
  <si>
    <t>2018-10-08</t>
  </si>
  <si>
    <t>2018-10-09</t>
  </si>
  <si>
    <t>2018-10-10</t>
  </si>
  <si>
    <t>2018-10-11</t>
  </si>
  <si>
    <t>2018-10-12</t>
  </si>
  <si>
    <t>2018-10-13</t>
  </si>
  <si>
    <t>2018-10-14</t>
  </si>
  <si>
    <t>2018-10-15</t>
  </si>
  <si>
    <t>2018-10-16</t>
  </si>
  <si>
    <t>2018-10-17</t>
  </si>
  <si>
    <t>2018-10-18</t>
  </si>
  <si>
    <t>2018-10-19</t>
  </si>
  <si>
    <t>2018-10-20</t>
  </si>
  <si>
    <t>2018-10-21</t>
  </si>
  <si>
    <t>2018-10-22</t>
  </si>
  <si>
    <t>2018-10-23</t>
  </si>
  <si>
    <t>2018-10-24</t>
  </si>
  <si>
    <t>2018-10-25</t>
  </si>
  <si>
    <t>2018-10-26</t>
  </si>
  <si>
    <t>2018-10-27</t>
  </si>
  <si>
    <t>2018-10-28</t>
  </si>
  <si>
    <t>2018-10-29</t>
  </si>
  <si>
    <t>2018-10-30</t>
  </si>
  <si>
    <t>2018-10-31</t>
  </si>
  <si>
    <t>2018-11-01</t>
  </si>
  <si>
    <t>2018-11-02</t>
  </si>
  <si>
    <t>2018-11-03</t>
  </si>
  <si>
    <t>2018-11-04</t>
  </si>
  <si>
    <t>2018-11-05</t>
  </si>
  <si>
    <t>2018-11-06</t>
  </si>
  <si>
    <t>2018-11-07</t>
  </si>
  <si>
    <t>2018-11-08</t>
  </si>
  <si>
    <t>2018-11-09</t>
  </si>
  <si>
    <t>2018-11-10</t>
  </si>
  <si>
    <t>2018-11-11</t>
  </si>
  <si>
    <t>2018-11-12</t>
  </si>
  <si>
    <t>2018-11-13</t>
  </si>
  <si>
    <t>2018-11-14</t>
  </si>
  <si>
    <t>2018-11-15</t>
  </si>
  <si>
    <t>2018-11-16</t>
  </si>
  <si>
    <t>2018-11-17</t>
  </si>
  <si>
    <t>2018-11-18</t>
  </si>
  <si>
    <t>2018-11-19</t>
  </si>
  <si>
    <t>2018-11-20</t>
  </si>
  <si>
    <t>2018-11-21</t>
  </si>
  <si>
    <t>2018-11-22</t>
  </si>
  <si>
    <t>2018-11-23</t>
  </si>
  <si>
    <t>2018-11-24</t>
  </si>
  <si>
    <t>2018-11-25</t>
  </si>
  <si>
    <t>2018-11-26</t>
  </si>
  <si>
    <t>2018-11-27</t>
  </si>
  <si>
    <t>2018-11-28</t>
  </si>
  <si>
    <t>2018-11-29</t>
  </si>
  <si>
    <t>2018-11-30</t>
  </si>
  <si>
    <t>2018-12-01</t>
  </si>
  <si>
    <t>2018-12-02</t>
  </si>
  <si>
    <t>2018-12-03</t>
  </si>
  <si>
    <t>2018-12-04</t>
  </si>
  <si>
    <t>2018-12-05</t>
  </si>
  <si>
    <t>2018-12-06</t>
  </si>
  <si>
    <t>2018-12-07</t>
  </si>
  <si>
    <t>2018-12-08</t>
  </si>
  <si>
    <t>2018-12-09</t>
  </si>
  <si>
    <t>2018-12-10</t>
  </si>
  <si>
    <t>2018-12-11</t>
  </si>
  <si>
    <t>2018-12-12</t>
  </si>
  <si>
    <t>2018-12-13</t>
  </si>
  <si>
    <t>2018-12-14</t>
  </si>
  <si>
    <t>2018-12-15</t>
  </si>
  <si>
    <t>2018-12-16</t>
  </si>
  <si>
    <t>2018-12-17</t>
  </si>
  <si>
    <t>2018-12-18</t>
  </si>
  <si>
    <t>2018-12-19</t>
  </si>
  <si>
    <t>2018-12-20</t>
  </si>
  <si>
    <t>2018-12-21</t>
  </si>
  <si>
    <t>2018-12-22</t>
  </si>
  <si>
    <t>2018-12-23</t>
  </si>
  <si>
    <t>2018-12-24</t>
  </si>
  <si>
    <t>2018-12-25</t>
  </si>
  <si>
    <t>2018-12-26</t>
  </si>
  <si>
    <t>2018-12-27</t>
  </si>
  <si>
    <t>2018-12-28</t>
  </si>
  <si>
    <t>2018-12-29</t>
  </si>
  <si>
    <t>2018-12-30</t>
  </si>
  <si>
    <t>2018-12-31</t>
  </si>
  <si>
    <t>2019-01-01</t>
  </si>
  <si>
    <t>2019-01-02</t>
  </si>
  <si>
    <t>2019-01-03</t>
  </si>
  <si>
    <t>2019-01-04</t>
  </si>
  <si>
    <t>2019-01-05</t>
  </si>
  <si>
    <t>2019-01-06</t>
  </si>
  <si>
    <t>2019-01-07</t>
  </si>
  <si>
    <t>2019-01-08</t>
  </si>
  <si>
    <t>2019-01-09</t>
  </si>
  <si>
    <t>2019-01-10</t>
  </si>
  <si>
    <t>2019-01-11</t>
  </si>
  <si>
    <t>2019-01-12</t>
  </si>
  <si>
    <t>2019-01-13</t>
  </si>
  <si>
    <t>2019-01-14</t>
  </si>
  <si>
    <t>2019-01-15</t>
  </si>
  <si>
    <t>2019-01-16</t>
  </si>
  <si>
    <t>2019-01-17</t>
  </si>
  <si>
    <t>2019-01-18</t>
  </si>
  <si>
    <t>2019-01-19</t>
  </si>
  <si>
    <t>2019-01-20</t>
  </si>
  <si>
    <t>2019-01-21</t>
  </si>
  <si>
    <t>2019-01-22</t>
  </si>
  <si>
    <t>2019-01-23</t>
  </si>
  <si>
    <t>2019-01-24</t>
  </si>
  <si>
    <t>2019-01-25</t>
  </si>
  <si>
    <t>2019-01-26</t>
  </si>
  <si>
    <t>2019-01-27</t>
  </si>
  <si>
    <t>2019-01-28</t>
  </si>
  <si>
    <t>2019-01-29</t>
  </si>
  <si>
    <t>2019-01-30</t>
  </si>
  <si>
    <t>2019-01-31</t>
  </si>
  <si>
    <t>2019-02-01</t>
  </si>
  <si>
    <t>2019-02-02</t>
  </si>
  <si>
    <t>2019-02-03</t>
  </si>
  <si>
    <t>2019-02-04</t>
  </si>
  <si>
    <t>2019-02-05</t>
  </si>
  <si>
    <t>2019-02-06</t>
  </si>
  <si>
    <t>2019-02-07</t>
  </si>
  <si>
    <t>2019-02-08</t>
  </si>
  <si>
    <t>2019-02-09</t>
  </si>
  <si>
    <t>2019-02-10</t>
  </si>
  <si>
    <t>2019-02-11</t>
  </si>
  <si>
    <t>2019-02-12</t>
  </si>
  <si>
    <t>2019-02-13</t>
  </si>
  <si>
    <t>2019-02-14</t>
  </si>
  <si>
    <t>2019-02-15</t>
  </si>
  <si>
    <t>2019-02-16</t>
  </si>
  <si>
    <t>2019-02-17</t>
  </si>
  <si>
    <t>2019-02-18</t>
  </si>
  <si>
    <t>2019-02-19</t>
  </si>
  <si>
    <t>2019-02-20</t>
  </si>
  <si>
    <t>2019-02-21</t>
  </si>
  <si>
    <t>2019-02-22</t>
  </si>
  <si>
    <t>2019-02-23</t>
  </si>
  <si>
    <t>2019-02-24</t>
  </si>
  <si>
    <t>2019-02-25</t>
  </si>
  <si>
    <t>2019-02-26</t>
  </si>
  <si>
    <t>2019-02-27</t>
  </si>
  <si>
    <t>2019-02-28</t>
  </si>
  <si>
    <t>2019-03-01</t>
  </si>
  <si>
    <t>2019-03-02</t>
  </si>
  <si>
    <t>2019-03-03</t>
  </si>
  <si>
    <t>2019-03-04</t>
  </si>
  <si>
    <t>2019-03-05</t>
  </si>
  <si>
    <t>2019-03-06</t>
  </si>
  <si>
    <t>2019-03-07</t>
  </si>
  <si>
    <t>2019-03-08</t>
  </si>
  <si>
    <t>2019-03-09</t>
  </si>
  <si>
    <t>2019-03-10</t>
  </si>
  <si>
    <t>2019-03-11</t>
  </si>
  <si>
    <t>2019-03-12</t>
  </si>
  <si>
    <t>2019-03-13</t>
  </si>
  <si>
    <t>2019-03-14</t>
  </si>
  <si>
    <t>2019-03-15</t>
  </si>
  <si>
    <t>2019-03-16</t>
  </si>
  <si>
    <t>2019-03-17</t>
  </si>
  <si>
    <t>2019-03-18</t>
  </si>
  <si>
    <t>2019-03-19</t>
  </si>
  <si>
    <t>2019-03-20</t>
  </si>
  <si>
    <t>2019-03-21</t>
  </si>
  <si>
    <t>2019-03-22</t>
  </si>
  <si>
    <t>2019-03-23</t>
  </si>
  <si>
    <t>2019-03-24</t>
  </si>
  <si>
    <t>2019-03-25</t>
  </si>
  <si>
    <t>2019-03-26</t>
  </si>
  <si>
    <t>2019-03-27</t>
  </si>
  <si>
    <t>2019-03-28</t>
  </si>
  <si>
    <t>2019-03-29</t>
  </si>
  <si>
    <t>2019-03-30</t>
  </si>
  <si>
    <t>2019-03-31</t>
  </si>
  <si>
    <t>2019-04-01</t>
  </si>
  <si>
    <t>2019-04-02</t>
  </si>
  <si>
    <t>2019-04-03</t>
  </si>
  <si>
    <t>2019-04-04</t>
  </si>
  <si>
    <t>2019-04-05</t>
  </si>
  <si>
    <t>2019-04-06</t>
  </si>
  <si>
    <t>2019-04-07</t>
  </si>
  <si>
    <t>2019-04-08</t>
  </si>
  <si>
    <t>2019-04-09</t>
  </si>
  <si>
    <t>2019-04-10</t>
  </si>
  <si>
    <t>2019-04-11</t>
  </si>
  <si>
    <t>2019-04-12</t>
  </si>
  <si>
    <t>2019-04-13</t>
  </si>
  <si>
    <t>2019-04-14</t>
  </si>
  <si>
    <t>2019-04-15</t>
  </si>
  <si>
    <t>2019-04-16</t>
  </si>
  <si>
    <t>2019-04-17</t>
  </si>
  <si>
    <t>2019-04-18</t>
  </si>
  <si>
    <t>2019-04-19</t>
  </si>
  <si>
    <t>2019-04-20</t>
  </si>
  <si>
    <t>2019-04-21</t>
  </si>
  <si>
    <t>2019-04-22</t>
  </si>
  <si>
    <t>2019-04-23</t>
  </si>
  <si>
    <t>2019-04-24</t>
  </si>
  <si>
    <t>2019-04-25</t>
  </si>
  <si>
    <t>2019-04-26</t>
  </si>
  <si>
    <t>2019-04-27</t>
  </si>
  <si>
    <t>2019-04-28</t>
  </si>
  <si>
    <t>2019-04-29</t>
  </si>
  <si>
    <t>2019-04-30</t>
  </si>
  <si>
    <t>2019-05-01</t>
  </si>
  <si>
    <t>2019-05-02</t>
  </si>
  <si>
    <t>2019-05-03</t>
  </si>
  <si>
    <t>2019-05-04</t>
  </si>
  <si>
    <t>2019-05-05</t>
  </si>
  <si>
    <t>2019-05-06</t>
  </si>
  <si>
    <t>2019-05-07</t>
  </si>
  <si>
    <t>2019-05-08</t>
  </si>
  <si>
    <t>2019-05-09</t>
  </si>
  <si>
    <t>2019-05-10</t>
  </si>
  <si>
    <t>2019-05-11</t>
  </si>
  <si>
    <t>2019-05-12</t>
  </si>
  <si>
    <t>2019-05-13</t>
  </si>
  <si>
    <t>2019-05-14</t>
  </si>
  <si>
    <t>2019-05-15</t>
  </si>
  <si>
    <t>2019-05-16</t>
  </si>
  <si>
    <t>2019-05-17</t>
  </si>
  <si>
    <t>2019-05-18</t>
  </si>
  <si>
    <t>2019-05-19</t>
  </si>
  <si>
    <t>2019-05-20</t>
  </si>
  <si>
    <t>2019-05-21</t>
  </si>
  <si>
    <t>2019-05-22</t>
  </si>
  <si>
    <t>2019-05-23</t>
  </si>
  <si>
    <t>2019-05-24</t>
  </si>
  <si>
    <t>2019-05-25</t>
  </si>
  <si>
    <t>2019-05-26</t>
  </si>
  <si>
    <t>2019-05-27</t>
  </si>
  <si>
    <t>2019-05-28</t>
  </si>
  <si>
    <t>2019-05-29</t>
  </si>
  <si>
    <t>2019-05-30</t>
  </si>
  <si>
    <t>2019-05-31</t>
  </si>
  <si>
    <t>2019-06-01</t>
  </si>
  <si>
    <t>2019-06-02</t>
  </si>
  <si>
    <t>2019-06-03</t>
  </si>
  <si>
    <t>2019-06-04</t>
  </si>
  <si>
    <t>2019-06-05</t>
  </si>
  <si>
    <t>2019-06-06</t>
  </si>
  <si>
    <t>2019-06-07</t>
  </si>
  <si>
    <t>2019-06-08</t>
  </si>
  <si>
    <t>2019-06-09</t>
  </si>
  <si>
    <t>2019-06-10</t>
  </si>
  <si>
    <t>2019-06-11</t>
  </si>
  <si>
    <t>2019-06-12</t>
  </si>
  <si>
    <t>2019-06-13</t>
  </si>
  <si>
    <t>2019-06-14</t>
  </si>
  <si>
    <t>2019-06-15</t>
  </si>
  <si>
    <t>2019-06-16</t>
  </si>
  <si>
    <t>2019-06-17</t>
  </si>
  <si>
    <t>2019-06-18</t>
  </si>
  <si>
    <t>2019-06-19</t>
  </si>
  <si>
    <t>2019-06-20</t>
  </si>
  <si>
    <t>2019-06-21</t>
  </si>
  <si>
    <t>2019-06-22</t>
  </si>
  <si>
    <t>2019-06-23</t>
  </si>
  <si>
    <t>2019-06-24</t>
  </si>
  <si>
    <t>2019-06-25</t>
  </si>
  <si>
    <t>2019-06-26</t>
  </si>
  <si>
    <t>2019-06-27</t>
  </si>
  <si>
    <t>2019-06-28</t>
  </si>
  <si>
    <t>2019-06-29</t>
  </si>
  <si>
    <t>2019-06-30</t>
  </si>
  <si>
    <t>2019-07-01</t>
  </si>
  <si>
    <t>2019-07-02</t>
  </si>
  <si>
    <t>2019-07-03</t>
  </si>
  <si>
    <t>2019-07-04</t>
  </si>
  <si>
    <t>2019-07-05</t>
  </si>
  <si>
    <t>2019-07-06</t>
  </si>
  <si>
    <t>2019-07-07</t>
  </si>
  <si>
    <t>2019-07-08</t>
  </si>
  <si>
    <t>2019-07-09</t>
  </si>
  <si>
    <t>2019-07-10</t>
  </si>
  <si>
    <t>2019-07-11</t>
  </si>
  <si>
    <t>2019-07-12</t>
  </si>
  <si>
    <t>2019-07-13</t>
  </si>
  <si>
    <t>2019-07-14</t>
  </si>
  <si>
    <t>2019-07-15</t>
  </si>
  <si>
    <t>2019-07-16</t>
  </si>
  <si>
    <t>2019-07-17</t>
  </si>
  <si>
    <t>2019-07-18</t>
  </si>
  <si>
    <t>2019-07-19</t>
  </si>
  <si>
    <t>2019-07-20</t>
  </si>
  <si>
    <t>2019-07-21</t>
  </si>
  <si>
    <t>2019-07-22</t>
  </si>
  <si>
    <t>2019-07-23</t>
  </si>
  <si>
    <t>2019-07-24</t>
  </si>
  <si>
    <t>2019-07-25</t>
  </si>
  <si>
    <t>2019-07-26</t>
  </si>
  <si>
    <t>2019-07-27</t>
  </si>
  <si>
    <t>2019-07-28</t>
  </si>
  <si>
    <t>2019-07-29</t>
  </si>
  <si>
    <t>2019-07-30</t>
  </si>
  <si>
    <t>2019-07-31</t>
  </si>
  <si>
    <t>2019-08-01</t>
  </si>
  <si>
    <t>2019-08-02</t>
  </si>
  <si>
    <t>2019-08-03</t>
  </si>
  <si>
    <t>2019-08-04</t>
  </si>
  <si>
    <t>2019-08-05</t>
  </si>
  <si>
    <t>2019-08-06</t>
  </si>
  <si>
    <t>2019-08-07</t>
  </si>
  <si>
    <t>2019-08-08</t>
  </si>
  <si>
    <t>2019-08-09</t>
  </si>
  <si>
    <t>2019-08-10</t>
  </si>
  <si>
    <t>2019-08-11</t>
  </si>
  <si>
    <t>2019-08-12</t>
  </si>
  <si>
    <t>2019-08-13</t>
  </si>
  <si>
    <t>2019-08-14</t>
  </si>
  <si>
    <t>2019-08-15</t>
  </si>
  <si>
    <t>2019-08-16</t>
  </si>
  <si>
    <t>2019-08-17</t>
  </si>
  <si>
    <t>2019-08-18</t>
  </si>
  <si>
    <t>2019-08-19</t>
  </si>
  <si>
    <t>2019-08-20</t>
  </si>
  <si>
    <t>2019-08-21</t>
  </si>
  <si>
    <t>2019-08-22</t>
  </si>
  <si>
    <t>2019-08-23</t>
  </si>
  <si>
    <t>2019-08-24</t>
  </si>
  <si>
    <t>2019-08-25</t>
  </si>
  <si>
    <t>2019-08-26</t>
  </si>
  <si>
    <t>2019-08-27</t>
  </si>
  <si>
    <t>2019-08-28</t>
  </si>
  <si>
    <t>2019-08-29</t>
  </si>
  <si>
    <t>2019-08-30</t>
  </si>
  <si>
    <t>2019-08-31</t>
  </si>
  <si>
    <t>2019-09-01</t>
  </si>
  <si>
    <t>2019-09-02</t>
  </si>
  <si>
    <t>2019-09-03</t>
  </si>
  <si>
    <t>2019-09-04</t>
  </si>
  <si>
    <t>2019-09-05</t>
  </si>
  <si>
    <t>2019-09-06</t>
  </si>
  <si>
    <t>2019-09-07</t>
  </si>
  <si>
    <t>2019-09-08</t>
  </si>
  <si>
    <t>2019-09-09</t>
  </si>
  <si>
    <t>2019-09-10</t>
  </si>
  <si>
    <t>2019-09-11</t>
  </si>
  <si>
    <t>2019-09-12</t>
  </si>
  <si>
    <t>2019-09-13</t>
  </si>
  <si>
    <t>2019-09-14</t>
  </si>
  <si>
    <t>2019-09-15</t>
  </si>
  <si>
    <t>2019-09-16</t>
  </si>
  <si>
    <t>2019-09-17</t>
  </si>
  <si>
    <t>2019-09-18</t>
  </si>
  <si>
    <t>2019-09-19</t>
  </si>
  <si>
    <t>2019-09-20</t>
  </si>
  <si>
    <t>2019-09-21</t>
  </si>
  <si>
    <t>2019-09-22</t>
  </si>
  <si>
    <t>2019-09-23</t>
  </si>
  <si>
    <t>2019-09-24</t>
  </si>
  <si>
    <t>2019-09-25</t>
  </si>
  <si>
    <t>2019-09-26</t>
  </si>
  <si>
    <t>2019-09-27</t>
  </si>
  <si>
    <t>2019-09-28</t>
  </si>
  <si>
    <t>2019-09-29</t>
  </si>
  <si>
    <t>2019-09-30</t>
  </si>
  <si>
    <t>2019-10-01</t>
  </si>
  <si>
    <t>2019-10-02</t>
  </si>
  <si>
    <t>2019-10-03</t>
  </si>
  <si>
    <t>2019-10-04</t>
  </si>
  <si>
    <t>2019-10-05</t>
  </si>
  <si>
    <t>2019-10-06</t>
  </si>
  <si>
    <t>2019-10-07</t>
  </si>
  <si>
    <t>2019-10-08</t>
  </si>
  <si>
    <t>2019-10-09</t>
  </si>
  <si>
    <t>2019-10-10</t>
  </si>
  <si>
    <t>2019-10-11</t>
  </si>
  <si>
    <t>2019-10-12</t>
  </si>
  <si>
    <t>2019-10-13</t>
  </si>
  <si>
    <t>2019-10-14</t>
  </si>
  <si>
    <t>2019-10-15</t>
  </si>
  <si>
    <t>2019-10-16</t>
  </si>
  <si>
    <t>2019-10-17</t>
  </si>
  <si>
    <t>2019-10-18</t>
  </si>
  <si>
    <t>2019-10-19</t>
  </si>
  <si>
    <t>2019-10-20</t>
  </si>
  <si>
    <t>2019-10-21</t>
  </si>
  <si>
    <t>2019-10-22</t>
  </si>
  <si>
    <t>2019-10-23</t>
  </si>
  <si>
    <t>2019-10-24</t>
  </si>
  <si>
    <t>2019-10-25</t>
  </si>
  <si>
    <t>2019-10-26</t>
  </si>
  <si>
    <t>2019-10-27</t>
  </si>
  <si>
    <t>2019-10-28</t>
  </si>
  <si>
    <t>2019-10-29</t>
  </si>
  <si>
    <t>2019-10-30</t>
  </si>
  <si>
    <t>2019-10-31</t>
  </si>
  <si>
    <t>2019-11-01</t>
  </si>
  <si>
    <t>2019-11-02</t>
  </si>
  <si>
    <t>2019-11-03</t>
  </si>
  <si>
    <t>2019-11-04</t>
  </si>
  <si>
    <t>2019-11-05</t>
  </si>
  <si>
    <t>2019-11-06</t>
  </si>
  <si>
    <t>2019-11-07</t>
  </si>
  <si>
    <t>2019-11-08</t>
  </si>
  <si>
    <t>2019-11-09</t>
  </si>
  <si>
    <t>2019-11-10</t>
  </si>
  <si>
    <t>2019-11-11</t>
  </si>
  <si>
    <t>2019-11-12</t>
  </si>
  <si>
    <t>2019-11-13</t>
  </si>
  <si>
    <t>2019-11-14</t>
  </si>
  <si>
    <t>2019-11-15</t>
  </si>
  <si>
    <t>2019-11-16</t>
  </si>
  <si>
    <t>2019-11-17</t>
  </si>
  <si>
    <t>2019-11-18</t>
  </si>
  <si>
    <t>2019-11-19</t>
  </si>
  <si>
    <t>2019-11-20</t>
  </si>
  <si>
    <t>2019-11-21</t>
  </si>
  <si>
    <t>2019-11-22</t>
  </si>
  <si>
    <t>2019-11-23</t>
  </si>
  <si>
    <t>2019-11-24</t>
  </si>
  <si>
    <t>2019-11-25</t>
  </si>
  <si>
    <t>2019-11-26</t>
  </si>
  <si>
    <t>2019-11-27</t>
  </si>
  <si>
    <t>2019-11-28</t>
  </si>
  <si>
    <t>2019-11-29</t>
  </si>
  <si>
    <t>2019-11-30</t>
  </si>
  <si>
    <t>2019-12-01</t>
  </si>
  <si>
    <t>2019-12-02</t>
  </si>
  <si>
    <t>2019-12-03</t>
  </si>
  <si>
    <t>2019-12-04</t>
  </si>
  <si>
    <t>2019-12-05</t>
  </si>
  <si>
    <t>2019-12-06</t>
  </si>
  <si>
    <t>2019-12-07</t>
  </si>
  <si>
    <t>2019-12-08</t>
  </si>
  <si>
    <t>2019-12-09</t>
  </si>
  <si>
    <t>2019-12-10</t>
  </si>
  <si>
    <t>2019-12-11</t>
  </si>
  <si>
    <t>2019-12-12</t>
  </si>
  <si>
    <t>2019-12-13</t>
  </si>
  <si>
    <t>2019-12-14</t>
  </si>
  <si>
    <t>2019-12-15</t>
  </si>
  <si>
    <t>2019-12-16</t>
  </si>
  <si>
    <t>2019-12-17</t>
  </si>
  <si>
    <t>2019-12-18</t>
  </si>
  <si>
    <t>2019-12-19</t>
  </si>
  <si>
    <t>2019-12-20</t>
  </si>
  <si>
    <t>2019-12-21</t>
  </si>
  <si>
    <t>2019-12-22</t>
  </si>
  <si>
    <t>2019-12-23</t>
  </si>
  <si>
    <t>2019-12-24</t>
  </si>
  <si>
    <t>2019-12-25</t>
  </si>
  <si>
    <t>2019-12-26</t>
  </si>
  <si>
    <t>2019-12-27</t>
  </si>
  <si>
    <t>2019-12-28</t>
  </si>
  <si>
    <t>2019-12-29</t>
  </si>
  <si>
    <t>2019-12-30</t>
  </si>
  <si>
    <t>2019-12-31</t>
  </si>
  <si>
    <t>2020-01-01</t>
  </si>
  <si>
    <t>2020-01-02</t>
  </si>
  <si>
    <t>2020-01-03</t>
  </si>
  <si>
    <t>2020-01-04</t>
  </si>
  <si>
    <t>2020-01-05</t>
  </si>
  <si>
    <t>2020-01-06</t>
  </si>
  <si>
    <t>2020-01-07</t>
  </si>
  <si>
    <t>2020-01-08</t>
  </si>
  <si>
    <t>2020-01-09</t>
  </si>
  <si>
    <t>2020-01-10</t>
  </si>
  <si>
    <t>2020-01-11</t>
  </si>
  <si>
    <t>2020-01-12</t>
  </si>
  <si>
    <t>2020-01-13</t>
  </si>
  <si>
    <t>2020-01-14</t>
  </si>
  <si>
    <t>2020-01-15</t>
  </si>
  <si>
    <t>2020-01-16</t>
  </si>
  <si>
    <t>2020-01-17</t>
  </si>
  <si>
    <t>2020-01-18</t>
  </si>
  <si>
    <t>2020-01-19</t>
  </si>
  <si>
    <t>2020-01-20</t>
  </si>
  <si>
    <t>2020-01-21</t>
  </si>
  <si>
    <t>2020-01-22</t>
  </si>
  <si>
    <t>2020-01-23</t>
  </si>
  <si>
    <t>2020-01-24</t>
  </si>
  <si>
    <t>2020-01-25</t>
  </si>
  <si>
    <t>2020-01-26</t>
  </si>
  <si>
    <t>2020-01-27</t>
  </si>
  <si>
    <t>2020-01-28</t>
  </si>
  <si>
    <t>2020-01-29</t>
  </si>
  <si>
    <t>2020-01-30</t>
  </si>
  <si>
    <t>2020-01-31</t>
  </si>
  <si>
    <t>2020-02-01</t>
  </si>
  <si>
    <t>2020-02-02</t>
  </si>
  <si>
    <t>2020-02-03</t>
  </si>
  <si>
    <t>2020-02-04</t>
  </si>
  <si>
    <t>2020-02-05</t>
  </si>
  <si>
    <t>2020-02-06</t>
  </si>
  <si>
    <t>2020-02-07</t>
  </si>
  <si>
    <t>2020-02-08</t>
  </si>
  <si>
    <t>2020-02-09</t>
  </si>
  <si>
    <t>2020-02-10</t>
  </si>
  <si>
    <t>2020-02-11</t>
  </si>
  <si>
    <t>2020-02-12</t>
  </si>
  <si>
    <t>2020-02-13</t>
  </si>
  <si>
    <t>2020-02-14</t>
  </si>
  <si>
    <t>2020-02-15</t>
  </si>
  <si>
    <t>2020-02-16</t>
  </si>
  <si>
    <t>2020-02-17</t>
  </si>
  <si>
    <t>2020-02-18</t>
  </si>
  <si>
    <t>2020-02-19</t>
  </si>
  <si>
    <t>2020-02-20</t>
  </si>
  <si>
    <t>2020-02-21</t>
  </si>
  <si>
    <t>2020-02-22</t>
  </si>
  <si>
    <t>2020-02-23</t>
  </si>
  <si>
    <t>2020-02-24</t>
  </si>
  <si>
    <t>2020-02-25</t>
  </si>
  <si>
    <t>2020-02-26</t>
  </si>
  <si>
    <t>2020-02-27</t>
  </si>
  <si>
    <t>2020-02-28</t>
  </si>
  <si>
    <t>2020-03-01</t>
  </si>
  <si>
    <t>2020-03-02</t>
  </si>
  <si>
    <t>2020-03-03</t>
  </si>
  <si>
    <t>2020-03-04</t>
  </si>
  <si>
    <t>2020-03-05</t>
  </si>
  <si>
    <t>2020-03-06</t>
  </si>
  <si>
    <t>2020-03-07</t>
  </si>
  <si>
    <t>2020-03-08</t>
  </si>
  <si>
    <t>2020-03-09</t>
  </si>
  <si>
    <t>2020-03-10</t>
  </si>
  <si>
    <t>2020-03-11</t>
  </si>
  <si>
    <t>2020-03-12</t>
  </si>
  <si>
    <t>2020-03-13</t>
  </si>
  <si>
    <t>2020-03-14</t>
  </si>
  <si>
    <t>2020-03-15</t>
  </si>
  <si>
    <t>2020-03-16</t>
  </si>
  <si>
    <t>2020-03-17</t>
  </si>
  <si>
    <t>2020-03-18</t>
  </si>
  <si>
    <t>2020-03-19</t>
  </si>
  <si>
    <t>2020-03-20</t>
  </si>
  <si>
    <t>2020-03-21</t>
  </si>
  <si>
    <t>2020-03-22</t>
  </si>
  <si>
    <t>2020-03-23</t>
  </si>
  <si>
    <t>2020-03-24</t>
  </si>
  <si>
    <t>2020-03-25</t>
  </si>
  <si>
    <t>2020-03-26</t>
  </si>
  <si>
    <t>2020-03-27</t>
  </si>
  <si>
    <t>2020-03-28</t>
  </si>
  <si>
    <t>2020-03-29</t>
  </si>
  <si>
    <t>2020-03-30</t>
  </si>
  <si>
    <t>2020-03-31</t>
  </si>
  <si>
    <t>2020-04-01</t>
  </si>
  <si>
    <t>2020-04-02</t>
  </si>
  <si>
    <t>2020-04-03</t>
  </si>
  <si>
    <t>2020-04-04</t>
  </si>
  <si>
    <t>2020-04-05</t>
  </si>
  <si>
    <t>2020-04-06</t>
  </si>
  <si>
    <t>2020-04-07</t>
  </si>
  <si>
    <t>2020-04-08</t>
  </si>
  <si>
    <t>2020-04-09</t>
  </si>
  <si>
    <t>2020-04-10</t>
  </si>
  <si>
    <t>2020-04-11</t>
  </si>
  <si>
    <t>2020-04-12</t>
  </si>
  <si>
    <t>2020-04-13</t>
  </si>
  <si>
    <t>2020-04-14</t>
  </si>
  <si>
    <t>2020-04-15</t>
  </si>
  <si>
    <t>2020-04-16</t>
  </si>
  <si>
    <t>2020-04-17</t>
  </si>
  <si>
    <t>2020-04-18</t>
  </si>
  <si>
    <t>2020-04-19</t>
  </si>
  <si>
    <t>2020-04-20</t>
  </si>
  <si>
    <t>2020-04-21</t>
  </si>
  <si>
    <t>2020-04-22</t>
  </si>
  <si>
    <t>2020-04-23</t>
  </si>
  <si>
    <t>2020-04-24</t>
  </si>
  <si>
    <t>2020-04-25</t>
  </si>
  <si>
    <t>2020-04-26</t>
  </si>
  <si>
    <t>2020-04-27</t>
  </si>
  <si>
    <t>2020-04-28</t>
  </si>
  <si>
    <t>2020-04-29</t>
  </si>
  <si>
    <t>2020-04-30</t>
  </si>
  <si>
    <t>2020-05-01</t>
  </si>
  <si>
    <t>2020-05-02</t>
  </si>
  <si>
    <t>2020-05-03</t>
  </si>
  <si>
    <t>2020-05-04</t>
  </si>
  <si>
    <t>2020-05-05</t>
  </si>
  <si>
    <t>2020-05-06</t>
  </si>
  <si>
    <t>2020-05-07</t>
  </si>
  <si>
    <t>2020-05-08</t>
  </si>
  <si>
    <t>2020-05-09</t>
  </si>
  <si>
    <t>2020-05-10</t>
  </si>
  <si>
    <t>2020-05-11</t>
  </si>
  <si>
    <t>2020-05-12</t>
  </si>
  <si>
    <t>2020-05-13</t>
  </si>
  <si>
    <t>2020-05-14</t>
  </si>
  <si>
    <t>2020-05-15</t>
  </si>
  <si>
    <t>2020-05-16</t>
  </si>
  <si>
    <t>2020-05-17</t>
  </si>
  <si>
    <t>2020-05-18</t>
  </si>
  <si>
    <t>2020-05-19</t>
  </si>
  <si>
    <t>2020-05-20</t>
  </si>
  <si>
    <t>2020-05-21</t>
  </si>
  <si>
    <t>2020-05-22</t>
  </si>
  <si>
    <t>2020-05-23</t>
  </si>
  <si>
    <t>2020-05-24</t>
  </si>
  <si>
    <t>2020-05-25</t>
  </si>
  <si>
    <t>2020-05-26</t>
  </si>
  <si>
    <t>2020-05-27</t>
  </si>
  <si>
    <t>2020-05-28</t>
  </si>
  <si>
    <t>2020-05-29</t>
  </si>
  <si>
    <t>2020-05-30</t>
  </si>
  <si>
    <t>2020-05-31</t>
  </si>
  <si>
    <t>2020-06-01</t>
  </si>
  <si>
    <t>2020-06-02</t>
  </si>
  <si>
    <t>2020-06-03</t>
  </si>
  <si>
    <t>2020-06-04</t>
  </si>
  <si>
    <t>2020-06-05</t>
  </si>
  <si>
    <t>2020-06-06</t>
  </si>
  <si>
    <t>2020-06-07</t>
  </si>
  <si>
    <t>2020-06-08</t>
  </si>
  <si>
    <t>2020-06-09</t>
  </si>
  <si>
    <t>2020-06-10</t>
  </si>
  <si>
    <t>2020-06-11</t>
  </si>
  <si>
    <t>2020-06-12</t>
  </si>
  <si>
    <t>2020-06-13</t>
  </si>
  <si>
    <t>2020-06-14</t>
  </si>
  <si>
    <t>2020-06-15</t>
  </si>
  <si>
    <t>2020-06-16</t>
  </si>
  <si>
    <t>2020-06-17</t>
  </si>
  <si>
    <t>2020-06-18</t>
  </si>
  <si>
    <t>2020-06-19</t>
  </si>
  <si>
    <t>2020-06-20</t>
  </si>
  <si>
    <t>2020-06-21</t>
  </si>
  <si>
    <t>2020-06-22</t>
  </si>
  <si>
    <t>2020-06-23</t>
  </si>
  <si>
    <t>2020-06-24</t>
  </si>
  <si>
    <t>2020-06-25</t>
  </si>
  <si>
    <t>2020-06-26</t>
  </si>
  <si>
    <t>2020-06-27</t>
  </si>
  <si>
    <t>2020-06-28</t>
  </si>
  <si>
    <t>2020-06-29</t>
  </si>
  <si>
    <t>2020-06-30</t>
  </si>
  <si>
    <t>2020-07-01</t>
  </si>
  <si>
    <t>2020-07-02</t>
  </si>
  <si>
    <t>2020-07-03</t>
  </si>
  <si>
    <t>2020-07-04</t>
  </si>
  <si>
    <t>2020-07-05</t>
  </si>
  <si>
    <t>2020-07-06</t>
  </si>
  <si>
    <t>2020-07-07</t>
  </si>
  <si>
    <t>2020-07-08</t>
  </si>
  <si>
    <t>2020-07-09</t>
  </si>
  <si>
    <t>2020-07-10</t>
  </si>
  <si>
    <t>2020-07-11</t>
  </si>
  <si>
    <t>2020-07-12</t>
  </si>
  <si>
    <t>2020-07-13</t>
  </si>
  <si>
    <t>2020-07-14</t>
  </si>
  <si>
    <t>2020-07-15</t>
  </si>
  <si>
    <t>2020-07-16</t>
  </si>
  <si>
    <t>2020-07-17</t>
  </si>
  <si>
    <t>2020-07-18</t>
  </si>
  <si>
    <t>2020-07-19</t>
  </si>
  <si>
    <t>2020-07-20</t>
  </si>
  <si>
    <t>2020-07-21</t>
  </si>
  <si>
    <t>2020-07-22</t>
  </si>
  <si>
    <t>2020-07-23</t>
  </si>
  <si>
    <t>2020-07-24</t>
  </si>
  <si>
    <t>2020-07-25</t>
  </si>
  <si>
    <t>2020-07-26</t>
  </si>
  <si>
    <t>2020-07-27</t>
  </si>
  <si>
    <t>2020-07-28</t>
  </si>
  <si>
    <t>2020-07-29</t>
  </si>
  <si>
    <t>2020-07-30</t>
  </si>
  <si>
    <t>2020-07-31</t>
  </si>
  <si>
    <t>2020-08-01</t>
  </si>
  <si>
    <t>2020-08-02</t>
  </si>
  <si>
    <t>2020-08-03</t>
  </si>
  <si>
    <t>2020-08-04</t>
  </si>
  <si>
    <t>2020-08-05</t>
  </si>
  <si>
    <t>2020-08-06</t>
  </si>
  <si>
    <t>2020-08-07</t>
  </si>
  <si>
    <t>2020-08-08</t>
  </si>
  <si>
    <t>2020-08-09</t>
  </si>
  <si>
    <t>2020-08-10</t>
  </si>
  <si>
    <t>2020-08-11</t>
  </si>
  <si>
    <t>2020-08-12</t>
  </si>
  <si>
    <t>2020-08-13</t>
  </si>
  <si>
    <t>2020-08-14</t>
  </si>
  <si>
    <t>2020-08-15</t>
  </si>
  <si>
    <t>2020-08-16</t>
  </si>
  <si>
    <t>2020-08-17</t>
  </si>
  <si>
    <t>2020-08-18</t>
  </si>
  <si>
    <t>2020-08-19</t>
  </si>
  <si>
    <t>2020-08-20</t>
  </si>
  <si>
    <t>2020-08-21</t>
  </si>
  <si>
    <t>2020-08-22</t>
  </si>
  <si>
    <t>2020-08-23</t>
  </si>
  <si>
    <t>2020-08-24</t>
  </si>
  <si>
    <t>2020-08-25</t>
  </si>
  <si>
    <t>2020-08-26</t>
  </si>
  <si>
    <t>2020-08-27</t>
  </si>
  <si>
    <t>2020-08-28</t>
  </si>
  <si>
    <t>2020-08-29</t>
  </si>
  <si>
    <t>2020-08-30</t>
  </si>
  <si>
    <t>2020-08-31</t>
  </si>
  <si>
    <t>2020-09-01</t>
  </si>
  <si>
    <t>2020-09-02</t>
  </si>
  <si>
    <t>2020-09-03</t>
  </si>
  <si>
    <t>2020-09-04</t>
  </si>
  <si>
    <t>2020-09-05</t>
  </si>
  <si>
    <t>2020-09-06</t>
  </si>
  <si>
    <t>2020-09-07</t>
  </si>
  <si>
    <t>2020-09-08</t>
  </si>
  <si>
    <t>2020-09-09</t>
  </si>
  <si>
    <t>2020-09-10</t>
  </si>
  <si>
    <t>2020-09-11</t>
  </si>
  <si>
    <t>2020-09-12</t>
  </si>
  <si>
    <t>2020-09-13</t>
  </si>
  <si>
    <t>2020-09-14</t>
  </si>
  <si>
    <t>2020-09-15</t>
  </si>
  <si>
    <t>2020-09-16</t>
  </si>
  <si>
    <t>2020-09-17</t>
  </si>
  <si>
    <t>2020-09-18</t>
  </si>
  <si>
    <t>2020-09-19</t>
  </si>
  <si>
    <t>2020-09-20</t>
  </si>
  <si>
    <t>2020-09-21</t>
  </si>
  <si>
    <t>2020-09-22</t>
  </si>
  <si>
    <t>2020-09-23</t>
  </si>
  <si>
    <t>2020-09-24</t>
  </si>
  <si>
    <t>2020-09-25</t>
  </si>
  <si>
    <t>2020-09-26</t>
  </si>
  <si>
    <t>2020-09-27</t>
  </si>
  <si>
    <t>2020-09-28</t>
  </si>
  <si>
    <t>2020-09-29</t>
  </si>
  <si>
    <t>2020-09-30</t>
  </si>
  <si>
    <t>2020-10-01</t>
  </si>
  <si>
    <t>2020-10-02</t>
  </si>
  <si>
    <t>2020-10-03</t>
  </si>
  <si>
    <t>2020-10-04</t>
  </si>
  <si>
    <t>2020-10-05</t>
  </si>
  <si>
    <t>2020-10-06</t>
  </si>
  <si>
    <t>2020-10-07</t>
  </si>
  <si>
    <t>2020-10-08</t>
  </si>
  <si>
    <t>2020-10-09</t>
  </si>
  <si>
    <t>2020-10-10</t>
  </si>
  <si>
    <t>2020-10-11</t>
  </si>
  <si>
    <t>2020-10-12</t>
  </si>
  <si>
    <t>2020-10-13</t>
  </si>
  <si>
    <t>2020-10-14</t>
  </si>
  <si>
    <t>2020-10-15</t>
  </si>
  <si>
    <t>2020-10-16</t>
  </si>
  <si>
    <t>2020-10-17</t>
  </si>
  <si>
    <t>2020-10-18</t>
  </si>
  <si>
    <t>2020-10-19</t>
  </si>
  <si>
    <t>2020-10-20</t>
  </si>
  <si>
    <t>2020-10-21</t>
  </si>
  <si>
    <t>2020-10-22</t>
  </si>
  <si>
    <t>2020-10-23</t>
  </si>
  <si>
    <t>2020-10-24</t>
  </si>
  <si>
    <t>2020-10-25</t>
  </si>
  <si>
    <t>2020-10-26</t>
  </si>
  <si>
    <t>2020-10-27</t>
  </si>
  <si>
    <t>2020-10-28</t>
  </si>
  <si>
    <t>2020-10-29</t>
  </si>
  <si>
    <t>2020-10-30</t>
  </si>
  <si>
    <t>2020-10-31</t>
  </si>
  <si>
    <t>2020-11-01</t>
  </si>
  <si>
    <t>2020-11-02</t>
  </si>
  <si>
    <t>2020-11-03</t>
  </si>
  <si>
    <t>2020-11-04</t>
  </si>
  <si>
    <t>2020-11-05</t>
  </si>
  <si>
    <t>2020-11-06</t>
  </si>
  <si>
    <t>2020-11-07</t>
  </si>
  <si>
    <t>2020-11-08</t>
  </si>
  <si>
    <t>2020-11-09</t>
  </si>
  <si>
    <t>2020-11-10</t>
  </si>
  <si>
    <t>2020-11-11</t>
  </si>
  <si>
    <t>2020-11-12</t>
  </si>
  <si>
    <t>2020-11-13</t>
  </si>
  <si>
    <t>2020-11-14</t>
  </si>
  <si>
    <t>2020-11-15</t>
  </si>
  <si>
    <t>2020-11-16</t>
  </si>
  <si>
    <t>2020-11-17</t>
  </si>
  <si>
    <t>2020-11-18</t>
  </si>
  <si>
    <t>2020-11-19</t>
  </si>
  <si>
    <t>2020-11-20</t>
  </si>
  <si>
    <t>2020-11-21</t>
  </si>
  <si>
    <t>2020-11-22</t>
  </si>
  <si>
    <t>2020-11-23</t>
  </si>
  <si>
    <t>2020-11-24</t>
  </si>
  <si>
    <t>2020-11-25</t>
  </si>
  <si>
    <t>2020-11-26</t>
  </si>
  <si>
    <t>2020-11-27</t>
  </si>
  <si>
    <t>2020-11-28</t>
  </si>
  <si>
    <t>2020-11-29</t>
  </si>
  <si>
    <t>2020-11-30</t>
  </si>
  <si>
    <t>2020-12-01</t>
  </si>
  <si>
    <t>2020-12-02</t>
  </si>
  <si>
    <t>2020-12-03</t>
  </si>
  <si>
    <t>2020-12-04</t>
  </si>
  <si>
    <t>2020-12-05</t>
  </si>
  <si>
    <t>2020-12-06</t>
  </si>
  <si>
    <t>2020-12-07</t>
  </si>
  <si>
    <t>2020-12-08</t>
  </si>
  <si>
    <t>2020-12-09</t>
  </si>
  <si>
    <t>2020-12-10</t>
  </si>
  <si>
    <t>2020-12-11</t>
  </si>
  <si>
    <t>2020-12-12</t>
  </si>
  <si>
    <t>2020-12-13</t>
  </si>
  <si>
    <t>2020-12-14</t>
  </si>
  <si>
    <t>2020-12-15</t>
  </si>
  <si>
    <t>2020-12-16</t>
  </si>
  <si>
    <t>2020-12-17</t>
  </si>
  <si>
    <t>2020-12-18</t>
  </si>
  <si>
    <t>2020-12-19</t>
  </si>
  <si>
    <t>2020-12-20</t>
  </si>
  <si>
    <t>2020-12-21</t>
  </si>
  <si>
    <t>2020-12-22</t>
  </si>
  <si>
    <t>2020-12-23</t>
  </si>
  <si>
    <t>2020-12-24</t>
  </si>
  <si>
    <t>2020-12-25</t>
  </si>
  <si>
    <t>2020-12-26</t>
  </si>
  <si>
    <t>2020-12-27</t>
  </si>
  <si>
    <t>2020-12-28</t>
  </si>
  <si>
    <t>2020-12-29</t>
  </si>
  <si>
    <t>2020-12-30</t>
  </si>
  <si>
    <t>2020-12-31</t>
  </si>
  <si>
    <t>2021-01-01</t>
  </si>
  <si>
    <t>2021-01-02</t>
  </si>
  <si>
    <t>2021-01-03</t>
  </si>
  <si>
    <t>2021-01-04</t>
  </si>
  <si>
    <t>2021-01-05</t>
  </si>
  <si>
    <t>2021-01-06</t>
  </si>
  <si>
    <t>2021-01-07</t>
  </si>
  <si>
    <t>2021-01-08</t>
  </si>
  <si>
    <t>2021-01-09</t>
  </si>
  <si>
    <t>2021-01-10</t>
  </si>
  <si>
    <t>2021-01-11</t>
  </si>
  <si>
    <t>2021-01-12</t>
  </si>
  <si>
    <t>2021-01-13</t>
  </si>
  <si>
    <t>2021-01-14</t>
  </si>
  <si>
    <t>2021-01-15</t>
  </si>
  <si>
    <t>2021-01-16</t>
  </si>
  <si>
    <t>2021-01-17</t>
  </si>
  <si>
    <t>2021-01-18</t>
  </si>
  <si>
    <t>2021-01-19</t>
  </si>
  <si>
    <t>2021-01-20</t>
  </si>
  <si>
    <t>2021-01-21</t>
  </si>
  <si>
    <t>2021-01-22</t>
  </si>
  <si>
    <t>2021-01-23</t>
  </si>
  <si>
    <t>2021-01-24</t>
  </si>
  <si>
    <t>2021-01-25</t>
  </si>
  <si>
    <t>2021-01-26</t>
  </si>
  <si>
    <t>2021-01-27</t>
  </si>
  <si>
    <t>2021-01-28</t>
  </si>
  <si>
    <t>2021-01-29</t>
  </si>
  <si>
    <t>2021-01-30</t>
  </si>
  <si>
    <t>2021-01-31</t>
  </si>
  <si>
    <t>2021-02-01</t>
  </si>
  <si>
    <t>2021-02-02</t>
  </si>
  <si>
    <t>2021-02-03</t>
  </si>
  <si>
    <t>2021-02-04</t>
  </si>
  <si>
    <t>2021-02-05</t>
  </si>
  <si>
    <t>2021-02-06</t>
  </si>
  <si>
    <t>2021-02-07</t>
  </si>
  <si>
    <t>2021-02-08</t>
  </si>
  <si>
    <t>2021-02-09</t>
  </si>
  <si>
    <t>2021-02-10</t>
  </si>
  <si>
    <t>2021-02-11</t>
  </si>
  <si>
    <t>2021-02-12</t>
  </si>
  <si>
    <t>2021-02-13</t>
  </si>
  <si>
    <t>2021-02-14</t>
  </si>
  <si>
    <t>2021-02-15</t>
  </si>
  <si>
    <t>2021-02-16</t>
  </si>
  <si>
    <t>2021-02-17</t>
  </si>
  <si>
    <t>2021-02-18</t>
  </si>
  <si>
    <t>2021-02-19</t>
  </si>
  <si>
    <t>2021-02-20</t>
  </si>
  <si>
    <t>2021-02-21</t>
  </si>
  <si>
    <t>2021-02-22</t>
  </si>
  <si>
    <t>2021-02-23</t>
  </si>
  <si>
    <t>2021-02-24</t>
  </si>
  <si>
    <t>2021-02-25</t>
  </si>
  <si>
    <t>2021-02-26</t>
  </si>
  <si>
    <t>2021-02-27</t>
  </si>
  <si>
    <t>2021-02-28</t>
  </si>
  <si>
    <t>2016-02-29</t>
  </si>
  <si>
    <t>2021-03-01</t>
  </si>
  <si>
    <t>2021-03-02</t>
  </si>
  <si>
    <t>2021-03-03</t>
  </si>
  <si>
    <t>2021-03-04</t>
  </si>
  <si>
    <t>2021-03-05</t>
  </si>
  <si>
    <t>2021-03-06</t>
  </si>
  <si>
    <t>2021-03-07</t>
  </si>
  <si>
    <t>2021-03-08</t>
  </si>
  <si>
    <t>2021-03-09</t>
  </si>
  <si>
    <t>2021-03-10</t>
  </si>
  <si>
    <t>2021-03-11</t>
  </si>
  <si>
    <t>2021-03-12</t>
  </si>
  <si>
    <t>2021-03-13</t>
  </si>
  <si>
    <t>2021-03-14</t>
  </si>
  <si>
    <t>2021-03-15</t>
  </si>
  <si>
    <t>2021-03-16</t>
  </si>
  <si>
    <t>2021-03-17</t>
  </si>
  <si>
    <t>2021-03-18</t>
  </si>
  <si>
    <t>2021-03-19</t>
  </si>
  <si>
    <t>2021-03-20</t>
  </si>
  <si>
    <t>2021-03-21</t>
  </si>
  <si>
    <t>2021-03-22</t>
  </si>
  <si>
    <t>2021-03-23</t>
  </si>
  <si>
    <t>2021-03-24</t>
  </si>
  <si>
    <t>2021-03-25</t>
  </si>
  <si>
    <t>2021-03-26</t>
  </si>
  <si>
    <t>2021-03-27</t>
  </si>
  <si>
    <t>2021-03-28</t>
  </si>
  <si>
    <t>2021-03-29</t>
  </si>
  <si>
    <t>2021-03-30</t>
  </si>
  <si>
    <t>2021-03-31</t>
  </si>
  <si>
    <t>2021-04-01</t>
  </si>
  <si>
    <t>2021-04-02</t>
  </si>
  <si>
    <t>2021-04-03</t>
  </si>
  <si>
    <t>2021-04-04</t>
  </si>
  <si>
    <t>2021-04-05</t>
  </si>
  <si>
    <t>2021-04-06</t>
  </si>
  <si>
    <t>2021-04-07</t>
  </si>
  <si>
    <t>2021-04-08</t>
  </si>
  <si>
    <t>2021-04-09</t>
  </si>
  <si>
    <t>2021-04-10</t>
  </si>
  <si>
    <t>2021-04-11</t>
  </si>
  <si>
    <t>2021-04-12</t>
  </si>
  <si>
    <t>2021-04-13</t>
  </si>
  <si>
    <t>2021-04-14</t>
  </si>
  <si>
    <t>2021-04-15</t>
  </si>
  <si>
    <t>2021-04-16</t>
  </si>
  <si>
    <t>2021-04-17</t>
  </si>
  <si>
    <t>2021-04-18</t>
  </si>
  <si>
    <t>2021-04-19</t>
  </si>
  <si>
    <t>2021-04-20</t>
  </si>
  <si>
    <t>2021-04-21</t>
  </si>
  <si>
    <t>2021-04-22</t>
  </si>
  <si>
    <t>2021-04-23</t>
  </si>
  <si>
    <t>2021-04-24</t>
  </si>
  <si>
    <t>2021-04-25</t>
  </si>
  <si>
    <t>2021-04-26</t>
  </si>
  <si>
    <t>2021-04-27</t>
  </si>
  <si>
    <t>2021-04-28</t>
  </si>
  <si>
    <t>2021-04-29</t>
  </si>
  <si>
    <t>2021-04-30</t>
  </si>
  <si>
    <t>2021-05-01</t>
  </si>
  <si>
    <t>2021-05-02</t>
  </si>
  <si>
    <t>2021-05-03</t>
  </si>
  <si>
    <t>2021-05-04</t>
  </si>
  <si>
    <t>2021-05-05</t>
  </si>
  <si>
    <t>2021-05-06</t>
  </si>
  <si>
    <t>2021-05-07</t>
  </si>
  <si>
    <t>2021-05-08</t>
  </si>
  <si>
    <t>2021-05-09</t>
  </si>
  <si>
    <t>2021-05-10</t>
  </si>
  <si>
    <t>2021-05-11</t>
  </si>
  <si>
    <t>2021-05-12</t>
  </si>
  <si>
    <t>2021-05-13</t>
  </si>
  <si>
    <t>2021-05-14</t>
  </si>
  <si>
    <t>2021-05-15</t>
  </si>
  <si>
    <t>2021-05-16</t>
  </si>
  <si>
    <t>2021-05-17</t>
  </si>
  <si>
    <t>2021-05-18</t>
  </si>
  <si>
    <t>2021-05-19</t>
  </si>
  <si>
    <t>2021-05-20</t>
  </si>
  <si>
    <t>2021-05-21</t>
  </si>
  <si>
    <t>2021-05-22</t>
  </si>
  <si>
    <t>2021-05-23</t>
  </si>
  <si>
    <t>2021-05-24</t>
  </si>
  <si>
    <t>2021-05-25</t>
  </si>
  <si>
    <t>2021-05-26</t>
  </si>
  <si>
    <t>2021-05-27</t>
  </si>
  <si>
    <t>2021-05-28</t>
  </si>
  <si>
    <t>2021-05-29</t>
  </si>
  <si>
    <t>2021-05-30</t>
  </si>
  <si>
    <t>2021-05-31</t>
  </si>
  <si>
    <t>2021-06-01</t>
  </si>
  <si>
    <t>2021-06-02</t>
  </si>
  <si>
    <t>2021-06-03</t>
  </si>
  <si>
    <t>2021-06-04</t>
  </si>
  <si>
    <t>2021-06-05</t>
  </si>
  <si>
    <t>2021-06-06</t>
  </si>
  <si>
    <t>2021-06-07</t>
  </si>
  <si>
    <t>2021-06-08</t>
  </si>
  <si>
    <t>2021-06-09</t>
  </si>
  <si>
    <t>2021-06-10</t>
  </si>
  <si>
    <t>2021-06-11</t>
  </si>
  <si>
    <t>2021-06-12</t>
  </si>
  <si>
    <t>2021-06-13</t>
  </si>
  <si>
    <t>2021-06-14</t>
  </si>
  <si>
    <t>2021-06-15</t>
  </si>
  <si>
    <t>2021-06-16</t>
  </si>
  <si>
    <t>2021-06-17</t>
  </si>
  <si>
    <t>2021-06-18</t>
  </si>
  <si>
    <t>2021-06-19</t>
  </si>
  <si>
    <t>2021-06-20</t>
  </si>
  <si>
    <t>2021-06-21</t>
  </si>
  <si>
    <t>2021-06-22</t>
  </si>
  <si>
    <t>2021-06-23</t>
  </si>
  <si>
    <t>2021-06-24</t>
  </si>
  <si>
    <t>2021-06-25</t>
  </si>
  <si>
    <t>2021-06-26</t>
  </si>
  <si>
    <t>2021-06-27</t>
  </si>
  <si>
    <t>2021-06-28</t>
  </si>
  <si>
    <t>2021-06-29</t>
  </si>
  <si>
    <t>2021-06-30</t>
  </si>
  <si>
    <t>2021-07-01</t>
  </si>
  <si>
    <t>2021-07-02</t>
  </si>
  <si>
    <t>2021-07-03</t>
  </si>
  <si>
    <t>2021-07-04</t>
  </si>
  <si>
    <t>2021-07-05</t>
  </si>
  <si>
    <t>2021-07-06</t>
  </si>
  <si>
    <t>2021-07-07</t>
  </si>
  <si>
    <t>2021-07-08</t>
  </si>
  <si>
    <t>2021-07-09</t>
  </si>
  <si>
    <t>2021-07-10</t>
  </si>
  <si>
    <t>2021-07-11</t>
  </si>
  <si>
    <t>2021-07-12</t>
  </si>
  <si>
    <t>2021-07-13</t>
  </si>
  <si>
    <t>2021-07-14</t>
  </si>
  <si>
    <t>2021-07-15</t>
  </si>
  <si>
    <t>2021-07-16</t>
  </si>
  <si>
    <t>2021-07-17</t>
  </si>
  <si>
    <t>2021-07-18</t>
  </si>
  <si>
    <t>2021-07-19</t>
  </si>
  <si>
    <t>2021-07-20</t>
  </si>
  <si>
    <t>2021-07-21</t>
  </si>
  <si>
    <t>2021-07-22</t>
  </si>
  <si>
    <t>2021-07-23</t>
  </si>
  <si>
    <t>2021-07-24</t>
  </si>
  <si>
    <t>2021-07-25</t>
  </si>
  <si>
    <t>2021-07-26</t>
  </si>
  <si>
    <t>2021-07-27</t>
  </si>
  <si>
    <t>2021-07-28</t>
  </si>
  <si>
    <t>2021-07-29</t>
  </si>
  <si>
    <t>2021-07-30</t>
  </si>
  <si>
    <t>2021-07-31</t>
  </si>
  <si>
    <t>2021-08-01</t>
  </si>
  <si>
    <t>2021-08-02</t>
  </si>
  <si>
    <t>2021-08-03</t>
  </si>
  <si>
    <t>2021-08-04</t>
  </si>
  <si>
    <t>2021-08-05</t>
  </si>
  <si>
    <t>2021-08-06</t>
  </si>
  <si>
    <t>2021-08-07</t>
  </si>
  <si>
    <t>2021-08-08</t>
  </si>
  <si>
    <t>2021-08-09</t>
  </si>
  <si>
    <t>2021-08-10</t>
  </si>
  <si>
    <t>2021-08-11</t>
  </si>
  <si>
    <t>2021-08-12</t>
  </si>
  <si>
    <t>2021-08-13</t>
  </si>
  <si>
    <t>2021-08-14</t>
  </si>
  <si>
    <t>2021-08-15</t>
  </si>
  <si>
    <t>2021-08-16</t>
  </si>
  <si>
    <t>2021-08-17</t>
  </si>
  <si>
    <t>2021-08-18</t>
  </si>
  <si>
    <t>2021-08-19</t>
  </si>
  <si>
    <t>2021-08-20</t>
  </si>
  <si>
    <t>2021-08-21</t>
  </si>
  <si>
    <t>2021-08-22</t>
  </si>
  <si>
    <t>2021-08-23</t>
  </si>
  <si>
    <t>2021-08-24</t>
  </si>
  <si>
    <t>2021-08-25</t>
  </si>
  <si>
    <t>2021-08-26</t>
  </si>
  <si>
    <t>2021-08-27</t>
  </si>
  <si>
    <t>2021-08-28</t>
  </si>
  <si>
    <t>2021-08-29</t>
  </si>
  <si>
    <t>2021-08-30</t>
  </si>
  <si>
    <t>2021-08-31</t>
  </si>
  <si>
    <t>2021-09-01</t>
  </si>
  <si>
    <t>2021-09-02</t>
  </si>
  <si>
    <t>2021-09-03</t>
  </si>
  <si>
    <t>2021-09-04</t>
  </si>
  <si>
    <t>2021-09-05</t>
  </si>
  <si>
    <t>2021-09-06</t>
  </si>
  <si>
    <t>2021-09-07</t>
  </si>
  <si>
    <t>2021-09-08</t>
  </si>
  <si>
    <t>2021-09-09</t>
  </si>
  <si>
    <t>2021-09-10</t>
  </si>
  <si>
    <t>2021-09-11</t>
  </si>
  <si>
    <t>2021-09-12</t>
  </si>
  <si>
    <t>2021-09-13</t>
  </si>
  <si>
    <t>2021-09-14</t>
  </si>
  <si>
    <t>2021-09-15</t>
  </si>
  <si>
    <t>2021-09-16</t>
  </si>
  <si>
    <t>2021-09-17</t>
  </si>
  <si>
    <t>2021-09-18</t>
  </si>
  <si>
    <t>2021-09-19</t>
  </si>
  <si>
    <t>2021-09-20</t>
  </si>
  <si>
    <t>2021-09-21</t>
  </si>
  <si>
    <t>2021-09-22</t>
  </si>
  <si>
    <t>2021-09-23</t>
  </si>
  <si>
    <t>2021-09-24</t>
  </si>
  <si>
    <t>2021-09-25</t>
  </si>
  <si>
    <t>2021-09-26</t>
  </si>
  <si>
    <t>2021-09-27</t>
  </si>
  <si>
    <t>2021-09-28</t>
  </si>
  <si>
    <t>2021-09-29</t>
  </si>
  <si>
    <t>2021-09-30</t>
  </si>
  <si>
    <t>2021-10-01</t>
  </si>
  <si>
    <t>2021-10-02</t>
  </si>
  <si>
    <t>2021-10-03</t>
  </si>
  <si>
    <t>2021-10-04</t>
  </si>
  <si>
    <t>2021-10-05</t>
  </si>
  <si>
    <t>2021-10-06</t>
  </si>
  <si>
    <t>2021-10-07</t>
  </si>
  <si>
    <t>2021-10-08</t>
  </si>
  <si>
    <t>2021-10-09</t>
  </si>
  <si>
    <t>2021-10-10</t>
  </si>
  <si>
    <t>2021-10-11</t>
  </si>
  <si>
    <t>2021-10-12</t>
  </si>
  <si>
    <t>2021-10-13</t>
  </si>
  <si>
    <t>2021-10-14</t>
  </si>
  <si>
    <t>2021-10-15</t>
  </si>
  <si>
    <t>2021-10-16</t>
  </si>
  <si>
    <t>2021-10-17</t>
  </si>
  <si>
    <t>2021-10-18</t>
  </si>
  <si>
    <t>2021-10-19</t>
  </si>
  <si>
    <t>2021-10-20</t>
  </si>
  <si>
    <t>2021-10-21</t>
  </si>
  <si>
    <t>2021-10-22</t>
  </si>
  <si>
    <t>2021-10-23</t>
  </si>
  <si>
    <t>2021-10-24</t>
  </si>
  <si>
    <t>2021-10-25</t>
  </si>
  <si>
    <t>2021-10-26</t>
  </si>
  <si>
    <t>2021-10-27</t>
  </si>
  <si>
    <t>2021-10-28</t>
  </si>
  <si>
    <t>2021-10-29</t>
  </si>
  <si>
    <t>2021-10-30</t>
  </si>
  <si>
    <t>2021-10-31</t>
  </si>
  <si>
    <t>2021-11-01</t>
  </si>
  <si>
    <t>2021-11-02</t>
  </si>
  <si>
    <t>2021-11-03</t>
  </si>
  <si>
    <t>2021-11-04</t>
  </si>
  <si>
    <t>2021-11-05</t>
  </si>
  <si>
    <t>2021-11-06</t>
  </si>
  <si>
    <t>2021-11-07</t>
  </si>
  <si>
    <t>2021-11-08</t>
  </si>
  <si>
    <t>2021-11-09</t>
  </si>
  <si>
    <t>2021-11-10</t>
  </si>
  <si>
    <t>2021-11-11</t>
  </si>
  <si>
    <t>2021-11-12</t>
  </si>
  <si>
    <t>2021-11-13</t>
  </si>
  <si>
    <t>2021-11-14</t>
  </si>
  <si>
    <t>2021-11-15</t>
  </si>
  <si>
    <t>2021-11-16</t>
  </si>
  <si>
    <t>2021-11-17</t>
  </si>
  <si>
    <t>2021-11-18</t>
  </si>
  <si>
    <t>2021-11-19</t>
  </si>
  <si>
    <t>2021-11-20</t>
  </si>
  <si>
    <t>2021-11-21</t>
  </si>
  <si>
    <t>2021-11-22</t>
  </si>
  <si>
    <t>2021-11-23</t>
  </si>
  <si>
    <t>2021-11-24</t>
  </si>
  <si>
    <t>2021-11-25</t>
  </si>
  <si>
    <t>2021-11-26</t>
  </si>
  <si>
    <t>2021-11-27</t>
  </si>
  <si>
    <t>2021-11-28</t>
  </si>
  <si>
    <t>2021-11-29</t>
  </si>
  <si>
    <t>2021-11-30</t>
  </si>
  <si>
    <t>2021-12-01</t>
  </si>
  <si>
    <t>2021-12-02</t>
  </si>
  <si>
    <t>2021-12-03</t>
  </si>
  <si>
    <t>2021-12-04</t>
  </si>
  <si>
    <t>2021-12-05</t>
  </si>
  <si>
    <t>2021-12-06</t>
  </si>
  <si>
    <t>2021-12-07</t>
  </si>
  <si>
    <t>2021-12-08</t>
  </si>
  <si>
    <t>2021-12-09</t>
  </si>
  <si>
    <t>2021-12-10</t>
  </si>
  <si>
    <t>2021-12-11</t>
  </si>
  <si>
    <t>2021-12-12</t>
  </si>
  <si>
    <t>2021-12-13</t>
  </si>
  <si>
    <t>2021-12-14</t>
  </si>
  <si>
    <t>2021-12-15</t>
  </si>
  <si>
    <t>2021-12-16</t>
  </si>
  <si>
    <t>2021-12-17</t>
  </si>
  <si>
    <t>2021-12-18</t>
  </si>
  <si>
    <t>2021-12-19</t>
  </si>
  <si>
    <t>2021-12-20</t>
  </si>
  <si>
    <t>2021-12-21</t>
  </si>
  <si>
    <t>2021-12-22</t>
  </si>
  <si>
    <t>2021-12-23</t>
  </si>
  <si>
    <t>2021-12-24</t>
  </si>
  <si>
    <t>2021-12-25</t>
  </si>
  <si>
    <t>2021-12-26</t>
  </si>
  <si>
    <t>2021-12-27</t>
  </si>
  <si>
    <t>2021-12-28</t>
  </si>
  <si>
    <t>2021-12-29</t>
  </si>
  <si>
    <t>2021-12-30</t>
  </si>
  <si>
    <t>2021-12-31</t>
  </si>
  <si>
    <t>2022-01-01</t>
  </si>
  <si>
    <t>2022-01-02</t>
  </si>
  <si>
    <t>2022-01-03</t>
  </si>
  <si>
    <t>2022-01-04</t>
  </si>
  <si>
    <t>2022-01-05</t>
  </si>
  <si>
    <t>2022-01-06</t>
  </si>
  <si>
    <t>2022-01-07</t>
  </si>
  <si>
    <t>2022-01-08</t>
  </si>
  <si>
    <t>2022-01-09</t>
  </si>
  <si>
    <t>2022-01-10</t>
  </si>
  <si>
    <t>2022-01-11</t>
  </si>
  <si>
    <t>2022-01-12</t>
  </si>
  <si>
    <t>2022-01-13</t>
  </si>
  <si>
    <t>2022-01-14</t>
  </si>
  <si>
    <t>2022-01-15</t>
  </si>
  <si>
    <t>2022-01-16</t>
  </si>
  <si>
    <t>2022-01-17</t>
  </si>
  <si>
    <t>2022-01-18</t>
  </si>
  <si>
    <t>2022-01-19</t>
  </si>
  <si>
    <t>2022-01-20</t>
  </si>
  <si>
    <t>2022-01-21</t>
  </si>
  <si>
    <t>2022-01-22</t>
  </si>
  <si>
    <t>2022-01-23</t>
  </si>
  <si>
    <t>2022-01-24</t>
  </si>
  <si>
    <t>2022-01-25</t>
  </si>
  <si>
    <t>2022-01-26</t>
  </si>
  <si>
    <t>2022-01-27</t>
  </si>
  <si>
    <t>2022-01-28</t>
  </si>
  <si>
    <t>2022-01-29</t>
  </si>
  <si>
    <t>2022-01-30</t>
  </si>
  <si>
    <t>2022-01-31</t>
  </si>
  <si>
    <t>2022-02-01</t>
  </si>
  <si>
    <t>2022-02-02</t>
  </si>
  <si>
    <t>2022-02-03</t>
  </si>
  <si>
    <t>2022-02-04</t>
  </si>
  <si>
    <t>2022-02-05</t>
  </si>
  <si>
    <t>2022-02-06</t>
  </si>
  <si>
    <t>2022-02-07</t>
  </si>
  <si>
    <t>2022-02-08</t>
  </si>
  <si>
    <t>2022-02-09</t>
  </si>
  <si>
    <t>2022-02-10</t>
  </si>
  <si>
    <t>2022-02-11</t>
  </si>
  <si>
    <t>2022-02-12</t>
  </si>
  <si>
    <t>2022-02-13</t>
  </si>
  <si>
    <t>2022-02-14</t>
  </si>
  <si>
    <t>2022-02-15</t>
  </si>
  <si>
    <t>2022-02-16</t>
  </si>
  <si>
    <t>2022-02-17</t>
  </si>
  <si>
    <t>2022-02-18</t>
  </si>
  <si>
    <t>2022-02-19</t>
  </si>
  <si>
    <t>2022-02-20</t>
  </si>
  <si>
    <t>2022-02-21</t>
  </si>
  <si>
    <t>2022-02-22</t>
  </si>
  <si>
    <t>2022-02-23</t>
  </si>
  <si>
    <t>2022-02-24</t>
  </si>
  <si>
    <t>2022-02-25</t>
  </si>
  <si>
    <t>2022-02-26</t>
  </si>
  <si>
    <t>2022-02-27</t>
  </si>
  <si>
    <t>2022-02-28</t>
  </si>
  <si>
    <t>2022-03-01</t>
  </si>
  <si>
    <t>2022-03-02</t>
  </si>
  <si>
    <t>2022-03-03</t>
  </si>
  <si>
    <t>2022-03-04</t>
  </si>
  <si>
    <t>2022-03-05</t>
  </si>
  <si>
    <t>2022-03-06</t>
  </si>
  <si>
    <t>2022-03-07</t>
  </si>
  <si>
    <t>2022-03-08</t>
  </si>
  <si>
    <t>2022-03-09</t>
  </si>
  <si>
    <t>2022-03-10</t>
  </si>
  <si>
    <t>2022-03-11</t>
  </si>
  <si>
    <t>2022-03-12</t>
  </si>
  <si>
    <t>2022-03-13</t>
  </si>
  <si>
    <t>2022-03-14</t>
  </si>
  <si>
    <t>2022-03-15</t>
  </si>
  <si>
    <t>2022-03-16</t>
  </si>
  <si>
    <t>2022-03-17</t>
  </si>
  <si>
    <t>2022-03-18</t>
  </si>
  <si>
    <t>2022-03-19</t>
  </si>
  <si>
    <t>2022-03-20</t>
  </si>
  <si>
    <t>2022-03-21</t>
  </si>
  <si>
    <t>2022-03-22</t>
  </si>
  <si>
    <t>2022-03-23</t>
  </si>
  <si>
    <t>2022-03-24</t>
  </si>
  <si>
    <t>2022-03-25</t>
  </si>
  <si>
    <t>2022-03-26</t>
  </si>
  <si>
    <t>2022-03-27</t>
  </si>
  <si>
    <t>2022-03-28</t>
  </si>
  <si>
    <t>2022-03-29</t>
  </si>
  <si>
    <t>2022-03-30</t>
  </si>
  <si>
    <t>2022-03-31</t>
  </si>
  <si>
    <t>2022-04-01</t>
  </si>
  <si>
    <t>2022-04-02</t>
  </si>
  <si>
    <t>2022-04-03</t>
  </si>
  <si>
    <t>2022-04-04</t>
  </si>
  <si>
    <t>2022-04-05</t>
  </si>
  <si>
    <t>2022-04-06</t>
  </si>
  <si>
    <t>2022-04-07</t>
  </si>
  <si>
    <t>2022-04-08</t>
  </si>
  <si>
    <t>2022-04-09</t>
  </si>
  <si>
    <t>2022-04-10</t>
  </si>
  <si>
    <t>2022-04-11</t>
  </si>
  <si>
    <t>2022-04-12</t>
  </si>
  <si>
    <t>2022-04-13</t>
  </si>
  <si>
    <t>2022-04-14</t>
  </si>
  <si>
    <t>2022-04-15</t>
  </si>
  <si>
    <t>2022-04-16</t>
  </si>
  <si>
    <t>2022-04-17</t>
  </si>
  <si>
    <t>2022-04-18</t>
  </si>
  <si>
    <t>2022-04-19</t>
  </si>
  <si>
    <t>2022-04-20</t>
  </si>
  <si>
    <t>2022-04-21</t>
  </si>
  <si>
    <t>2022-04-22</t>
  </si>
  <si>
    <t>2022-04-23</t>
  </si>
  <si>
    <t>2022-04-24</t>
  </si>
  <si>
    <t>2022-04-25</t>
  </si>
  <si>
    <t>2022-04-26</t>
  </si>
  <si>
    <t>2022-04-27</t>
  </si>
  <si>
    <t>2022-04-28</t>
  </si>
  <si>
    <t>2022-04-29</t>
  </si>
  <si>
    <t>2022-04-30</t>
  </si>
  <si>
    <t>2022-05-01</t>
  </si>
  <si>
    <t>2022-05-02</t>
  </si>
  <si>
    <t>2022-05-03</t>
  </si>
  <si>
    <t>2022-05-04</t>
  </si>
  <si>
    <t>2022-05-05</t>
  </si>
  <si>
    <t>2022-05-06</t>
  </si>
  <si>
    <t>2022-05-07</t>
  </si>
  <si>
    <t>2022-05-08</t>
  </si>
  <si>
    <t>2022-05-09</t>
  </si>
  <si>
    <t>2022-05-10</t>
  </si>
  <si>
    <t>2022-05-11</t>
  </si>
  <si>
    <t>2022-05-12</t>
  </si>
  <si>
    <t>2022-05-13</t>
  </si>
  <si>
    <t>2022-05-14</t>
  </si>
  <si>
    <t>2022-05-15</t>
  </si>
  <si>
    <t>2022-05-16</t>
  </si>
  <si>
    <t>2022-05-17</t>
  </si>
  <si>
    <t>2022-05-18</t>
  </si>
  <si>
    <t>2022-05-19</t>
  </si>
  <si>
    <t>2022-05-20</t>
  </si>
  <si>
    <t>2022-05-21</t>
  </si>
  <si>
    <t>2022-05-22</t>
  </si>
  <si>
    <t>2022-05-23</t>
  </si>
  <si>
    <t>2022-05-24</t>
  </si>
  <si>
    <t>2022-05-25</t>
  </si>
</sst>
</file>

<file path=xl/styles.xml><?xml version="1.0" encoding="utf-8"?>
<styleSheet xmlns="http://schemas.openxmlformats.org/spreadsheetml/2006/main">
  <numFmts count="4">
    <numFmt numFmtId="164" formatCode="#,##0.00;[Red](#,##0.00)"/>
    <numFmt numFmtId="165" formatCode="@"/>
    <numFmt numFmtId="166" formatCode="#,##0"/>
    <numFmt numFmtId="167" formatCode="0.00%"/>
  </numFmts>
  <fonts count="7">
    <font>
      <sz val="11"/>
      <color theme="1"/>
      <name val="Calibri"/>
      <family val="2"/>
      <scheme val="minor"/>
    </font>
    <font>
      <b/>
      <sz val="22"/>
      <color rgb="FF17365D"/>
      <name val="Calibri"/>
      <family val="2"/>
      <scheme val="minor"/>
    </font>
    <font>
      <b/>
      <sz val="11"/>
      <color rgb="FF17365D"/>
      <name val="Calibri"/>
      <family val="2"/>
      <scheme val="minor"/>
    </font>
    <font>
      <u/>
      <sz val="11"/>
      <color theme="10"/>
      <name val="Calibri"/>
      <family val="2"/>
    </font>
    <font>
      <b/>
      <sz val="11"/>
      <color rgb="FFFFFFFF"/>
      <name val="Calibri"/>
      <family val="2"/>
      <scheme val="minor"/>
    </font>
    <font>
      <sz val="11"/>
      <color rgb="FF1763A6"/>
      <name val="Calibri"/>
      <family val="2"/>
      <scheme val="minor"/>
    </font>
    <font>
      <sz val="11"/>
      <color rgb="FF666666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E2F0D9"/>
        <bgColor indexed="64"/>
      </patternFill>
    </fill>
    <fill>
      <patternFill patternType="solid">
        <fgColor rgb="FF17365D"/>
        <bgColor indexed="64"/>
      </patternFill>
    </fill>
    <fill>
      <patternFill patternType="solid">
        <fgColor rgb="FFF2F2F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1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Alignment="1">
      <alignment vertical="top" wrapText="1"/>
    </xf>
    <xf numFmtId="0" fontId="3" fillId="0" borderId="0" xfId="1" applyAlignment="1" applyProtection="1"/>
    <xf numFmtId="164" fontId="0" fillId="2" borderId="0" xfId="0" applyNumberFormat="1" applyFill="1"/>
    <xf numFmtId="0" fontId="4" fillId="3" borderId="0" xfId="0" applyFont="1" applyFill="1" applyAlignment="1">
      <alignment wrapText="1"/>
    </xf>
    <xf numFmtId="165" fontId="5" fillId="0" borderId="0" xfId="0" applyNumberFormat="1" applyFont="1"/>
    <xf numFmtId="0" fontId="6" fillId="4" borderId="0" xfId="0" applyFont="1" applyFill="1"/>
    <xf numFmtId="166" fontId="5" fillId="0" borderId="0" xfId="0" applyNumberFormat="1" applyFont="1"/>
    <xf numFmtId="167" fontId="5" fillId="0" borderId="0" xfId="0" applyNumberFormat="1" applyFon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B2:H36"/>
  <sheetViews>
    <sheetView showGridLines="0" tabSelected="1" workbookViewId="0"/>
  </sheetViews>
  <sheetFormatPr defaultRowHeight="15"/>
  <cols>
    <col min="1" max="1" width="3.7109375" customWidth="1"/>
    <col min="2" max="2" width="28.7109375" customWidth="1"/>
    <col min="3" max="8" width="13.7109375" customWidth="1"/>
  </cols>
  <sheetData>
    <row r="2" spans="2:8">
      <c r="B2" s="1" t="s">
        <v>0</v>
      </c>
      <c r="C2" s="1"/>
      <c r="D2" s="1"/>
      <c r="E2" s="1"/>
      <c r="F2" s="1"/>
      <c r="G2" s="1"/>
      <c r="H2" s="1"/>
    </row>
    <row r="3" spans="2:8">
      <c r="B3" s="1"/>
      <c r="C3" s="1"/>
      <c r="D3" s="1"/>
      <c r="E3" s="1"/>
      <c r="F3" s="1"/>
      <c r="G3" s="1"/>
      <c r="H3" s="1"/>
    </row>
    <row r="5" spans="2:8">
      <c r="B5" s="2" t="s">
        <v>1</v>
      </c>
    </row>
    <row r="6" spans="2:8" ht="24.75" customHeight="1">
      <c r="B6" s="3" t="s">
        <v>2</v>
      </c>
      <c r="C6" s="3"/>
      <c r="D6" s="3"/>
      <c r="E6" s="3"/>
      <c r="F6" s="3"/>
      <c r="G6" s="3"/>
      <c r="H6" s="3"/>
    </row>
    <row r="7" spans="2:8" ht="24.75" customHeight="1">
      <c r="B7" s="3"/>
      <c r="C7" s="3"/>
      <c r="D7" s="3"/>
      <c r="E7" s="3"/>
      <c r="F7" s="3"/>
      <c r="G7" s="3"/>
      <c r="H7" s="3"/>
    </row>
    <row r="8" spans="2:8">
      <c r="B8" s="2" t="s">
        <v>3</v>
      </c>
    </row>
    <row r="9" spans="2:8" ht="24.75" customHeight="1">
      <c r="B9" s="3" t="s">
        <v>4</v>
      </c>
      <c r="C9" s="3"/>
      <c r="D9" s="3"/>
      <c r="E9" s="3"/>
      <c r="F9" s="3"/>
      <c r="G9" s="3"/>
      <c r="H9" s="3"/>
    </row>
    <row r="10" spans="2:8" ht="24.75" customHeight="1">
      <c r="B10" s="3"/>
      <c r="C10" s="3"/>
      <c r="D10" s="3"/>
      <c r="E10" s="3"/>
      <c r="F10" s="3"/>
      <c r="G10" s="3"/>
      <c r="H10" s="3"/>
    </row>
    <row r="11" spans="2:8">
      <c r="B11" s="2" t="s">
        <v>5</v>
      </c>
    </row>
    <row r="12" spans="2:8" ht="24.75" customHeight="1">
      <c r="B12" s="3" t="s">
        <v>6</v>
      </c>
      <c r="C12" s="3"/>
      <c r="D12" s="3"/>
      <c r="E12" s="3"/>
      <c r="F12" s="3"/>
      <c r="G12" s="3"/>
      <c r="H12" s="3"/>
    </row>
    <row r="13" spans="2:8" ht="24.75" customHeight="1">
      <c r="B13" s="3"/>
      <c r="C13" s="3"/>
      <c r="D13" s="3"/>
      <c r="E13" s="3"/>
      <c r="F13" s="3"/>
      <c r="G13" s="3"/>
      <c r="H13" s="3"/>
    </row>
    <row r="14" spans="2:8">
      <c r="B14" s="2" t="s">
        <v>7</v>
      </c>
    </row>
    <row r="15" spans="2:8" ht="24.75" customHeight="1">
      <c r="B15" s="3" t="s">
        <v>8</v>
      </c>
      <c r="C15" s="3"/>
      <c r="D15" s="3"/>
      <c r="E15" s="3"/>
      <c r="F15" s="3"/>
      <c r="G15" s="3"/>
      <c r="H15" s="3"/>
    </row>
    <row r="16" spans="2:8" ht="24.75" customHeight="1">
      <c r="B16" s="3"/>
      <c r="C16" s="3"/>
      <c r="D16" s="3"/>
      <c r="E16" s="3"/>
      <c r="F16" s="3"/>
      <c r="G16" s="3"/>
      <c r="H16" s="3"/>
    </row>
    <row r="17" spans="2:8">
      <c r="B17" s="2" t="s">
        <v>9</v>
      </c>
    </row>
    <row r="18" spans="2:8" ht="24.75" customHeight="1">
      <c r="B18" s="3" t="s">
        <v>10</v>
      </c>
      <c r="C18" s="3"/>
      <c r="D18" s="3"/>
      <c r="E18" s="3"/>
      <c r="F18" s="3"/>
      <c r="G18" s="3"/>
      <c r="H18" s="3"/>
    </row>
    <row r="19" spans="2:8" ht="24.75" customHeight="1">
      <c r="B19" s="3"/>
      <c r="C19" s="3"/>
      <c r="D19" s="3"/>
      <c r="E19" s="3"/>
      <c r="F19" s="3"/>
      <c r="G19" s="3"/>
      <c r="H19" s="3"/>
    </row>
    <row r="20" spans="2:8">
      <c r="B20" s="2" t="s">
        <v>11</v>
      </c>
    </row>
    <row r="21" spans="2:8" ht="24.75" customHeight="1">
      <c r="B21" s="3" t="s">
        <v>12</v>
      </c>
      <c r="C21" s="3"/>
      <c r="D21" s="3"/>
      <c r="E21" s="3"/>
      <c r="F21" s="3"/>
      <c r="G21" s="3"/>
      <c r="H21" s="3"/>
    </row>
    <row r="22" spans="2:8" ht="24.75" customHeight="1">
      <c r="B22" s="3"/>
      <c r="C22" s="3"/>
      <c r="D22" s="3"/>
      <c r="E22" s="3"/>
      <c r="F22" s="3"/>
      <c r="G22" s="3"/>
      <c r="H22" s="3"/>
    </row>
    <row r="23" spans="2:8">
      <c r="B23" s="2" t="s">
        <v>13</v>
      </c>
    </row>
    <row r="24" spans="2:8" ht="24.75" customHeight="1">
      <c r="B24" s="3" t="s">
        <v>14</v>
      </c>
      <c r="C24" s="3"/>
      <c r="D24" s="3"/>
      <c r="E24" s="3"/>
      <c r="F24" s="3"/>
      <c r="G24" s="3"/>
      <c r="H24" s="3"/>
    </row>
    <row r="25" spans="2:8" ht="24.75" customHeight="1">
      <c r="B25" s="3"/>
      <c r="C25" s="3"/>
      <c r="D25" s="3"/>
      <c r="E25" s="3"/>
      <c r="F25" s="3"/>
      <c r="G25" s="3"/>
      <c r="H25" s="3"/>
    </row>
    <row r="27" spans="2:8">
      <c r="B27" s="4" t="s">
        <v>15</v>
      </c>
    </row>
    <row r="29" spans="2:8">
      <c r="B29" t="s">
        <v>16</v>
      </c>
      <c r="C29">
        <f>COUNT(Origination!G2:G10001)</f>
        <v/>
      </c>
    </row>
    <row r="30" spans="2:8">
      <c r="B30" t="s">
        <v>17</v>
      </c>
      <c r="C30" s="5">
        <f>SUM(Origination!G2:G10001)</f>
        <v/>
      </c>
    </row>
    <row r="32" spans="2:8">
      <c r="B32" t="s">
        <v>18</v>
      </c>
    </row>
    <row r="33" spans="2:8">
      <c r="B33" s="3">
        <f>QS.ENGINE.STATUS()</f>
        <v/>
      </c>
      <c r="C33" s="3"/>
      <c r="D33" s="3"/>
      <c r="E33" s="3"/>
      <c r="F33" s="3"/>
      <c r="G33" s="3"/>
      <c r="H33" s="3"/>
    </row>
    <row r="34" spans="2:8">
      <c r="B34" s="3"/>
      <c r="C34" s="3"/>
      <c r="D34" s="3"/>
      <c r="E34" s="3"/>
      <c r="F34" s="3"/>
      <c r="G34" s="3"/>
      <c r="H34" s="3"/>
    </row>
    <row r="35" spans="2:8">
      <c r="B35" s="3"/>
      <c r="C35" s="3"/>
      <c r="D35" s="3"/>
      <c r="E35" s="3"/>
      <c r="F35" s="3"/>
      <c r="G35" s="3"/>
      <c r="H35" s="3"/>
    </row>
    <row r="36" spans="2:8">
      <c r="B36" s="3"/>
      <c r="C36" s="3"/>
      <c r="D36" s="3"/>
      <c r="E36" s="3"/>
      <c r="F36" s="3"/>
      <c r="G36" s="3"/>
      <c r="H36" s="3"/>
    </row>
  </sheetData>
  <mergeCells count="9">
    <mergeCell ref="B2:H3"/>
    <mergeCell ref="B6:H7"/>
    <mergeCell ref="B9:H10"/>
    <mergeCell ref="B12:H13"/>
    <mergeCell ref="B15:H16"/>
    <mergeCell ref="B18:H19"/>
    <mergeCell ref="B21:H22"/>
    <mergeCell ref="B24:H25"/>
    <mergeCell ref="B33:H36"/>
  </mergeCells>
  <hyperlinks>
    <hyperlink ref="B27" location="'Origination'!A1" display="Open the 10,000 valuation rows →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0001"/>
  <sheetViews>
    <sheetView showGridLines="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2" width="16.7109375" customWidth="1"/>
    <col min="3" max="7" width="23.7109375" customWidth="1"/>
    <col min="8" max="8" width="16.7109375" customWidth="1"/>
    <col min="9" max="10" width="17.7109375" customWidth="1"/>
    <col min="11" max="11" width="34.7109375" customWidth="1"/>
    <col min="12" max="12" width="16.7109375" customWidth="1"/>
  </cols>
  <sheetData>
    <row r="1" spans="1:12" ht="32.25" customHeight="1">
      <c r="A1" s="6" t="s">
        <v>19</v>
      </c>
      <c r="B1" s="6" t="s">
        <v>20</v>
      </c>
      <c r="C1" s="6" t="s">
        <v>21</v>
      </c>
      <c r="D1" s="6" t="s">
        <v>22</v>
      </c>
      <c r="E1" s="6" t="s">
        <v>23</v>
      </c>
      <c r="F1" s="6" t="s">
        <v>24</v>
      </c>
      <c r="G1" s="6" t="s">
        <v>25</v>
      </c>
      <c r="H1" s="6" t="s">
        <v>26</v>
      </c>
      <c r="I1" s="6" t="s">
        <v>27</v>
      </c>
      <c r="J1" s="6" t="s">
        <v>28</v>
      </c>
      <c r="K1" s="6" t="s">
        <v>29</v>
      </c>
      <c r="L1" s="6" t="s">
        <v>30</v>
      </c>
    </row>
    <row r="2" spans="1:12">
      <c r="A2" s="7" t="s">
        <v>37</v>
      </c>
      <c r="B2" s="7" t="s">
        <v>38</v>
      </c>
      <c r="C2" s="8">
        <f>QS.CONTEXT.CREATE("market.0",A2,"USD","SOFR")</f>
        <v/>
      </c>
      <c r="D2" s="8">
        <f>QS.CONTEXT.ADD.CURVE(C2,"SOFR",$K$2:$K$7,$L$2:$L$7,,,"Actual360","LogLinear",TRUE)</f>
        <v/>
      </c>
      <c r="E2" s="8">
        <f>QS.INSTRUMENT.SWAP("swap.0",C2,H2,B2,"USD","SOFR",I2,J2,0,"Actual360","Simple","Annual","Annual","Annual")</f>
        <v/>
      </c>
      <c r="F2" s="8">
        <f>QS.TRADE.CREATE("trade.0",C2,E2,A2,"Receive")</f>
        <v/>
      </c>
      <c r="G2" s="5" cm="1" t="str">
        <f t="array" ref="G2">QS.EVALUATE.RANGE(C2:C10001,F2:F10001)</f>
        <v/>
      </c>
      <c r="H2" s="7" t="s">
        <v>39</v>
      </c>
      <c r="I2" s="9">
        <v>1000000</v>
      </c>
      <c r="J2" s="10">
        <v>0.035</v>
      </c>
      <c r="K2" s="7" t="s">
        <v>31</v>
      </c>
      <c r="L2" s="10">
        <v>0.0305</v>
      </c>
    </row>
    <row r="3" spans="1:12">
      <c r="A3" s="7" t="s">
        <v>40</v>
      </c>
      <c r="B3" s="7" t="s">
        <v>41</v>
      </c>
      <c r="C3" s="8">
        <f>QS.CONTEXT.CREATE("market.1",A3,"USD","SOFR")</f>
        <v/>
      </c>
      <c r="D3" s="8">
        <f>QS.CONTEXT.ADD.CURVE(C3,"SOFR",$K$2:$K$7,$L$2:$L$7,,,"Actual360","LogLinear",TRUE)</f>
        <v/>
      </c>
      <c r="E3" s="8">
        <f>QS.INSTRUMENT.SWAP("swap.1",C3,H3,B3,"USD","SOFR",I3,J3,0,"Actual360","Simple","Annual","Annual","Annual")</f>
        <v/>
      </c>
      <c r="F3" s="8">
        <f>QS.TRADE.CREATE("trade.1",C3,E3,A3,"Receive")</f>
        <v/>
      </c>
      <c r="G3" s="5"/>
      <c r="H3" s="7" t="s">
        <v>42</v>
      </c>
      <c r="I3" s="9">
        <v>1000100</v>
      </c>
      <c r="J3" s="10">
        <v>0.03510000000000001</v>
      </c>
      <c r="K3" s="7" t="s">
        <v>32</v>
      </c>
      <c r="L3" s="10">
        <v>0.031</v>
      </c>
    </row>
    <row r="4" spans="1:12">
      <c r="A4" s="7" t="s">
        <v>43</v>
      </c>
      <c r="B4" s="7" t="s">
        <v>44</v>
      </c>
      <c r="C4" s="8">
        <f>QS.CONTEXT.CREATE("market.2",A4,"USD","SOFR")</f>
        <v/>
      </c>
      <c r="D4" s="8">
        <f>QS.CONTEXT.ADD.CURVE(C4,"SOFR",$K$2:$K$7,$L$2:$L$7,,,"Actual360","LogLinear",TRUE)</f>
        <v/>
      </c>
      <c r="E4" s="8">
        <f>QS.INSTRUMENT.SWAP("swap.2",C4,H4,B4,"USD","SOFR",I4,J4,0,"Actual360","Simple","Annual","Annual","Annual")</f>
        <v/>
      </c>
      <c r="F4" s="8">
        <f>QS.TRADE.CREATE("trade.2",C4,E4,A4,"Receive")</f>
        <v/>
      </c>
      <c r="G4" s="5"/>
      <c r="H4" s="7" t="s">
        <v>45</v>
      </c>
      <c r="I4" s="9">
        <v>1000200</v>
      </c>
      <c r="J4" s="10">
        <v>0.0352</v>
      </c>
      <c r="K4" s="7" t="s">
        <v>33</v>
      </c>
      <c r="L4" s="10">
        <v>0.0315</v>
      </c>
    </row>
    <row r="5" spans="1:12">
      <c r="A5" s="7" t="s">
        <v>46</v>
      </c>
      <c r="B5" s="7" t="s">
        <v>47</v>
      </c>
      <c r="C5" s="8">
        <f>QS.CONTEXT.CREATE("market.3",A5,"USD","SOFR")</f>
        <v/>
      </c>
      <c r="D5" s="8">
        <f>QS.CONTEXT.ADD.CURVE(C5,"SOFR",$K$2:$K$7,$L$2:$L$7,,,"Actual360","LogLinear",TRUE)</f>
        <v/>
      </c>
      <c r="E5" s="8">
        <f>QS.INSTRUMENT.SWAP("swap.3",C5,H5,B5,"USD","SOFR",I5,J5,0,"Actual360","Simple","Annual","Annual","Annual")</f>
        <v/>
      </c>
      <c r="F5" s="8">
        <f>QS.TRADE.CREATE("trade.3",C5,E5,A5,"Receive")</f>
        <v/>
      </c>
      <c r="G5" s="5"/>
      <c r="H5" s="7" t="s">
        <v>48</v>
      </c>
      <c r="I5" s="9">
        <v>1000300</v>
      </c>
      <c r="J5" s="10">
        <v>0.0353</v>
      </c>
      <c r="K5" s="7" t="s">
        <v>34</v>
      </c>
      <c r="L5" s="10">
        <v>0.032</v>
      </c>
    </row>
    <row r="6" spans="1:12">
      <c r="A6" s="7" t="s">
        <v>49</v>
      </c>
      <c r="B6" s="7" t="s">
        <v>50</v>
      </c>
      <c r="C6" s="8">
        <f>QS.CONTEXT.CREATE("market.4",A6,"USD","SOFR")</f>
        <v/>
      </c>
      <c r="D6" s="8">
        <f>QS.CONTEXT.ADD.CURVE(C6,"SOFR",$K$2:$K$7,$L$2:$L$7,,,"Actual360","LogLinear",TRUE)</f>
        <v/>
      </c>
      <c r="E6" s="8">
        <f>QS.INSTRUMENT.SWAP("swap.4",C6,H6,B6,"USD","SOFR",I6,J6,0,"Actual360","Simple","Annual","Annual","Annual")</f>
        <v/>
      </c>
      <c r="F6" s="8">
        <f>QS.TRADE.CREATE("trade.4",C6,E6,A6,"Receive")</f>
        <v/>
      </c>
      <c r="G6" s="5"/>
      <c r="H6" s="7" t="s">
        <v>51</v>
      </c>
      <c r="I6" s="9">
        <v>1000400</v>
      </c>
      <c r="J6" s="10">
        <v>0.0354</v>
      </c>
      <c r="K6" s="7" t="s">
        <v>35</v>
      </c>
      <c r="L6" s="10">
        <v>0.0325</v>
      </c>
    </row>
    <row r="7" spans="1:12">
      <c r="A7" s="7" t="s">
        <v>52</v>
      </c>
      <c r="B7" s="7" t="s">
        <v>53</v>
      </c>
      <c r="C7" s="8">
        <f>QS.CONTEXT.CREATE("market.5",A7,"USD","SOFR")</f>
        <v/>
      </c>
      <c r="D7" s="8">
        <f>QS.CONTEXT.ADD.CURVE(C7,"SOFR",$K$2:$K$7,$L$2:$L$7,,,"Actual360","LogLinear",TRUE)</f>
        <v/>
      </c>
      <c r="E7" s="8">
        <f>QS.INSTRUMENT.SWAP("swap.5",C7,H7,B7,"USD","SOFR",I7,J7,0,"Actual360","Simple","Annual","Annual","Annual")</f>
        <v/>
      </c>
      <c r="F7" s="8">
        <f>QS.TRADE.CREATE("trade.5",C7,E7,A7,"Receive")</f>
        <v/>
      </c>
      <c r="G7" s="5"/>
      <c r="H7" s="7" t="s">
        <v>54</v>
      </c>
      <c r="I7" s="9">
        <v>1000500</v>
      </c>
      <c r="J7" s="10">
        <v>0.0355</v>
      </c>
      <c r="K7" s="7" t="s">
        <v>36</v>
      </c>
      <c r="L7" s="10">
        <v>0.033</v>
      </c>
    </row>
    <row r="8" spans="1:12">
      <c r="A8" s="7" t="s">
        <v>55</v>
      </c>
      <c r="B8" s="7" t="s">
        <v>56</v>
      </c>
      <c r="C8" s="8">
        <f>QS.CONTEXT.CREATE("market.6",A8,"USD","SOFR")</f>
        <v/>
      </c>
      <c r="D8" s="8">
        <f>QS.CONTEXT.ADD.CURVE(C8,"SOFR",$K$2:$K$7,$L$2:$L$7,,,"Actual360","LogLinear",TRUE)</f>
        <v/>
      </c>
      <c r="E8" s="8">
        <f>QS.INSTRUMENT.SWAP("swap.6",C8,H8,B8,"USD","SOFR",I8,J8,0,"Actual360","Simple","Annual","Annual","Annual")</f>
        <v/>
      </c>
      <c r="F8" s="8">
        <f>QS.TRADE.CREATE("trade.6",C8,E8,A8,"Receive")</f>
        <v/>
      </c>
      <c r="G8" s="5"/>
      <c r="H8" s="7" t="s">
        <v>57</v>
      </c>
      <c r="I8" s="9">
        <v>1000600</v>
      </c>
      <c r="J8" s="10">
        <v>0.03560000000000001</v>
      </c>
    </row>
    <row r="9" spans="1:12">
      <c r="A9" s="7" t="s">
        <v>39</v>
      </c>
      <c r="B9" s="7" t="s">
        <v>58</v>
      </c>
      <c r="C9" s="8">
        <f>QS.CONTEXT.CREATE("market.7",A9,"USD","SOFR")</f>
        <v/>
      </c>
      <c r="D9" s="8">
        <f>QS.CONTEXT.ADD.CURVE(C9,"SOFR",$K$2:$K$7,$L$2:$L$7,,,"Actual360","LogLinear",TRUE)</f>
        <v/>
      </c>
      <c r="E9" s="8">
        <f>QS.INSTRUMENT.SWAP("swap.7",C9,H9,B9,"USD","SOFR",I9,J9,0,"Actual360","Simple","Annual","Annual","Annual")</f>
        <v/>
      </c>
      <c r="F9" s="8">
        <f>QS.TRADE.CREATE("trade.7",C9,E9,A9,"Receive")</f>
        <v/>
      </c>
      <c r="G9" s="5"/>
      <c r="H9" s="7" t="s">
        <v>59</v>
      </c>
      <c r="I9" s="9">
        <v>1000700</v>
      </c>
      <c r="J9" s="10">
        <v>0.0357</v>
      </c>
    </row>
    <row r="10" spans="1:12">
      <c r="A10" s="7" t="s">
        <v>42</v>
      </c>
      <c r="B10" s="7" t="s">
        <v>60</v>
      </c>
      <c r="C10" s="8">
        <f>QS.CONTEXT.CREATE("market.8",A10,"USD","SOFR")</f>
        <v/>
      </c>
      <c r="D10" s="8">
        <f>QS.CONTEXT.ADD.CURVE(C10,"SOFR",$K$2:$K$7,$L$2:$L$7,,,"Actual360","LogLinear",TRUE)</f>
        <v/>
      </c>
      <c r="E10" s="8">
        <f>QS.INSTRUMENT.SWAP("swap.8",C10,H10,B10,"USD","SOFR",I10,J10,0,"Actual360","Simple","Annual","Annual","Annual")</f>
        <v/>
      </c>
      <c r="F10" s="8">
        <f>QS.TRADE.CREATE("trade.8",C10,E10,A10,"Receive")</f>
        <v/>
      </c>
      <c r="G10" s="5"/>
      <c r="H10" s="7" t="s">
        <v>61</v>
      </c>
      <c r="I10" s="9">
        <v>1000800</v>
      </c>
      <c r="J10" s="10">
        <v>0.03580000000000001</v>
      </c>
    </row>
    <row r="11" spans="1:12">
      <c r="A11" s="7" t="s">
        <v>45</v>
      </c>
      <c r="B11" s="7" t="s">
        <v>62</v>
      </c>
      <c r="C11" s="8">
        <f>QS.CONTEXT.CREATE("market.9",A11,"USD","SOFR")</f>
        <v/>
      </c>
      <c r="D11" s="8">
        <f>QS.CONTEXT.ADD.CURVE(C11,"SOFR",$K$2:$K$7,$L$2:$L$7,,,"Actual360","LogLinear",TRUE)</f>
        <v/>
      </c>
      <c r="E11" s="8">
        <f>QS.INSTRUMENT.SWAP("swap.9",C11,H11,B11,"USD","SOFR",I11,J11,0,"Actual360","Simple","Annual","Annual","Annual")</f>
        <v/>
      </c>
      <c r="F11" s="8">
        <f>QS.TRADE.CREATE("trade.9",C11,E11,A11,"Receive")</f>
        <v/>
      </c>
      <c r="G11" s="5"/>
      <c r="H11" s="7" t="s">
        <v>63</v>
      </c>
      <c r="I11" s="9">
        <v>1000900</v>
      </c>
      <c r="J11" s="10">
        <v>0.0359</v>
      </c>
    </row>
    <row r="12" spans="1:12">
      <c r="A12" s="7" t="s">
        <v>48</v>
      </c>
      <c r="B12" s="7" t="s">
        <v>64</v>
      </c>
      <c r="C12" s="8">
        <f>QS.CONTEXT.CREATE("market.10",A12,"USD","SOFR")</f>
        <v/>
      </c>
      <c r="D12" s="8">
        <f>QS.CONTEXT.ADD.CURVE(C12,"SOFR",$K$2:$K$7,$L$2:$L$7,,,"Actual360","LogLinear",TRUE)</f>
        <v/>
      </c>
      <c r="E12" s="8">
        <f>QS.INSTRUMENT.SWAP("swap.10",C12,H12,B12,"USD","SOFR",I12,J12,0,"Actual360","Simple","Annual","Annual","Annual")</f>
        <v/>
      </c>
      <c r="F12" s="8">
        <f>QS.TRADE.CREATE("trade.10",C12,E12,A12,"Receive")</f>
        <v/>
      </c>
      <c r="G12" s="5"/>
      <c r="H12" s="7" t="s">
        <v>65</v>
      </c>
      <c r="I12" s="9">
        <v>1001000</v>
      </c>
      <c r="J12" s="10">
        <v>0.036</v>
      </c>
    </row>
    <row r="13" spans="1:12">
      <c r="A13" s="7" t="s">
        <v>51</v>
      </c>
      <c r="B13" s="7" t="s">
        <v>66</v>
      </c>
      <c r="C13" s="8">
        <f>QS.CONTEXT.CREATE("market.11",A13,"USD","SOFR")</f>
        <v/>
      </c>
      <c r="D13" s="8">
        <f>QS.CONTEXT.ADD.CURVE(C13,"SOFR",$K$2:$K$7,$L$2:$L$7,,,"Actual360","LogLinear",TRUE)</f>
        <v/>
      </c>
      <c r="E13" s="8">
        <f>QS.INSTRUMENT.SWAP("swap.11",C13,H13,B13,"USD","SOFR",I13,J13,0,"Actual360","Simple","Annual","Annual","Annual")</f>
        <v/>
      </c>
      <c r="F13" s="8">
        <f>QS.TRADE.CREATE("trade.11",C13,E13,A13,"Receive")</f>
        <v/>
      </c>
      <c r="G13" s="5"/>
      <c r="H13" s="7" t="s">
        <v>67</v>
      </c>
      <c r="I13" s="9">
        <v>1001100</v>
      </c>
      <c r="J13" s="10">
        <v>0.0361</v>
      </c>
    </row>
    <row r="14" spans="1:12">
      <c r="A14" s="7" t="s">
        <v>54</v>
      </c>
      <c r="B14" s="7" t="s">
        <v>68</v>
      </c>
      <c r="C14" s="8">
        <f>QS.CONTEXT.CREATE("market.12",A14,"USD","SOFR")</f>
        <v/>
      </c>
      <c r="D14" s="8">
        <f>QS.CONTEXT.ADD.CURVE(C14,"SOFR",$K$2:$K$7,$L$2:$L$7,,,"Actual360","LogLinear",TRUE)</f>
        <v/>
      </c>
      <c r="E14" s="8">
        <f>QS.INSTRUMENT.SWAP("swap.12",C14,H14,B14,"USD","SOFR",I14,J14,0,"Actual360","Simple","Annual","Annual","Annual")</f>
        <v/>
      </c>
      <c r="F14" s="8">
        <f>QS.TRADE.CREATE("trade.12",C14,E14,A14,"Receive")</f>
        <v/>
      </c>
      <c r="G14" s="5"/>
      <c r="H14" s="7" t="s">
        <v>69</v>
      </c>
      <c r="I14" s="9">
        <v>1001200</v>
      </c>
      <c r="J14" s="10">
        <v>0.0362</v>
      </c>
    </row>
    <row r="15" spans="1:12">
      <c r="A15" s="7" t="s">
        <v>57</v>
      </c>
      <c r="B15" s="7" t="s">
        <v>70</v>
      </c>
      <c r="C15" s="8">
        <f>QS.CONTEXT.CREATE("market.13",A15,"USD","SOFR")</f>
        <v/>
      </c>
      <c r="D15" s="8">
        <f>QS.CONTEXT.ADD.CURVE(C15,"SOFR",$K$2:$K$7,$L$2:$L$7,,,"Actual360","LogLinear",TRUE)</f>
        <v/>
      </c>
      <c r="E15" s="8">
        <f>QS.INSTRUMENT.SWAP("swap.13",C15,H15,B15,"USD","SOFR",I15,J15,0,"Actual360","Simple","Annual","Annual","Annual")</f>
        <v/>
      </c>
      <c r="F15" s="8">
        <f>QS.TRADE.CREATE("trade.13",C15,E15,A15,"Receive")</f>
        <v/>
      </c>
      <c r="G15" s="5"/>
      <c r="H15" s="7" t="s">
        <v>71</v>
      </c>
      <c r="I15" s="9">
        <v>1001300</v>
      </c>
      <c r="J15" s="10">
        <v>0.03630000000000001</v>
      </c>
    </row>
    <row r="16" spans="1:12">
      <c r="A16" s="7" t="s">
        <v>59</v>
      </c>
      <c r="B16" s="7" t="s">
        <v>72</v>
      </c>
      <c r="C16" s="8">
        <f>QS.CONTEXT.CREATE("market.14",A16,"USD","SOFR")</f>
        <v/>
      </c>
      <c r="D16" s="8">
        <f>QS.CONTEXT.ADD.CURVE(C16,"SOFR",$K$2:$K$7,$L$2:$L$7,,,"Actual360","LogLinear",TRUE)</f>
        <v/>
      </c>
      <c r="E16" s="8">
        <f>QS.INSTRUMENT.SWAP("swap.14",C16,H16,B16,"USD","SOFR",I16,J16,0,"Actual360","Simple","Annual","Annual","Annual")</f>
        <v/>
      </c>
      <c r="F16" s="8">
        <f>QS.TRADE.CREATE("trade.14",C16,E16,A16,"Receive")</f>
        <v/>
      </c>
      <c r="G16" s="5"/>
      <c r="H16" s="7" t="s">
        <v>73</v>
      </c>
      <c r="I16" s="9">
        <v>1001400</v>
      </c>
      <c r="J16" s="10">
        <v>0.0364</v>
      </c>
    </row>
    <row r="17" spans="1:10">
      <c r="A17" s="7" t="s">
        <v>61</v>
      </c>
      <c r="B17" s="7" t="s">
        <v>74</v>
      </c>
      <c r="C17" s="8">
        <f>QS.CONTEXT.CREATE("market.15",A17,"USD","SOFR")</f>
        <v/>
      </c>
      <c r="D17" s="8">
        <f>QS.CONTEXT.ADD.CURVE(C17,"SOFR",$K$2:$K$7,$L$2:$L$7,,,"Actual360","LogLinear",TRUE)</f>
        <v/>
      </c>
      <c r="E17" s="8">
        <f>QS.INSTRUMENT.SWAP("swap.15",C17,H17,B17,"USD","SOFR",I17,J17,0,"Actual360","Simple","Annual","Annual","Annual")</f>
        <v/>
      </c>
      <c r="F17" s="8">
        <f>QS.TRADE.CREATE("trade.15",C17,E17,A17,"Receive")</f>
        <v/>
      </c>
      <c r="G17" s="5"/>
      <c r="H17" s="7" t="s">
        <v>75</v>
      </c>
      <c r="I17" s="9">
        <v>1001500</v>
      </c>
      <c r="J17" s="10">
        <v>0.0365</v>
      </c>
    </row>
    <row r="18" spans="1:10">
      <c r="A18" s="7" t="s">
        <v>63</v>
      </c>
      <c r="B18" s="7" t="s">
        <v>76</v>
      </c>
      <c r="C18" s="8">
        <f>QS.CONTEXT.CREATE("market.16",A18,"USD","SOFR")</f>
        <v/>
      </c>
      <c r="D18" s="8">
        <f>QS.CONTEXT.ADD.CURVE(C18,"SOFR",$K$2:$K$7,$L$2:$L$7,,,"Actual360","LogLinear",TRUE)</f>
        <v/>
      </c>
      <c r="E18" s="8">
        <f>QS.INSTRUMENT.SWAP("swap.16",C18,H18,B18,"USD","SOFR",I18,J18,0,"Actual360","Simple","Annual","Annual","Annual")</f>
        <v/>
      </c>
      <c r="F18" s="8">
        <f>QS.TRADE.CREATE("trade.16",C18,E18,A18,"Receive")</f>
        <v/>
      </c>
      <c r="G18" s="5"/>
      <c r="H18" s="7" t="s">
        <v>77</v>
      </c>
      <c r="I18" s="9">
        <v>1001600</v>
      </c>
      <c r="J18" s="10">
        <v>0.0366</v>
      </c>
    </row>
    <row r="19" spans="1:10">
      <c r="A19" s="7" t="s">
        <v>65</v>
      </c>
      <c r="B19" s="7" t="s">
        <v>78</v>
      </c>
      <c r="C19" s="8">
        <f>QS.CONTEXT.CREATE("market.17",A19,"USD","SOFR")</f>
        <v/>
      </c>
      <c r="D19" s="8">
        <f>QS.CONTEXT.ADD.CURVE(C19,"SOFR",$K$2:$K$7,$L$2:$L$7,,,"Actual360","LogLinear",TRUE)</f>
        <v/>
      </c>
      <c r="E19" s="8">
        <f>QS.INSTRUMENT.SWAP("swap.17",C19,H19,B19,"USD","SOFR",I19,J19,0,"Actual360","Simple","Annual","Annual","Annual")</f>
        <v/>
      </c>
      <c r="F19" s="8">
        <f>QS.TRADE.CREATE("trade.17",C19,E19,A19,"Receive")</f>
        <v/>
      </c>
      <c r="G19" s="5"/>
      <c r="H19" s="7" t="s">
        <v>79</v>
      </c>
      <c r="I19" s="9">
        <v>1001700</v>
      </c>
      <c r="J19" s="10">
        <v>0.0367</v>
      </c>
    </row>
    <row r="20" spans="1:10">
      <c r="A20" s="7" t="s">
        <v>67</v>
      </c>
      <c r="B20" s="7" t="s">
        <v>80</v>
      </c>
      <c r="C20" s="8">
        <f>QS.CONTEXT.CREATE("market.18",A20,"USD","SOFR")</f>
        <v/>
      </c>
      <c r="D20" s="8">
        <f>QS.CONTEXT.ADD.CURVE(C20,"SOFR",$K$2:$K$7,$L$2:$L$7,,,"Actual360","LogLinear",TRUE)</f>
        <v/>
      </c>
      <c r="E20" s="8">
        <f>QS.INSTRUMENT.SWAP("swap.18",C20,H20,B20,"USD","SOFR",I20,J20,0,"Actual360","Simple","Annual","Annual","Annual")</f>
        <v/>
      </c>
      <c r="F20" s="8">
        <f>QS.TRADE.CREATE("trade.18",C20,E20,A20,"Receive")</f>
        <v/>
      </c>
      <c r="G20" s="5"/>
      <c r="H20" s="7" t="s">
        <v>81</v>
      </c>
      <c r="I20" s="9">
        <v>1001800</v>
      </c>
      <c r="J20" s="10">
        <v>0.03680000000000001</v>
      </c>
    </row>
    <row r="21" spans="1:10">
      <c r="A21" s="7" t="s">
        <v>69</v>
      </c>
      <c r="B21" s="7" t="s">
        <v>82</v>
      </c>
      <c r="C21" s="8">
        <f>QS.CONTEXT.CREATE("market.19",A21,"USD","SOFR")</f>
        <v/>
      </c>
      <c r="D21" s="8">
        <f>QS.CONTEXT.ADD.CURVE(C21,"SOFR",$K$2:$K$7,$L$2:$L$7,,,"Actual360","LogLinear",TRUE)</f>
        <v/>
      </c>
      <c r="E21" s="8">
        <f>QS.INSTRUMENT.SWAP("swap.19",C21,H21,B21,"USD","SOFR",I21,J21,0,"Actual360","Simple","Annual","Annual","Annual")</f>
        <v/>
      </c>
      <c r="F21" s="8">
        <f>QS.TRADE.CREATE("trade.19",C21,E21,A21,"Receive")</f>
        <v/>
      </c>
      <c r="G21" s="5"/>
      <c r="H21" s="7" t="s">
        <v>83</v>
      </c>
      <c r="I21" s="9">
        <v>1001900</v>
      </c>
      <c r="J21" s="10">
        <v>0.0369</v>
      </c>
    </row>
    <row r="22" spans="1:10">
      <c r="A22" s="7" t="s">
        <v>71</v>
      </c>
      <c r="B22" s="7" t="s">
        <v>84</v>
      </c>
      <c r="C22" s="8">
        <f>QS.CONTEXT.CREATE("market.20",A22,"USD","SOFR")</f>
        <v/>
      </c>
      <c r="D22" s="8">
        <f>QS.CONTEXT.ADD.CURVE(C22,"SOFR",$K$2:$K$7,$L$2:$L$7,,,"Actual360","LogLinear",TRUE)</f>
        <v/>
      </c>
      <c r="E22" s="8">
        <f>QS.INSTRUMENT.SWAP("swap.20",C22,H22,B22,"USD","SOFR",I22,J22,0,"Actual360","Simple","Annual","Annual","Annual")</f>
        <v/>
      </c>
      <c r="F22" s="8">
        <f>QS.TRADE.CREATE("trade.20",C22,E22,A22,"Receive")</f>
        <v/>
      </c>
      <c r="G22" s="5"/>
      <c r="H22" s="7" t="s">
        <v>85</v>
      </c>
      <c r="I22" s="9">
        <v>1002000</v>
      </c>
      <c r="J22" s="10">
        <v>0.03700000000000001</v>
      </c>
    </row>
    <row r="23" spans="1:10">
      <c r="A23" s="7" t="s">
        <v>73</v>
      </c>
      <c r="B23" s="7" t="s">
        <v>86</v>
      </c>
      <c r="C23" s="8">
        <f>QS.CONTEXT.CREATE("market.21",A23,"USD","SOFR")</f>
        <v/>
      </c>
      <c r="D23" s="8">
        <f>QS.CONTEXT.ADD.CURVE(C23,"SOFR",$K$2:$K$7,$L$2:$L$7,,,"Actual360","LogLinear",TRUE)</f>
        <v/>
      </c>
      <c r="E23" s="8">
        <f>QS.INSTRUMENT.SWAP("swap.21",C23,H23,B23,"USD","SOFR",I23,J23,0,"Actual360","Simple","Annual","Annual","Annual")</f>
        <v/>
      </c>
      <c r="F23" s="8">
        <f>QS.TRADE.CREATE("trade.21",C23,E23,A23,"Receive")</f>
        <v/>
      </c>
      <c r="G23" s="5"/>
      <c r="H23" s="7" t="s">
        <v>87</v>
      </c>
      <c r="I23" s="9">
        <v>1002100</v>
      </c>
      <c r="J23" s="10">
        <v>0.0371</v>
      </c>
    </row>
    <row r="24" spans="1:10">
      <c r="A24" s="7" t="s">
        <v>75</v>
      </c>
      <c r="B24" s="7" t="s">
        <v>88</v>
      </c>
      <c r="C24" s="8">
        <f>QS.CONTEXT.CREATE("market.22",A24,"USD","SOFR")</f>
        <v/>
      </c>
      <c r="D24" s="8">
        <f>QS.CONTEXT.ADD.CURVE(C24,"SOFR",$K$2:$K$7,$L$2:$L$7,,,"Actual360","LogLinear",TRUE)</f>
        <v/>
      </c>
      <c r="E24" s="8">
        <f>QS.INSTRUMENT.SWAP("swap.22",C24,H24,B24,"USD","SOFR",I24,J24,0,"Actual360","Simple","Annual","Annual","Annual")</f>
        <v/>
      </c>
      <c r="F24" s="8">
        <f>QS.TRADE.CREATE("trade.22",C24,E24,A24,"Receive")</f>
        <v/>
      </c>
      <c r="G24" s="5"/>
      <c r="H24" s="7" t="s">
        <v>89</v>
      </c>
      <c r="I24" s="9">
        <v>1002200</v>
      </c>
      <c r="J24" s="10">
        <v>0.0372</v>
      </c>
    </row>
    <row r="25" spans="1:10">
      <c r="A25" s="7" t="s">
        <v>77</v>
      </c>
      <c r="B25" s="7" t="s">
        <v>90</v>
      </c>
      <c r="C25" s="8">
        <f>QS.CONTEXT.CREATE("market.23",A25,"USD","SOFR")</f>
        <v/>
      </c>
      <c r="D25" s="8">
        <f>QS.CONTEXT.ADD.CURVE(C25,"SOFR",$K$2:$K$7,$L$2:$L$7,,,"Actual360","LogLinear",TRUE)</f>
        <v/>
      </c>
      <c r="E25" s="8">
        <f>QS.INSTRUMENT.SWAP("swap.23",C25,H25,B25,"USD","SOFR",I25,J25,0,"Actual360","Simple","Annual","Annual","Annual")</f>
        <v/>
      </c>
      <c r="F25" s="8">
        <f>QS.TRADE.CREATE("trade.23",C25,E25,A25,"Receive")</f>
        <v/>
      </c>
      <c r="G25" s="5"/>
      <c r="H25" s="7" t="s">
        <v>91</v>
      </c>
      <c r="I25" s="9">
        <v>1002300</v>
      </c>
      <c r="J25" s="10">
        <v>0.0373</v>
      </c>
    </row>
    <row r="26" spans="1:10">
      <c r="A26" s="7" t="s">
        <v>79</v>
      </c>
      <c r="B26" s="7" t="s">
        <v>92</v>
      </c>
      <c r="C26" s="8">
        <f>QS.CONTEXT.CREATE("market.24",A26,"USD","SOFR")</f>
        <v/>
      </c>
      <c r="D26" s="8">
        <f>QS.CONTEXT.ADD.CURVE(C26,"SOFR",$K$2:$K$7,$L$2:$L$7,,,"Actual360","LogLinear",TRUE)</f>
        <v/>
      </c>
      <c r="E26" s="8">
        <f>QS.INSTRUMENT.SWAP("swap.24",C26,H26,B26,"USD","SOFR",I26,J26,0,"Actual360","Simple","Annual","Annual","Annual")</f>
        <v/>
      </c>
      <c r="F26" s="8">
        <f>QS.TRADE.CREATE("trade.24",C26,E26,A26,"Receive")</f>
        <v/>
      </c>
      <c r="G26" s="5"/>
      <c r="H26" s="7" t="s">
        <v>93</v>
      </c>
      <c r="I26" s="9">
        <v>1002400</v>
      </c>
      <c r="J26" s="10">
        <v>0.0374</v>
      </c>
    </row>
    <row r="27" spans="1:10">
      <c r="A27" s="7" t="s">
        <v>81</v>
      </c>
      <c r="B27" s="7" t="s">
        <v>94</v>
      </c>
      <c r="C27" s="8">
        <f>QS.CONTEXT.CREATE("market.25",A27,"USD","SOFR")</f>
        <v/>
      </c>
      <c r="D27" s="8">
        <f>QS.CONTEXT.ADD.CURVE(C27,"SOFR",$K$2:$K$7,$L$2:$L$7,,,"Actual360","LogLinear",TRUE)</f>
        <v/>
      </c>
      <c r="E27" s="8">
        <f>QS.INSTRUMENT.SWAP("swap.25",C27,H27,B27,"USD","SOFR",I27,J27,0,"Actual360","Simple","Annual","Annual","Annual")</f>
        <v/>
      </c>
      <c r="F27" s="8">
        <f>QS.TRADE.CREATE("trade.25",C27,E27,A27,"Receive")</f>
        <v/>
      </c>
      <c r="G27" s="5"/>
      <c r="H27" s="7" t="s">
        <v>95</v>
      </c>
      <c r="I27" s="9">
        <v>1002500</v>
      </c>
      <c r="J27" s="10">
        <v>0.03750000000000001</v>
      </c>
    </row>
    <row r="28" spans="1:10">
      <c r="A28" s="7" t="s">
        <v>83</v>
      </c>
      <c r="B28" s="7" t="s">
        <v>96</v>
      </c>
      <c r="C28" s="8">
        <f>QS.CONTEXT.CREATE("market.26",A28,"USD","SOFR")</f>
        <v/>
      </c>
      <c r="D28" s="8">
        <f>QS.CONTEXT.ADD.CURVE(C28,"SOFR",$K$2:$K$7,$L$2:$L$7,,,"Actual360","LogLinear",TRUE)</f>
        <v/>
      </c>
      <c r="E28" s="8">
        <f>QS.INSTRUMENT.SWAP("swap.26",C28,H28,B28,"USD","SOFR",I28,J28,0,"Actual360","Simple","Annual","Annual","Annual")</f>
        <v/>
      </c>
      <c r="F28" s="8">
        <f>QS.TRADE.CREATE("trade.26",C28,E28,A28,"Receive")</f>
        <v/>
      </c>
      <c r="G28" s="5"/>
      <c r="H28" s="7" t="s">
        <v>97</v>
      </c>
      <c r="I28" s="9">
        <v>1002600</v>
      </c>
      <c r="J28" s="10">
        <v>0.0376</v>
      </c>
    </row>
    <row r="29" spans="1:10">
      <c r="A29" s="7" t="s">
        <v>85</v>
      </c>
      <c r="B29" s="7" t="s">
        <v>98</v>
      </c>
      <c r="C29" s="8">
        <f>QS.CONTEXT.CREATE("market.27",A29,"USD","SOFR")</f>
        <v/>
      </c>
      <c r="D29" s="8">
        <f>QS.CONTEXT.ADD.CURVE(C29,"SOFR",$K$2:$K$7,$L$2:$L$7,,,"Actual360","LogLinear",TRUE)</f>
        <v/>
      </c>
      <c r="E29" s="8">
        <f>QS.INSTRUMENT.SWAP("swap.27",C29,H29,B29,"USD","SOFR",I29,J29,0,"Actual360","Simple","Annual","Annual","Annual")</f>
        <v/>
      </c>
      <c r="F29" s="8">
        <f>QS.TRADE.CREATE("trade.27",C29,E29,A29,"Receive")</f>
        <v/>
      </c>
      <c r="G29" s="5"/>
      <c r="H29" s="7" t="s">
        <v>99</v>
      </c>
      <c r="I29" s="9">
        <v>1002700</v>
      </c>
      <c r="J29" s="10">
        <v>0.0377</v>
      </c>
    </row>
    <row r="30" spans="1:10">
      <c r="A30" s="7" t="s">
        <v>87</v>
      </c>
      <c r="B30" s="7" t="s">
        <v>100</v>
      </c>
      <c r="C30" s="8">
        <f>QS.CONTEXT.CREATE("market.28",A30,"USD","SOFR")</f>
        <v/>
      </c>
      <c r="D30" s="8">
        <f>QS.CONTEXT.ADD.CURVE(C30,"SOFR",$K$2:$K$7,$L$2:$L$7,,,"Actual360","LogLinear",TRUE)</f>
        <v/>
      </c>
      <c r="E30" s="8">
        <f>QS.INSTRUMENT.SWAP("swap.28",C30,H30,B30,"USD","SOFR",I30,J30,0,"Actual360","Simple","Annual","Annual","Annual")</f>
        <v/>
      </c>
      <c r="F30" s="8">
        <f>QS.TRADE.CREATE("trade.28",C30,E30,A30,"Receive")</f>
        <v/>
      </c>
      <c r="G30" s="5"/>
      <c r="H30" s="7" t="s">
        <v>101</v>
      </c>
      <c r="I30" s="9">
        <v>1002800</v>
      </c>
      <c r="J30" s="10">
        <v>0.0378</v>
      </c>
    </row>
    <row r="31" spans="1:10">
      <c r="A31" s="7" t="s">
        <v>89</v>
      </c>
      <c r="B31" s="7" t="s">
        <v>102</v>
      </c>
      <c r="C31" s="8">
        <f>QS.CONTEXT.CREATE("market.29",A31,"USD","SOFR")</f>
        <v/>
      </c>
      <c r="D31" s="8">
        <f>QS.CONTEXT.ADD.CURVE(C31,"SOFR",$K$2:$K$7,$L$2:$L$7,,,"Actual360","LogLinear",TRUE)</f>
        <v/>
      </c>
      <c r="E31" s="8">
        <f>QS.INSTRUMENT.SWAP("swap.29",C31,H31,B31,"USD","SOFR",I31,J31,0,"Actual360","Simple","Annual","Annual","Annual")</f>
        <v/>
      </c>
      <c r="F31" s="8">
        <f>QS.TRADE.CREATE("trade.29",C31,E31,A31,"Receive")</f>
        <v/>
      </c>
      <c r="G31" s="5"/>
      <c r="H31" s="7" t="s">
        <v>103</v>
      </c>
      <c r="I31" s="9">
        <v>1002900</v>
      </c>
      <c r="J31" s="10">
        <v>0.0379</v>
      </c>
    </row>
    <row r="32" spans="1:10">
      <c r="A32" s="7" t="s">
        <v>91</v>
      </c>
      <c r="B32" s="7" t="s">
        <v>104</v>
      </c>
      <c r="C32" s="8">
        <f>QS.CONTEXT.CREATE("market.30",A32,"USD","SOFR")</f>
        <v/>
      </c>
      <c r="D32" s="8">
        <f>QS.CONTEXT.ADD.CURVE(C32,"SOFR",$K$2:$K$7,$L$2:$L$7,,,"Actual360","LogLinear",TRUE)</f>
        <v/>
      </c>
      <c r="E32" s="8">
        <f>QS.INSTRUMENT.SWAP("swap.30",C32,H32,B32,"USD","SOFR",I32,J32,0,"Actual360","Simple","Annual","Annual","Annual")</f>
        <v/>
      </c>
      <c r="F32" s="8">
        <f>QS.TRADE.CREATE("trade.30",C32,E32,A32,"Receive")</f>
        <v/>
      </c>
      <c r="G32" s="5"/>
      <c r="H32" s="7" t="s">
        <v>105</v>
      </c>
      <c r="I32" s="9">
        <v>1003000</v>
      </c>
      <c r="J32" s="10">
        <v>0.03800000000000001</v>
      </c>
    </row>
    <row r="33" spans="1:10">
      <c r="A33" s="7" t="s">
        <v>93</v>
      </c>
      <c r="B33" s="7" t="s">
        <v>106</v>
      </c>
      <c r="C33" s="8">
        <f>QS.CONTEXT.CREATE("market.31",A33,"USD","SOFR")</f>
        <v/>
      </c>
      <c r="D33" s="8">
        <f>QS.CONTEXT.ADD.CURVE(C33,"SOFR",$K$2:$K$7,$L$2:$L$7,,,"Actual360","LogLinear",TRUE)</f>
        <v/>
      </c>
      <c r="E33" s="8">
        <f>QS.INSTRUMENT.SWAP("swap.31",C33,H33,B33,"USD","SOFR",I33,J33,0,"Actual360","Simple","Annual","Annual","Annual")</f>
        <v/>
      </c>
      <c r="F33" s="8">
        <f>QS.TRADE.CREATE("trade.31",C33,E33,A33,"Receive")</f>
        <v/>
      </c>
      <c r="G33" s="5"/>
      <c r="H33" s="7" t="s">
        <v>107</v>
      </c>
      <c r="I33" s="9">
        <v>1003100</v>
      </c>
      <c r="J33" s="10">
        <v>0.0381</v>
      </c>
    </row>
    <row r="34" spans="1:10">
      <c r="A34" s="7" t="s">
        <v>95</v>
      </c>
      <c r="B34" s="7" t="s">
        <v>108</v>
      </c>
      <c r="C34" s="8">
        <f>QS.CONTEXT.CREATE("market.32",A34,"USD","SOFR")</f>
        <v/>
      </c>
      <c r="D34" s="8">
        <f>QS.CONTEXT.ADD.CURVE(C34,"SOFR",$K$2:$K$7,$L$2:$L$7,,,"Actual360","LogLinear",TRUE)</f>
        <v/>
      </c>
      <c r="E34" s="8">
        <f>QS.INSTRUMENT.SWAP("swap.32",C34,H34,B34,"USD","SOFR",I34,J34,0,"Actual360","Simple","Annual","Annual","Annual")</f>
        <v/>
      </c>
      <c r="F34" s="8">
        <f>QS.TRADE.CREATE("trade.32",C34,E34,A34,"Receive")</f>
        <v/>
      </c>
      <c r="G34" s="5"/>
      <c r="H34" s="7" t="s">
        <v>109</v>
      </c>
      <c r="I34" s="9">
        <v>1003200</v>
      </c>
      <c r="J34" s="10">
        <v>0.0382</v>
      </c>
    </row>
    <row r="35" spans="1:10">
      <c r="A35" s="7" t="s">
        <v>97</v>
      </c>
      <c r="B35" s="7" t="s">
        <v>110</v>
      </c>
      <c r="C35" s="8">
        <f>QS.CONTEXT.CREATE("market.33",A35,"USD","SOFR")</f>
        <v/>
      </c>
      <c r="D35" s="8">
        <f>QS.CONTEXT.ADD.CURVE(C35,"SOFR",$K$2:$K$7,$L$2:$L$7,,,"Actual360","LogLinear",TRUE)</f>
        <v/>
      </c>
      <c r="E35" s="8">
        <f>QS.INSTRUMENT.SWAP("swap.33",C35,H35,B35,"USD","SOFR",I35,J35,0,"Actual360","Simple","Annual","Annual","Annual")</f>
        <v/>
      </c>
      <c r="F35" s="8">
        <f>QS.TRADE.CREATE("trade.33",C35,E35,A35,"Receive")</f>
        <v/>
      </c>
      <c r="G35" s="5"/>
      <c r="H35" s="7" t="s">
        <v>111</v>
      </c>
      <c r="I35" s="9">
        <v>1003300</v>
      </c>
      <c r="J35" s="10">
        <v>0.0383</v>
      </c>
    </row>
    <row r="36" spans="1:10">
      <c r="A36" s="7" t="s">
        <v>99</v>
      </c>
      <c r="B36" s="7" t="s">
        <v>112</v>
      </c>
      <c r="C36" s="8">
        <f>QS.CONTEXT.CREATE("market.34",A36,"USD","SOFR")</f>
        <v/>
      </c>
      <c r="D36" s="8">
        <f>QS.CONTEXT.ADD.CURVE(C36,"SOFR",$K$2:$K$7,$L$2:$L$7,,,"Actual360","LogLinear",TRUE)</f>
        <v/>
      </c>
      <c r="E36" s="8">
        <f>QS.INSTRUMENT.SWAP("swap.34",C36,H36,B36,"USD","SOFR",I36,J36,0,"Actual360","Simple","Annual","Annual","Annual")</f>
        <v/>
      </c>
      <c r="F36" s="8">
        <f>QS.TRADE.CREATE("trade.34",C36,E36,A36,"Receive")</f>
        <v/>
      </c>
      <c r="G36" s="5"/>
      <c r="H36" s="7" t="s">
        <v>113</v>
      </c>
      <c r="I36" s="9">
        <v>1003400</v>
      </c>
      <c r="J36" s="10">
        <v>0.0384</v>
      </c>
    </row>
    <row r="37" spans="1:10">
      <c r="A37" s="7" t="s">
        <v>101</v>
      </c>
      <c r="B37" s="7" t="s">
        <v>114</v>
      </c>
      <c r="C37" s="8">
        <f>QS.CONTEXT.CREATE("market.35",A37,"USD","SOFR")</f>
        <v/>
      </c>
      <c r="D37" s="8">
        <f>QS.CONTEXT.ADD.CURVE(C37,"SOFR",$K$2:$K$7,$L$2:$L$7,,,"Actual360","LogLinear",TRUE)</f>
        <v/>
      </c>
      <c r="E37" s="8">
        <f>QS.INSTRUMENT.SWAP("swap.35",C37,H37,B37,"USD","SOFR",I37,J37,0,"Actual360","Simple","Annual","Annual","Annual")</f>
        <v/>
      </c>
      <c r="F37" s="8">
        <f>QS.TRADE.CREATE("trade.35",C37,E37,A37,"Receive")</f>
        <v/>
      </c>
      <c r="G37" s="5"/>
      <c r="H37" s="7" t="s">
        <v>115</v>
      </c>
      <c r="I37" s="9">
        <v>1003500</v>
      </c>
      <c r="J37" s="10">
        <v>0.03850000000000001</v>
      </c>
    </row>
    <row r="38" spans="1:10">
      <c r="A38" s="7" t="s">
        <v>103</v>
      </c>
      <c r="B38" s="7" t="s">
        <v>116</v>
      </c>
      <c r="C38" s="8">
        <f>QS.CONTEXT.CREATE("market.36",A38,"USD","SOFR")</f>
        <v/>
      </c>
      <c r="D38" s="8">
        <f>QS.CONTEXT.ADD.CURVE(C38,"SOFR",$K$2:$K$7,$L$2:$L$7,,,"Actual360","LogLinear",TRUE)</f>
        <v/>
      </c>
      <c r="E38" s="8">
        <f>QS.INSTRUMENT.SWAP("swap.36",C38,H38,B38,"USD","SOFR",I38,J38,0,"Actual360","Simple","Annual","Annual","Annual")</f>
        <v/>
      </c>
      <c r="F38" s="8">
        <f>QS.TRADE.CREATE("trade.36",C38,E38,A38,"Receive")</f>
        <v/>
      </c>
      <c r="G38" s="5"/>
      <c r="H38" s="7" t="s">
        <v>117</v>
      </c>
      <c r="I38" s="9">
        <v>1003600</v>
      </c>
      <c r="J38" s="10">
        <v>0.0386</v>
      </c>
    </row>
    <row r="39" spans="1:10">
      <c r="A39" s="7" t="s">
        <v>105</v>
      </c>
      <c r="B39" s="7" t="s">
        <v>118</v>
      </c>
      <c r="C39" s="8">
        <f>QS.CONTEXT.CREATE("market.37",A39,"USD","SOFR")</f>
        <v/>
      </c>
      <c r="D39" s="8">
        <f>QS.CONTEXT.ADD.CURVE(C39,"SOFR",$K$2:$K$7,$L$2:$L$7,,,"Actual360","LogLinear",TRUE)</f>
        <v/>
      </c>
      <c r="E39" s="8">
        <f>QS.INSTRUMENT.SWAP("swap.37",C39,H39,B39,"USD","SOFR",I39,J39,0,"Actual360","Simple","Annual","Annual","Annual")</f>
        <v/>
      </c>
      <c r="F39" s="8">
        <f>QS.TRADE.CREATE("trade.37",C39,E39,A39,"Receive")</f>
        <v/>
      </c>
      <c r="G39" s="5"/>
      <c r="H39" s="7" t="s">
        <v>119</v>
      </c>
      <c r="I39" s="9">
        <v>1003700</v>
      </c>
      <c r="J39" s="10">
        <v>0.03870000000000001</v>
      </c>
    </row>
    <row r="40" spans="1:10">
      <c r="A40" s="7" t="s">
        <v>107</v>
      </c>
      <c r="B40" s="7" t="s">
        <v>120</v>
      </c>
      <c r="C40" s="8">
        <f>QS.CONTEXT.CREATE("market.38",A40,"USD","SOFR")</f>
        <v/>
      </c>
      <c r="D40" s="8">
        <f>QS.CONTEXT.ADD.CURVE(C40,"SOFR",$K$2:$K$7,$L$2:$L$7,,,"Actual360","LogLinear",TRUE)</f>
        <v/>
      </c>
      <c r="E40" s="8">
        <f>QS.INSTRUMENT.SWAP("swap.38",C40,H40,B40,"USD","SOFR",I40,J40,0,"Actual360","Simple","Annual","Annual","Annual")</f>
        <v/>
      </c>
      <c r="F40" s="8">
        <f>QS.TRADE.CREATE("trade.38",C40,E40,A40,"Receive")</f>
        <v/>
      </c>
      <c r="G40" s="5"/>
      <c r="H40" s="7" t="s">
        <v>121</v>
      </c>
      <c r="I40" s="9">
        <v>1003800</v>
      </c>
      <c r="J40" s="10">
        <v>0.0388</v>
      </c>
    </row>
    <row r="41" spans="1:10">
      <c r="A41" s="7" t="s">
        <v>109</v>
      </c>
      <c r="B41" s="7" t="s">
        <v>122</v>
      </c>
      <c r="C41" s="8">
        <f>QS.CONTEXT.CREATE("market.39",A41,"USD","SOFR")</f>
        <v/>
      </c>
      <c r="D41" s="8">
        <f>QS.CONTEXT.ADD.CURVE(C41,"SOFR",$K$2:$K$7,$L$2:$L$7,,,"Actual360","LogLinear",TRUE)</f>
        <v/>
      </c>
      <c r="E41" s="8">
        <f>QS.INSTRUMENT.SWAP("swap.39",C41,H41,B41,"USD","SOFR",I41,J41,0,"Actual360","Simple","Annual","Annual","Annual")</f>
        <v/>
      </c>
      <c r="F41" s="8">
        <f>QS.TRADE.CREATE("trade.39",C41,E41,A41,"Receive")</f>
        <v/>
      </c>
      <c r="G41" s="5"/>
      <c r="H41" s="7" t="s">
        <v>123</v>
      </c>
      <c r="I41" s="9">
        <v>1003900</v>
      </c>
      <c r="J41" s="10">
        <v>0.0389</v>
      </c>
    </row>
    <row r="42" spans="1:10">
      <c r="A42" s="7" t="s">
        <v>111</v>
      </c>
      <c r="B42" s="7" t="s">
        <v>124</v>
      </c>
      <c r="C42" s="8">
        <f>QS.CONTEXT.CREATE("market.40",A42,"USD","SOFR")</f>
        <v/>
      </c>
      <c r="D42" s="8">
        <f>QS.CONTEXT.ADD.CURVE(C42,"SOFR",$K$2:$K$7,$L$2:$L$7,,,"Actual360","LogLinear",TRUE)</f>
        <v/>
      </c>
      <c r="E42" s="8">
        <f>QS.INSTRUMENT.SWAP("swap.40",C42,H42,B42,"USD","SOFR",I42,J42,0,"Actual360","Simple","Annual","Annual","Annual")</f>
        <v/>
      </c>
      <c r="F42" s="8">
        <f>QS.TRADE.CREATE("trade.40",C42,E42,A42,"Receive")</f>
        <v/>
      </c>
      <c r="G42" s="5"/>
      <c r="H42" s="7" t="s">
        <v>125</v>
      </c>
      <c r="I42" s="9">
        <v>1004000</v>
      </c>
      <c r="J42" s="10">
        <v>0.03900000000000001</v>
      </c>
    </row>
    <row r="43" spans="1:10">
      <c r="A43" s="7" t="s">
        <v>113</v>
      </c>
      <c r="B43" s="7" t="s">
        <v>126</v>
      </c>
      <c r="C43" s="8">
        <f>QS.CONTEXT.CREATE("market.41",A43,"USD","SOFR")</f>
        <v/>
      </c>
      <c r="D43" s="8">
        <f>QS.CONTEXT.ADD.CURVE(C43,"SOFR",$K$2:$K$7,$L$2:$L$7,,,"Actual360","LogLinear",TRUE)</f>
        <v/>
      </c>
      <c r="E43" s="8">
        <f>QS.INSTRUMENT.SWAP("swap.41",C43,H43,B43,"USD","SOFR",I43,J43,0,"Actual360","Simple","Annual","Annual","Annual")</f>
        <v/>
      </c>
      <c r="F43" s="8">
        <f>QS.TRADE.CREATE("trade.41",C43,E43,A43,"Receive")</f>
        <v/>
      </c>
      <c r="G43" s="5"/>
      <c r="H43" s="7" t="s">
        <v>127</v>
      </c>
      <c r="I43" s="9">
        <v>1004100</v>
      </c>
      <c r="J43" s="10">
        <v>0.0391</v>
      </c>
    </row>
    <row r="44" spans="1:10">
      <c r="A44" s="7" t="s">
        <v>115</v>
      </c>
      <c r="B44" s="7" t="s">
        <v>128</v>
      </c>
      <c r="C44" s="8">
        <f>QS.CONTEXT.CREATE("market.42",A44,"USD","SOFR")</f>
        <v/>
      </c>
      <c r="D44" s="8">
        <f>QS.CONTEXT.ADD.CURVE(C44,"SOFR",$K$2:$K$7,$L$2:$L$7,,,"Actual360","LogLinear",TRUE)</f>
        <v/>
      </c>
      <c r="E44" s="8">
        <f>QS.INSTRUMENT.SWAP("swap.42",C44,H44,B44,"USD","SOFR",I44,J44,0,"Actual360","Simple","Annual","Annual","Annual")</f>
        <v/>
      </c>
      <c r="F44" s="8">
        <f>QS.TRADE.CREATE("trade.42",C44,E44,A44,"Receive")</f>
        <v/>
      </c>
      <c r="G44" s="5"/>
      <c r="H44" s="7" t="s">
        <v>129</v>
      </c>
      <c r="I44" s="9">
        <v>1004200</v>
      </c>
      <c r="J44" s="10">
        <v>0.03920000000000001</v>
      </c>
    </row>
    <row r="45" spans="1:10">
      <c r="A45" s="7" t="s">
        <v>117</v>
      </c>
      <c r="B45" s="7" t="s">
        <v>130</v>
      </c>
      <c r="C45" s="8">
        <f>QS.CONTEXT.CREATE("market.43",A45,"USD","SOFR")</f>
        <v/>
      </c>
      <c r="D45" s="8">
        <f>QS.CONTEXT.ADD.CURVE(C45,"SOFR",$K$2:$K$7,$L$2:$L$7,,,"Actual360","LogLinear",TRUE)</f>
        <v/>
      </c>
      <c r="E45" s="8">
        <f>QS.INSTRUMENT.SWAP("swap.43",C45,H45,B45,"USD","SOFR",I45,J45,0,"Actual360","Simple","Annual","Annual","Annual")</f>
        <v/>
      </c>
      <c r="F45" s="8">
        <f>QS.TRADE.CREATE("trade.43",C45,E45,A45,"Receive")</f>
        <v/>
      </c>
      <c r="G45" s="5"/>
      <c r="H45" s="7" t="s">
        <v>131</v>
      </c>
      <c r="I45" s="9">
        <v>1004300</v>
      </c>
      <c r="J45" s="10">
        <v>0.0393</v>
      </c>
    </row>
    <row r="46" spans="1:10">
      <c r="A46" s="7" t="s">
        <v>119</v>
      </c>
      <c r="B46" s="7" t="s">
        <v>132</v>
      </c>
      <c r="C46" s="8">
        <f>QS.CONTEXT.CREATE("market.44",A46,"USD","SOFR")</f>
        <v/>
      </c>
      <c r="D46" s="8">
        <f>QS.CONTEXT.ADD.CURVE(C46,"SOFR",$K$2:$K$7,$L$2:$L$7,,,"Actual360","LogLinear",TRUE)</f>
        <v/>
      </c>
      <c r="E46" s="8">
        <f>QS.INSTRUMENT.SWAP("swap.44",C46,H46,B46,"USD","SOFR",I46,J46,0,"Actual360","Simple","Annual","Annual","Annual")</f>
        <v/>
      </c>
      <c r="F46" s="8">
        <f>QS.TRADE.CREATE("trade.44",C46,E46,A46,"Receive")</f>
        <v/>
      </c>
      <c r="G46" s="5"/>
      <c r="H46" s="7" t="s">
        <v>133</v>
      </c>
      <c r="I46" s="9">
        <v>1004400</v>
      </c>
      <c r="J46" s="10">
        <v>0.0394</v>
      </c>
    </row>
    <row r="47" spans="1:10">
      <c r="A47" s="7" t="s">
        <v>121</v>
      </c>
      <c r="B47" s="7" t="s">
        <v>134</v>
      </c>
      <c r="C47" s="8">
        <f>QS.CONTEXT.CREATE("market.45",A47,"USD","SOFR")</f>
        <v/>
      </c>
      <c r="D47" s="8">
        <f>QS.CONTEXT.ADD.CURVE(C47,"SOFR",$K$2:$K$7,$L$2:$L$7,,,"Actual360","LogLinear",TRUE)</f>
        <v/>
      </c>
      <c r="E47" s="8">
        <f>QS.INSTRUMENT.SWAP("swap.45",C47,H47,B47,"USD","SOFR",I47,J47,0,"Actual360","Simple","Annual","Annual","Annual")</f>
        <v/>
      </c>
      <c r="F47" s="8">
        <f>QS.TRADE.CREATE("trade.45",C47,E47,A47,"Receive")</f>
        <v/>
      </c>
      <c r="G47" s="5"/>
      <c r="H47" s="7" t="s">
        <v>135</v>
      </c>
      <c r="I47" s="9">
        <v>1004500</v>
      </c>
      <c r="J47" s="10">
        <v>0.03950000000000001</v>
      </c>
    </row>
    <row r="48" spans="1:10">
      <c r="A48" s="7" t="s">
        <v>123</v>
      </c>
      <c r="B48" s="7" t="s">
        <v>136</v>
      </c>
      <c r="C48" s="8">
        <f>QS.CONTEXT.CREATE("market.46",A48,"USD","SOFR")</f>
        <v/>
      </c>
      <c r="D48" s="8">
        <f>QS.CONTEXT.ADD.CURVE(C48,"SOFR",$K$2:$K$7,$L$2:$L$7,,,"Actual360","LogLinear",TRUE)</f>
        <v/>
      </c>
      <c r="E48" s="8">
        <f>QS.INSTRUMENT.SWAP("swap.46",C48,H48,B48,"USD","SOFR",I48,J48,0,"Actual360","Simple","Annual","Annual","Annual")</f>
        <v/>
      </c>
      <c r="F48" s="8">
        <f>QS.TRADE.CREATE("trade.46",C48,E48,A48,"Receive")</f>
        <v/>
      </c>
      <c r="G48" s="5"/>
      <c r="H48" s="7" t="s">
        <v>137</v>
      </c>
      <c r="I48" s="9">
        <v>1004600</v>
      </c>
      <c r="J48" s="10">
        <v>0.0396</v>
      </c>
    </row>
    <row r="49" spans="1:10">
      <c r="A49" s="7" t="s">
        <v>125</v>
      </c>
      <c r="B49" s="7" t="s">
        <v>138</v>
      </c>
      <c r="C49" s="8">
        <f>QS.CONTEXT.CREATE("market.47",A49,"USD","SOFR")</f>
        <v/>
      </c>
      <c r="D49" s="8">
        <f>QS.CONTEXT.ADD.CURVE(C49,"SOFR",$K$2:$K$7,$L$2:$L$7,,,"Actual360","LogLinear",TRUE)</f>
        <v/>
      </c>
      <c r="E49" s="8">
        <f>QS.INSTRUMENT.SWAP("swap.47",C49,H49,B49,"USD","SOFR",I49,J49,0,"Actual360","Simple","Annual","Annual","Annual")</f>
        <v/>
      </c>
      <c r="F49" s="8">
        <f>QS.TRADE.CREATE("trade.47",C49,E49,A49,"Receive")</f>
        <v/>
      </c>
      <c r="G49" s="5"/>
      <c r="H49" s="7" t="s">
        <v>139</v>
      </c>
      <c r="I49" s="9">
        <v>1004700</v>
      </c>
      <c r="J49" s="10">
        <v>0.03970000000000001</v>
      </c>
    </row>
    <row r="50" spans="1:10">
      <c r="A50" s="7" t="s">
        <v>127</v>
      </c>
      <c r="B50" s="7" t="s">
        <v>140</v>
      </c>
      <c r="C50" s="8">
        <f>QS.CONTEXT.CREATE("market.48",A50,"USD","SOFR")</f>
        <v/>
      </c>
      <c r="D50" s="8">
        <f>QS.CONTEXT.ADD.CURVE(C50,"SOFR",$K$2:$K$7,$L$2:$L$7,,,"Actual360","LogLinear",TRUE)</f>
        <v/>
      </c>
      <c r="E50" s="8">
        <f>QS.INSTRUMENT.SWAP("swap.48",C50,H50,B50,"USD","SOFR",I50,J50,0,"Actual360","Simple","Annual","Annual","Annual")</f>
        <v/>
      </c>
      <c r="F50" s="8">
        <f>QS.TRADE.CREATE("trade.48",C50,E50,A50,"Receive")</f>
        <v/>
      </c>
      <c r="G50" s="5"/>
      <c r="H50" s="7" t="s">
        <v>141</v>
      </c>
      <c r="I50" s="9">
        <v>1004800</v>
      </c>
      <c r="J50" s="10">
        <v>0.0398</v>
      </c>
    </row>
    <row r="51" spans="1:10">
      <c r="A51" s="7" t="s">
        <v>129</v>
      </c>
      <c r="B51" s="7" t="s">
        <v>142</v>
      </c>
      <c r="C51" s="8">
        <f>QS.CONTEXT.CREATE("market.49",A51,"USD","SOFR")</f>
        <v/>
      </c>
      <c r="D51" s="8">
        <f>QS.CONTEXT.ADD.CURVE(C51,"SOFR",$K$2:$K$7,$L$2:$L$7,,,"Actual360","LogLinear",TRUE)</f>
        <v/>
      </c>
      <c r="E51" s="8">
        <f>QS.INSTRUMENT.SWAP("swap.49",C51,H51,B51,"USD","SOFR",I51,J51,0,"Actual360","Simple","Annual","Annual","Annual")</f>
        <v/>
      </c>
      <c r="F51" s="8">
        <f>QS.TRADE.CREATE("trade.49",C51,E51,A51,"Receive")</f>
        <v/>
      </c>
      <c r="G51" s="5"/>
      <c r="H51" s="7" t="s">
        <v>143</v>
      </c>
      <c r="I51" s="9">
        <v>1004900</v>
      </c>
      <c r="J51" s="10">
        <v>0.0399</v>
      </c>
    </row>
    <row r="52" spans="1:10">
      <c r="A52" s="7" t="s">
        <v>131</v>
      </c>
      <c r="B52" s="7" t="s">
        <v>144</v>
      </c>
      <c r="C52" s="8">
        <f>QS.CONTEXT.CREATE("market.50",A52,"USD","SOFR")</f>
        <v/>
      </c>
      <c r="D52" s="8">
        <f>QS.CONTEXT.ADD.CURVE(C52,"SOFR",$K$2:$K$7,$L$2:$L$7,,,"Actual360","LogLinear",TRUE)</f>
        <v/>
      </c>
      <c r="E52" s="8">
        <f>QS.INSTRUMENT.SWAP("swap.50",C52,H52,B52,"USD","SOFR",I52,J52,0,"Actual360","Simple","Annual","Annual","Annual")</f>
        <v/>
      </c>
      <c r="F52" s="8">
        <f>QS.TRADE.CREATE("trade.50",C52,E52,A52,"Receive")</f>
        <v/>
      </c>
      <c r="G52" s="5"/>
      <c r="H52" s="7" t="s">
        <v>145</v>
      </c>
      <c r="I52" s="9">
        <v>1005000</v>
      </c>
      <c r="J52" s="10">
        <v>0.035</v>
      </c>
    </row>
    <row r="53" spans="1:10">
      <c r="A53" s="7" t="s">
        <v>133</v>
      </c>
      <c r="B53" s="7" t="s">
        <v>146</v>
      </c>
      <c r="C53" s="8">
        <f>QS.CONTEXT.CREATE("market.51",A53,"USD","SOFR")</f>
        <v/>
      </c>
      <c r="D53" s="8">
        <f>QS.CONTEXT.ADD.CURVE(C53,"SOFR",$K$2:$K$7,$L$2:$L$7,,,"Actual360","LogLinear",TRUE)</f>
        <v/>
      </c>
      <c r="E53" s="8">
        <f>QS.INSTRUMENT.SWAP("swap.51",C53,H53,B53,"USD","SOFR",I53,J53,0,"Actual360","Simple","Annual","Annual","Annual")</f>
        <v/>
      </c>
      <c r="F53" s="8">
        <f>QS.TRADE.CREATE("trade.51",C53,E53,A53,"Receive")</f>
        <v/>
      </c>
      <c r="G53" s="5"/>
      <c r="H53" s="7" t="s">
        <v>147</v>
      </c>
      <c r="I53" s="9">
        <v>1005100</v>
      </c>
      <c r="J53" s="10">
        <v>0.03510000000000001</v>
      </c>
    </row>
    <row r="54" spans="1:10">
      <c r="A54" s="7" t="s">
        <v>135</v>
      </c>
      <c r="B54" s="7" t="s">
        <v>148</v>
      </c>
      <c r="C54" s="8">
        <f>QS.CONTEXT.CREATE("market.52",A54,"USD","SOFR")</f>
        <v/>
      </c>
      <c r="D54" s="8">
        <f>QS.CONTEXT.ADD.CURVE(C54,"SOFR",$K$2:$K$7,$L$2:$L$7,,,"Actual360","LogLinear",TRUE)</f>
        <v/>
      </c>
      <c r="E54" s="8">
        <f>QS.INSTRUMENT.SWAP("swap.52",C54,H54,B54,"USD","SOFR",I54,J54,0,"Actual360","Simple","Annual","Annual","Annual")</f>
        <v/>
      </c>
      <c r="F54" s="8">
        <f>QS.TRADE.CREATE("trade.52",C54,E54,A54,"Receive")</f>
        <v/>
      </c>
      <c r="G54" s="5"/>
      <c r="H54" s="7" t="s">
        <v>149</v>
      </c>
      <c r="I54" s="9">
        <v>1005200</v>
      </c>
      <c r="J54" s="10">
        <v>0.0352</v>
      </c>
    </row>
    <row r="55" spans="1:10">
      <c r="A55" s="7" t="s">
        <v>137</v>
      </c>
      <c r="B55" s="7" t="s">
        <v>150</v>
      </c>
      <c r="C55" s="8">
        <f>QS.CONTEXT.CREATE("market.53",A55,"USD","SOFR")</f>
        <v/>
      </c>
      <c r="D55" s="8">
        <f>QS.CONTEXT.ADD.CURVE(C55,"SOFR",$K$2:$K$7,$L$2:$L$7,,,"Actual360","LogLinear",TRUE)</f>
        <v/>
      </c>
      <c r="E55" s="8">
        <f>QS.INSTRUMENT.SWAP("swap.53",C55,H55,B55,"USD","SOFR",I55,J55,0,"Actual360","Simple","Annual","Annual","Annual")</f>
        <v/>
      </c>
      <c r="F55" s="8">
        <f>QS.TRADE.CREATE("trade.53",C55,E55,A55,"Receive")</f>
        <v/>
      </c>
      <c r="G55" s="5"/>
      <c r="H55" s="7" t="s">
        <v>151</v>
      </c>
      <c r="I55" s="9">
        <v>1005300</v>
      </c>
      <c r="J55" s="10">
        <v>0.0353</v>
      </c>
    </row>
    <row r="56" spans="1:10">
      <c r="A56" s="7" t="s">
        <v>139</v>
      </c>
      <c r="B56" s="7" t="s">
        <v>152</v>
      </c>
      <c r="C56" s="8">
        <f>QS.CONTEXT.CREATE("market.54",A56,"USD","SOFR")</f>
        <v/>
      </c>
      <c r="D56" s="8">
        <f>QS.CONTEXT.ADD.CURVE(C56,"SOFR",$K$2:$K$7,$L$2:$L$7,,,"Actual360","LogLinear",TRUE)</f>
        <v/>
      </c>
      <c r="E56" s="8">
        <f>QS.INSTRUMENT.SWAP("swap.54",C56,H56,B56,"USD","SOFR",I56,J56,0,"Actual360","Simple","Annual","Annual","Annual")</f>
        <v/>
      </c>
      <c r="F56" s="8">
        <f>QS.TRADE.CREATE("trade.54",C56,E56,A56,"Receive")</f>
        <v/>
      </c>
      <c r="G56" s="5"/>
      <c r="H56" s="7" t="s">
        <v>153</v>
      </c>
      <c r="I56" s="9">
        <v>1005400</v>
      </c>
      <c r="J56" s="10">
        <v>0.0354</v>
      </c>
    </row>
    <row r="57" spans="1:10">
      <c r="A57" s="7" t="s">
        <v>141</v>
      </c>
      <c r="B57" s="7" t="s">
        <v>154</v>
      </c>
      <c r="C57" s="8">
        <f>QS.CONTEXT.CREATE("market.55",A57,"USD","SOFR")</f>
        <v/>
      </c>
      <c r="D57" s="8">
        <f>QS.CONTEXT.ADD.CURVE(C57,"SOFR",$K$2:$K$7,$L$2:$L$7,,,"Actual360","LogLinear",TRUE)</f>
        <v/>
      </c>
      <c r="E57" s="8">
        <f>QS.INSTRUMENT.SWAP("swap.55",C57,H57,B57,"USD","SOFR",I57,J57,0,"Actual360","Simple","Annual","Annual","Annual")</f>
        <v/>
      </c>
      <c r="F57" s="8">
        <f>QS.TRADE.CREATE("trade.55",C57,E57,A57,"Receive")</f>
        <v/>
      </c>
      <c r="G57" s="5"/>
      <c r="H57" s="7" t="s">
        <v>155</v>
      </c>
      <c r="I57" s="9">
        <v>1005500</v>
      </c>
      <c r="J57" s="10">
        <v>0.0355</v>
      </c>
    </row>
    <row r="58" spans="1:10">
      <c r="A58" s="7" t="s">
        <v>143</v>
      </c>
      <c r="B58" s="7" t="s">
        <v>156</v>
      </c>
      <c r="C58" s="8">
        <f>QS.CONTEXT.CREATE("market.56",A58,"USD","SOFR")</f>
        <v/>
      </c>
      <c r="D58" s="8">
        <f>QS.CONTEXT.ADD.CURVE(C58,"SOFR",$K$2:$K$7,$L$2:$L$7,,,"Actual360","LogLinear",TRUE)</f>
        <v/>
      </c>
      <c r="E58" s="8">
        <f>QS.INSTRUMENT.SWAP("swap.56",C58,H58,B58,"USD","SOFR",I58,J58,0,"Actual360","Simple","Annual","Annual","Annual")</f>
        <v/>
      </c>
      <c r="F58" s="8">
        <f>QS.TRADE.CREATE("trade.56",C58,E58,A58,"Receive")</f>
        <v/>
      </c>
      <c r="G58" s="5"/>
      <c r="H58" s="7" t="s">
        <v>157</v>
      </c>
      <c r="I58" s="9">
        <v>1005600</v>
      </c>
      <c r="J58" s="10">
        <v>0.03560000000000001</v>
      </c>
    </row>
    <row r="59" spans="1:10">
      <c r="A59" s="7" t="s">
        <v>145</v>
      </c>
      <c r="B59" s="7" t="s">
        <v>158</v>
      </c>
      <c r="C59" s="8">
        <f>QS.CONTEXT.CREATE("market.57",A59,"USD","SOFR")</f>
        <v/>
      </c>
      <c r="D59" s="8">
        <f>QS.CONTEXT.ADD.CURVE(C59,"SOFR",$K$2:$K$7,$L$2:$L$7,,,"Actual360","LogLinear",TRUE)</f>
        <v/>
      </c>
      <c r="E59" s="8">
        <f>QS.INSTRUMENT.SWAP("swap.57",C59,H59,B59,"USD","SOFR",I59,J59,0,"Actual360","Simple","Annual","Annual","Annual")</f>
        <v/>
      </c>
      <c r="F59" s="8">
        <f>QS.TRADE.CREATE("trade.57",C59,E59,A59,"Receive")</f>
        <v/>
      </c>
      <c r="G59" s="5"/>
      <c r="H59" s="7" t="s">
        <v>159</v>
      </c>
      <c r="I59" s="9">
        <v>1005700</v>
      </c>
      <c r="J59" s="10">
        <v>0.0357</v>
      </c>
    </row>
    <row r="60" spans="1:10">
      <c r="A60" s="7" t="s">
        <v>147</v>
      </c>
      <c r="B60" s="7" t="s">
        <v>160</v>
      </c>
      <c r="C60" s="8">
        <f>QS.CONTEXT.CREATE("market.58",A60,"USD","SOFR")</f>
        <v/>
      </c>
      <c r="D60" s="8">
        <f>QS.CONTEXT.ADD.CURVE(C60,"SOFR",$K$2:$K$7,$L$2:$L$7,,,"Actual360","LogLinear",TRUE)</f>
        <v/>
      </c>
      <c r="E60" s="8">
        <f>QS.INSTRUMENT.SWAP("swap.58",C60,H60,B60,"USD","SOFR",I60,J60,0,"Actual360","Simple","Annual","Annual","Annual")</f>
        <v/>
      </c>
      <c r="F60" s="8">
        <f>QS.TRADE.CREATE("trade.58",C60,E60,A60,"Receive")</f>
        <v/>
      </c>
      <c r="G60" s="5"/>
      <c r="H60" s="7" t="s">
        <v>161</v>
      </c>
      <c r="I60" s="9">
        <v>1005800</v>
      </c>
      <c r="J60" s="10">
        <v>0.03580000000000001</v>
      </c>
    </row>
    <row r="61" spans="1:10">
      <c r="A61" s="7" t="s">
        <v>149</v>
      </c>
      <c r="B61" s="7" t="s">
        <v>162</v>
      </c>
      <c r="C61" s="8">
        <f>QS.CONTEXT.CREATE("market.59",A61,"USD","SOFR")</f>
        <v/>
      </c>
      <c r="D61" s="8">
        <f>QS.CONTEXT.ADD.CURVE(C61,"SOFR",$K$2:$K$7,$L$2:$L$7,,,"Actual360","LogLinear",TRUE)</f>
        <v/>
      </c>
      <c r="E61" s="8">
        <f>QS.INSTRUMENT.SWAP("swap.59",C61,H61,B61,"USD","SOFR",I61,J61,0,"Actual360","Simple","Annual","Annual","Annual")</f>
        <v/>
      </c>
      <c r="F61" s="8">
        <f>QS.TRADE.CREATE("trade.59",C61,E61,A61,"Receive")</f>
        <v/>
      </c>
      <c r="G61" s="5"/>
      <c r="H61" s="7" t="s">
        <v>163</v>
      </c>
      <c r="I61" s="9">
        <v>1005900</v>
      </c>
      <c r="J61" s="10">
        <v>0.0359</v>
      </c>
    </row>
    <row r="62" spans="1:10">
      <c r="A62" s="7" t="s">
        <v>151</v>
      </c>
      <c r="B62" s="7" t="s">
        <v>164</v>
      </c>
      <c r="C62" s="8">
        <f>QS.CONTEXT.CREATE("market.60",A62,"USD","SOFR")</f>
        <v/>
      </c>
      <c r="D62" s="8">
        <f>QS.CONTEXT.ADD.CURVE(C62,"SOFR",$K$2:$K$7,$L$2:$L$7,,,"Actual360","LogLinear",TRUE)</f>
        <v/>
      </c>
      <c r="E62" s="8">
        <f>QS.INSTRUMENT.SWAP("swap.60",C62,H62,B62,"USD","SOFR",I62,J62,0,"Actual360","Simple","Annual","Annual","Annual")</f>
        <v/>
      </c>
      <c r="F62" s="8">
        <f>QS.TRADE.CREATE("trade.60",C62,E62,A62,"Receive")</f>
        <v/>
      </c>
      <c r="G62" s="5"/>
      <c r="H62" s="7" t="s">
        <v>165</v>
      </c>
      <c r="I62" s="9">
        <v>1006000</v>
      </c>
      <c r="J62" s="10">
        <v>0.036</v>
      </c>
    </row>
    <row r="63" spans="1:10">
      <c r="A63" s="7" t="s">
        <v>153</v>
      </c>
      <c r="B63" s="7" t="s">
        <v>166</v>
      </c>
      <c r="C63" s="8">
        <f>QS.CONTEXT.CREATE("market.61",A63,"USD","SOFR")</f>
        <v/>
      </c>
      <c r="D63" s="8">
        <f>QS.CONTEXT.ADD.CURVE(C63,"SOFR",$K$2:$K$7,$L$2:$L$7,,,"Actual360","LogLinear",TRUE)</f>
        <v/>
      </c>
      <c r="E63" s="8">
        <f>QS.INSTRUMENT.SWAP("swap.61",C63,H63,B63,"USD","SOFR",I63,J63,0,"Actual360","Simple","Annual","Annual","Annual")</f>
        <v/>
      </c>
      <c r="F63" s="8">
        <f>QS.TRADE.CREATE("trade.61",C63,E63,A63,"Receive")</f>
        <v/>
      </c>
      <c r="G63" s="5"/>
      <c r="H63" s="7" t="s">
        <v>167</v>
      </c>
      <c r="I63" s="9">
        <v>1006100</v>
      </c>
      <c r="J63" s="10">
        <v>0.0361</v>
      </c>
    </row>
    <row r="64" spans="1:10">
      <c r="A64" s="7" t="s">
        <v>155</v>
      </c>
      <c r="B64" s="7" t="s">
        <v>168</v>
      </c>
      <c r="C64" s="8">
        <f>QS.CONTEXT.CREATE("market.62",A64,"USD","SOFR")</f>
        <v/>
      </c>
      <c r="D64" s="8">
        <f>QS.CONTEXT.ADD.CURVE(C64,"SOFR",$K$2:$K$7,$L$2:$L$7,,,"Actual360","LogLinear",TRUE)</f>
        <v/>
      </c>
      <c r="E64" s="8">
        <f>QS.INSTRUMENT.SWAP("swap.62",C64,H64,B64,"USD","SOFR",I64,J64,0,"Actual360","Simple","Annual","Annual","Annual")</f>
        <v/>
      </c>
      <c r="F64" s="8">
        <f>QS.TRADE.CREATE("trade.62",C64,E64,A64,"Receive")</f>
        <v/>
      </c>
      <c r="G64" s="5"/>
      <c r="H64" s="7" t="s">
        <v>169</v>
      </c>
      <c r="I64" s="9">
        <v>1006200</v>
      </c>
      <c r="J64" s="10">
        <v>0.0362</v>
      </c>
    </row>
    <row r="65" spans="1:10">
      <c r="A65" s="7" t="s">
        <v>157</v>
      </c>
      <c r="B65" s="7" t="s">
        <v>170</v>
      </c>
      <c r="C65" s="8">
        <f>QS.CONTEXT.CREATE("market.63",A65,"USD","SOFR")</f>
        <v/>
      </c>
      <c r="D65" s="8">
        <f>QS.CONTEXT.ADD.CURVE(C65,"SOFR",$K$2:$K$7,$L$2:$L$7,,,"Actual360","LogLinear",TRUE)</f>
        <v/>
      </c>
      <c r="E65" s="8">
        <f>QS.INSTRUMENT.SWAP("swap.63",C65,H65,B65,"USD","SOFR",I65,J65,0,"Actual360","Simple","Annual","Annual","Annual")</f>
        <v/>
      </c>
      <c r="F65" s="8">
        <f>QS.TRADE.CREATE("trade.63",C65,E65,A65,"Receive")</f>
        <v/>
      </c>
      <c r="G65" s="5"/>
      <c r="H65" s="7" t="s">
        <v>171</v>
      </c>
      <c r="I65" s="9">
        <v>1006300</v>
      </c>
      <c r="J65" s="10">
        <v>0.03630000000000001</v>
      </c>
    </row>
    <row r="66" spans="1:10">
      <c r="A66" s="7" t="s">
        <v>159</v>
      </c>
      <c r="B66" s="7" t="s">
        <v>172</v>
      </c>
      <c r="C66" s="8">
        <f>QS.CONTEXT.CREATE("market.64",A66,"USD","SOFR")</f>
        <v/>
      </c>
      <c r="D66" s="8">
        <f>QS.CONTEXT.ADD.CURVE(C66,"SOFR",$K$2:$K$7,$L$2:$L$7,,,"Actual360","LogLinear",TRUE)</f>
        <v/>
      </c>
      <c r="E66" s="8">
        <f>QS.INSTRUMENT.SWAP("swap.64",C66,H66,B66,"USD","SOFR",I66,J66,0,"Actual360","Simple","Annual","Annual","Annual")</f>
        <v/>
      </c>
      <c r="F66" s="8">
        <f>QS.TRADE.CREATE("trade.64",C66,E66,A66,"Receive")</f>
        <v/>
      </c>
      <c r="G66" s="5"/>
      <c r="H66" s="7" t="s">
        <v>173</v>
      </c>
      <c r="I66" s="9">
        <v>1006400</v>
      </c>
      <c r="J66" s="10">
        <v>0.0364</v>
      </c>
    </row>
    <row r="67" spans="1:10">
      <c r="A67" s="7" t="s">
        <v>161</v>
      </c>
      <c r="B67" s="7" t="s">
        <v>174</v>
      </c>
      <c r="C67" s="8">
        <f>QS.CONTEXT.CREATE("market.65",A67,"USD","SOFR")</f>
        <v/>
      </c>
      <c r="D67" s="8">
        <f>QS.CONTEXT.ADD.CURVE(C67,"SOFR",$K$2:$K$7,$L$2:$L$7,,,"Actual360","LogLinear",TRUE)</f>
        <v/>
      </c>
      <c r="E67" s="8">
        <f>QS.INSTRUMENT.SWAP("swap.65",C67,H67,B67,"USD","SOFR",I67,J67,0,"Actual360","Simple","Annual","Annual","Annual")</f>
        <v/>
      </c>
      <c r="F67" s="8">
        <f>QS.TRADE.CREATE("trade.65",C67,E67,A67,"Receive")</f>
        <v/>
      </c>
      <c r="G67" s="5"/>
      <c r="H67" s="7" t="s">
        <v>175</v>
      </c>
      <c r="I67" s="9">
        <v>1006500</v>
      </c>
      <c r="J67" s="10">
        <v>0.0365</v>
      </c>
    </row>
    <row r="68" spans="1:10">
      <c r="A68" s="7" t="s">
        <v>163</v>
      </c>
      <c r="B68" s="7" t="s">
        <v>176</v>
      </c>
      <c r="C68" s="8">
        <f>QS.CONTEXT.CREATE("market.66",A68,"USD","SOFR")</f>
        <v/>
      </c>
      <c r="D68" s="8">
        <f>QS.CONTEXT.ADD.CURVE(C68,"SOFR",$K$2:$K$7,$L$2:$L$7,,,"Actual360","LogLinear",TRUE)</f>
        <v/>
      </c>
      <c r="E68" s="8">
        <f>QS.INSTRUMENT.SWAP("swap.66",C68,H68,B68,"USD","SOFR",I68,J68,0,"Actual360","Simple","Annual","Annual","Annual")</f>
        <v/>
      </c>
      <c r="F68" s="8">
        <f>QS.TRADE.CREATE("trade.66",C68,E68,A68,"Receive")</f>
        <v/>
      </c>
      <c r="G68" s="5"/>
      <c r="H68" s="7" t="s">
        <v>177</v>
      </c>
      <c r="I68" s="9">
        <v>1006600</v>
      </c>
      <c r="J68" s="10">
        <v>0.0366</v>
      </c>
    </row>
    <row r="69" spans="1:10">
      <c r="A69" s="7" t="s">
        <v>165</v>
      </c>
      <c r="B69" s="7" t="s">
        <v>178</v>
      </c>
      <c r="C69" s="8">
        <f>QS.CONTEXT.CREATE("market.67",A69,"USD","SOFR")</f>
        <v/>
      </c>
      <c r="D69" s="8">
        <f>QS.CONTEXT.ADD.CURVE(C69,"SOFR",$K$2:$K$7,$L$2:$L$7,,,"Actual360","LogLinear",TRUE)</f>
        <v/>
      </c>
      <c r="E69" s="8">
        <f>QS.INSTRUMENT.SWAP("swap.67",C69,H69,B69,"USD","SOFR",I69,J69,0,"Actual360","Simple","Annual","Annual","Annual")</f>
        <v/>
      </c>
      <c r="F69" s="8">
        <f>QS.TRADE.CREATE("trade.67",C69,E69,A69,"Receive")</f>
        <v/>
      </c>
      <c r="G69" s="5"/>
      <c r="H69" s="7" t="s">
        <v>179</v>
      </c>
      <c r="I69" s="9">
        <v>1006700</v>
      </c>
      <c r="J69" s="10">
        <v>0.0367</v>
      </c>
    </row>
    <row r="70" spans="1:10">
      <c r="A70" s="7" t="s">
        <v>167</v>
      </c>
      <c r="B70" s="7" t="s">
        <v>180</v>
      </c>
      <c r="C70" s="8">
        <f>QS.CONTEXT.CREATE("market.68",A70,"USD","SOFR")</f>
        <v/>
      </c>
      <c r="D70" s="8">
        <f>QS.CONTEXT.ADD.CURVE(C70,"SOFR",$K$2:$K$7,$L$2:$L$7,,,"Actual360","LogLinear",TRUE)</f>
        <v/>
      </c>
      <c r="E70" s="8">
        <f>QS.INSTRUMENT.SWAP("swap.68",C70,H70,B70,"USD","SOFR",I70,J70,0,"Actual360","Simple","Annual","Annual","Annual")</f>
        <v/>
      </c>
      <c r="F70" s="8">
        <f>QS.TRADE.CREATE("trade.68",C70,E70,A70,"Receive")</f>
        <v/>
      </c>
      <c r="G70" s="5"/>
      <c r="H70" s="7" t="s">
        <v>181</v>
      </c>
      <c r="I70" s="9">
        <v>1006800</v>
      </c>
      <c r="J70" s="10">
        <v>0.03680000000000001</v>
      </c>
    </row>
    <row r="71" spans="1:10">
      <c r="A71" s="7" t="s">
        <v>169</v>
      </c>
      <c r="B71" s="7" t="s">
        <v>182</v>
      </c>
      <c r="C71" s="8">
        <f>QS.CONTEXT.CREATE("market.69",A71,"USD","SOFR")</f>
        <v/>
      </c>
      <c r="D71" s="8">
        <f>QS.CONTEXT.ADD.CURVE(C71,"SOFR",$K$2:$K$7,$L$2:$L$7,,,"Actual360","LogLinear",TRUE)</f>
        <v/>
      </c>
      <c r="E71" s="8">
        <f>QS.INSTRUMENT.SWAP("swap.69",C71,H71,B71,"USD","SOFR",I71,J71,0,"Actual360","Simple","Annual","Annual","Annual")</f>
        <v/>
      </c>
      <c r="F71" s="8">
        <f>QS.TRADE.CREATE("trade.69",C71,E71,A71,"Receive")</f>
        <v/>
      </c>
      <c r="G71" s="5"/>
      <c r="H71" s="7" t="s">
        <v>183</v>
      </c>
      <c r="I71" s="9">
        <v>1006900</v>
      </c>
      <c r="J71" s="10">
        <v>0.0369</v>
      </c>
    </row>
    <row r="72" spans="1:10">
      <c r="A72" s="7" t="s">
        <v>171</v>
      </c>
      <c r="B72" s="7" t="s">
        <v>184</v>
      </c>
      <c r="C72" s="8">
        <f>QS.CONTEXT.CREATE("market.70",A72,"USD","SOFR")</f>
        <v/>
      </c>
      <c r="D72" s="8">
        <f>QS.CONTEXT.ADD.CURVE(C72,"SOFR",$K$2:$K$7,$L$2:$L$7,,,"Actual360","LogLinear",TRUE)</f>
        <v/>
      </c>
      <c r="E72" s="8">
        <f>QS.INSTRUMENT.SWAP("swap.70",C72,H72,B72,"USD","SOFR",I72,J72,0,"Actual360","Simple","Annual","Annual","Annual")</f>
        <v/>
      </c>
      <c r="F72" s="8">
        <f>QS.TRADE.CREATE("trade.70",C72,E72,A72,"Receive")</f>
        <v/>
      </c>
      <c r="G72" s="5"/>
      <c r="H72" s="7" t="s">
        <v>185</v>
      </c>
      <c r="I72" s="9">
        <v>1007000</v>
      </c>
      <c r="J72" s="10">
        <v>0.03700000000000001</v>
      </c>
    </row>
    <row r="73" spans="1:10">
      <c r="A73" s="7" t="s">
        <v>173</v>
      </c>
      <c r="B73" s="7" t="s">
        <v>186</v>
      </c>
      <c r="C73" s="8">
        <f>QS.CONTEXT.CREATE("market.71",A73,"USD","SOFR")</f>
        <v/>
      </c>
      <c r="D73" s="8">
        <f>QS.CONTEXT.ADD.CURVE(C73,"SOFR",$K$2:$K$7,$L$2:$L$7,,,"Actual360","LogLinear",TRUE)</f>
        <v/>
      </c>
      <c r="E73" s="8">
        <f>QS.INSTRUMENT.SWAP("swap.71",C73,H73,B73,"USD","SOFR",I73,J73,0,"Actual360","Simple","Annual","Annual","Annual")</f>
        <v/>
      </c>
      <c r="F73" s="8">
        <f>QS.TRADE.CREATE("trade.71",C73,E73,A73,"Receive")</f>
        <v/>
      </c>
      <c r="G73" s="5"/>
      <c r="H73" s="7" t="s">
        <v>187</v>
      </c>
      <c r="I73" s="9">
        <v>1007100</v>
      </c>
      <c r="J73" s="10">
        <v>0.0371</v>
      </c>
    </row>
    <row r="74" spans="1:10">
      <c r="A74" s="7" t="s">
        <v>175</v>
      </c>
      <c r="B74" s="7" t="s">
        <v>188</v>
      </c>
      <c r="C74" s="8">
        <f>QS.CONTEXT.CREATE("market.72",A74,"USD","SOFR")</f>
        <v/>
      </c>
      <c r="D74" s="8">
        <f>QS.CONTEXT.ADD.CURVE(C74,"SOFR",$K$2:$K$7,$L$2:$L$7,,,"Actual360","LogLinear",TRUE)</f>
        <v/>
      </c>
      <c r="E74" s="8">
        <f>QS.INSTRUMENT.SWAP("swap.72",C74,H74,B74,"USD","SOFR",I74,J74,0,"Actual360","Simple","Annual","Annual","Annual")</f>
        <v/>
      </c>
      <c r="F74" s="8">
        <f>QS.TRADE.CREATE("trade.72",C74,E74,A74,"Receive")</f>
        <v/>
      </c>
      <c r="G74" s="5"/>
      <c r="H74" s="7" t="s">
        <v>189</v>
      </c>
      <c r="I74" s="9">
        <v>1007200</v>
      </c>
      <c r="J74" s="10">
        <v>0.0372</v>
      </c>
    </row>
    <row r="75" spans="1:10">
      <c r="A75" s="7" t="s">
        <v>177</v>
      </c>
      <c r="B75" s="7" t="s">
        <v>190</v>
      </c>
      <c r="C75" s="8">
        <f>QS.CONTEXT.CREATE("market.73",A75,"USD","SOFR")</f>
        <v/>
      </c>
      <c r="D75" s="8">
        <f>QS.CONTEXT.ADD.CURVE(C75,"SOFR",$K$2:$K$7,$L$2:$L$7,,,"Actual360","LogLinear",TRUE)</f>
        <v/>
      </c>
      <c r="E75" s="8">
        <f>QS.INSTRUMENT.SWAP("swap.73",C75,H75,B75,"USD","SOFR",I75,J75,0,"Actual360","Simple","Annual","Annual","Annual")</f>
        <v/>
      </c>
      <c r="F75" s="8">
        <f>QS.TRADE.CREATE("trade.73",C75,E75,A75,"Receive")</f>
        <v/>
      </c>
      <c r="G75" s="5"/>
      <c r="H75" s="7" t="s">
        <v>191</v>
      </c>
      <c r="I75" s="9">
        <v>1007300</v>
      </c>
      <c r="J75" s="10">
        <v>0.0373</v>
      </c>
    </row>
    <row r="76" spans="1:10">
      <c r="A76" s="7" t="s">
        <v>179</v>
      </c>
      <c r="B76" s="7" t="s">
        <v>192</v>
      </c>
      <c r="C76" s="8">
        <f>QS.CONTEXT.CREATE("market.74",A76,"USD","SOFR")</f>
        <v/>
      </c>
      <c r="D76" s="8">
        <f>QS.CONTEXT.ADD.CURVE(C76,"SOFR",$K$2:$K$7,$L$2:$L$7,,,"Actual360","LogLinear",TRUE)</f>
        <v/>
      </c>
      <c r="E76" s="8">
        <f>QS.INSTRUMENT.SWAP("swap.74",C76,H76,B76,"USD","SOFR",I76,J76,0,"Actual360","Simple","Annual","Annual","Annual")</f>
        <v/>
      </c>
      <c r="F76" s="8">
        <f>QS.TRADE.CREATE("trade.74",C76,E76,A76,"Receive")</f>
        <v/>
      </c>
      <c r="G76" s="5"/>
      <c r="H76" s="7" t="s">
        <v>193</v>
      </c>
      <c r="I76" s="9">
        <v>1007400</v>
      </c>
      <c r="J76" s="10">
        <v>0.0374</v>
      </c>
    </row>
    <row r="77" spans="1:10">
      <c r="A77" s="7" t="s">
        <v>181</v>
      </c>
      <c r="B77" s="7" t="s">
        <v>194</v>
      </c>
      <c r="C77" s="8">
        <f>QS.CONTEXT.CREATE("market.75",A77,"USD","SOFR")</f>
        <v/>
      </c>
      <c r="D77" s="8">
        <f>QS.CONTEXT.ADD.CURVE(C77,"SOFR",$K$2:$K$7,$L$2:$L$7,,,"Actual360","LogLinear",TRUE)</f>
        <v/>
      </c>
      <c r="E77" s="8">
        <f>QS.INSTRUMENT.SWAP("swap.75",C77,H77,B77,"USD","SOFR",I77,J77,0,"Actual360","Simple","Annual","Annual","Annual")</f>
        <v/>
      </c>
      <c r="F77" s="8">
        <f>QS.TRADE.CREATE("trade.75",C77,E77,A77,"Receive")</f>
        <v/>
      </c>
      <c r="G77" s="5"/>
      <c r="H77" s="7" t="s">
        <v>195</v>
      </c>
      <c r="I77" s="9">
        <v>1007500</v>
      </c>
      <c r="J77" s="10">
        <v>0.03750000000000001</v>
      </c>
    </row>
    <row r="78" spans="1:10">
      <c r="A78" s="7" t="s">
        <v>183</v>
      </c>
      <c r="B78" s="7" t="s">
        <v>196</v>
      </c>
      <c r="C78" s="8">
        <f>QS.CONTEXT.CREATE("market.76",A78,"USD","SOFR")</f>
        <v/>
      </c>
      <c r="D78" s="8">
        <f>QS.CONTEXT.ADD.CURVE(C78,"SOFR",$K$2:$K$7,$L$2:$L$7,,,"Actual360","LogLinear",TRUE)</f>
        <v/>
      </c>
      <c r="E78" s="8">
        <f>QS.INSTRUMENT.SWAP("swap.76",C78,H78,B78,"USD","SOFR",I78,J78,0,"Actual360","Simple","Annual","Annual","Annual")</f>
        <v/>
      </c>
      <c r="F78" s="8">
        <f>QS.TRADE.CREATE("trade.76",C78,E78,A78,"Receive")</f>
        <v/>
      </c>
      <c r="G78" s="5"/>
      <c r="H78" s="7" t="s">
        <v>197</v>
      </c>
      <c r="I78" s="9">
        <v>1007600</v>
      </c>
      <c r="J78" s="10">
        <v>0.0376</v>
      </c>
    </row>
    <row r="79" spans="1:10">
      <c r="A79" s="7" t="s">
        <v>185</v>
      </c>
      <c r="B79" s="7" t="s">
        <v>198</v>
      </c>
      <c r="C79" s="8">
        <f>QS.CONTEXT.CREATE("market.77",A79,"USD","SOFR")</f>
        <v/>
      </c>
      <c r="D79" s="8">
        <f>QS.CONTEXT.ADD.CURVE(C79,"SOFR",$K$2:$K$7,$L$2:$L$7,,,"Actual360","LogLinear",TRUE)</f>
        <v/>
      </c>
      <c r="E79" s="8">
        <f>QS.INSTRUMENT.SWAP("swap.77",C79,H79,B79,"USD","SOFR",I79,J79,0,"Actual360","Simple","Annual","Annual","Annual")</f>
        <v/>
      </c>
      <c r="F79" s="8">
        <f>QS.TRADE.CREATE("trade.77",C79,E79,A79,"Receive")</f>
        <v/>
      </c>
      <c r="G79" s="5"/>
      <c r="H79" s="7" t="s">
        <v>199</v>
      </c>
      <c r="I79" s="9">
        <v>1007700</v>
      </c>
      <c r="J79" s="10">
        <v>0.0377</v>
      </c>
    </row>
    <row r="80" spans="1:10">
      <c r="A80" s="7" t="s">
        <v>187</v>
      </c>
      <c r="B80" s="7" t="s">
        <v>200</v>
      </c>
      <c r="C80" s="8">
        <f>QS.CONTEXT.CREATE("market.78",A80,"USD","SOFR")</f>
        <v/>
      </c>
      <c r="D80" s="8">
        <f>QS.CONTEXT.ADD.CURVE(C80,"SOFR",$K$2:$K$7,$L$2:$L$7,,,"Actual360","LogLinear",TRUE)</f>
        <v/>
      </c>
      <c r="E80" s="8">
        <f>QS.INSTRUMENT.SWAP("swap.78",C80,H80,B80,"USD","SOFR",I80,J80,0,"Actual360","Simple","Annual","Annual","Annual")</f>
        <v/>
      </c>
      <c r="F80" s="8">
        <f>QS.TRADE.CREATE("trade.78",C80,E80,A80,"Receive")</f>
        <v/>
      </c>
      <c r="G80" s="5"/>
      <c r="H80" s="7" t="s">
        <v>201</v>
      </c>
      <c r="I80" s="9">
        <v>1007800</v>
      </c>
      <c r="J80" s="10">
        <v>0.0378</v>
      </c>
    </row>
    <row r="81" spans="1:10">
      <c r="A81" s="7" t="s">
        <v>189</v>
      </c>
      <c r="B81" s="7" t="s">
        <v>202</v>
      </c>
      <c r="C81" s="8">
        <f>QS.CONTEXT.CREATE("market.79",A81,"USD","SOFR")</f>
        <v/>
      </c>
      <c r="D81" s="8">
        <f>QS.CONTEXT.ADD.CURVE(C81,"SOFR",$K$2:$K$7,$L$2:$L$7,,,"Actual360","LogLinear",TRUE)</f>
        <v/>
      </c>
      <c r="E81" s="8">
        <f>QS.INSTRUMENT.SWAP("swap.79",C81,H81,B81,"USD","SOFR",I81,J81,0,"Actual360","Simple","Annual","Annual","Annual")</f>
        <v/>
      </c>
      <c r="F81" s="8">
        <f>QS.TRADE.CREATE("trade.79",C81,E81,A81,"Receive")</f>
        <v/>
      </c>
      <c r="G81" s="5"/>
      <c r="H81" s="7" t="s">
        <v>203</v>
      </c>
      <c r="I81" s="9">
        <v>1007900</v>
      </c>
      <c r="J81" s="10">
        <v>0.0379</v>
      </c>
    </row>
    <row r="82" spans="1:10">
      <c r="A82" s="7" t="s">
        <v>191</v>
      </c>
      <c r="B82" s="7" t="s">
        <v>204</v>
      </c>
      <c r="C82" s="8">
        <f>QS.CONTEXT.CREATE("market.80",A82,"USD","SOFR")</f>
        <v/>
      </c>
      <c r="D82" s="8">
        <f>QS.CONTEXT.ADD.CURVE(C82,"SOFR",$K$2:$K$7,$L$2:$L$7,,,"Actual360","LogLinear",TRUE)</f>
        <v/>
      </c>
      <c r="E82" s="8">
        <f>QS.INSTRUMENT.SWAP("swap.80",C82,H82,B82,"USD","SOFR",I82,J82,0,"Actual360","Simple","Annual","Annual","Annual")</f>
        <v/>
      </c>
      <c r="F82" s="8">
        <f>QS.TRADE.CREATE("trade.80",C82,E82,A82,"Receive")</f>
        <v/>
      </c>
      <c r="G82" s="5"/>
      <c r="H82" s="7" t="s">
        <v>205</v>
      </c>
      <c r="I82" s="9">
        <v>1008000</v>
      </c>
      <c r="J82" s="10">
        <v>0.03800000000000001</v>
      </c>
    </row>
    <row r="83" spans="1:10">
      <c r="A83" s="7" t="s">
        <v>193</v>
      </c>
      <c r="B83" s="7" t="s">
        <v>206</v>
      </c>
      <c r="C83" s="8">
        <f>QS.CONTEXT.CREATE("market.81",A83,"USD","SOFR")</f>
        <v/>
      </c>
      <c r="D83" s="8">
        <f>QS.CONTEXT.ADD.CURVE(C83,"SOFR",$K$2:$K$7,$L$2:$L$7,,,"Actual360","LogLinear",TRUE)</f>
        <v/>
      </c>
      <c r="E83" s="8">
        <f>QS.INSTRUMENT.SWAP("swap.81",C83,H83,B83,"USD","SOFR",I83,J83,0,"Actual360","Simple","Annual","Annual","Annual")</f>
        <v/>
      </c>
      <c r="F83" s="8">
        <f>QS.TRADE.CREATE("trade.81",C83,E83,A83,"Receive")</f>
        <v/>
      </c>
      <c r="G83" s="5"/>
      <c r="H83" s="7" t="s">
        <v>207</v>
      </c>
      <c r="I83" s="9">
        <v>1008100</v>
      </c>
      <c r="J83" s="10">
        <v>0.0381</v>
      </c>
    </row>
    <row r="84" spans="1:10">
      <c r="A84" s="7" t="s">
        <v>195</v>
      </c>
      <c r="B84" s="7" t="s">
        <v>208</v>
      </c>
      <c r="C84" s="8">
        <f>QS.CONTEXT.CREATE("market.82",A84,"USD","SOFR")</f>
        <v/>
      </c>
      <c r="D84" s="8">
        <f>QS.CONTEXT.ADD.CURVE(C84,"SOFR",$K$2:$K$7,$L$2:$L$7,,,"Actual360","LogLinear",TRUE)</f>
        <v/>
      </c>
      <c r="E84" s="8">
        <f>QS.INSTRUMENT.SWAP("swap.82",C84,H84,B84,"USD","SOFR",I84,J84,0,"Actual360","Simple","Annual","Annual","Annual")</f>
        <v/>
      </c>
      <c r="F84" s="8">
        <f>QS.TRADE.CREATE("trade.82",C84,E84,A84,"Receive")</f>
        <v/>
      </c>
      <c r="G84" s="5"/>
      <c r="H84" s="7" t="s">
        <v>209</v>
      </c>
      <c r="I84" s="9">
        <v>1008200</v>
      </c>
      <c r="J84" s="10">
        <v>0.0382</v>
      </c>
    </row>
    <row r="85" spans="1:10">
      <c r="A85" s="7" t="s">
        <v>197</v>
      </c>
      <c r="B85" s="7" t="s">
        <v>210</v>
      </c>
      <c r="C85" s="8">
        <f>QS.CONTEXT.CREATE("market.83",A85,"USD","SOFR")</f>
        <v/>
      </c>
      <c r="D85" s="8">
        <f>QS.CONTEXT.ADD.CURVE(C85,"SOFR",$K$2:$K$7,$L$2:$L$7,,,"Actual360","LogLinear",TRUE)</f>
        <v/>
      </c>
      <c r="E85" s="8">
        <f>QS.INSTRUMENT.SWAP("swap.83",C85,H85,B85,"USD","SOFR",I85,J85,0,"Actual360","Simple","Annual","Annual","Annual")</f>
        <v/>
      </c>
      <c r="F85" s="8">
        <f>QS.TRADE.CREATE("trade.83",C85,E85,A85,"Receive")</f>
        <v/>
      </c>
      <c r="G85" s="5"/>
      <c r="H85" s="7" t="s">
        <v>211</v>
      </c>
      <c r="I85" s="9">
        <v>1008300</v>
      </c>
      <c r="J85" s="10">
        <v>0.0383</v>
      </c>
    </row>
    <row r="86" spans="1:10">
      <c r="A86" s="7" t="s">
        <v>199</v>
      </c>
      <c r="B86" s="7" t="s">
        <v>212</v>
      </c>
      <c r="C86" s="8">
        <f>QS.CONTEXT.CREATE("market.84",A86,"USD","SOFR")</f>
        <v/>
      </c>
      <c r="D86" s="8">
        <f>QS.CONTEXT.ADD.CURVE(C86,"SOFR",$K$2:$K$7,$L$2:$L$7,,,"Actual360","LogLinear",TRUE)</f>
        <v/>
      </c>
      <c r="E86" s="8">
        <f>QS.INSTRUMENT.SWAP("swap.84",C86,H86,B86,"USD","SOFR",I86,J86,0,"Actual360","Simple","Annual","Annual","Annual")</f>
        <v/>
      </c>
      <c r="F86" s="8">
        <f>QS.TRADE.CREATE("trade.84",C86,E86,A86,"Receive")</f>
        <v/>
      </c>
      <c r="G86" s="5"/>
      <c r="H86" s="7" t="s">
        <v>213</v>
      </c>
      <c r="I86" s="9">
        <v>1008400</v>
      </c>
      <c r="J86" s="10">
        <v>0.0384</v>
      </c>
    </row>
    <row r="87" spans="1:10">
      <c r="A87" s="7" t="s">
        <v>201</v>
      </c>
      <c r="B87" s="7" t="s">
        <v>214</v>
      </c>
      <c r="C87" s="8">
        <f>QS.CONTEXT.CREATE("market.85",A87,"USD","SOFR")</f>
        <v/>
      </c>
      <c r="D87" s="8">
        <f>QS.CONTEXT.ADD.CURVE(C87,"SOFR",$K$2:$K$7,$L$2:$L$7,,,"Actual360","LogLinear",TRUE)</f>
        <v/>
      </c>
      <c r="E87" s="8">
        <f>QS.INSTRUMENT.SWAP("swap.85",C87,H87,B87,"USD","SOFR",I87,J87,0,"Actual360","Simple","Annual","Annual","Annual")</f>
        <v/>
      </c>
      <c r="F87" s="8">
        <f>QS.TRADE.CREATE("trade.85",C87,E87,A87,"Receive")</f>
        <v/>
      </c>
      <c r="G87" s="5"/>
      <c r="H87" s="7" t="s">
        <v>215</v>
      </c>
      <c r="I87" s="9">
        <v>1008500</v>
      </c>
      <c r="J87" s="10">
        <v>0.03850000000000001</v>
      </c>
    </row>
    <row r="88" spans="1:10">
      <c r="A88" s="7" t="s">
        <v>203</v>
      </c>
      <c r="B88" s="7" t="s">
        <v>216</v>
      </c>
      <c r="C88" s="8">
        <f>QS.CONTEXT.CREATE("market.86",A88,"USD","SOFR")</f>
        <v/>
      </c>
      <c r="D88" s="8">
        <f>QS.CONTEXT.ADD.CURVE(C88,"SOFR",$K$2:$K$7,$L$2:$L$7,,,"Actual360","LogLinear",TRUE)</f>
        <v/>
      </c>
      <c r="E88" s="8">
        <f>QS.INSTRUMENT.SWAP("swap.86",C88,H88,B88,"USD","SOFR",I88,J88,0,"Actual360","Simple","Annual","Annual","Annual")</f>
        <v/>
      </c>
      <c r="F88" s="8">
        <f>QS.TRADE.CREATE("trade.86",C88,E88,A88,"Receive")</f>
        <v/>
      </c>
      <c r="G88" s="5"/>
      <c r="H88" s="7" t="s">
        <v>217</v>
      </c>
      <c r="I88" s="9">
        <v>1008600</v>
      </c>
      <c r="J88" s="10">
        <v>0.0386</v>
      </c>
    </row>
    <row r="89" spans="1:10">
      <c r="A89" s="7" t="s">
        <v>205</v>
      </c>
      <c r="B89" s="7" t="s">
        <v>218</v>
      </c>
      <c r="C89" s="8">
        <f>QS.CONTEXT.CREATE("market.87",A89,"USD","SOFR")</f>
        <v/>
      </c>
      <c r="D89" s="8">
        <f>QS.CONTEXT.ADD.CURVE(C89,"SOFR",$K$2:$K$7,$L$2:$L$7,,,"Actual360","LogLinear",TRUE)</f>
        <v/>
      </c>
      <c r="E89" s="8">
        <f>QS.INSTRUMENT.SWAP("swap.87",C89,H89,B89,"USD","SOFR",I89,J89,0,"Actual360","Simple","Annual","Annual","Annual")</f>
        <v/>
      </c>
      <c r="F89" s="8">
        <f>QS.TRADE.CREATE("trade.87",C89,E89,A89,"Receive")</f>
        <v/>
      </c>
      <c r="G89" s="5"/>
      <c r="H89" s="7" t="s">
        <v>219</v>
      </c>
      <c r="I89" s="9">
        <v>1008700</v>
      </c>
      <c r="J89" s="10">
        <v>0.03870000000000001</v>
      </c>
    </row>
    <row r="90" spans="1:10">
      <c r="A90" s="7" t="s">
        <v>207</v>
      </c>
      <c r="B90" s="7" t="s">
        <v>220</v>
      </c>
      <c r="C90" s="8">
        <f>QS.CONTEXT.CREATE("market.88",A90,"USD","SOFR")</f>
        <v/>
      </c>
      <c r="D90" s="8">
        <f>QS.CONTEXT.ADD.CURVE(C90,"SOFR",$K$2:$K$7,$L$2:$L$7,,,"Actual360","LogLinear",TRUE)</f>
        <v/>
      </c>
      <c r="E90" s="8">
        <f>QS.INSTRUMENT.SWAP("swap.88",C90,H90,B90,"USD","SOFR",I90,J90,0,"Actual360","Simple","Annual","Annual","Annual")</f>
        <v/>
      </c>
      <c r="F90" s="8">
        <f>QS.TRADE.CREATE("trade.88",C90,E90,A90,"Receive")</f>
        <v/>
      </c>
      <c r="G90" s="5"/>
      <c r="H90" s="7" t="s">
        <v>221</v>
      </c>
      <c r="I90" s="9">
        <v>1008800</v>
      </c>
      <c r="J90" s="10">
        <v>0.0388</v>
      </c>
    </row>
    <row r="91" spans="1:10">
      <c r="A91" s="7" t="s">
        <v>209</v>
      </c>
      <c r="B91" s="7" t="s">
        <v>222</v>
      </c>
      <c r="C91" s="8">
        <f>QS.CONTEXT.CREATE("market.89",A91,"USD","SOFR")</f>
        <v/>
      </c>
      <c r="D91" s="8">
        <f>QS.CONTEXT.ADD.CURVE(C91,"SOFR",$K$2:$K$7,$L$2:$L$7,,,"Actual360","LogLinear",TRUE)</f>
        <v/>
      </c>
      <c r="E91" s="8">
        <f>QS.INSTRUMENT.SWAP("swap.89",C91,H91,B91,"USD","SOFR",I91,J91,0,"Actual360","Simple","Annual","Annual","Annual")</f>
        <v/>
      </c>
      <c r="F91" s="8">
        <f>QS.TRADE.CREATE("trade.89",C91,E91,A91,"Receive")</f>
        <v/>
      </c>
      <c r="G91" s="5"/>
      <c r="H91" s="7" t="s">
        <v>223</v>
      </c>
      <c r="I91" s="9">
        <v>1008900</v>
      </c>
      <c r="J91" s="10">
        <v>0.0389</v>
      </c>
    </row>
    <row r="92" spans="1:10">
      <c r="A92" s="7" t="s">
        <v>211</v>
      </c>
      <c r="B92" s="7" t="s">
        <v>224</v>
      </c>
      <c r="C92" s="8">
        <f>QS.CONTEXT.CREATE("market.90",A92,"USD","SOFR")</f>
        <v/>
      </c>
      <c r="D92" s="8">
        <f>QS.CONTEXT.ADD.CURVE(C92,"SOFR",$K$2:$K$7,$L$2:$L$7,,,"Actual360","LogLinear",TRUE)</f>
        <v/>
      </c>
      <c r="E92" s="8">
        <f>QS.INSTRUMENT.SWAP("swap.90",C92,H92,B92,"USD","SOFR",I92,J92,0,"Actual360","Simple","Annual","Annual","Annual")</f>
        <v/>
      </c>
      <c r="F92" s="8">
        <f>QS.TRADE.CREATE("trade.90",C92,E92,A92,"Receive")</f>
        <v/>
      </c>
      <c r="G92" s="5"/>
      <c r="H92" s="7" t="s">
        <v>225</v>
      </c>
      <c r="I92" s="9">
        <v>1009000</v>
      </c>
      <c r="J92" s="10">
        <v>0.03900000000000001</v>
      </c>
    </row>
    <row r="93" spans="1:10">
      <c r="A93" s="7" t="s">
        <v>213</v>
      </c>
      <c r="B93" s="7" t="s">
        <v>226</v>
      </c>
      <c r="C93" s="8">
        <f>QS.CONTEXT.CREATE("market.91",A93,"USD","SOFR")</f>
        <v/>
      </c>
      <c r="D93" s="8">
        <f>QS.CONTEXT.ADD.CURVE(C93,"SOFR",$K$2:$K$7,$L$2:$L$7,,,"Actual360","LogLinear",TRUE)</f>
        <v/>
      </c>
      <c r="E93" s="8">
        <f>QS.INSTRUMENT.SWAP("swap.91",C93,H93,B93,"USD","SOFR",I93,J93,0,"Actual360","Simple","Annual","Annual","Annual")</f>
        <v/>
      </c>
      <c r="F93" s="8">
        <f>QS.TRADE.CREATE("trade.91",C93,E93,A93,"Receive")</f>
        <v/>
      </c>
      <c r="G93" s="5"/>
      <c r="H93" s="7" t="s">
        <v>227</v>
      </c>
      <c r="I93" s="9">
        <v>1009100</v>
      </c>
      <c r="J93" s="10">
        <v>0.0391</v>
      </c>
    </row>
    <row r="94" spans="1:10">
      <c r="A94" s="7" t="s">
        <v>215</v>
      </c>
      <c r="B94" s="7" t="s">
        <v>228</v>
      </c>
      <c r="C94" s="8">
        <f>QS.CONTEXT.CREATE("market.92",A94,"USD","SOFR")</f>
        <v/>
      </c>
      <c r="D94" s="8">
        <f>QS.CONTEXT.ADD.CURVE(C94,"SOFR",$K$2:$K$7,$L$2:$L$7,,,"Actual360","LogLinear",TRUE)</f>
        <v/>
      </c>
      <c r="E94" s="8">
        <f>QS.INSTRUMENT.SWAP("swap.92",C94,H94,B94,"USD","SOFR",I94,J94,0,"Actual360","Simple","Annual","Annual","Annual")</f>
        <v/>
      </c>
      <c r="F94" s="8">
        <f>QS.TRADE.CREATE("trade.92",C94,E94,A94,"Receive")</f>
        <v/>
      </c>
      <c r="G94" s="5"/>
      <c r="H94" s="7" t="s">
        <v>229</v>
      </c>
      <c r="I94" s="9">
        <v>1009200</v>
      </c>
      <c r="J94" s="10">
        <v>0.03920000000000001</v>
      </c>
    </row>
    <row r="95" spans="1:10">
      <c r="A95" s="7" t="s">
        <v>217</v>
      </c>
      <c r="B95" s="7" t="s">
        <v>230</v>
      </c>
      <c r="C95" s="8">
        <f>QS.CONTEXT.CREATE("market.93",A95,"USD","SOFR")</f>
        <v/>
      </c>
      <c r="D95" s="8">
        <f>QS.CONTEXT.ADD.CURVE(C95,"SOFR",$K$2:$K$7,$L$2:$L$7,,,"Actual360","LogLinear",TRUE)</f>
        <v/>
      </c>
      <c r="E95" s="8">
        <f>QS.INSTRUMENT.SWAP("swap.93",C95,H95,B95,"USD","SOFR",I95,J95,0,"Actual360","Simple","Annual","Annual","Annual")</f>
        <v/>
      </c>
      <c r="F95" s="8">
        <f>QS.TRADE.CREATE("trade.93",C95,E95,A95,"Receive")</f>
        <v/>
      </c>
      <c r="G95" s="5"/>
      <c r="H95" s="7" t="s">
        <v>231</v>
      </c>
      <c r="I95" s="9">
        <v>1009300</v>
      </c>
      <c r="J95" s="10">
        <v>0.0393</v>
      </c>
    </row>
    <row r="96" spans="1:10">
      <c r="A96" s="7" t="s">
        <v>219</v>
      </c>
      <c r="B96" s="7" t="s">
        <v>232</v>
      </c>
      <c r="C96" s="8">
        <f>QS.CONTEXT.CREATE("market.94",A96,"USD","SOFR")</f>
        <v/>
      </c>
      <c r="D96" s="8">
        <f>QS.CONTEXT.ADD.CURVE(C96,"SOFR",$K$2:$K$7,$L$2:$L$7,,,"Actual360","LogLinear",TRUE)</f>
        <v/>
      </c>
      <c r="E96" s="8">
        <f>QS.INSTRUMENT.SWAP("swap.94",C96,H96,B96,"USD","SOFR",I96,J96,0,"Actual360","Simple","Annual","Annual","Annual")</f>
        <v/>
      </c>
      <c r="F96" s="8">
        <f>QS.TRADE.CREATE("trade.94",C96,E96,A96,"Receive")</f>
        <v/>
      </c>
      <c r="G96" s="5"/>
      <c r="H96" s="7" t="s">
        <v>233</v>
      </c>
      <c r="I96" s="9">
        <v>1009400</v>
      </c>
      <c r="J96" s="10">
        <v>0.0394</v>
      </c>
    </row>
    <row r="97" spans="1:10">
      <c r="A97" s="7" t="s">
        <v>221</v>
      </c>
      <c r="B97" s="7" t="s">
        <v>234</v>
      </c>
      <c r="C97" s="8">
        <f>QS.CONTEXT.CREATE("market.95",A97,"USD","SOFR")</f>
        <v/>
      </c>
      <c r="D97" s="8">
        <f>QS.CONTEXT.ADD.CURVE(C97,"SOFR",$K$2:$K$7,$L$2:$L$7,,,"Actual360","LogLinear",TRUE)</f>
        <v/>
      </c>
      <c r="E97" s="8">
        <f>QS.INSTRUMENT.SWAP("swap.95",C97,H97,B97,"USD","SOFR",I97,J97,0,"Actual360","Simple","Annual","Annual","Annual")</f>
        <v/>
      </c>
      <c r="F97" s="8">
        <f>QS.TRADE.CREATE("trade.95",C97,E97,A97,"Receive")</f>
        <v/>
      </c>
      <c r="G97" s="5"/>
      <c r="H97" s="7" t="s">
        <v>235</v>
      </c>
      <c r="I97" s="9">
        <v>1009500</v>
      </c>
      <c r="J97" s="10">
        <v>0.03950000000000001</v>
      </c>
    </row>
    <row r="98" spans="1:10">
      <c r="A98" s="7" t="s">
        <v>223</v>
      </c>
      <c r="B98" s="7" t="s">
        <v>236</v>
      </c>
      <c r="C98" s="8">
        <f>QS.CONTEXT.CREATE("market.96",A98,"USD","SOFR")</f>
        <v/>
      </c>
      <c r="D98" s="8">
        <f>QS.CONTEXT.ADD.CURVE(C98,"SOFR",$K$2:$K$7,$L$2:$L$7,,,"Actual360","LogLinear",TRUE)</f>
        <v/>
      </c>
      <c r="E98" s="8">
        <f>QS.INSTRUMENT.SWAP("swap.96",C98,H98,B98,"USD","SOFR",I98,J98,0,"Actual360","Simple","Annual","Annual","Annual")</f>
        <v/>
      </c>
      <c r="F98" s="8">
        <f>QS.TRADE.CREATE("trade.96",C98,E98,A98,"Receive")</f>
        <v/>
      </c>
      <c r="G98" s="5"/>
      <c r="H98" s="7" t="s">
        <v>237</v>
      </c>
      <c r="I98" s="9">
        <v>1009600</v>
      </c>
      <c r="J98" s="10">
        <v>0.0396</v>
      </c>
    </row>
    <row r="99" spans="1:10">
      <c r="A99" s="7" t="s">
        <v>225</v>
      </c>
      <c r="B99" s="7" t="s">
        <v>238</v>
      </c>
      <c r="C99" s="8">
        <f>QS.CONTEXT.CREATE("market.97",A99,"USD","SOFR")</f>
        <v/>
      </c>
      <c r="D99" s="8">
        <f>QS.CONTEXT.ADD.CURVE(C99,"SOFR",$K$2:$K$7,$L$2:$L$7,,,"Actual360","LogLinear",TRUE)</f>
        <v/>
      </c>
      <c r="E99" s="8">
        <f>QS.INSTRUMENT.SWAP("swap.97",C99,H99,B99,"USD","SOFR",I99,J99,0,"Actual360","Simple","Annual","Annual","Annual")</f>
        <v/>
      </c>
      <c r="F99" s="8">
        <f>QS.TRADE.CREATE("trade.97",C99,E99,A99,"Receive")</f>
        <v/>
      </c>
      <c r="G99" s="5"/>
      <c r="H99" s="7" t="s">
        <v>239</v>
      </c>
      <c r="I99" s="9">
        <v>1009700</v>
      </c>
      <c r="J99" s="10">
        <v>0.03970000000000001</v>
      </c>
    </row>
    <row r="100" spans="1:10">
      <c r="A100" s="7" t="s">
        <v>227</v>
      </c>
      <c r="B100" s="7" t="s">
        <v>240</v>
      </c>
      <c r="C100" s="8">
        <f>QS.CONTEXT.CREATE("market.98",A100,"USD","SOFR")</f>
        <v/>
      </c>
      <c r="D100" s="8">
        <f>QS.CONTEXT.ADD.CURVE(C100,"SOFR",$K$2:$K$7,$L$2:$L$7,,,"Actual360","LogLinear",TRUE)</f>
        <v/>
      </c>
      <c r="E100" s="8">
        <f>QS.INSTRUMENT.SWAP("swap.98",C100,H100,B100,"USD","SOFR",I100,J100,0,"Actual360","Simple","Annual","Annual","Annual")</f>
        <v/>
      </c>
      <c r="F100" s="8">
        <f>QS.TRADE.CREATE("trade.98",C100,E100,A100,"Receive")</f>
        <v/>
      </c>
      <c r="G100" s="5"/>
      <c r="H100" s="7" t="s">
        <v>241</v>
      </c>
      <c r="I100" s="9">
        <v>1009800</v>
      </c>
      <c r="J100" s="10">
        <v>0.0398</v>
      </c>
    </row>
    <row r="101" spans="1:10">
      <c r="A101" s="7" t="s">
        <v>229</v>
      </c>
      <c r="B101" s="7" t="s">
        <v>242</v>
      </c>
      <c r="C101" s="8">
        <f>QS.CONTEXT.CREATE("market.99",A101,"USD","SOFR")</f>
        <v/>
      </c>
      <c r="D101" s="8">
        <f>QS.CONTEXT.ADD.CURVE(C101,"SOFR",$K$2:$K$7,$L$2:$L$7,,,"Actual360","LogLinear",TRUE)</f>
        <v/>
      </c>
      <c r="E101" s="8">
        <f>QS.INSTRUMENT.SWAP("swap.99",C101,H101,B101,"USD","SOFR",I101,J101,0,"Actual360","Simple","Annual","Annual","Annual")</f>
        <v/>
      </c>
      <c r="F101" s="8">
        <f>QS.TRADE.CREATE("trade.99",C101,E101,A101,"Receive")</f>
        <v/>
      </c>
      <c r="G101" s="5"/>
      <c r="H101" s="7" t="s">
        <v>243</v>
      </c>
      <c r="I101" s="9">
        <v>1009900</v>
      </c>
      <c r="J101" s="10">
        <v>0.0399</v>
      </c>
    </row>
    <row r="102" spans="1:10">
      <c r="A102" s="7" t="s">
        <v>231</v>
      </c>
      <c r="B102" s="7" t="s">
        <v>244</v>
      </c>
      <c r="C102" s="8">
        <f>QS.CONTEXT.CREATE("market.100",A102,"USD","SOFR")</f>
        <v/>
      </c>
      <c r="D102" s="8">
        <f>QS.CONTEXT.ADD.CURVE(C102,"SOFR",$K$2:$K$7,$L$2:$L$7,,,"Actual360","LogLinear",TRUE)</f>
        <v/>
      </c>
      <c r="E102" s="8">
        <f>QS.INSTRUMENT.SWAP("swap.100",C102,H102,B102,"USD","SOFR",I102,J102,0,"Actual360","Simple","Annual","Annual","Annual")</f>
        <v/>
      </c>
      <c r="F102" s="8">
        <f>QS.TRADE.CREATE("trade.100",C102,E102,A102,"Receive")</f>
        <v/>
      </c>
      <c r="G102" s="5"/>
      <c r="H102" s="7" t="s">
        <v>245</v>
      </c>
      <c r="I102" s="9">
        <v>1010000</v>
      </c>
      <c r="J102" s="10">
        <v>0.035</v>
      </c>
    </row>
    <row r="103" spans="1:10">
      <c r="A103" s="7" t="s">
        <v>233</v>
      </c>
      <c r="B103" s="7" t="s">
        <v>246</v>
      </c>
      <c r="C103" s="8">
        <f>QS.CONTEXT.CREATE("market.101",A103,"USD","SOFR")</f>
        <v/>
      </c>
      <c r="D103" s="8">
        <f>QS.CONTEXT.ADD.CURVE(C103,"SOFR",$K$2:$K$7,$L$2:$L$7,,,"Actual360","LogLinear",TRUE)</f>
        <v/>
      </c>
      <c r="E103" s="8">
        <f>QS.INSTRUMENT.SWAP("swap.101",C103,H103,B103,"USD","SOFR",I103,J103,0,"Actual360","Simple","Annual","Annual","Annual")</f>
        <v/>
      </c>
      <c r="F103" s="8">
        <f>QS.TRADE.CREATE("trade.101",C103,E103,A103,"Receive")</f>
        <v/>
      </c>
      <c r="G103" s="5"/>
      <c r="H103" s="7" t="s">
        <v>247</v>
      </c>
      <c r="I103" s="9">
        <v>1010100</v>
      </c>
      <c r="J103" s="10">
        <v>0.03510000000000001</v>
      </c>
    </row>
    <row r="104" spans="1:10">
      <c r="A104" s="7" t="s">
        <v>235</v>
      </c>
      <c r="B104" s="7" t="s">
        <v>248</v>
      </c>
      <c r="C104" s="8">
        <f>QS.CONTEXT.CREATE("market.102",A104,"USD","SOFR")</f>
        <v/>
      </c>
      <c r="D104" s="8">
        <f>QS.CONTEXT.ADD.CURVE(C104,"SOFR",$K$2:$K$7,$L$2:$L$7,,,"Actual360","LogLinear",TRUE)</f>
        <v/>
      </c>
      <c r="E104" s="8">
        <f>QS.INSTRUMENT.SWAP("swap.102",C104,H104,B104,"USD","SOFR",I104,J104,0,"Actual360","Simple","Annual","Annual","Annual")</f>
        <v/>
      </c>
      <c r="F104" s="8">
        <f>QS.TRADE.CREATE("trade.102",C104,E104,A104,"Receive")</f>
        <v/>
      </c>
      <c r="G104" s="5"/>
      <c r="H104" s="7" t="s">
        <v>249</v>
      </c>
      <c r="I104" s="9">
        <v>1010200</v>
      </c>
      <c r="J104" s="10">
        <v>0.0352</v>
      </c>
    </row>
    <row r="105" spans="1:10">
      <c r="A105" s="7" t="s">
        <v>237</v>
      </c>
      <c r="B105" s="7" t="s">
        <v>250</v>
      </c>
      <c r="C105" s="8">
        <f>QS.CONTEXT.CREATE("market.103",A105,"USD","SOFR")</f>
        <v/>
      </c>
      <c r="D105" s="8">
        <f>QS.CONTEXT.ADD.CURVE(C105,"SOFR",$K$2:$K$7,$L$2:$L$7,,,"Actual360","LogLinear",TRUE)</f>
        <v/>
      </c>
      <c r="E105" s="8">
        <f>QS.INSTRUMENT.SWAP("swap.103",C105,H105,B105,"USD","SOFR",I105,J105,0,"Actual360","Simple","Annual","Annual","Annual")</f>
        <v/>
      </c>
      <c r="F105" s="8">
        <f>QS.TRADE.CREATE("trade.103",C105,E105,A105,"Receive")</f>
        <v/>
      </c>
      <c r="G105" s="5"/>
      <c r="H105" s="7" t="s">
        <v>251</v>
      </c>
      <c r="I105" s="9">
        <v>1010300</v>
      </c>
      <c r="J105" s="10">
        <v>0.0353</v>
      </c>
    </row>
    <row r="106" spans="1:10">
      <c r="A106" s="7" t="s">
        <v>239</v>
      </c>
      <c r="B106" s="7" t="s">
        <v>252</v>
      </c>
      <c r="C106" s="8">
        <f>QS.CONTEXT.CREATE("market.104",A106,"USD","SOFR")</f>
        <v/>
      </c>
      <c r="D106" s="8">
        <f>QS.CONTEXT.ADD.CURVE(C106,"SOFR",$K$2:$K$7,$L$2:$L$7,,,"Actual360","LogLinear",TRUE)</f>
        <v/>
      </c>
      <c r="E106" s="8">
        <f>QS.INSTRUMENT.SWAP("swap.104",C106,H106,B106,"USD","SOFR",I106,J106,0,"Actual360","Simple","Annual","Annual","Annual")</f>
        <v/>
      </c>
      <c r="F106" s="8">
        <f>QS.TRADE.CREATE("trade.104",C106,E106,A106,"Receive")</f>
        <v/>
      </c>
      <c r="G106" s="5"/>
      <c r="H106" s="7" t="s">
        <v>253</v>
      </c>
      <c r="I106" s="9">
        <v>1010400</v>
      </c>
      <c r="J106" s="10">
        <v>0.0354</v>
      </c>
    </row>
    <row r="107" spans="1:10">
      <c r="A107" s="7" t="s">
        <v>241</v>
      </c>
      <c r="B107" s="7" t="s">
        <v>254</v>
      </c>
      <c r="C107" s="8">
        <f>QS.CONTEXT.CREATE("market.105",A107,"USD","SOFR")</f>
        <v/>
      </c>
      <c r="D107" s="8">
        <f>QS.CONTEXT.ADD.CURVE(C107,"SOFR",$K$2:$K$7,$L$2:$L$7,,,"Actual360","LogLinear",TRUE)</f>
        <v/>
      </c>
      <c r="E107" s="8">
        <f>QS.INSTRUMENT.SWAP("swap.105",C107,H107,B107,"USD","SOFR",I107,J107,0,"Actual360","Simple","Annual","Annual","Annual")</f>
        <v/>
      </c>
      <c r="F107" s="8">
        <f>QS.TRADE.CREATE("trade.105",C107,E107,A107,"Receive")</f>
        <v/>
      </c>
      <c r="G107" s="5"/>
      <c r="H107" s="7" t="s">
        <v>255</v>
      </c>
      <c r="I107" s="9">
        <v>1010500</v>
      </c>
      <c r="J107" s="10">
        <v>0.0355</v>
      </c>
    </row>
    <row r="108" spans="1:10">
      <c r="A108" s="7" t="s">
        <v>243</v>
      </c>
      <c r="B108" s="7" t="s">
        <v>256</v>
      </c>
      <c r="C108" s="8">
        <f>QS.CONTEXT.CREATE("market.106",A108,"USD","SOFR")</f>
        <v/>
      </c>
      <c r="D108" s="8">
        <f>QS.CONTEXT.ADD.CURVE(C108,"SOFR",$K$2:$K$7,$L$2:$L$7,,,"Actual360","LogLinear",TRUE)</f>
        <v/>
      </c>
      <c r="E108" s="8">
        <f>QS.INSTRUMENT.SWAP("swap.106",C108,H108,B108,"USD","SOFR",I108,J108,0,"Actual360","Simple","Annual","Annual","Annual")</f>
        <v/>
      </c>
      <c r="F108" s="8">
        <f>QS.TRADE.CREATE("trade.106",C108,E108,A108,"Receive")</f>
        <v/>
      </c>
      <c r="G108" s="5"/>
      <c r="H108" s="7" t="s">
        <v>257</v>
      </c>
      <c r="I108" s="9">
        <v>1010600</v>
      </c>
      <c r="J108" s="10">
        <v>0.03560000000000001</v>
      </c>
    </row>
    <row r="109" spans="1:10">
      <c r="A109" s="7" t="s">
        <v>245</v>
      </c>
      <c r="B109" s="7" t="s">
        <v>258</v>
      </c>
      <c r="C109" s="8">
        <f>QS.CONTEXT.CREATE("market.107",A109,"USD","SOFR")</f>
        <v/>
      </c>
      <c r="D109" s="8">
        <f>QS.CONTEXT.ADD.CURVE(C109,"SOFR",$K$2:$K$7,$L$2:$L$7,,,"Actual360","LogLinear",TRUE)</f>
        <v/>
      </c>
      <c r="E109" s="8">
        <f>QS.INSTRUMENT.SWAP("swap.107",C109,H109,B109,"USD","SOFR",I109,J109,0,"Actual360","Simple","Annual","Annual","Annual")</f>
        <v/>
      </c>
      <c r="F109" s="8">
        <f>QS.TRADE.CREATE("trade.107",C109,E109,A109,"Receive")</f>
        <v/>
      </c>
      <c r="G109" s="5"/>
      <c r="H109" s="7" t="s">
        <v>259</v>
      </c>
      <c r="I109" s="9">
        <v>1010700</v>
      </c>
      <c r="J109" s="10">
        <v>0.0357</v>
      </c>
    </row>
    <row r="110" spans="1:10">
      <c r="A110" s="7" t="s">
        <v>247</v>
      </c>
      <c r="B110" s="7" t="s">
        <v>260</v>
      </c>
      <c r="C110" s="8">
        <f>QS.CONTEXT.CREATE("market.108",A110,"USD","SOFR")</f>
        <v/>
      </c>
      <c r="D110" s="8">
        <f>QS.CONTEXT.ADD.CURVE(C110,"SOFR",$K$2:$K$7,$L$2:$L$7,,,"Actual360","LogLinear",TRUE)</f>
        <v/>
      </c>
      <c r="E110" s="8">
        <f>QS.INSTRUMENT.SWAP("swap.108",C110,H110,B110,"USD","SOFR",I110,J110,0,"Actual360","Simple","Annual","Annual","Annual")</f>
        <v/>
      </c>
      <c r="F110" s="8">
        <f>QS.TRADE.CREATE("trade.108",C110,E110,A110,"Receive")</f>
        <v/>
      </c>
      <c r="G110" s="5"/>
      <c r="H110" s="7" t="s">
        <v>261</v>
      </c>
      <c r="I110" s="9">
        <v>1010800</v>
      </c>
      <c r="J110" s="10">
        <v>0.03580000000000001</v>
      </c>
    </row>
    <row r="111" spans="1:10">
      <c r="A111" s="7" t="s">
        <v>249</v>
      </c>
      <c r="B111" s="7" t="s">
        <v>262</v>
      </c>
      <c r="C111" s="8">
        <f>QS.CONTEXT.CREATE("market.109",A111,"USD","SOFR")</f>
        <v/>
      </c>
      <c r="D111" s="8">
        <f>QS.CONTEXT.ADD.CURVE(C111,"SOFR",$K$2:$K$7,$L$2:$L$7,,,"Actual360","LogLinear",TRUE)</f>
        <v/>
      </c>
      <c r="E111" s="8">
        <f>QS.INSTRUMENT.SWAP("swap.109",C111,H111,B111,"USD","SOFR",I111,J111,0,"Actual360","Simple","Annual","Annual","Annual")</f>
        <v/>
      </c>
      <c r="F111" s="8">
        <f>QS.TRADE.CREATE("trade.109",C111,E111,A111,"Receive")</f>
        <v/>
      </c>
      <c r="G111" s="5"/>
      <c r="H111" s="7" t="s">
        <v>263</v>
      </c>
      <c r="I111" s="9">
        <v>1010900</v>
      </c>
      <c r="J111" s="10">
        <v>0.0359</v>
      </c>
    </row>
    <row r="112" spans="1:10">
      <c r="A112" s="7" t="s">
        <v>251</v>
      </c>
      <c r="B112" s="7" t="s">
        <v>264</v>
      </c>
      <c r="C112" s="8">
        <f>QS.CONTEXT.CREATE("market.110",A112,"USD","SOFR")</f>
        <v/>
      </c>
      <c r="D112" s="8">
        <f>QS.CONTEXT.ADD.CURVE(C112,"SOFR",$K$2:$K$7,$L$2:$L$7,,,"Actual360","LogLinear",TRUE)</f>
        <v/>
      </c>
      <c r="E112" s="8">
        <f>QS.INSTRUMENT.SWAP("swap.110",C112,H112,B112,"USD","SOFR",I112,J112,0,"Actual360","Simple","Annual","Annual","Annual")</f>
        <v/>
      </c>
      <c r="F112" s="8">
        <f>QS.TRADE.CREATE("trade.110",C112,E112,A112,"Receive")</f>
        <v/>
      </c>
      <c r="G112" s="5"/>
      <c r="H112" s="7" t="s">
        <v>265</v>
      </c>
      <c r="I112" s="9">
        <v>1011000</v>
      </c>
      <c r="J112" s="10">
        <v>0.036</v>
      </c>
    </row>
    <row r="113" spans="1:10">
      <c r="A113" s="7" t="s">
        <v>253</v>
      </c>
      <c r="B113" s="7" t="s">
        <v>266</v>
      </c>
      <c r="C113" s="8">
        <f>QS.CONTEXT.CREATE("market.111",A113,"USD","SOFR")</f>
        <v/>
      </c>
      <c r="D113" s="8">
        <f>QS.CONTEXT.ADD.CURVE(C113,"SOFR",$K$2:$K$7,$L$2:$L$7,,,"Actual360","LogLinear",TRUE)</f>
        <v/>
      </c>
      <c r="E113" s="8">
        <f>QS.INSTRUMENT.SWAP("swap.111",C113,H113,B113,"USD","SOFR",I113,J113,0,"Actual360","Simple","Annual","Annual","Annual")</f>
        <v/>
      </c>
      <c r="F113" s="8">
        <f>QS.TRADE.CREATE("trade.111",C113,E113,A113,"Receive")</f>
        <v/>
      </c>
      <c r="G113" s="5"/>
      <c r="H113" s="7" t="s">
        <v>267</v>
      </c>
      <c r="I113" s="9">
        <v>1011100</v>
      </c>
      <c r="J113" s="10">
        <v>0.0361</v>
      </c>
    </row>
    <row r="114" spans="1:10">
      <c r="A114" s="7" t="s">
        <v>255</v>
      </c>
      <c r="B114" s="7" t="s">
        <v>268</v>
      </c>
      <c r="C114" s="8">
        <f>QS.CONTEXT.CREATE("market.112",A114,"USD","SOFR")</f>
        <v/>
      </c>
      <c r="D114" s="8">
        <f>QS.CONTEXT.ADD.CURVE(C114,"SOFR",$K$2:$K$7,$L$2:$L$7,,,"Actual360","LogLinear",TRUE)</f>
        <v/>
      </c>
      <c r="E114" s="8">
        <f>QS.INSTRUMENT.SWAP("swap.112",C114,H114,B114,"USD","SOFR",I114,J114,0,"Actual360","Simple","Annual","Annual","Annual")</f>
        <v/>
      </c>
      <c r="F114" s="8">
        <f>QS.TRADE.CREATE("trade.112",C114,E114,A114,"Receive")</f>
        <v/>
      </c>
      <c r="G114" s="5"/>
      <c r="H114" s="7" t="s">
        <v>269</v>
      </c>
      <c r="I114" s="9">
        <v>1011200</v>
      </c>
      <c r="J114" s="10">
        <v>0.0362</v>
      </c>
    </row>
    <row r="115" spans="1:10">
      <c r="A115" s="7" t="s">
        <v>257</v>
      </c>
      <c r="B115" s="7" t="s">
        <v>270</v>
      </c>
      <c r="C115" s="8">
        <f>QS.CONTEXT.CREATE("market.113",A115,"USD","SOFR")</f>
        <v/>
      </c>
      <c r="D115" s="8">
        <f>QS.CONTEXT.ADD.CURVE(C115,"SOFR",$K$2:$K$7,$L$2:$L$7,,,"Actual360","LogLinear",TRUE)</f>
        <v/>
      </c>
      <c r="E115" s="8">
        <f>QS.INSTRUMENT.SWAP("swap.113",C115,H115,B115,"USD","SOFR",I115,J115,0,"Actual360","Simple","Annual","Annual","Annual")</f>
        <v/>
      </c>
      <c r="F115" s="8">
        <f>QS.TRADE.CREATE("trade.113",C115,E115,A115,"Receive")</f>
        <v/>
      </c>
      <c r="G115" s="5"/>
      <c r="H115" s="7" t="s">
        <v>271</v>
      </c>
      <c r="I115" s="9">
        <v>1011300</v>
      </c>
      <c r="J115" s="10">
        <v>0.03630000000000001</v>
      </c>
    </row>
    <row r="116" spans="1:10">
      <c r="A116" s="7" t="s">
        <v>259</v>
      </c>
      <c r="B116" s="7" t="s">
        <v>272</v>
      </c>
      <c r="C116" s="8">
        <f>QS.CONTEXT.CREATE("market.114",A116,"USD","SOFR")</f>
        <v/>
      </c>
      <c r="D116" s="8">
        <f>QS.CONTEXT.ADD.CURVE(C116,"SOFR",$K$2:$K$7,$L$2:$L$7,,,"Actual360","LogLinear",TRUE)</f>
        <v/>
      </c>
      <c r="E116" s="8">
        <f>QS.INSTRUMENT.SWAP("swap.114",C116,H116,B116,"USD","SOFR",I116,J116,0,"Actual360","Simple","Annual","Annual","Annual")</f>
        <v/>
      </c>
      <c r="F116" s="8">
        <f>QS.TRADE.CREATE("trade.114",C116,E116,A116,"Receive")</f>
        <v/>
      </c>
      <c r="G116" s="5"/>
      <c r="H116" s="7" t="s">
        <v>273</v>
      </c>
      <c r="I116" s="9">
        <v>1011400</v>
      </c>
      <c r="J116" s="10">
        <v>0.0364</v>
      </c>
    </row>
    <row r="117" spans="1:10">
      <c r="A117" s="7" t="s">
        <v>261</v>
      </c>
      <c r="B117" s="7" t="s">
        <v>274</v>
      </c>
      <c r="C117" s="8">
        <f>QS.CONTEXT.CREATE("market.115",A117,"USD","SOFR")</f>
        <v/>
      </c>
      <c r="D117" s="8">
        <f>QS.CONTEXT.ADD.CURVE(C117,"SOFR",$K$2:$K$7,$L$2:$L$7,,,"Actual360","LogLinear",TRUE)</f>
        <v/>
      </c>
      <c r="E117" s="8">
        <f>QS.INSTRUMENT.SWAP("swap.115",C117,H117,B117,"USD","SOFR",I117,J117,0,"Actual360","Simple","Annual","Annual","Annual")</f>
        <v/>
      </c>
      <c r="F117" s="8">
        <f>QS.TRADE.CREATE("trade.115",C117,E117,A117,"Receive")</f>
        <v/>
      </c>
      <c r="G117" s="5"/>
      <c r="H117" s="7" t="s">
        <v>275</v>
      </c>
      <c r="I117" s="9">
        <v>1011500</v>
      </c>
      <c r="J117" s="10">
        <v>0.0365</v>
      </c>
    </row>
    <row r="118" spans="1:10">
      <c r="A118" s="7" t="s">
        <v>263</v>
      </c>
      <c r="B118" s="7" t="s">
        <v>276</v>
      </c>
      <c r="C118" s="8">
        <f>QS.CONTEXT.CREATE("market.116",A118,"USD","SOFR")</f>
        <v/>
      </c>
      <c r="D118" s="8">
        <f>QS.CONTEXT.ADD.CURVE(C118,"SOFR",$K$2:$K$7,$L$2:$L$7,,,"Actual360","LogLinear",TRUE)</f>
        <v/>
      </c>
      <c r="E118" s="8">
        <f>QS.INSTRUMENT.SWAP("swap.116",C118,H118,B118,"USD","SOFR",I118,J118,0,"Actual360","Simple","Annual","Annual","Annual")</f>
        <v/>
      </c>
      <c r="F118" s="8">
        <f>QS.TRADE.CREATE("trade.116",C118,E118,A118,"Receive")</f>
        <v/>
      </c>
      <c r="G118" s="5"/>
      <c r="H118" s="7" t="s">
        <v>277</v>
      </c>
      <c r="I118" s="9">
        <v>1011600</v>
      </c>
      <c r="J118" s="10">
        <v>0.0366</v>
      </c>
    </row>
    <row r="119" spans="1:10">
      <c r="A119" s="7" t="s">
        <v>265</v>
      </c>
      <c r="B119" s="7" t="s">
        <v>278</v>
      </c>
      <c r="C119" s="8">
        <f>QS.CONTEXT.CREATE("market.117",A119,"USD","SOFR")</f>
        <v/>
      </c>
      <c r="D119" s="8">
        <f>QS.CONTEXT.ADD.CURVE(C119,"SOFR",$K$2:$K$7,$L$2:$L$7,,,"Actual360","LogLinear",TRUE)</f>
        <v/>
      </c>
      <c r="E119" s="8">
        <f>QS.INSTRUMENT.SWAP("swap.117",C119,H119,B119,"USD","SOFR",I119,J119,0,"Actual360","Simple","Annual","Annual","Annual")</f>
        <v/>
      </c>
      <c r="F119" s="8">
        <f>QS.TRADE.CREATE("trade.117",C119,E119,A119,"Receive")</f>
        <v/>
      </c>
      <c r="G119" s="5"/>
      <c r="H119" s="7" t="s">
        <v>279</v>
      </c>
      <c r="I119" s="9">
        <v>1011700</v>
      </c>
      <c r="J119" s="10">
        <v>0.0367</v>
      </c>
    </row>
    <row r="120" spans="1:10">
      <c r="A120" s="7" t="s">
        <v>267</v>
      </c>
      <c r="B120" s="7" t="s">
        <v>280</v>
      </c>
      <c r="C120" s="8">
        <f>QS.CONTEXT.CREATE("market.118",A120,"USD","SOFR")</f>
        <v/>
      </c>
      <c r="D120" s="8">
        <f>QS.CONTEXT.ADD.CURVE(C120,"SOFR",$K$2:$K$7,$L$2:$L$7,,,"Actual360","LogLinear",TRUE)</f>
        <v/>
      </c>
      <c r="E120" s="8">
        <f>QS.INSTRUMENT.SWAP("swap.118",C120,H120,B120,"USD","SOFR",I120,J120,0,"Actual360","Simple","Annual","Annual","Annual")</f>
        <v/>
      </c>
      <c r="F120" s="8">
        <f>QS.TRADE.CREATE("trade.118",C120,E120,A120,"Receive")</f>
        <v/>
      </c>
      <c r="G120" s="5"/>
      <c r="H120" s="7" t="s">
        <v>281</v>
      </c>
      <c r="I120" s="9">
        <v>1011800</v>
      </c>
      <c r="J120" s="10">
        <v>0.03680000000000001</v>
      </c>
    </row>
    <row r="121" spans="1:10">
      <c r="A121" s="7" t="s">
        <v>269</v>
      </c>
      <c r="B121" s="7" t="s">
        <v>282</v>
      </c>
      <c r="C121" s="8">
        <f>QS.CONTEXT.CREATE("market.119",A121,"USD","SOFR")</f>
        <v/>
      </c>
      <c r="D121" s="8">
        <f>QS.CONTEXT.ADD.CURVE(C121,"SOFR",$K$2:$K$7,$L$2:$L$7,,,"Actual360","LogLinear",TRUE)</f>
        <v/>
      </c>
      <c r="E121" s="8">
        <f>QS.INSTRUMENT.SWAP("swap.119",C121,H121,B121,"USD","SOFR",I121,J121,0,"Actual360","Simple","Annual","Annual","Annual")</f>
        <v/>
      </c>
      <c r="F121" s="8">
        <f>QS.TRADE.CREATE("trade.119",C121,E121,A121,"Receive")</f>
        <v/>
      </c>
      <c r="G121" s="5"/>
      <c r="H121" s="7" t="s">
        <v>283</v>
      </c>
      <c r="I121" s="9">
        <v>1011900</v>
      </c>
      <c r="J121" s="10">
        <v>0.0369</v>
      </c>
    </row>
    <row r="122" spans="1:10">
      <c r="A122" s="7" t="s">
        <v>271</v>
      </c>
      <c r="B122" s="7" t="s">
        <v>284</v>
      </c>
      <c r="C122" s="8">
        <f>QS.CONTEXT.CREATE("market.120",A122,"USD","SOFR")</f>
        <v/>
      </c>
      <c r="D122" s="8">
        <f>QS.CONTEXT.ADD.CURVE(C122,"SOFR",$K$2:$K$7,$L$2:$L$7,,,"Actual360","LogLinear",TRUE)</f>
        <v/>
      </c>
      <c r="E122" s="8">
        <f>QS.INSTRUMENT.SWAP("swap.120",C122,H122,B122,"USD","SOFR",I122,J122,0,"Actual360","Simple","Annual","Annual","Annual")</f>
        <v/>
      </c>
      <c r="F122" s="8">
        <f>QS.TRADE.CREATE("trade.120",C122,E122,A122,"Receive")</f>
        <v/>
      </c>
      <c r="G122" s="5"/>
      <c r="H122" s="7" t="s">
        <v>285</v>
      </c>
      <c r="I122" s="9">
        <v>1012000</v>
      </c>
      <c r="J122" s="10">
        <v>0.03700000000000001</v>
      </c>
    </row>
    <row r="123" spans="1:10">
      <c r="A123" s="7" t="s">
        <v>273</v>
      </c>
      <c r="B123" s="7" t="s">
        <v>286</v>
      </c>
      <c r="C123" s="8">
        <f>QS.CONTEXT.CREATE("market.121",A123,"USD","SOFR")</f>
        <v/>
      </c>
      <c r="D123" s="8">
        <f>QS.CONTEXT.ADD.CURVE(C123,"SOFR",$K$2:$K$7,$L$2:$L$7,,,"Actual360","LogLinear",TRUE)</f>
        <v/>
      </c>
      <c r="E123" s="8">
        <f>QS.INSTRUMENT.SWAP("swap.121",C123,H123,B123,"USD","SOFR",I123,J123,0,"Actual360","Simple","Annual","Annual","Annual")</f>
        <v/>
      </c>
      <c r="F123" s="8">
        <f>QS.TRADE.CREATE("trade.121",C123,E123,A123,"Receive")</f>
        <v/>
      </c>
      <c r="G123" s="5"/>
      <c r="H123" s="7" t="s">
        <v>287</v>
      </c>
      <c r="I123" s="9">
        <v>1012100</v>
      </c>
      <c r="J123" s="10">
        <v>0.0371</v>
      </c>
    </row>
    <row r="124" spans="1:10">
      <c r="A124" s="7" t="s">
        <v>275</v>
      </c>
      <c r="B124" s="7" t="s">
        <v>288</v>
      </c>
      <c r="C124" s="8">
        <f>QS.CONTEXT.CREATE("market.122",A124,"USD","SOFR")</f>
        <v/>
      </c>
      <c r="D124" s="8">
        <f>QS.CONTEXT.ADD.CURVE(C124,"SOFR",$K$2:$K$7,$L$2:$L$7,,,"Actual360","LogLinear",TRUE)</f>
        <v/>
      </c>
      <c r="E124" s="8">
        <f>QS.INSTRUMENT.SWAP("swap.122",C124,H124,B124,"USD","SOFR",I124,J124,0,"Actual360","Simple","Annual","Annual","Annual")</f>
        <v/>
      </c>
      <c r="F124" s="8">
        <f>QS.TRADE.CREATE("trade.122",C124,E124,A124,"Receive")</f>
        <v/>
      </c>
      <c r="G124" s="5"/>
      <c r="H124" s="7" t="s">
        <v>289</v>
      </c>
      <c r="I124" s="9">
        <v>1012200</v>
      </c>
      <c r="J124" s="10">
        <v>0.0372</v>
      </c>
    </row>
    <row r="125" spans="1:10">
      <c r="A125" s="7" t="s">
        <v>277</v>
      </c>
      <c r="B125" s="7" t="s">
        <v>290</v>
      </c>
      <c r="C125" s="8">
        <f>QS.CONTEXT.CREATE("market.123",A125,"USD","SOFR")</f>
        <v/>
      </c>
      <c r="D125" s="8">
        <f>QS.CONTEXT.ADD.CURVE(C125,"SOFR",$K$2:$K$7,$L$2:$L$7,,,"Actual360","LogLinear",TRUE)</f>
        <v/>
      </c>
      <c r="E125" s="8">
        <f>QS.INSTRUMENT.SWAP("swap.123",C125,H125,B125,"USD","SOFR",I125,J125,0,"Actual360","Simple","Annual","Annual","Annual")</f>
        <v/>
      </c>
      <c r="F125" s="8">
        <f>QS.TRADE.CREATE("trade.123",C125,E125,A125,"Receive")</f>
        <v/>
      </c>
      <c r="G125" s="5"/>
      <c r="H125" s="7" t="s">
        <v>291</v>
      </c>
      <c r="I125" s="9">
        <v>1012300</v>
      </c>
      <c r="J125" s="10">
        <v>0.0373</v>
      </c>
    </row>
    <row r="126" spans="1:10">
      <c r="A126" s="7" t="s">
        <v>279</v>
      </c>
      <c r="B126" s="7" t="s">
        <v>292</v>
      </c>
      <c r="C126" s="8">
        <f>QS.CONTEXT.CREATE("market.124",A126,"USD","SOFR")</f>
        <v/>
      </c>
      <c r="D126" s="8">
        <f>QS.CONTEXT.ADD.CURVE(C126,"SOFR",$K$2:$K$7,$L$2:$L$7,,,"Actual360","LogLinear",TRUE)</f>
        <v/>
      </c>
      <c r="E126" s="8">
        <f>QS.INSTRUMENT.SWAP("swap.124",C126,H126,B126,"USD","SOFR",I126,J126,0,"Actual360","Simple","Annual","Annual","Annual")</f>
        <v/>
      </c>
      <c r="F126" s="8">
        <f>QS.TRADE.CREATE("trade.124",C126,E126,A126,"Receive")</f>
        <v/>
      </c>
      <c r="G126" s="5"/>
      <c r="H126" s="7" t="s">
        <v>293</v>
      </c>
      <c r="I126" s="9">
        <v>1012400</v>
      </c>
      <c r="J126" s="10">
        <v>0.0374</v>
      </c>
    </row>
    <row r="127" spans="1:10">
      <c r="A127" s="7" t="s">
        <v>281</v>
      </c>
      <c r="B127" s="7" t="s">
        <v>294</v>
      </c>
      <c r="C127" s="8">
        <f>QS.CONTEXT.CREATE("market.125",A127,"USD","SOFR")</f>
        <v/>
      </c>
      <c r="D127" s="8">
        <f>QS.CONTEXT.ADD.CURVE(C127,"SOFR",$K$2:$K$7,$L$2:$L$7,,,"Actual360","LogLinear",TRUE)</f>
        <v/>
      </c>
      <c r="E127" s="8">
        <f>QS.INSTRUMENT.SWAP("swap.125",C127,H127,B127,"USD","SOFR",I127,J127,0,"Actual360","Simple","Annual","Annual","Annual")</f>
        <v/>
      </c>
      <c r="F127" s="8">
        <f>QS.TRADE.CREATE("trade.125",C127,E127,A127,"Receive")</f>
        <v/>
      </c>
      <c r="G127" s="5"/>
      <c r="H127" s="7" t="s">
        <v>295</v>
      </c>
      <c r="I127" s="9">
        <v>1012500</v>
      </c>
      <c r="J127" s="10">
        <v>0.03750000000000001</v>
      </c>
    </row>
    <row r="128" spans="1:10">
      <c r="A128" s="7" t="s">
        <v>283</v>
      </c>
      <c r="B128" s="7" t="s">
        <v>296</v>
      </c>
      <c r="C128" s="8">
        <f>QS.CONTEXT.CREATE("market.126",A128,"USD","SOFR")</f>
        <v/>
      </c>
      <c r="D128" s="8">
        <f>QS.CONTEXT.ADD.CURVE(C128,"SOFR",$K$2:$K$7,$L$2:$L$7,,,"Actual360","LogLinear",TRUE)</f>
        <v/>
      </c>
      <c r="E128" s="8">
        <f>QS.INSTRUMENT.SWAP("swap.126",C128,H128,B128,"USD","SOFR",I128,J128,0,"Actual360","Simple","Annual","Annual","Annual")</f>
        <v/>
      </c>
      <c r="F128" s="8">
        <f>QS.TRADE.CREATE("trade.126",C128,E128,A128,"Receive")</f>
        <v/>
      </c>
      <c r="G128" s="5"/>
      <c r="H128" s="7" t="s">
        <v>297</v>
      </c>
      <c r="I128" s="9">
        <v>1012600</v>
      </c>
      <c r="J128" s="10">
        <v>0.0376</v>
      </c>
    </row>
    <row r="129" spans="1:10">
      <c r="A129" s="7" t="s">
        <v>285</v>
      </c>
      <c r="B129" s="7" t="s">
        <v>298</v>
      </c>
      <c r="C129" s="8">
        <f>QS.CONTEXT.CREATE("market.127",A129,"USD","SOFR")</f>
        <v/>
      </c>
      <c r="D129" s="8">
        <f>QS.CONTEXT.ADD.CURVE(C129,"SOFR",$K$2:$K$7,$L$2:$L$7,,,"Actual360","LogLinear",TRUE)</f>
        <v/>
      </c>
      <c r="E129" s="8">
        <f>QS.INSTRUMENT.SWAP("swap.127",C129,H129,B129,"USD","SOFR",I129,J129,0,"Actual360","Simple","Annual","Annual","Annual")</f>
        <v/>
      </c>
      <c r="F129" s="8">
        <f>QS.TRADE.CREATE("trade.127",C129,E129,A129,"Receive")</f>
        <v/>
      </c>
      <c r="G129" s="5"/>
      <c r="H129" s="7" t="s">
        <v>299</v>
      </c>
      <c r="I129" s="9">
        <v>1012700</v>
      </c>
      <c r="J129" s="10">
        <v>0.0377</v>
      </c>
    </row>
    <row r="130" spans="1:10">
      <c r="A130" s="7" t="s">
        <v>287</v>
      </c>
      <c r="B130" s="7" t="s">
        <v>300</v>
      </c>
      <c r="C130" s="8">
        <f>QS.CONTEXT.CREATE("market.128",A130,"USD","SOFR")</f>
        <v/>
      </c>
      <c r="D130" s="8">
        <f>QS.CONTEXT.ADD.CURVE(C130,"SOFR",$K$2:$K$7,$L$2:$L$7,,,"Actual360","LogLinear",TRUE)</f>
        <v/>
      </c>
      <c r="E130" s="8">
        <f>QS.INSTRUMENT.SWAP("swap.128",C130,H130,B130,"USD","SOFR",I130,J130,0,"Actual360","Simple","Annual","Annual","Annual")</f>
        <v/>
      </c>
      <c r="F130" s="8">
        <f>QS.TRADE.CREATE("trade.128",C130,E130,A130,"Receive")</f>
        <v/>
      </c>
      <c r="G130" s="5"/>
      <c r="H130" s="7" t="s">
        <v>301</v>
      </c>
      <c r="I130" s="9">
        <v>1012800</v>
      </c>
      <c r="J130" s="10">
        <v>0.0378</v>
      </c>
    </row>
    <row r="131" spans="1:10">
      <c r="A131" s="7" t="s">
        <v>289</v>
      </c>
      <c r="B131" s="7" t="s">
        <v>302</v>
      </c>
      <c r="C131" s="8">
        <f>QS.CONTEXT.CREATE("market.129",A131,"USD","SOFR")</f>
        <v/>
      </c>
      <c r="D131" s="8">
        <f>QS.CONTEXT.ADD.CURVE(C131,"SOFR",$K$2:$K$7,$L$2:$L$7,,,"Actual360","LogLinear",TRUE)</f>
        <v/>
      </c>
      <c r="E131" s="8">
        <f>QS.INSTRUMENT.SWAP("swap.129",C131,H131,B131,"USD","SOFR",I131,J131,0,"Actual360","Simple","Annual","Annual","Annual")</f>
        <v/>
      </c>
      <c r="F131" s="8">
        <f>QS.TRADE.CREATE("trade.129",C131,E131,A131,"Receive")</f>
        <v/>
      </c>
      <c r="G131" s="5"/>
      <c r="H131" s="7" t="s">
        <v>303</v>
      </c>
      <c r="I131" s="9">
        <v>1012900</v>
      </c>
      <c r="J131" s="10">
        <v>0.0379</v>
      </c>
    </row>
    <row r="132" spans="1:10">
      <c r="A132" s="7" t="s">
        <v>291</v>
      </c>
      <c r="B132" s="7" t="s">
        <v>304</v>
      </c>
      <c r="C132" s="8">
        <f>QS.CONTEXT.CREATE("market.130",A132,"USD","SOFR")</f>
        <v/>
      </c>
      <c r="D132" s="8">
        <f>QS.CONTEXT.ADD.CURVE(C132,"SOFR",$K$2:$K$7,$L$2:$L$7,,,"Actual360","LogLinear",TRUE)</f>
        <v/>
      </c>
      <c r="E132" s="8">
        <f>QS.INSTRUMENT.SWAP("swap.130",C132,H132,B132,"USD","SOFR",I132,J132,0,"Actual360","Simple","Annual","Annual","Annual")</f>
        <v/>
      </c>
      <c r="F132" s="8">
        <f>QS.TRADE.CREATE("trade.130",C132,E132,A132,"Receive")</f>
        <v/>
      </c>
      <c r="G132" s="5"/>
      <c r="H132" s="7" t="s">
        <v>305</v>
      </c>
      <c r="I132" s="9">
        <v>1013000</v>
      </c>
      <c r="J132" s="10">
        <v>0.03800000000000001</v>
      </c>
    </row>
    <row r="133" spans="1:10">
      <c r="A133" s="7" t="s">
        <v>293</v>
      </c>
      <c r="B133" s="7" t="s">
        <v>306</v>
      </c>
      <c r="C133" s="8">
        <f>QS.CONTEXT.CREATE("market.131",A133,"USD","SOFR")</f>
        <v/>
      </c>
      <c r="D133" s="8">
        <f>QS.CONTEXT.ADD.CURVE(C133,"SOFR",$K$2:$K$7,$L$2:$L$7,,,"Actual360","LogLinear",TRUE)</f>
        <v/>
      </c>
      <c r="E133" s="8">
        <f>QS.INSTRUMENT.SWAP("swap.131",C133,H133,B133,"USD","SOFR",I133,J133,0,"Actual360","Simple","Annual","Annual","Annual")</f>
        <v/>
      </c>
      <c r="F133" s="8">
        <f>QS.TRADE.CREATE("trade.131",C133,E133,A133,"Receive")</f>
        <v/>
      </c>
      <c r="G133" s="5"/>
      <c r="H133" s="7" t="s">
        <v>307</v>
      </c>
      <c r="I133" s="9">
        <v>1013100</v>
      </c>
      <c r="J133" s="10">
        <v>0.0381</v>
      </c>
    </row>
    <row r="134" spans="1:10">
      <c r="A134" s="7" t="s">
        <v>295</v>
      </c>
      <c r="B134" s="7" t="s">
        <v>308</v>
      </c>
      <c r="C134" s="8">
        <f>QS.CONTEXT.CREATE("market.132",A134,"USD","SOFR")</f>
        <v/>
      </c>
      <c r="D134" s="8">
        <f>QS.CONTEXT.ADD.CURVE(C134,"SOFR",$K$2:$K$7,$L$2:$L$7,,,"Actual360","LogLinear",TRUE)</f>
        <v/>
      </c>
      <c r="E134" s="8">
        <f>QS.INSTRUMENT.SWAP("swap.132",C134,H134,B134,"USD","SOFR",I134,J134,0,"Actual360","Simple","Annual","Annual","Annual")</f>
        <v/>
      </c>
      <c r="F134" s="8">
        <f>QS.TRADE.CREATE("trade.132",C134,E134,A134,"Receive")</f>
        <v/>
      </c>
      <c r="G134" s="5"/>
      <c r="H134" s="7" t="s">
        <v>309</v>
      </c>
      <c r="I134" s="9">
        <v>1013200</v>
      </c>
      <c r="J134" s="10">
        <v>0.0382</v>
      </c>
    </row>
    <row r="135" spans="1:10">
      <c r="A135" s="7" t="s">
        <v>297</v>
      </c>
      <c r="B135" s="7" t="s">
        <v>310</v>
      </c>
      <c r="C135" s="8">
        <f>QS.CONTEXT.CREATE("market.133",A135,"USD","SOFR")</f>
        <v/>
      </c>
      <c r="D135" s="8">
        <f>QS.CONTEXT.ADD.CURVE(C135,"SOFR",$K$2:$K$7,$L$2:$L$7,,,"Actual360","LogLinear",TRUE)</f>
        <v/>
      </c>
      <c r="E135" s="8">
        <f>QS.INSTRUMENT.SWAP("swap.133",C135,H135,B135,"USD","SOFR",I135,J135,0,"Actual360","Simple","Annual","Annual","Annual")</f>
        <v/>
      </c>
      <c r="F135" s="8">
        <f>QS.TRADE.CREATE("trade.133",C135,E135,A135,"Receive")</f>
        <v/>
      </c>
      <c r="G135" s="5"/>
      <c r="H135" s="7" t="s">
        <v>311</v>
      </c>
      <c r="I135" s="9">
        <v>1013300</v>
      </c>
      <c r="J135" s="10">
        <v>0.0383</v>
      </c>
    </row>
    <row r="136" spans="1:10">
      <c r="A136" s="7" t="s">
        <v>299</v>
      </c>
      <c r="B136" s="7" t="s">
        <v>312</v>
      </c>
      <c r="C136" s="8">
        <f>QS.CONTEXT.CREATE("market.134",A136,"USD","SOFR")</f>
        <v/>
      </c>
      <c r="D136" s="8">
        <f>QS.CONTEXT.ADD.CURVE(C136,"SOFR",$K$2:$K$7,$L$2:$L$7,,,"Actual360","LogLinear",TRUE)</f>
        <v/>
      </c>
      <c r="E136" s="8">
        <f>QS.INSTRUMENT.SWAP("swap.134",C136,H136,B136,"USD","SOFR",I136,J136,0,"Actual360","Simple","Annual","Annual","Annual")</f>
        <v/>
      </c>
      <c r="F136" s="8">
        <f>QS.TRADE.CREATE("trade.134",C136,E136,A136,"Receive")</f>
        <v/>
      </c>
      <c r="G136" s="5"/>
      <c r="H136" s="7" t="s">
        <v>313</v>
      </c>
      <c r="I136" s="9">
        <v>1013400</v>
      </c>
      <c r="J136" s="10">
        <v>0.0384</v>
      </c>
    </row>
    <row r="137" spans="1:10">
      <c r="A137" s="7" t="s">
        <v>301</v>
      </c>
      <c r="B137" s="7" t="s">
        <v>314</v>
      </c>
      <c r="C137" s="8">
        <f>QS.CONTEXT.CREATE("market.135",A137,"USD","SOFR")</f>
        <v/>
      </c>
      <c r="D137" s="8">
        <f>QS.CONTEXT.ADD.CURVE(C137,"SOFR",$K$2:$K$7,$L$2:$L$7,,,"Actual360","LogLinear",TRUE)</f>
        <v/>
      </c>
      <c r="E137" s="8">
        <f>QS.INSTRUMENT.SWAP("swap.135",C137,H137,B137,"USD","SOFR",I137,J137,0,"Actual360","Simple","Annual","Annual","Annual")</f>
        <v/>
      </c>
      <c r="F137" s="8">
        <f>QS.TRADE.CREATE("trade.135",C137,E137,A137,"Receive")</f>
        <v/>
      </c>
      <c r="G137" s="5"/>
      <c r="H137" s="7" t="s">
        <v>315</v>
      </c>
      <c r="I137" s="9">
        <v>1013500</v>
      </c>
      <c r="J137" s="10">
        <v>0.03850000000000001</v>
      </c>
    </row>
    <row r="138" spans="1:10">
      <c r="A138" s="7" t="s">
        <v>303</v>
      </c>
      <c r="B138" s="7" t="s">
        <v>316</v>
      </c>
      <c r="C138" s="8">
        <f>QS.CONTEXT.CREATE("market.136",A138,"USD","SOFR")</f>
        <v/>
      </c>
      <c r="D138" s="8">
        <f>QS.CONTEXT.ADD.CURVE(C138,"SOFR",$K$2:$K$7,$L$2:$L$7,,,"Actual360","LogLinear",TRUE)</f>
        <v/>
      </c>
      <c r="E138" s="8">
        <f>QS.INSTRUMENT.SWAP("swap.136",C138,H138,B138,"USD","SOFR",I138,J138,0,"Actual360","Simple","Annual","Annual","Annual")</f>
        <v/>
      </c>
      <c r="F138" s="8">
        <f>QS.TRADE.CREATE("trade.136",C138,E138,A138,"Receive")</f>
        <v/>
      </c>
      <c r="G138" s="5"/>
      <c r="H138" s="7" t="s">
        <v>317</v>
      </c>
      <c r="I138" s="9">
        <v>1013600</v>
      </c>
      <c r="J138" s="10">
        <v>0.0386</v>
      </c>
    </row>
    <row r="139" spans="1:10">
      <c r="A139" s="7" t="s">
        <v>305</v>
      </c>
      <c r="B139" s="7" t="s">
        <v>318</v>
      </c>
      <c r="C139" s="8">
        <f>QS.CONTEXT.CREATE("market.137",A139,"USD","SOFR")</f>
        <v/>
      </c>
      <c r="D139" s="8">
        <f>QS.CONTEXT.ADD.CURVE(C139,"SOFR",$K$2:$K$7,$L$2:$L$7,,,"Actual360","LogLinear",TRUE)</f>
        <v/>
      </c>
      <c r="E139" s="8">
        <f>QS.INSTRUMENT.SWAP("swap.137",C139,H139,B139,"USD","SOFR",I139,J139,0,"Actual360","Simple","Annual","Annual","Annual")</f>
        <v/>
      </c>
      <c r="F139" s="8">
        <f>QS.TRADE.CREATE("trade.137",C139,E139,A139,"Receive")</f>
        <v/>
      </c>
      <c r="G139" s="5"/>
      <c r="H139" s="7" t="s">
        <v>319</v>
      </c>
      <c r="I139" s="9">
        <v>1013700</v>
      </c>
      <c r="J139" s="10">
        <v>0.03870000000000001</v>
      </c>
    </row>
    <row r="140" spans="1:10">
      <c r="A140" s="7" t="s">
        <v>307</v>
      </c>
      <c r="B140" s="7" t="s">
        <v>320</v>
      </c>
      <c r="C140" s="8">
        <f>QS.CONTEXT.CREATE("market.138",A140,"USD","SOFR")</f>
        <v/>
      </c>
      <c r="D140" s="8">
        <f>QS.CONTEXT.ADD.CURVE(C140,"SOFR",$K$2:$K$7,$L$2:$L$7,,,"Actual360","LogLinear",TRUE)</f>
        <v/>
      </c>
      <c r="E140" s="8">
        <f>QS.INSTRUMENT.SWAP("swap.138",C140,H140,B140,"USD","SOFR",I140,J140,0,"Actual360","Simple","Annual","Annual","Annual")</f>
        <v/>
      </c>
      <c r="F140" s="8">
        <f>QS.TRADE.CREATE("trade.138",C140,E140,A140,"Receive")</f>
        <v/>
      </c>
      <c r="G140" s="5"/>
      <c r="H140" s="7" t="s">
        <v>321</v>
      </c>
      <c r="I140" s="9">
        <v>1013800</v>
      </c>
      <c r="J140" s="10">
        <v>0.0388</v>
      </c>
    </row>
    <row r="141" spans="1:10">
      <c r="A141" s="7" t="s">
        <v>309</v>
      </c>
      <c r="B141" s="7" t="s">
        <v>322</v>
      </c>
      <c r="C141" s="8">
        <f>QS.CONTEXT.CREATE("market.139",A141,"USD","SOFR")</f>
        <v/>
      </c>
      <c r="D141" s="8">
        <f>QS.CONTEXT.ADD.CURVE(C141,"SOFR",$K$2:$K$7,$L$2:$L$7,,,"Actual360","LogLinear",TRUE)</f>
        <v/>
      </c>
      <c r="E141" s="8">
        <f>QS.INSTRUMENT.SWAP("swap.139",C141,H141,B141,"USD","SOFR",I141,J141,0,"Actual360","Simple","Annual","Annual","Annual")</f>
        <v/>
      </c>
      <c r="F141" s="8">
        <f>QS.TRADE.CREATE("trade.139",C141,E141,A141,"Receive")</f>
        <v/>
      </c>
      <c r="G141" s="5"/>
      <c r="H141" s="7" t="s">
        <v>323</v>
      </c>
      <c r="I141" s="9">
        <v>1013900</v>
      </c>
      <c r="J141" s="10">
        <v>0.0389</v>
      </c>
    </row>
    <row r="142" spans="1:10">
      <c r="A142" s="7" t="s">
        <v>311</v>
      </c>
      <c r="B142" s="7" t="s">
        <v>324</v>
      </c>
      <c r="C142" s="8">
        <f>QS.CONTEXT.CREATE("market.140",A142,"USD","SOFR")</f>
        <v/>
      </c>
      <c r="D142" s="8">
        <f>QS.CONTEXT.ADD.CURVE(C142,"SOFR",$K$2:$K$7,$L$2:$L$7,,,"Actual360","LogLinear",TRUE)</f>
        <v/>
      </c>
      <c r="E142" s="8">
        <f>QS.INSTRUMENT.SWAP("swap.140",C142,H142,B142,"USD","SOFR",I142,J142,0,"Actual360","Simple","Annual","Annual","Annual")</f>
        <v/>
      </c>
      <c r="F142" s="8">
        <f>QS.TRADE.CREATE("trade.140",C142,E142,A142,"Receive")</f>
        <v/>
      </c>
      <c r="G142" s="5"/>
      <c r="H142" s="7" t="s">
        <v>325</v>
      </c>
      <c r="I142" s="9">
        <v>1014000</v>
      </c>
      <c r="J142" s="10">
        <v>0.03900000000000001</v>
      </c>
    </row>
    <row r="143" spans="1:10">
      <c r="A143" s="7" t="s">
        <v>313</v>
      </c>
      <c r="B143" s="7" t="s">
        <v>326</v>
      </c>
      <c r="C143" s="8">
        <f>QS.CONTEXT.CREATE("market.141",A143,"USD","SOFR")</f>
        <v/>
      </c>
      <c r="D143" s="8">
        <f>QS.CONTEXT.ADD.CURVE(C143,"SOFR",$K$2:$K$7,$L$2:$L$7,,,"Actual360","LogLinear",TRUE)</f>
        <v/>
      </c>
      <c r="E143" s="8">
        <f>QS.INSTRUMENT.SWAP("swap.141",C143,H143,B143,"USD","SOFR",I143,J143,0,"Actual360","Simple","Annual","Annual","Annual")</f>
        <v/>
      </c>
      <c r="F143" s="8">
        <f>QS.TRADE.CREATE("trade.141",C143,E143,A143,"Receive")</f>
        <v/>
      </c>
      <c r="G143" s="5"/>
      <c r="H143" s="7" t="s">
        <v>327</v>
      </c>
      <c r="I143" s="9">
        <v>1014100</v>
      </c>
      <c r="J143" s="10">
        <v>0.0391</v>
      </c>
    </row>
    <row r="144" spans="1:10">
      <c r="A144" s="7" t="s">
        <v>315</v>
      </c>
      <c r="B144" s="7" t="s">
        <v>328</v>
      </c>
      <c r="C144" s="8">
        <f>QS.CONTEXT.CREATE("market.142",A144,"USD","SOFR")</f>
        <v/>
      </c>
      <c r="D144" s="8">
        <f>QS.CONTEXT.ADD.CURVE(C144,"SOFR",$K$2:$K$7,$L$2:$L$7,,,"Actual360","LogLinear",TRUE)</f>
        <v/>
      </c>
      <c r="E144" s="8">
        <f>QS.INSTRUMENT.SWAP("swap.142",C144,H144,B144,"USD","SOFR",I144,J144,0,"Actual360","Simple","Annual","Annual","Annual")</f>
        <v/>
      </c>
      <c r="F144" s="8">
        <f>QS.TRADE.CREATE("trade.142",C144,E144,A144,"Receive")</f>
        <v/>
      </c>
      <c r="G144" s="5"/>
      <c r="H144" s="7" t="s">
        <v>329</v>
      </c>
      <c r="I144" s="9">
        <v>1014200</v>
      </c>
      <c r="J144" s="10">
        <v>0.03920000000000001</v>
      </c>
    </row>
    <row r="145" spans="1:10">
      <c r="A145" s="7" t="s">
        <v>317</v>
      </c>
      <c r="B145" s="7" t="s">
        <v>330</v>
      </c>
      <c r="C145" s="8">
        <f>QS.CONTEXT.CREATE("market.143",A145,"USD","SOFR")</f>
        <v/>
      </c>
      <c r="D145" s="8">
        <f>QS.CONTEXT.ADD.CURVE(C145,"SOFR",$K$2:$K$7,$L$2:$L$7,,,"Actual360","LogLinear",TRUE)</f>
        <v/>
      </c>
      <c r="E145" s="8">
        <f>QS.INSTRUMENT.SWAP("swap.143",C145,H145,B145,"USD","SOFR",I145,J145,0,"Actual360","Simple","Annual","Annual","Annual")</f>
        <v/>
      </c>
      <c r="F145" s="8">
        <f>QS.TRADE.CREATE("trade.143",C145,E145,A145,"Receive")</f>
        <v/>
      </c>
      <c r="G145" s="5"/>
      <c r="H145" s="7" t="s">
        <v>331</v>
      </c>
      <c r="I145" s="9">
        <v>1014300</v>
      </c>
      <c r="J145" s="10">
        <v>0.0393</v>
      </c>
    </row>
    <row r="146" spans="1:10">
      <c r="A146" s="7" t="s">
        <v>319</v>
      </c>
      <c r="B146" s="7" t="s">
        <v>332</v>
      </c>
      <c r="C146" s="8">
        <f>QS.CONTEXT.CREATE("market.144",A146,"USD","SOFR")</f>
        <v/>
      </c>
      <c r="D146" s="8">
        <f>QS.CONTEXT.ADD.CURVE(C146,"SOFR",$K$2:$K$7,$L$2:$L$7,,,"Actual360","LogLinear",TRUE)</f>
        <v/>
      </c>
      <c r="E146" s="8">
        <f>QS.INSTRUMENT.SWAP("swap.144",C146,H146,B146,"USD","SOFR",I146,J146,0,"Actual360","Simple","Annual","Annual","Annual")</f>
        <v/>
      </c>
      <c r="F146" s="8">
        <f>QS.TRADE.CREATE("trade.144",C146,E146,A146,"Receive")</f>
        <v/>
      </c>
      <c r="G146" s="5"/>
      <c r="H146" s="7" t="s">
        <v>333</v>
      </c>
      <c r="I146" s="9">
        <v>1014400</v>
      </c>
      <c r="J146" s="10">
        <v>0.0394</v>
      </c>
    </row>
    <row r="147" spans="1:10">
      <c r="A147" s="7" t="s">
        <v>321</v>
      </c>
      <c r="B147" s="7" t="s">
        <v>334</v>
      </c>
      <c r="C147" s="8">
        <f>QS.CONTEXT.CREATE("market.145",A147,"USD","SOFR")</f>
        <v/>
      </c>
      <c r="D147" s="8">
        <f>QS.CONTEXT.ADD.CURVE(C147,"SOFR",$K$2:$K$7,$L$2:$L$7,,,"Actual360","LogLinear",TRUE)</f>
        <v/>
      </c>
      <c r="E147" s="8">
        <f>QS.INSTRUMENT.SWAP("swap.145",C147,H147,B147,"USD","SOFR",I147,J147,0,"Actual360","Simple","Annual","Annual","Annual")</f>
        <v/>
      </c>
      <c r="F147" s="8">
        <f>QS.TRADE.CREATE("trade.145",C147,E147,A147,"Receive")</f>
        <v/>
      </c>
      <c r="G147" s="5"/>
      <c r="H147" s="7" t="s">
        <v>335</v>
      </c>
      <c r="I147" s="9">
        <v>1014500</v>
      </c>
      <c r="J147" s="10">
        <v>0.03950000000000001</v>
      </c>
    </row>
    <row r="148" spans="1:10">
      <c r="A148" s="7" t="s">
        <v>323</v>
      </c>
      <c r="B148" s="7" t="s">
        <v>336</v>
      </c>
      <c r="C148" s="8">
        <f>QS.CONTEXT.CREATE("market.146",A148,"USD","SOFR")</f>
        <v/>
      </c>
      <c r="D148" s="8">
        <f>QS.CONTEXT.ADD.CURVE(C148,"SOFR",$K$2:$K$7,$L$2:$L$7,,,"Actual360","LogLinear",TRUE)</f>
        <v/>
      </c>
      <c r="E148" s="8">
        <f>QS.INSTRUMENT.SWAP("swap.146",C148,H148,B148,"USD","SOFR",I148,J148,0,"Actual360","Simple","Annual","Annual","Annual")</f>
        <v/>
      </c>
      <c r="F148" s="8">
        <f>QS.TRADE.CREATE("trade.146",C148,E148,A148,"Receive")</f>
        <v/>
      </c>
      <c r="G148" s="5"/>
      <c r="H148" s="7" t="s">
        <v>337</v>
      </c>
      <c r="I148" s="9">
        <v>1014600</v>
      </c>
      <c r="J148" s="10">
        <v>0.0396</v>
      </c>
    </row>
    <row r="149" spans="1:10">
      <c r="A149" s="7" t="s">
        <v>325</v>
      </c>
      <c r="B149" s="7" t="s">
        <v>338</v>
      </c>
      <c r="C149" s="8">
        <f>QS.CONTEXT.CREATE("market.147",A149,"USD","SOFR")</f>
        <v/>
      </c>
      <c r="D149" s="8">
        <f>QS.CONTEXT.ADD.CURVE(C149,"SOFR",$K$2:$K$7,$L$2:$L$7,,,"Actual360","LogLinear",TRUE)</f>
        <v/>
      </c>
      <c r="E149" s="8">
        <f>QS.INSTRUMENT.SWAP("swap.147",C149,H149,B149,"USD","SOFR",I149,J149,0,"Actual360","Simple","Annual","Annual","Annual")</f>
        <v/>
      </c>
      <c r="F149" s="8">
        <f>QS.TRADE.CREATE("trade.147",C149,E149,A149,"Receive")</f>
        <v/>
      </c>
      <c r="G149" s="5"/>
      <c r="H149" s="7" t="s">
        <v>339</v>
      </c>
      <c r="I149" s="9">
        <v>1014700</v>
      </c>
      <c r="J149" s="10">
        <v>0.03970000000000001</v>
      </c>
    </row>
    <row r="150" spans="1:10">
      <c r="A150" s="7" t="s">
        <v>327</v>
      </c>
      <c r="B150" s="7" t="s">
        <v>340</v>
      </c>
      <c r="C150" s="8">
        <f>QS.CONTEXT.CREATE("market.148",A150,"USD","SOFR")</f>
        <v/>
      </c>
      <c r="D150" s="8">
        <f>QS.CONTEXT.ADD.CURVE(C150,"SOFR",$K$2:$K$7,$L$2:$L$7,,,"Actual360","LogLinear",TRUE)</f>
        <v/>
      </c>
      <c r="E150" s="8">
        <f>QS.INSTRUMENT.SWAP("swap.148",C150,H150,B150,"USD","SOFR",I150,J150,0,"Actual360","Simple","Annual","Annual","Annual")</f>
        <v/>
      </c>
      <c r="F150" s="8">
        <f>QS.TRADE.CREATE("trade.148",C150,E150,A150,"Receive")</f>
        <v/>
      </c>
      <c r="G150" s="5"/>
      <c r="H150" s="7" t="s">
        <v>341</v>
      </c>
      <c r="I150" s="9">
        <v>1014800</v>
      </c>
      <c r="J150" s="10">
        <v>0.0398</v>
      </c>
    </row>
    <row r="151" spans="1:10">
      <c r="A151" s="7" t="s">
        <v>329</v>
      </c>
      <c r="B151" s="7" t="s">
        <v>342</v>
      </c>
      <c r="C151" s="8">
        <f>QS.CONTEXT.CREATE("market.149",A151,"USD","SOFR")</f>
        <v/>
      </c>
      <c r="D151" s="8">
        <f>QS.CONTEXT.ADD.CURVE(C151,"SOFR",$K$2:$K$7,$L$2:$L$7,,,"Actual360","LogLinear",TRUE)</f>
        <v/>
      </c>
      <c r="E151" s="8">
        <f>QS.INSTRUMENT.SWAP("swap.149",C151,H151,B151,"USD","SOFR",I151,J151,0,"Actual360","Simple","Annual","Annual","Annual")</f>
        <v/>
      </c>
      <c r="F151" s="8">
        <f>QS.TRADE.CREATE("trade.149",C151,E151,A151,"Receive")</f>
        <v/>
      </c>
      <c r="G151" s="5"/>
      <c r="H151" s="7" t="s">
        <v>343</v>
      </c>
      <c r="I151" s="9">
        <v>1014900</v>
      </c>
      <c r="J151" s="10">
        <v>0.0399</v>
      </c>
    </row>
    <row r="152" spans="1:10">
      <c r="A152" s="7" t="s">
        <v>331</v>
      </c>
      <c r="B152" s="7" t="s">
        <v>344</v>
      </c>
      <c r="C152" s="8">
        <f>QS.CONTEXT.CREATE("market.150",A152,"USD","SOFR")</f>
        <v/>
      </c>
      <c r="D152" s="8">
        <f>QS.CONTEXT.ADD.CURVE(C152,"SOFR",$K$2:$K$7,$L$2:$L$7,,,"Actual360","LogLinear",TRUE)</f>
        <v/>
      </c>
      <c r="E152" s="8">
        <f>QS.INSTRUMENT.SWAP("swap.150",C152,H152,B152,"USD","SOFR",I152,J152,0,"Actual360","Simple","Annual","Annual","Annual")</f>
        <v/>
      </c>
      <c r="F152" s="8">
        <f>QS.TRADE.CREATE("trade.150",C152,E152,A152,"Receive")</f>
        <v/>
      </c>
      <c r="G152" s="5"/>
      <c r="H152" s="7" t="s">
        <v>345</v>
      </c>
      <c r="I152" s="9">
        <v>1015000</v>
      </c>
      <c r="J152" s="10">
        <v>0.035</v>
      </c>
    </row>
    <row r="153" spans="1:10">
      <c r="A153" s="7" t="s">
        <v>333</v>
      </c>
      <c r="B153" s="7" t="s">
        <v>346</v>
      </c>
      <c r="C153" s="8">
        <f>QS.CONTEXT.CREATE("market.151",A153,"USD","SOFR")</f>
        <v/>
      </c>
      <c r="D153" s="8">
        <f>QS.CONTEXT.ADD.CURVE(C153,"SOFR",$K$2:$K$7,$L$2:$L$7,,,"Actual360","LogLinear",TRUE)</f>
        <v/>
      </c>
      <c r="E153" s="8">
        <f>QS.INSTRUMENT.SWAP("swap.151",C153,H153,B153,"USD","SOFR",I153,J153,0,"Actual360","Simple","Annual","Annual","Annual")</f>
        <v/>
      </c>
      <c r="F153" s="8">
        <f>QS.TRADE.CREATE("trade.151",C153,E153,A153,"Receive")</f>
        <v/>
      </c>
      <c r="G153" s="5"/>
      <c r="H153" s="7" t="s">
        <v>347</v>
      </c>
      <c r="I153" s="9">
        <v>1015100</v>
      </c>
      <c r="J153" s="10">
        <v>0.03510000000000001</v>
      </c>
    </row>
    <row r="154" spans="1:10">
      <c r="A154" s="7" t="s">
        <v>335</v>
      </c>
      <c r="B154" s="7" t="s">
        <v>348</v>
      </c>
      <c r="C154" s="8">
        <f>QS.CONTEXT.CREATE("market.152",A154,"USD","SOFR")</f>
        <v/>
      </c>
      <c r="D154" s="8">
        <f>QS.CONTEXT.ADD.CURVE(C154,"SOFR",$K$2:$K$7,$L$2:$L$7,,,"Actual360","LogLinear",TRUE)</f>
        <v/>
      </c>
      <c r="E154" s="8">
        <f>QS.INSTRUMENT.SWAP("swap.152",C154,H154,B154,"USD","SOFR",I154,J154,0,"Actual360","Simple","Annual","Annual","Annual")</f>
        <v/>
      </c>
      <c r="F154" s="8">
        <f>QS.TRADE.CREATE("trade.152",C154,E154,A154,"Receive")</f>
        <v/>
      </c>
      <c r="G154" s="5"/>
      <c r="H154" s="7" t="s">
        <v>349</v>
      </c>
      <c r="I154" s="9">
        <v>1015200</v>
      </c>
      <c r="J154" s="10">
        <v>0.0352</v>
      </c>
    </row>
    <row r="155" spans="1:10">
      <c r="A155" s="7" t="s">
        <v>337</v>
      </c>
      <c r="B155" s="7" t="s">
        <v>350</v>
      </c>
      <c r="C155" s="8">
        <f>QS.CONTEXT.CREATE("market.153",A155,"USD","SOFR")</f>
        <v/>
      </c>
      <c r="D155" s="8">
        <f>QS.CONTEXT.ADD.CURVE(C155,"SOFR",$K$2:$K$7,$L$2:$L$7,,,"Actual360","LogLinear",TRUE)</f>
        <v/>
      </c>
      <c r="E155" s="8">
        <f>QS.INSTRUMENT.SWAP("swap.153",C155,H155,B155,"USD","SOFR",I155,J155,0,"Actual360","Simple","Annual","Annual","Annual")</f>
        <v/>
      </c>
      <c r="F155" s="8">
        <f>QS.TRADE.CREATE("trade.153",C155,E155,A155,"Receive")</f>
        <v/>
      </c>
      <c r="G155" s="5"/>
      <c r="H155" s="7" t="s">
        <v>351</v>
      </c>
      <c r="I155" s="9">
        <v>1015300</v>
      </c>
      <c r="J155" s="10">
        <v>0.0353</v>
      </c>
    </row>
    <row r="156" spans="1:10">
      <c r="A156" s="7" t="s">
        <v>339</v>
      </c>
      <c r="B156" s="7" t="s">
        <v>352</v>
      </c>
      <c r="C156" s="8">
        <f>QS.CONTEXT.CREATE("market.154",A156,"USD","SOFR")</f>
        <v/>
      </c>
      <c r="D156" s="8">
        <f>QS.CONTEXT.ADD.CURVE(C156,"SOFR",$K$2:$K$7,$L$2:$L$7,,,"Actual360","LogLinear",TRUE)</f>
        <v/>
      </c>
      <c r="E156" s="8">
        <f>QS.INSTRUMENT.SWAP("swap.154",C156,H156,B156,"USD","SOFR",I156,J156,0,"Actual360","Simple","Annual","Annual","Annual")</f>
        <v/>
      </c>
      <c r="F156" s="8">
        <f>QS.TRADE.CREATE("trade.154",C156,E156,A156,"Receive")</f>
        <v/>
      </c>
      <c r="G156" s="5"/>
      <c r="H156" s="7" t="s">
        <v>353</v>
      </c>
      <c r="I156" s="9">
        <v>1015400</v>
      </c>
      <c r="J156" s="10">
        <v>0.0354</v>
      </c>
    </row>
    <row r="157" spans="1:10">
      <c r="A157" s="7" t="s">
        <v>341</v>
      </c>
      <c r="B157" s="7" t="s">
        <v>354</v>
      </c>
      <c r="C157" s="8">
        <f>QS.CONTEXT.CREATE("market.155",A157,"USD","SOFR")</f>
        <v/>
      </c>
      <c r="D157" s="8">
        <f>QS.CONTEXT.ADD.CURVE(C157,"SOFR",$K$2:$K$7,$L$2:$L$7,,,"Actual360","LogLinear",TRUE)</f>
        <v/>
      </c>
      <c r="E157" s="8">
        <f>QS.INSTRUMENT.SWAP("swap.155",C157,H157,B157,"USD","SOFR",I157,J157,0,"Actual360","Simple","Annual","Annual","Annual")</f>
        <v/>
      </c>
      <c r="F157" s="8">
        <f>QS.TRADE.CREATE("trade.155",C157,E157,A157,"Receive")</f>
        <v/>
      </c>
      <c r="G157" s="5"/>
      <c r="H157" s="7" t="s">
        <v>355</v>
      </c>
      <c r="I157" s="9">
        <v>1015500</v>
      </c>
      <c r="J157" s="10">
        <v>0.0355</v>
      </c>
    </row>
    <row r="158" spans="1:10">
      <c r="A158" s="7" t="s">
        <v>343</v>
      </c>
      <c r="B158" s="7" t="s">
        <v>356</v>
      </c>
      <c r="C158" s="8">
        <f>QS.CONTEXT.CREATE("market.156",A158,"USD","SOFR")</f>
        <v/>
      </c>
      <c r="D158" s="8">
        <f>QS.CONTEXT.ADD.CURVE(C158,"SOFR",$K$2:$K$7,$L$2:$L$7,,,"Actual360","LogLinear",TRUE)</f>
        <v/>
      </c>
      <c r="E158" s="8">
        <f>QS.INSTRUMENT.SWAP("swap.156",C158,H158,B158,"USD","SOFR",I158,J158,0,"Actual360","Simple","Annual","Annual","Annual")</f>
        <v/>
      </c>
      <c r="F158" s="8">
        <f>QS.TRADE.CREATE("trade.156",C158,E158,A158,"Receive")</f>
        <v/>
      </c>
      <c r="G158" s="5"/>
      <c r="H158" s="7" t="s">
        <v>357</v>
      </c>
      <c r="I158" s="9">
        <v>1015600</v>
      </c>
      <c r="J158" s="10">
        <v>0.03560000000000001</v>
      </c>
    </row>
    <row r="159" spans="1:10">
      <c r="A159" s="7" t="s">
        <v>345</v>
      </c>
      <c r="B159" s="7" t="s">
        <v>358</v>
      </c>
      <c r="C159" s="8">
        <f>QS.CONTEXT.CREATE("market.157",A159,"USD","SOFR")</f>
        <v/>
      </c>
      <c r="D159" s="8">
        <f>QS.CONTEXT.ADD.CURVE(C159,"SOFR",$K$2:$K$7,$L$2:$L$7,,,"Actual360","LogLinear",TRUE)</f>
        <v/>
      </c>
      <c r="E159" s="8">
        <f>QS.INSTRUMENT.SWAP("swap.157",C159,H159,B159,"USD","SOFR",I159,J159,0,"Actual360","Simple","Annual","Annual","Annual")</f>
        <v/>
      </c>
      <c r="F159" s="8">
        <f>QS.TRADE.CREATE("trade.157",C159,E159,A159,"Receive")</f>
        <v/>
      </c>
      <c r="G159" s="5"/>
      <c r="H159" s="7" t="s">
        <v>359</v>
      </c>
      <c r="I159" s="9">
        <v>1015700</v>
      </c>
      <c r="J159" s="10">
        <v>0.0357</v>
      </c>
    </row>
    <row r="160" spans="1:10">
      <c r="A160" s="7" t="s">
        <v>347</v>
      </c>
      <c r="B160" s="7" t="s">
        <v>360</v>
      </c>
      <c r="C160" s="8">
        <f>QS.CONTEXT.CREATE("market.158",A160,"USD","SOFR")</f>
        <v/>
      </c>
      <c r="D160" s="8">
        <f>QS.CONTEXT.ADD.CURVE(C160,"SOFR",$K$2:$K$7,$L$2:$L$7,,,"Actual360","LogLinear",TRUE)</f>
        <v/>
      </c>
      <c r="E160" s="8">
        <f>QS.INSTRUMENT.SWAP("swap.158",C160,H160,B160,"USD","SOFR",I160,J160,0,"Actual360","Simple","Annual","Annual","Annual")</f>
        <v/>
      </c>
      <c r="F160" s="8">
        <f>QS.TRADE.CREATE("trade.158",C160,E160,A160,"Receive")</f>
        <v/>
      </c>
      <c r="G160" s="5"/>
      <c r="H160" s="7" t="s">
        <v>361</v>
      </c>
      <c r="I160" s="9">
        <v>1015800</v>
      </c>
      <c r="J160" s="10">
        <v>0.03580000000000001</v>
      </c>
    </row>
    <row r="161" spans="1:10">
      <c r="A161" s="7" t="s">
        <v>349</v>
      </c>
      <c r="B161" s="7" t="s">
        <v>362</v>
      </c>
      <c r="C161" s="8">
        <f>QS.CONTEXT.CREATE("market.159",A161,"USD","SOFR")</f>
        <v/>
      </c>
      <c r="D161" s="8">
        <f>QS.CONTEXT.ADD.CURVE(C161,"SOFR",$K$2:$K$7,$L$2:$L$7,,,"Actual360","LogLinear",TRUE)</f>
        <v/>
      </c>
      <c r="E161" s="8">
        <f>QS.INSTRUMENT.SWAP("swap.159",C161,H161,B161,"USD","SOFR",I161,J161,0,"Actual360","Simple","Annual","Annual","Annual")</f>
        <v/>
      </c>
      <c r="F161" s="8">
        <f>QS.TRADE.CREATE("trade.159",C161,E161,A161,"Receive")</f>
        <v/>
      </c>
      <c r="G161" s="5"/>
      <c r="H161" s="7" t="s">
        <v>363</v>
      </c>
      <c r="I161" s="9">
        <v>1015900</v>
      </c>
      <c r="J161" s="10">
        <v>0.0359</v>
      </c>
    </row>
    <row r="162" spans="1:10">
      <c r="A162" s="7" t="s">
        <v>351</v>
      </c>
      <c r="B162" s="7" t="s">
        <v>364</v>
      </c>
      <c r="C162" s="8">
        <f>QS.CONTEXT.CREATE("market.160",A162,"USD","SOFR")</f>
        <v/>
      </c>
      <c r="D162" s="8">
        <f>QS.CONTEXT.ADD.CURVE(C162,"SOFR",$K$2:$K$7,$L$2:$L$7,,,"Actual360","LogLinear",TRUE)</f>
        <v/>
      </c>
      <c r="E162" s="8">
        <f>QS.INSTRUMENT.SWAP("swap.160",C162,H162,B162,"USD","SOFR",I162,J162,0,"Actual360","Simple","Annual","Annual","Annual")</f>
        <v/>
      </c>
      <c r="F162" s="8">
        <f>QS.TRADE.CREATE("trade.160",C162,E162,A162,"Receive")</f>
        <v/>
      </c>
      <c r="G162" s="5"/>
      <c r="H162" s="7" t="s">
        <v>365</v>
      </c>
      <c r="I162" s="9">
        <v>1016000</v>
      </c>
      <c r="J162" s="10">
        <v>0.036</v>
      </c>
    </row>
    <row r="163" spans="1:10">
      <c r="A163" s="7" t="s">
        <v>353</v>
      </c>
      <c r="B163" s="7" t="s">
        <v>366</v>
      </c>
      <c r="C163" s="8">
        <f>QS.CONTEXT.CREATE("market.161",A163,"USD","SOFR")</f>
        <v/>
      </c>
      <c r="D163" s="8">
        <f>QS.CONTEXT.ADD.CURVE(C163,"SOFR",$K$2:$K$7,$L$2:$L$7,,,"Actual360","LogLinear",TRUE)</f>
        <v/>
      </c>
      <c r="E163" s="8">
        <f>QS.INSTRUMENT.SWAP("swap.161",C163,H163,B163,"USD","SOFR",I163,J163,0,"Actual360","Simple","Annual","Annual","Annual")</f>
        <v/>
      </c>
      <c r="F163" s="8">
        <f>QS.TRADE.CREATE("trade.161",C163,E163,A163,"Receive")</f>
        <v/>
      </c>
      <c r="G163" s="5"/>
      <c r="H163" s="7" t="s">
        <v>367</v>
      </c>
      <c r="I163" s="9">
        <v>1016100</v>
      </c>
      <c r="J163" s="10">
        <v>0.0361</v>
      </c>
    </row>
    <row r="164" spans="1:10">
      <c r="A164" s="7" t="s">
        <v>355</v>
      </c>
      <c r="B164" s="7" t="s">
        <v>368</v>
      </c>
      <c r="C164" s="8">
        <f>QS.CONTEXT.CREATE("market.162",A164,"USD","SOFR")</f>
        <v/>
      </c>
      <c r="D164" s="8">
        <f>QS.CONTEXT.ADD.CURVE(C164,"SOFR",$K$2:$K$7,$L$2:$L$7,,,"Actual360","LogLinear",TRUE)</f>
        <v/>
      </c>
      <c r="E164" s="8">
        <f>QS.INSTRUMENT.SWAP("swap.162",C164,H164,B164,"USD","SOFR",I164,J164,0,"Actual360","Simple","Annual","Annual","Annual")</f>
        <v/>
      </c>
      <c r="F164" s="8">
        <f>QS.TRADE.CREATE("trade.162",C164,E164,A164,"Receive")</f>
        <v/>
      </c>
      <c r="G164" s="5"/>
      <c r="H164" s="7" t="s">
        <v>369</v>
      </c>
      <c r="I164" s="9">
        <v>1016200</v>
      </c>
      <c r="J164" s="10">
        <v>0.0362</v>
      </c>
    </row>
    <row r="165" spans="1:10">
      <c r="A165" s="7" t="s">
        <v>357</v>
      </c>
      <c r="B165" s="7" t="s">
        <v>370</v>
      </c>
      <c r="C165" s="8">
        <f>QS.CONTEXT.CREATE("market.163",A165,"USD","SOFR")</f>
        <v/>
      </c>
      <c r="D165" s="8">
        <f>QS.CONTEXT.ADD.CURVE(C165,"SOFR",$K$2:$K$7,$L$2:$L$7,,,"Actual360","LogLinear",TRUE)</f>
        <v/>
      </c>
      <c r="E165" s="8">
        <f>QS.INSTRUMENT.SWAP("swap.163",C165,H165,B165,"USD","SOFR",I165,J165,0,"Actual360","Simple","Annual","Annual","Annual")</f>
        <v/>
      </c>
      <c r="F165" s="8">
        <f>QS.TRADE.CREATE("trade.163",C165,E165,A165,"Receive")</f>
        <v/>
      </c>
      <c r="G165" s="5"/>
      <c r="H165" s="7" t="s">
        <v>371</v>
      </c>
      <c r="I165" s="9">
        <v>1016300</v>
      </c>
      <c r="J165" s="10">
        <v>0.03630000000000001</v>
      </c>
    </row>
    <row r="166" spans="1:10">
      <c r="A166" s="7" t="s">
        <v>359</v>
      </c>
      <c r="B166" s="7" t="s">
        <v>372</v>
      </c>
      <c r="C166" s="8">
        <f>QS.CONTEXT.CREATE("market.164",A166,"USD","SOFR")</f>
        <v/>
      </c>
      <c r="D166" s="8">
        <f>QS.CONTEXT.ADD.CURVE(C166,"SOFR",$K$2:$K$7,$L$2:$L$7,,,"Actual360","LogLinear",TRUE)</f>
        <v/>
      </c>
      <c r="E166" s="8">
        <f>QS.INSTRUMENT.SWAP("swap.164",C166,H166,B166,"USD","SOFR",I166,J166,0,"Actual360","Simple","Annual","Annual","Annual")</f>
        <v/>
      </c>
      <c r="F166" s="8">
        <f>QS.TRADE.CREATE("trade.164",C166,E166,A166,"Receive")</f>
        <v/>
      </c>
      <c r="G166" s="5"/>
      <c r="H166" s="7" t="s">
        <v>373</v>
      </c>
      <c r="I166" s="9">
        <v>1016400</v>
      </c>
      <c r="J166" s="10">
        <v>0.0364</v>
      </c>
    </row>
    <row r="167" spans="1:10">
      <c r="A167" s="7" t="s">
        <v>361</v>
      </c>
      <c r="B167" s="7" t="s">
        <v>374</v>
      </c>
      <c r="C167" s="8">
        <f>QS.CONTEXT.CREATE("market.165",A167,"USD","SOFR")</f>
        <v/>
      </c>
      <c r="D167" s="8">
        <f>QS.CONTEXT.ADD.CURVE(C167,"SOFR",$K$2:$K$7,$L$2:$L$7,,,"Actual360","LogLinear",TRUE)</f>
        <v/>
      </c>
      <c r="E167" s="8">
        <f>QS.INSTRUMENT.SWAP("swap.165",C167,H167,B167,"USD","SOFR",I167,J167,0,"Actual360","Simple","Annual","Annual","Annual")</f>
        <v/>
      </c>
      <c r="F167" s="8">
        <f>QS.TRADE.CREATE("trade.165",C167,E167,A167,"Receive")</f>
        <v/>
      </c>
      <c r="G167" s="5"/>
      <c r="H167" s="7" t="s">
        <v>375</v>
      </c>
      <c r="I167" s="9">
        <v>1016500</v>
      </c>
      <c r="J167" s="10">
        <v>0.0365</v>
      </c>
    </row>
    <row r="168" spans="1:10">
      <c r="A168" s="7" t="s">
        <v>363</v>
      </c>
      <c r="B168" s="7" t="s">
        <v>376</v>
      </c>
      <c r="C168" s="8">
        <f>QS.CONTEXT.CREATE("market.166",A168,"USD","SOFR")</f>
        <v/>
      </c>
      <c r="D168" s="8">
        <f>QS.CONTEXT.ADD.CURVE(C168,"SOFR",$K$2:$K$7,$L$2:$L$7,,,"Actual360","LogLinear",TRUE)</f>
        <v/>
      </c>
      <c r="E168" s="8">
        <f>QS.INSTRUMENT.SWAP("swap.166",C168,H168,B168,"USD","SOFR",I168,J168,0,"Actual360","Simple","Annual","Annual","Annual")</f>
        <v/>
      </c>
      <c r="F168" s="8">
        <f>QS.TRADE.CREATE("trade.166",C168,E168,A168,"Receive")</f>
        <v/>
      </c>
      <c r="G168" s="5"/>
      <c r="H168" s="7" t="s">
        <v>377</v>
      </c>
      <c r="I168" s="9">
        <v>1016600</v>
      </c>
      <c r="J168" s="10">
        <v>0.0366</v>
      </c>
    </row>
    <row r="169" spans="1:10">
      <c r="A169" s="7" t="s">
        <v>365</v>
      </c>
      <c r="B169" s="7" t="s">
        <v>378</v>
      </c>
      <c r="C169" s="8">
        <f>QS.CONTEXT.CREATE("market.167",A169,"USD","SOFR")</f>
        <v/>
      </c>
      <c r="D169" s="8">
        <f>QS.CONTEXT.ADD.CURVE(C169,"SOFR",$K$2:$K$7,$L$2:$L$7,,,"Actual360","LogLinear",TRUE)</f>
        <v/>
      </c>
      <c r="E169" s="8">
        <f>QS.INSTRUMENT.SWAP("swap.167",C169,H169,B169,"USD","SOFR",I169,J169,0,"Actual360","Simple","Annual","Annual","Annual")</f>
        <v/>
      </c>
      <c r="F169" s="8">
        <f>QS.TRADE.CREATE("trade.167",C169,E169,A169,"Receive")</f>
        <v/>
      </c>
      <c r="G169" s="5"/>
      <c r="H169" s="7" t="s">
        <v>379</v>
      </c>
      <c r="I169" s="9">
        <v>1016700</v>
      </c>
      <c r="J169" s="10">
        <v>0.0367</v>
      </c>
    </row>
    <row r="170" spans="1:10">
      <c r="A170" s="7" t="s">
        <v>367</v>
      </c>
      <c r="B170" s="7" t="s">
        <v>380</v>
      </c>
      <c r="C170" s="8">
        <f>QS.CONTEXT.CREATE("market.168",A170,"USD","SOFR")</f>
        <v/>
      </c>
      <c r="D170" s="8">
        <f>QS.CONTEXT.ADD.CURVE(C170,"SOFR",$K$2:$K$7,$L$2:$L$7,,,"Actual360","LogLinear",TRUE)</f>
        <v/>
      </c>
      <c r="E170" s="8">
        <f>QS.INSTRUMENT.SWAP("swap.168",C170,H170,B170,"USD","SOFR",I170,J170,0,"Actual360","Simple","Annual","Annual","Annual")</f>
        <v/>
      </c>
      <c r="F170" s="8">
        <f>QS.TRADE.CREATE("trade.168",C170,E170,A170,"Receive")</f>
        <v/>
      </c>
      <c r="G170" s="5"/>
      <c r="H170" s="7" t="s">
        <v>381</v>
      </c>
      <c r="I170" s="9">
        <v>1016800</v>
      </c>
      <c r="J170" s="10">
        <v>0.03680000000000001</v>
      </c>
    </row>
    <row r="171" spans="1:10">
      <c r="A171" s="7" t="s">
        <v>369</v>
      </c>
      <c r="B171" s="7" t="s">
        <v>382</v>
      </c>
      <c r="C171" s="8">
        <f>QS.CONTEXT.CREATE("market.169",A171,"USD","SOFR")</f>
        <v/>
      </c>
      <c r="D171" s="8">
        <f>QS.CONTEXT.ADD.CURVE(C171,"SOFR",$K$2:$K$7,$L$2:$L$7,,,"Actual360","LogLinear",TRUE)</f>
        <v/>
      </c>
      <c r="E171" s="8">
        <f>QS.INSTRUMENT.SWAP("swap.169",C171,H171,B171,"USD","SOFR",I171,J171,0,"Actual360","Simple","Annual","Annual","Annual")</f>
        <v/>
      </c>
      <c r="F171" s="8">
        <f>QS.TRADE.CREATE("trade.169",C171,E171,A171,"Receive")</f>
        <v/>
      </c>
      <c r="G171" s="5"/>
      <c r="H171" s="7" t="s">
        <v>383</v>
      </c>
      <c r="I171" s="9">
        <v>1016900</v>
      </c>
      <c r="J171" s="10">
        <v>0.0369</v>
      </c>
    </row>
    <row r="172" spans="1:10">
      <c r="A172" s="7" t="s">
        <v>371</v>
      </c>
      <c r="B172" s="7" t="s">
        <v>384</v>
      </c>
      <c r="C172" s="8">
        <f>QS.CONTEXT.CREATE("market.170",A172,"USD","SOFR")</f>
        <v/>
      </c>
      <c r="D172" s="8">
        <f>QS.CONTEXT.ADD.CURVE(C172,"SOFR",$K$2:$K$7,$L$2:$L$7,,,"Actual360","LogLinear",TRUE)</f>
        <v/>
      </c>
      <c r="E172" s="8">
        <f>QS.INSTRUMENT.SWAP("swap.170",C172,H172,B172,"USD","SOFR",I172,J172,0,"Actual360","Simple","Annual","Annual","Annual")</f>
        <v/>
      </c>
      <c r="F172" s="8">
        <f>QS.TRADE.CREATE("trade.170",C172,E172,A172,"Receive")</f>
        <v/>
      </c>
      <c r="G172" s="5"/>
      <c r="H172" s="7" t="s">
        <v>385</v>
      </c>
      <c r="I172" s="9">
        <v>1017000</v>
      </c>
      <c r="J172" s="10">
        <v>0.03700000000000001</v>
      </c>
    </row>
    <row r="173" spans="1:10">
      <c r="A173" s="7" t="s">
        <v>373</v>
      </c>
      <c r="B173" s="7" t="s">
        <v>386</v>
      </c>
      <c r="C173" s="8">
        <f>QS.CONTEXT.CREATE("market.171",A173,"USD","SOFR")</f>
        <v/>
      </c>
      <c r="D173" s="8">
        <f>QS.CONTEXT.ADD.CURVE(C173,"SOFR",$K$2:$K$7,$L$2:$L$7,,,"Actual360","LogLinear",TRUE)</f>
        <v/>
      </c>
      <c r="E173" s="8">
        <f>QS.INSTRUMENT.SWAP("swap.171",C173,H173,B173,"USD","SOFR",I173,J173,0,"Actual360","Simple","Annual","Annual","Annual")</f>
        <v/>
      </c>
      <c r="F173" s="8">
        <f>QS.TRADE.CREATE("trade.171",C173,E173,A173,"Receive")</f>
        <v/>
      </c>
      <c r="G173" s="5"/>
      <c r="H173" s="7" t="s">
        <v>387</v>
      </c>
      <c r="I173" s="9">
        <v>1017100</v>
      </c>
      <c r="J173" s="10">
        <v>0.0371</v>
      </c>
    </row>
    <row r="174" spans="1:10">
      <c r="A174" s="7" t="s">
        <v>375</v>
      </c>
      <c r="B174" s="7" t="s">
        <v>388</v>
      </c>
      <c r="C174" s="8">
        <f>QS.CONTEXT.CREATE("market.172",A174,"USD","SOFR")</f>
        <v/>
      </c>
      <c r="D174" s="8">
        <f>QS.CONTEXT.ADD.CURVE(C174,"SOFR",$K$2:$K$7,$L$2:$L$7,,,"Actual360","LogLinear",TRUE)</f>
        <v/>
      </c>
      <c r="E174" s="8">
        <f>QS.INSTRUMENT.SWAP("swap.172",C174,H174,B174,"USD","SOFR",I174,J174,0,"Actual360","Simple","Annual","Annual","Annual")</f>
        <v/>
      </c>
      <c r="F174" s="8">
        <f>QS.TRADE.CREATE("trade.172",C174,E174,A174,"Receive")</f>
        <v/>
      </c>
      <c r="G174" s="5"/>
      <c r="H174" s="7" t="s">
        <v>389</v>
      </c>
      <c r="I174" s="9">
        <v>1017200</v>
      </c>
      <c r="J174" s="10">
        <v>0.0372</v>
      </c>
    </row>
    <row r="175" spans="1:10">
      <c r="A175" s="7" t="s">
        <v>377</v>
      </c>
      <c r="B175" s="7" t="s">
        <v>390</v>
      </c>
      <c r="C175" s="8">
        <f>QS.CONTEXT.CREATE("market.173",A175,"USD","SOFR")</f>
        <v/>
      </c>
      <c r="D175" s="8">
        <f>QS.CONTEXT.ADD.CURVE(C175,"SOFR",$K$2:$K$7,$L$2:$L$7,,,"Actual360","LogLinear",TRUE)</f>
        <v/>
      </c>
      <c r="E175" s="8">
        <f>QS.INSTRUMENT.SWAP("swap.173",C175,H175,B175,"USD","SOFR",I175,J175,0,"Actual360","Simple","Annual","Annual","Annual")</f>
        <v/>
      </c>
      <c r="F175" s="8">
        <f>QS.TRADE.CREATE("trade.173",C175,E175,A175,"Receive")</f>
        <v/>
      </c>
      <c r="G175" s="5"/>
      <c r="H175" s="7" t="s">
        <v>391</v>
      </c>
      <c r="I175" s="9">
        <v>1017300</v>
      </c>
      <c r="J175" s="10">
        <v>0.0373</v>
      </c>
    </row>
    <row r="176" spans="1:10">
      <c r="A176" s="7" t="s">
        <v>379</v>
      </c>
      <c r="B176" s="7" t="s">
        <v>392</v>
      </c>
      <c r="C176" s="8">
        <f>QS.CONTEXT.CREATE("market.174",A176,"USD","SOFR")</f>
        <v/>
      </c>
      <c r="D176" s="8">
        <f>QS.CONTEXT.ADD.CURVE(C176,"SOFR",$K$2:$K$7,$L$2:$L$7,,,"Actual360","LogLinear",TRUE)</f>
        <v/>
      </c>
      <c r="E176" s="8">
        <f>QS.INSTRUMENT.SWAP("swap.174",C176,H176,B176,"USD","SOFR",I176,J176,0,"Actual360","Simple","Annual","Annual","Annual")</f>
        <v/>
      </c>
      <c r="F176" s="8">
        <f>QS.TRADE.CREATE("trade.174",C176,E176,A176,"Receive")</f>
        <v/>
      </c>
      <c r="G176" s="5"/>
      <c r="H176" s="7" t="s">
        <v>393</v>
      </c>
      <c r="I176" s="9">
        <v>1017400</v>
      </c>
      <c r="J176" s="10">
        <v>0.0374</v>
      </c>
    </row>
    <row r="177" spans="1:10">
      <c r="A177" s="7" t="s">
        <v>381</v>
      </c>
      <c r="B177" s="7" t="s">
        <v>394</v>
      </c>
      <c r="C177" s="8">
        <f>QS.CONTEXT.CREATE("market.175",A177,"USD","SOFR")</f>
        <v/>
      </c>
      <c r="D177" s="8">
        <f>QS.CONTEXT.ADD.CURVE(C177,"SOFR",$K$2:$K$7,$L$2:$L$7,,,"Actual360","LogLinear",TRUE)</f>
        <v/>
      </c>
      <c r="E177" s="8">
        <f>QS.INSTRUMENT.SWAP("swap.175",C177,H177,B177,"USD","SOFR",I177,J177,0,"Actual360","Simple","Annual","Annual","Annual")</f>
        <v/>
      </c>
      <c r="F177" s="8">
        <f>QS.TRADE.CREATE("trade.175",C177,E177,A177,"Receive")</f>
        <v/>
      </c>
      <c r="G177" s="5"/>
      <c r="H177" s="7" t="s">
        <v>395</v>
      </c>
      <c r="I177" s="9">
        <v>1017500</v>
      </c>
      <c r="J177" s="10">
        <v>0.03750000000000001</v>
      </c>
    </row>
    <row r="178" spans="1:10">
      <c r="A178" s="7" t="s">
        <v>383</v>
      </c>
      <c r="B178" s="7" t="s">
        <v>396</v>
      </c>
      <c r="C178" s="8">
        <f>QS.CONTEXT.CREATE("market.176",A178,"USD","SOFR")</f>
        <v/>
      </c>
      <c r="D178" s="8">
        <f>QS.CONTEXT.ADD.CURVE(C178,"SOFR",$K$2:$K$7,$L$2:$L$7,,,"Actual360","LogLinear",TRUE)</f>
        <v/>
      </c>
      <c r="E178" s="8">
        <f>QS.INSTRUMENT.SWAP("swap.176",C178,H178,B178,"USD","SOFR",I178,J178,0,"Actual360","Simple","Annual","Annual","Annual")</f>
        <v/>
      </c>
      <c r="F178" s="8">
        <f>QS.TRADE.CREATE("trade.176",C178,E178,A178,"Receive")</f>
        <v/>
      </c>
      <c r="G178" s="5"/>
      <c r="H178" s="7" t="s">
        <v>397</v>
      </c>
      <c r="I178" s="9">
        <v>1017600</v>
      </c>
      <c r="J178" s="10">
        <v>0.0376</v>
      </c>
    </row>
    <row r="179" spans="1:10">
      <c r="A179" s="7" t="s">
        <v>385</v>
      </c>
      <c r="B179" s="7" t="s">
        <v>398</v>
      </c>
      <c r="C179" s="8">
        <f>QS.CONTEXT.CREATE("market.177",A179,"USD","SOFR")</f>
        <v/>
      </c>
      <c r="D179" s="8">
        <f>QS.CONTEXT.ADD.CURVE(C179,"SOFR",$K$2:$K$7,$L$2:$L$7,,,"Actual360","LogLinear",TRUE)</f>
        <v/>
      </c>
      <c r="E179" s="8">
        <f>QS.INSTRUMENT.SWAP("swap.177",C179,H179,B179,"USD","SOFR",I179,J179,0,"Actual360","Simple","Annual","Annual","Annual")</f>
        <v/>
      </c>
      <c r="F179" s="8">
        <f>QS.TRADE.CREATE("trade.177",C179,E179,A179,"Receive")</f>
        <v/>
      </c>
      <c r="G179" s="5"/>
      <c r="H179" s="7" t="s">
        <v>399</v>
      </c>
      <c r="I179" s="9">
        <v>1017700</v>
      </c>
      <c r="J179" s="10">
        <v>0.0377</v>
      </c>
    </row>
    <row r="180" spans="1:10">
      <c r="A180" s="7" t="s">
        <v>387</v>
      </c>
      <c r="B180" s="7" t="s">
        <v>400</v>
      </c>
      <c r="C180" s="8">
        <f>QS.CONTEXT.CREATE("market.178",A180,"USD","SOFR")</f>
        <v/>
      </c>
      <c r="D180" s="8">
        <f>QS.CONTEXT.ADD.CURVE(C180,"SOFR",$K$2:$K$7,$L$2:$L$7,,,"Actual360","LogLinear",TRUE)</f>
        <v/>
      </c>
      <c r="E180" s="8">
        <f>QS.INSTRUMENT.SWAP("swap.178",C180,H180,B180,"USD","SOFR",I180,J180,0,"Actual360","Simple","Annual","Annual","Annual")</f>
        <v/>
      </c>
      <c r="F180" s="8">
        <f>QS.TRADE.CREATE("trade.178",C180,E180,A180,"Receive")</f>
        <v/>
      </c>
      <c r="G180" s="5"/>
      <c r="H180" s="7" t="s">
        <v>401</v>
      </c>
      <c r="I180" s="9">
        <v>1017800</v>
      </c>
      <c r="J180" s="10">
        <v>0.0378</v>
      </c>
    </row>
    <row r="181" spans="1:10">
      <c r="A181" s="7" t="s">
        <v>389</v>
      </c>
      <c r="B181" s="7" t="s">
        <v>402</v>
      </c>
      <c r="C181" s="8">
        <f>QS.CONTEXT.CREATE("market.179",A181,"USD","SOFR")</f>
        <v/>
      </c>
      <c r="D181" s="8">
        <f>QS.CONTEXT.ADD.CURVE(C181,"SOFR",$K$2:$K$7,$L$2:$L$7,,,"Actual360","LogLinear",TRUE)</f>
        <v/>
      </c>
      <c r="E181" s="8">
        <f>QS.INSTRUMENT.SWAP("swap.179",C181,H181,B181,"USD","SOFR",I181,J181,0,"Actual360","Simple","Annual","Annual","Annual")</f>
        <v/>
      </c>
      <c r="F181" s="8">
        <f>QS.TRADE.CREATE("trade.179",C181,E181,A181,"Receive")</f>
        <v/>
      </c>
      <c r="G181" s="5"/>
      <c r="H181" s="7" t="s">
        <v>403</v>
      </c>
      <c r="I181" s="9">
        <v>1017900</v>
      </c>
      <c r="J181" s="10">
        <v>0.0379</v>
      </c>
    </row>
    <row r="182" spans="1:10">
      <c r="A182" s="7" t="s">
        <v>391</v>
      </c>
      <c r="B182" s="7" t="s">
        <v>404</v>
      </c>
      <c r="C182" s="8">
        <f>QS.CONTEXT.CREATE("market.180",A182,"USD","SOFR")</f>
        <v/>
      </c>
      <c r="D182" s="8">
        <f>QS.CONTEXT.ADD.CURVE(C182,"SOFR",$K$2:$K$7,$L$2:$L$7,,,"Actual360","LogLinear",TRUE)</f>
        <v/>
      </c>
      <c r="E182" s="8">
        <f>QS.INSTRUMENT.SWAP("swap.180",C182,H182,B182,"USD","SOFR",I182,J182,0,"Actual360","Simple","Annual","Annual","Annual")</f>
        <v/>
      </c>
      <c r="F182" s="8">
        <f>QS.TRADE.CREATE("trade.180",C182,E182,A182,"Receive")</f>
        <v/>
      </c>
      <c r="G182" s="5"/>
      <c r="H182" s="7" t="s">
        <v>405</v>
      </c>
      <c r="I182" s="9">
        <v>1018000</v>
      </c>
      <c r="J182" s="10">
        <v>0.03800000000000001</v>
      </c>
    </row>
    <row r="183" spans="1:10">
      <c r="A183" s="7" t="s">
        <v>393</v>
      </c>
      <c r="B183" s="7" t="s">
        <v>406</v>
      </c>
      <c r="C183" s="8">
        <f>QS.CONTEXT.CREATE("market.181",A183,"USD","SOFR")</f>
        <v/>
      </c>
      <c r="D183" s="8">
        <f>QS.CONTEXT.ADD.CURVE(C183,"SOFR",$K$2:$K$7,$L$2:$L$7,,,"Actual360","LogLinear",TRUE)</f>
        <v/>
      </c>
      <c r="E183" s="8">
        <f>QS.INSTRUMENT.SWAP("swap.181",C183,H183,B183,"USD","SOFR",I183,J183,0,"Actual360","Simple","Annual","Annual","Annual")</f>
        <v/>
      </c>
      <c r="F183" s="8">
        <f>QS.TRADE.CREATE("trade.181",C183,E183,A183,"Receive")</f>
        <v/>
      </c>
      <c r="G183" s="5"/>
      <c r="H183" s="7" t="s">
        <v>407</v>
      </c>
      <c r="I183" s="9">
        <v>1018100</v>
      </c>
      <c r="J183" s="10">
        <v>0.0381</v>
      </c>
    </row>
    <row r="184" spans="1:10">
      <c r="A184" s="7" t="s">
        <v>395</v>
      </c>
      <c r="B184" s="7" t="s">
        <v>408</v>
      </c>
      <c r="C184" s="8">
        <f>QS.CONTEXT.CREATE("market.182",A184,"USD","SOFR")</f>
        <v/>
      </c>
      <c r="D184" s="8">
        <f>QS.CONTEXT.ADD.CURVE(C184,"SOFR",$K$2:$K$7,$L$2:$L$7,,,"Actual360","LogLinear",TRUE)</f>
        <v/>
      </c>
      <c r="E184" s="8">
        <f>QS.INSTRUMENT.SWAP("swap.182",C184,H184,B184,"USD","SOFR",I184,J184,0,"Actual360","Simple","Annual","Annual","Annual")</f>
        <v/>
      </c>
      <c r="F184" s="8">
        <f>QS.TRADE.CREATE("trade.182",C184,E184,A184,"Receive")</f>
        <v/>
      </c>
      <c r="G184" s="5"/>
      <c r="H184" s="7" t="s">
        <v>409</v>
      </c>
      <c r="I184" s="9">
        <v>1018200</v>
      </c>
      <c r="J184" s="10">
        <v>0.0382</v>
      </c>
    </row>
    <row r="185" spans="1:10">
      <c r="A185" s="7" t="s">
        <v>397</v>
      </c>
      <c r="B185" s="7" t="s">
        <v>410</v>
      </c>
      <c r="C185" s="8">
        <f>QS.CONTEXT.CREATE("market.183",A185,"USD","SOFR")</f>
        <v/>
      </c>
      <c r="D185" s="8">
        <f>QS.CONTEXT.ADD.CURVE(C185,"SOFR",$K$2:$K$7,$L$2:$L$7,,,"Actual360","LogLinear",TRUE)</f>
        <v/>
      </c>
      <c r="E185" s="8">
        <f>QS.INSTRUMENT.SWAP("swap.183",C185,H185,B185,"USD","SOFR",I185,J185,0,"Actual360","Simple","Annual","Annual","Annual")</f>
        <v/>
      </c>
      <c r="F185" s="8">
        <f>QS.TRADE.CREATE("trade.183",C185,E185,A185,"Receive")</f>
        <v/>
      </c>
      <c r="G185" s="5"/>
      <c r="H185" s="7" t="s">
        <v>411</v>
      </c>
      <c r="I185" s="9">
        <v>1018300</v>
      </c>
      <c r="J185" s="10">
        <v>0.0383</v>
      </c>
    </row>
    <row r="186" spans="1:10">
      <c r="A186" s="7" t="s">
        <v>399</v>
      </c>
      <c r="B186" s="7" t="s">
        <v>412</v>
      </c>
      <c r="C186" s="8">
        <f>QS.CONTEXT.CREATE("market.184",A186,"USD","SOFR")</f>
        <v/>
      </c>
      <c r="D186" s="8">
        <f>QS.CONTEXT.ADD.CURVE(C186,"SOFR",$K$2:$K$7,$L$2:$L$7,,,"Actual360","LogLinear",TRUE)</f>
        <v/>
      </c>
      <c r="E186" s="8">
        <f>QS.INSTRUMENT.SWAP("swap.184",C186,H186,B186,"USD","SOFR",I186,J186,0,"Actual360","Simple","Annual","Annual","Annual")</f>
        <v/>
      </c>
      <c r="F186" s="8">
        <f>QS.TRADE.CREATE("trade.184",C186,E186,A186,"Receive")</f>
        <v/>
      </c>
      <c r="G186" s="5"/>
      <c r="H186" s="7" t="s">
        <v>413</v>
      </c>
      <c r="I186" s="9">
        <v>1018400</v>
      </c>
      <c r="J186" s="10">
        <v>0.0384</v>
      </c>
    </row>
    <row r="187" spans="1:10">
      <c r="A187" s="7" t="s">
        <v>401</v>
      </c>
      <c r="B187" s="7" t="s">
        <v>414</v>
      </c>
      <c r="C187" s="8">
        <f>QS.CONTEXT.CREATE("market.185",A187,"USD","SOFR")</f>
        <v/>
      </c>
      <c r="D187" s="8">
        <f>QS.CONTEXT.ADD.CURVE(C187,"SOFR",$K$2:$K$7,$L$2:$L$7,,,"Actual360","LogLinear",TRUE)</f>
        <v/>
      </c>
      <c r="E187" s="8">
        <f>QS.INSTRUMENT.SWAP("swap.185",C187,H187,B187,"USD","SOFR",I187,J187,0,"Actual360","Simple","Annual","Annual","Annual")</f>
        <v/>
      </c>
      <c r="F187" s="8">
        <f>QS.TRADE.CREATE("trade.185",C187,E187,A187,"Receive")</f>
        <v/>
      </c>
      <c r="G187" s="5"/>
      <c r="H187" s="7" t="s">
        <v>415</v>
      </c>
      <c r="I187" s="9">
        <v>1018500</v>
      </c>
      <c r="J187" s="10">
        <v>0.03850000000000001</v>
      </c>
    </row>
    <row r="188" spans="1:10">
      <c r="A188" s="7" t="s">
        <v>403</v>
      </c>
      <c r="B188" s="7" t="s">
        <v>416</v>
      </c>
      <c r="C188" s="8">
        <f>QS.CONTEXT.CREATE("market.186",A188,"USD","SOFR")</f>
        <v/>
      </c>
      <c r="D188" s="8">
        <f>QS.CONTEXT.ADD.CURVE(C188,"SOFR",$K$2:$K$7,$L$2:$L$7,,,"Actual360","LogLinear",TRUE)</f>
        <v/>
      </c>
      <c r="E188" s="8">
        <f>QS.INSTRUMENT.SWAP("swap.186",C188,H188,B188,"USD","SOFR",I188,J188,0,"Actual360","Simple","Annual","Annual","Annual")</f>
        <v/>
      </c>
      <c r="F188" s="8">
        <f>QS.TRADE.CREATE("trade.186",C188,E188,A188,"Receive")</f>
        <v/>
      </c>
      <c r="G188" s="5"/>
      <c r="H188" s="7" t="s">
        <v>417</v>
      </c>
      <c r="I188" s="9">
        <v>1018600</v>
      </c>
      <c r="J188" s="10">
        <v>0.0386</v>
      </c>
    </row>
    <row r="189" spans="1:10">
      <c r="A189" s="7" t="s">
        <v>405</v>
      </c>
      <c r="B189" s="7" t="s">
        <v>418</v>
      </c>
      <c r="C189" s="8">
        <f>QS.CONTEXT.CREATE("market.187",A189,"USD","SOFR")</f>
        <v/>
      </c>
      <c r="D189" s="8">
        <f>QS.CONTEXT.ADD.CURVE(C189,"SOFR",$K$2:$K$7,$L$2:$L$7,,,"Actual360","LogLinear",TRUE)</f>
        <v/>
      </c>
      <c r="E189" s="8">
        <f>QS.INSTRUMENT.SWAP("swap.187",C189,H189,B189,"USD","SOFR",I189,J189,0,"Actual360","Simple","Annual","Annual","Annual")</f>
        <v/>
      </c>
      <c r="F189" s="8">
        <f>QS.TRADE.CREATE("trade.187",C189,E189,A189,"Receive")</f>
        <v/>
      </c>
      <c r="G189" s="5"/>
      <c r="H189" s="7" t="s">
        <v>419</v>
      </c>
      <c r="I189" s="9">
        <v>1018700</v>
      </c>
      <c r="J189" s="10">
        <v>0.03870000000000001</v>
      </c>
    </row>
    <row r="190" spans="1:10">
      <c r="A190" s="7" t="s">
        <v>407</v>
      </c>
      <c r="B190" s="7" t="s">
        <v>420</v>
      </c>
      <c r="C190" s="8">
        <f>QS.CONTEXT.CREATE("market.188",A190,"USD","SOFR")</f>
        <v/>
      </c>
      <c r="D190" s="8">
        <f>QS.CONTEXT.ADD.CURVE(C190,"SOFR",$K$2:$K$7,$L$2:$L$7,,,"Actual360","LogLinear",TRUE)</f>
        <v/>
      </c>
      <c r="E190" s="8">
        <f>QS.INSTRUMENT.SWAP("swap.188",C190,H190,B190,"USD","SOFR",I190,J190,0,"Actual360","Simple","Annual","Annual","Annual")</f>
        <v/>
      </c>
      <c r="F190" s="8">
        <f>QS.TRADE.CREATE("trade.188",C190,E190,A190,"Receive")</f>
        <v/>
      </c>
      <c r="G190" s="5"/>
      <c r="H190" s="7" t="s">
        <v>421</v>
      </c>
      <c r="I190" s="9">
        <v>1018800</v>
      </c>
      <c r="J190" s="10">
        <v>0.0388</v>
      </c>
    </row>
    <row r="191" spans="1:10">
      <c r="A191" s="7" t="s">
        <v>409</v>
      </c>
      <c r="B191" s="7" t="s">
        <v>422</v>
      </c>
      <c r="C191" s="8">
        <f>QS.CONTEXT.CREATE("market.189",A191,"USD","SOFR")</f>
        <v/>
      </c>
      <c r="D191" s="8">
        <f>QS.CONTEXT.ADD.CURVE(C191,"SOFR",$K$2:$K$7,$L$2:$L$7,,,"Actual360","LogLinear",TRUE)</f>
        <v/>
      </c>
      <c r="E191" s="8">
        <f>QS.INSTRUMENT.SWAP("swap.189",C191,H191,B191,"USD","SOFR",I191,J191,0,"Actual360","Simple","Annual","Annual","Annual")</f>
        <v/>
      </c>
      <c r="F191" s="8">
        <f>QS.TRADE.CREATE("trade.189",C191,E191,A191,"Receive")</f>
        <v/>
      </c>
      <c r="G191" s="5"/>
      <c r="H191" s="7" t="s">
        <v>423</v>
      </c>
      <c r="I191" s="9">
        <v>1018900</v>
      </c>
      <c r="J191" s="10">
        <v>0.0389</v>
      </c>
    </row>
    <row r="192" spans="1:10">
      <c r="A192" s="7" t="s">
        <v>411</v>
      </c>
      <c r="B192" s="7" t="s">
        <v>424</v>
      </c>
      <c r="C192" s="8">
        <f>QS.CONTEXT.CREATE("market.190",A192,"USD","SOFR")</f>
        <v/>
      </c>
      <c r="D192" s="8">
        <f>QS.CONTEXT.ADD.CURVE(C192,"SOFR",$K$2:$K$7,$L$2:$L$7,,,"Actual360","LogLinear",TRUE)</f>
        <v/>
      </c>
      <c r="E192" s="8">
        <f>QS.INSTRUMENT.SWAP("swap.190",C192,H192,B192,"USD","SOFR",I192,J192,0,"Actual360","Simple","Annual","Annual","Annual")</f>
        <v/>
      </c>
      <c r="F192" s="8">
        <f>QS.TRADE.CREATE("trade.190",C192,E192,A192,"Receive")</f>
        <v/>
      </c>
      <c r="G192" s="5"/>
      <c r="H192" s="7" t="s">
        <v>425</v>
      </c>
      <c r="I192" s="9">
        <v>1019000</v>
      </c>
      <c r="J192" s="10">
        <v>0.03900000000000001</v>
      </c>
    </row>
    <row r="193" spans="1:10">
      <c r="A193" s="7" t="s">
        <v>413</v>
      </c>
      <c r="B193" s="7" t="s">
        <v>426</v>
      </c>
      <c r="C193" s="8">
        <f>QS.CONTEXT.CREATE("market.191",A193,"USD","SOFR")</f>
        <v/>
      </c>
      <c r="D193" s="8">
        <f>QS.CONTEXT.ADD.CURVE(C193,"SOFR",$K$2:$K$7,$L$2:$L$7,,,"Actual360","LogLinear",TRUE)</f>
        <v/>
      </c>
      <c r="E193" s="8">
        <f>QS.INSTRUMENT.SWAP("swap.191",C193,H193,B193,"USD","SOFR",I193,J193,0,"Actual360","Simple","Annual","Annual","Annual")</f>
        <v/>
      </c>
      <c r="F193" s="8">
        <f>QS.TRADE.CREATE("trade.191",C193,E193,A193,"Receive")</f>
        <v/>
      </c>
      <c r="G193" s="5"/>
      <c r="H193" s="7" t="s">
        <v>427</v>
      </c>
      <c r="I193" s="9">
        <v>1019100</v>
      </c>
      <c r="J193" s="10">
        <v>0.0391</v>
      </c>
    </row>
    <row r="194" spans="1:10">
      <c r="A194" s="7" t="s">
        <v>415</v>
      </c>
      <c r="B194" s="7" t="s">
        <v>428</v>
      </c>
      <c r="C194" s="8">
        <f>QS.CONTEXT.CREATE("market.192",A194,"USD","SOFR")</f>
        <v/>
      </c>
      <c r="D194" s="8">
        <f>QS.CONTEXT.ADD.CURVE(C194,"SOFR",$K$2:$K$7,$L$2:$L$7,,,"Actual360","LogLinear",TRUE)</f>
        <v/>
      </c>
      <c r="E194" s="8">
        <f>QS.INSTRUMENT.SWAP("swap.192",C194,H194,B194,"USD","SOFR",I194,J194,0,"Actual360","Simple","Annual","Annual","Annual")</f>
        <v/>
      </c>
      <c r="F194" s="8">
        <f>QS.TRADE.CREATE("trade.192",C194,E194,A194,"Receive")</f>
        <v/>
      </c>
      <c r="G194" s="5"/>
      <c r="H194" s="7" t="s">
        <v>429</v>
      </c>
      <c r="I194" s="9">
        <v>1019200</v>
      </c>
      <c r="J194" s="10">
        <v>0.03920000000000001</v>
      </c>
    </row>
    <row r="195" spans="1:10">
      <c r="A195" s="7" t="s">
        <v>417</v>
      </c>
      <c r="B195" s="7" t="s">
        <v>430</v>
      </c>
      <c r="C195" s="8">
        <f>QS.CONTEXT.CREATE("market.193",A195,"USD","SOFR")</f>
        <v/>
      </c>
      <c r="D195" s="8">
        <f>QS.CONTEXT.ADD.CURVE(C195,"SOFR",$K$2:$K$7,$L$2:$L$7,,,"Actual360","LogLinear",TRUE)</f>
        <v/>
      </c>
      <c r="E195" s="8">
        <f>QS.INSTRUMENT.SWAP("swap.193",C195,H195,B195,"USD","SOFR",I195,J195,0,"Actual360","Simple","Annual","Annual","Annual")</f>
        <v/>
      </c>
      <c r="F195" s="8">
        <f>QS.TRADE.CREATE("trade.193",C195,E195,A195,"Receive")</f>
        <v/>
      </c>
      <c r="G195" s="5"/>
      <c r="H195" s="7" t="s">
        <v>431</v>
      </c>
      <c r="I195" s="9">
        <v>1019300</v>
      </c>
      <c r="J195" s="10">
        <v>0.0393</v>
      </c>
    </row>
    <row r="196" spans="1:10">
      <c r="A196" s="7" t="s">
        <v>419</v>
      </c>
      <c r="B196" s="7" t="s">
        <v>432</v>
      </c>
      <c r="C196" s="8">
        <f>QS.CONTEXT.CREATE("market.194",A196,"USD","SOFR")</f>
        <v/>
      </c>
      <c r="D196" s="8">
        <f>QS.CONTEXT.ADD.CURVE(C196,"SOFR",$K$2:$K$7,$L$2:$L$7,,,"Actual360","LogLinear",TRUE)</f>
        <v/>
      </c>
      <c r="E196" s="8">
        <f>QS.INSTRUMENT.SWAP("swap.194",C196,H196,B196,"USD","SOFR",I196,J196,0,"Actual360","Simple","Annual","Annual","Annual")</f>
        <v/>
      </c>
      <c r="F196" s="8">
        <f>QS.TRADE.CREATE("trade.194",C196,E196,A196,"Receive")</f>
        <v/>
      </c>
      <c r="G196" s="5"/>
      <c r="H196" s="7" t="s">
        <v>433</v>
      </c>
      <c r="I196" s="9">
        <v>1019400</v>
      </c>
      <c r="J196" s="10">
        <v>0.0394</v>
      </c>
    </row>
    <row r="197" spans="1:10">
      <c r="A197" s="7" t="s">
        <v>421</v>
      </c>
      <c r="B197" s="7" t="s">
        <v>434</v>
      </c>
      <c r="C197" s="8">
        <f>QS.CONTEXT.CREATE("market.195",A197,"USD","SOFR")</f>
        <v/>
      </c>
      <c r="D197" s="8">
        <f>QS.CONTEXT.ADD.CURVE(C197,"SOFR",$K$2:$K$7,$L$2:$L$7,,,"Actual360","LogLinear",TRUE)</f>
        <v/>
      </c>
      <c r="E197" s="8">
        <f>QS.INSTRUMENT.SWAP("swap.195",C197,H197,B197,"USD","SOFR",I197,J197,0,"Actual360","Simple","Annual","Annual","Annual")</f>
        <v/>
      </c>
      <c r="F197" s="8">
        <f>QS.TRADE.CREATE("trade.195",C197,E197,A197,"Receive")</f>
        <v/>
      </c>
      <c r="G197" s="5"/>
      <c r="H197" s="7" t="s">
        <v>435</v>
      </c>
      <c r="I197" s="9">
        <v>1019500</v>
      </c>
      <c r="J197" s="10">
        <v>0.03950000000000001</v>
      </c>
    </row>
    <row r="198" spans="1:10">
      <c r="A198" s="7" t="s">
        <v>423</v>
      </c>
      <c r="B198" s="7" t="s">
        <v>436</v>
      </c>
      <c r="C198" s="8">
        <f>QS.CONTEXT.CREATE("market.196",A198,"USD","SOFR")</f>
        <v/>
      </c>
      <c r="D198" s="8">
        <f>QS.CONTEXT.ADD.CURVE(C198,"SOFR",$K$2:$K$7,$L$2:$L$7,,,"Actual360","LogLinear",TRUE)</f>
        <v/>
      </c>
      <c r="E198" s="8">
        <f>QS.INSTRUMENT.SWAP("swap.196",C198,H198,B198,"USD","SOFR",I198,J198,0,"Actual360","Simple","Annual","Annual","Annual")</f>
        <v/>
      </c>
      <c r="F198" s="8">
        <f>QS.TRADE.CREATE("trade.196",C198,E198,A198,"Receive")</f>
        <v/>
      </c>
      <c r="G198" s="5"/>
      <c r="H198" s="7" t="s">
        <v>437</v>
      </c>
      <c r="I198" s="9">
        <v>1019600</v>
      </c>
      <c r="J198" s="10">
        <v>0.0396</v>
      </c>
    </row>
    <row r="199" spans="1:10">
      <c r="A199" s="7" t="s">
        <v>425</v>
      </c>
      <c r="B199" s="7" t="s">
        <v>438</v>
      </c>
      <c r="C199" s="8">
        <f>QS.CONTEXT.CREATE("market.197",A199,"USD","SOFR")</f>
        <v/>
      </c>
      <c r="D199" s="8">
        <f>QS.CONTEXT.ADD.CURVE(C199,"SOFR",$K$2:$K$7,$L$2:$L$7,,,"Actual360","LogLinear",TRUE)</f>
        <v/>
      </c>
      <c r="E199" s="8">
        <f>QS.INSTRUMENT.SWAP("swap.197",C199,H199,B199,"USD","SOFR",I199,J199,0,"Actual360","Simple","Annual","Annual","Annual")</f>
        <v/>
      </c>
      <c r="F199" s="8">
        <f>QS.TRADE.CREATE("trade.197",C199,E199,A199,"Receive")</f>
        <v/>
      </c>
      <c r="G199" s="5"/>
      <c r="H199" s="7" t="s">
        <v>439</v>
      </c>
      <c r="I199" s="9">
        <v>1019700</v>
      </c>
      <c r="J199" s="10">
        <v>0.03970000000000001</v>
      </c>
    </row>
    <row r="200" spans="1:10">
      <c r="A200" s="7" t="s">
        <v>427</v>
      </c>
      <c r="B200" s="7" t="s">
        <v>440</v>
      </c>
      <c r="C200" s="8">
        <f>QS.CONTEXT.CREATE("market.198",A200,"USD","SOFR")</f>
        <v/>
      </c>
      <c r="D200" s="8">
        <f>QS.CONTEXT.ADD.CURVE(C200,"SOFR",$K$2:$K$7,$L$2:$L$7,,,"Actual360","LogLinear",TRUE)</f>
        <v/>
      </c>
      <c r="E200" s="8">
        <f>QS.INSTRUMENT.SWAP("swap.198",C200,H200,B200,"USD","SOFR",I200,J200,0,"Actual360","Simple","Annual","Annual","Annual")</f>
        <v/>
      </c>
      <c r="F200" s="8">
        <f>QS.TRADE.CREATE("trade.198",C200,E200,A200,"Receive")</f>
        <v/>
      </c>
      <c r="G200" s="5"/>
      <c r="H200" s="7" t="s">
        <v>441</v>
      </c>
      <c r="I200" s="9">
        <v>1019800</v>
      </c>
      <c r="J200" s="10">
        <v>0.0398</v>
      </c>
    </row>
    <row r="201" spans="1:10">
      <c r="A201" s="7" t="s">
        <v>429</v>
      </c>
      <c r="B201" s="7" t="s">
        <v>442</v>
      </c>
      <c r="C201" s="8">
        <f>QS.CONTEXT.CREATE("market.199",A201,"USD","SOFR")</f>
        <v/>
      </c>
      <c r="D201" s="8">
        <f>QS.CONTEXT.ADD.CURVE(C201,"SOFR",$K$2:$K$7,$L$2:$L$7,,,"Actual360","LogLinear",TRUE)</f>
        <v/>
      </c>
      <c r="E201" s="8">
        <f>QS.INSTRUMENT.SWAP("swap.199",C201,H201,B201,"USD","SOFR",I201,J201,0,"Actual360","Simple","Annual","Annual","Annual")</f>
        <v/>
      </c>
      <c r="F201" s="8">
        <f>QS.TRADE.CREATE("trade.199",C201,E201,A201,"Receive")</f>
        <v/>
      </c>
      <c r="G201" s="5"/>
      <c r="H201" s="7" t="s">
        <v>443</v>
      </c>
      <c r="I201" s="9">
        <v>1019900</v>
      </c>
      <c r="J201" s="10">
        <v>0.0399</v>
      </c>
    </row>
    <row r="202" spans="1:10">
      <c r="A202" s="7" t="s">
        <v>431</v>
      </c>
      <c r="B202" s="7" t="s">
        <v>444</v>
      </c>
      <c r="C202" s="8">
        <f>QS.CONTEXT.CREATE("market.200",A202,"USD","SOFR")</f>
        <v/>
      </c>
      <c r="D202" s="8">
        <f>QS.CONTEXT.ADD.CURVE(C202,"SOFR",$K$2:$K$7,$L$2:$L$7,,,"Actual360","LogLinear",TRUE)</f>
        <v/>
      </c>
      <c r="E202" s="8">
        <f>QS.INSTRUMENT.SWAP("swap.200",C202,H202,B202,"USD","SOFR",I202,J202,0,"Actual360","Simple","Annual","Annual","Annual")</f>
        <v/>
      </c>
      <c r="F202" s="8">
        <f>QS.TRADE.CREATE("trade.200",C202,E202,A202,"Receive")</f>
        <v/>
      </c>
      <c r="G202" s="5"/>
      <c r="H202" s="7" t="s">
        <v>445</v>
      </c>
      <c r="I202" s="9">
        <v>1020000</v>
      </c>
      <c r="J202" s="10">
        <v>0.035</v>
      </c>
    </row>
    <row r="203" spans="1:10">
      <c r="A203" s="7" t="s">
        <v>433</v>
      </c>
      <c r="B203" s="7" t="s">
        <v>446</v>
      </c>
      <c r="C203" s="8">
        <f>QS.CONTEXT.CREATE("market.201",A203,"USD","SOFR")</f>
        <v/>
      </c>
      <c r="D203" s="8">
        <f>QS.CONTEXT.ADD.CURVE(C203,"SOFR",$K$2:$K$7,$L$2:$L$7,,,"Actual360","LogLinear",TRUE)</f>
        <v/>
      </c>
      <c r="E203" s="8">
        <f>QS.INSTRUMENT.SWAP("swap.201",C203,H203,B203,"USD","SOFR",I203,J203,0,"Actual360","Simple","Annual","Annual","Annual")</f>
        <v/>
      </c>
      <c r="F203" s="8">
        <f>QS.TRADE.CREATE("trade.201",C203,E203,A203,"Receive")</f>
        <v/>
      </c>
      <c r="G203" s="5"/>
      <c r="H203" s="7" t="s">
        <v>447</v>
      </c>
      <c r="I203" s="9">
        <v>1020100</v>
      </c>
      <c r="J203" s="10">
        <v>0.03510000000000001</v>
      </c>
    </row>
    <row r="204" spans="1:10">
      <c r="A204" s="7" t="s">
        <v>435</v>
      </c>
      <c r="B204" s="7" t="s">
        <v>448</v>
      </c>
      <c r="C204" s="8">
        <f>QS.CONTEXT.CREATE("market.202",A204,"USD","SOFR")</f>
        <v/>
      </c>
      <c r="D204" s="8">
        <f>QS.CONTEXT.ADD.CURVE(C204,"SOFR",$K$2:$K$7,$L$2:$L$7,,,"Actual360","LogLinear",TRUE)</f>
        <v/>
      </c>
      <c r="E204" s="8">
        <f>QS.INSTRUMENT.SWAP("swap.202",C204,H204,B204,"USD","SOFR",I204,J204,0,"Actual360","Simple","Annual","Annual","Annual")</f>
        <v/>
      </c>
      <c r="F204" s="8">
        <f>QS.TRADE.CREATE("trade.202",C204,E204,A204,"Receive")</f>
        <v/>
      </c>
      <c r="G204" s="5"/>
      <c r="H204" s="7" t="s">
        <v>449</v>
      </c>
      <c r="I204" s="9">
        <v>1020200</v>
      </c>
      <c r="J204" s="10">
        <v>0.0352</v>
      </c>
    </row>
    <row r="205" spans="1:10">
      <c r="A205" s="7" t="s">
        <v>437</v>
      </c>
      <c r="B205" s="7" t="s">
        <v>450</v>
      </c>
      <c r="C205" s="8">
        <f>QS.CONTEXT.CREATE("market.203",A205,"USD","SOFR")</f>
        <v/>
      </c>
      <c r="D205" s="8">
        <f>QS.CONTEXT.ADD.CURVE(C205,"SOFR",$K$2:$K$7,$L$2:$L$7,,,"Actual360","LogLinear",TRUE)</f>
        <v/>
      </c>
      <c r="E205" s="8">
        <f>QS.INSTRUMENT.SWAP("swap.203",C205,H205,B205,"USD","SOFR",I205,J205,0,"Actual360","Simple","Annual","Annual","Annual")</f>
        <v/>
      </c>
      <c r="F205" s="8">
        <f>QS.TRADE.CREATE("trade.203",C205,E205,A205,"Receive")</f>
        <v/>
      </c>
      <c r="G205" s="5"/>
      <c r="H205" s="7" t="s">
        <v>451</v>
      </c>
      <c r="I205" s="9">
        <v>1020300</v>
      </c>
      <c r="J205" s="10">
        <v>0.0353</v>
      </c>
    </row>
    <row r="206" spans="1:10">
      <c r="A206" s="7" t="s">
        <v>439</v>
      </c>
      <c r="B206" s="7" t="s">
        <v>452</v>
      </c>
      <c r="C206" s="8">
        <f>QS.CONTEXT.CREATE("market.204",A206,"USD","SOFR")</f>
        <v/>
      </c>
      <c r="D206" s="8">
        <f>QS.CONTEXT.ADD.CURVE(C206,"SOFR",$K$2:$K$7,$L$2:$L$7,,,"Actual360","LogLinear",TRUE)</f>
        <v/>
      </c>
      <c r="E206" s="8">
        <f>QS.INSTRUMENT.SWAP("swap.204",C206,H206,B206,"USD","SOFR",I206,J206,0,"Actual360","Simple","Annual","Annual","Annual")</f>
        <v/>
      </c>
      <c r="F206" s="8">
        <f>QS.TRADE.CREATE("trade.204",C206,E206,A206,"Receive")</f>
        <v/>
      </c>
      <c r="G206" s="5"/>
      <c r="H206" s="7" t="s">
        <v>453</v>
      </c>
      <c r="I206" s="9">
        <v>1020400</v>
      </c>
      <c r="J206" s="10">
        <v>0.0354</v>
      </c>
    </row>
    <row r="207" spans="1:10">
      <c r="A207" s="7" t="s">
        <v>441</v>
      </c>
      <c r="B207" s="7" t="s">
        <v>454</v>
      </c>
      <c r="C207" s="8">
        <f>QS.CONTEXT.CREATE("market.205",A207,"USD","SOFR")</f>
        <v/>
      </c>
      <c r="D207" s="8">
        <f>QS.CONTEXT.ADD.CURVE(C207,"SOFR",$K$2:$K$7,$L$2:$L$7,,,"Actual360","LogLinear",TRUE)</f>
        <v/>
      </c>
      <c r="E207" s="8">
        <f>QS.INSTRUMENT.SWAP("swap.205",C207,H207,B207,"USD","SOFR",I207,J207,0,"Actual360","Simple","Annual","Annual","Annual")</f>
        <v/>
      </c>
      <c r="F207" s="8">
        <f>QS.TRADE.CREATE("trade.205",C207,E207,A207,"Receive")</f>
        <v/>
      </c>
      <c r="G207" s="5"/>
      <c r="H207" s="7" t="s">
        <v>455</v>
      </c>
      <c r="I207" s="9">
        <v>1020500</v>
      </c>
      <c r="J207" s="10">
        <v>0.0355</v>
      </c>
    </row>
    <row r="208" spans="1:10">
      <c r="A208" s="7" t="s">
        <v>443</v>
      </c>
      <c r="B208" s="7" t="s">
        <v>456</v>
      </c>
      <c r="C208" s="8">
        <f>QS.CONTEXT.CREATE("market.206",A208,"USD","SOFR")</f>
        <v/>
      </c>
      <c r="D208" s="8">
        <f>QS.CONTEXT.ADD.CURVE(C208,"SOFR",$K$2:$K$7,$L$2:$L$7,,,"Actual360","LogLinear",TRUE)</f>
        <v/>
      </c>
      <c r="E208" s="8">
        <f>QS.INSTRUMENT.SWAP("swap.206",C208,H208,B208,"USD","SOFR",I208,J208,0,"Actual360","Simple","Annual","Annual","Annual")</f>
        <v/>
      </c>
      <c r="F208" s="8">
        <f>QS.TRADE.CREATE("trade.206",C208,E208,A208,"Receive")</f>
        <v/>
      </c>
      <c r="G208" s="5"/>
      <c r="H208" s="7" t="s">
        <v>457</v>
      </c>
      <c r="I208" s="9">
        <v>1020600</v>
      </c>
      <c r="J208" s="10">
        <v>0.03560000000000001</v>
      </c>
    </row>
    <row r="209" spans="1:10">
      <c r="A209" s="7" t="s">
        <v>445</v>
      </c>
      <c r="B209" s="7" t="s">
        <v>458</v>
      </c>
      <c r="C209" s="8">
        <f>QS.CONTEXT.CREATE("market.207",A209,"USD","SOFR")</f>
        <v/>
      </c>
      <c r="D209" s="8">
        <f>QS.CONTEXT.ADD.CURVE(C209,"SOFR",$K$2:$K$7,$L$2:$L$7,,,"Actual360","LogLinear",TRUE)</f>
        <v/>
      </c>
      <c r="E209" s="8">
        <f>QS.INSTRUMENT.SWAP("swap.207",C209,H209,B209,"USD","SOFR",I209,J209,0,"Actual360","Simple","Annual","Annual","Annual")</f>
        <v/>
      </c>
      <c r="F209" s="8">
        <f>QS.TRADE.CREATE("trade.207",C209,E209,A209,"Receive")</f>
        <v/>
      </c>
      <c r="G209" s="5"/>
      <c r="H209" s="7" t="s">
        <v>459</v>
      </c>
      <c r="I209" s="9">
        <v>1020700</v>
      </c>
      <c r="J209" s="10">
        <v>0.0357</v>
      </c>
    </row>
    <row r="210" spans="1:10">
      <c r="A210" s="7" t="s">
        <v>447</v>
      </c>
      <c r="B210" s="7" t="s">
        <v>460</v>
      </c>
      <c r="C210" s="8">
        <f>QS.CONTEXT.CREATE("market.208",A210,"USD","SOFR")</f>
        <v/>
      </c>
      <c r="D210" s="8">
        <f>QS.CONTEXT.ADD.CURVE(C210,"SOFR",$K$2:$K$7,$L$2:$L$7,,,"Actual360","LogLinear",TRUE)</f>
        <v/>
      </c>
      <c r="E210" s="8">
        <f>QS.INSTRUMENT.SWAP("swap.208",C210,H210,B210,"USD","SOFR",I210,J210,0,"Actual360","Simple","Annual","Annual","Annual")</f>
        <v/>
      </c>
      <c r="F210" s="8">
        <f>QS.TRADE.CREATE("trade.208",C210,E210,A210,"Receive")</f>
        <v/>
      </c>
      <c r="G210" s="5"/>
      <c r="H210" s="7" t="s">
        <v>461</v>
      </c>
      <c r="I210" s="9">
        <v>1020800</v>
      </c>
      <c r="J210" s="10">
        <v>0.03580000000000001</v>
      </c>
    </row>
    <row r="211" spans="1:10">
      <c r="A211" s="7" t="s">
        <v>449</v>
      </c>
      <c r="B211" s="7" t="s">
        <v>462</v>
      </c>
      <c r="C211" s="8">
        <f>QS.CONTEXT.CREATE("market.209",A211,"USD","SOFR")</f>
        <v/>
      </c>
      <c r="D211" s="8">
        <f>QS.CONTEXT.ADD.CURVE(C211,"SOFR",$K$2:$K$7,$L$2:$L$7,,,"Actual360","LogLinear",TRUE)</f>
        <v/>
      </c>
      <c r="E211" s="8">
        <f>QS.INSTRUMENT.SWAP("swap.209",C211,H211,B211,"USD","SOFR",I211,J211,0,"Actual360","Simple","Annual","Annual","Annual")</f>
        <v/>
      </c>
      <c r="F211" s="8">
        <f>QS.TRADE.CREATE("trade.209",C211,E211,A211,"Receive")</f>
        <v/>
      </c>
      <c r="G211" s="5"/>
      <c r="H211" s="7" t="s">
        <v>463</v>
      </c>
      <c r="I211" s="9">
        <v>1020900</v>
      </c>
      <c r="J211" s="10">
        <v>0.0359</v>
      </c>
    </row>
    <row r="212" spans="1:10">
      <c r="A212" s="7" t="s">
        <v>451</v>
      </c>
      <c r="B212" s="7" t="s">
        <v>464</v>
      </c>
      <c r="C212" s="8">
        <f>QS.CONTEXT.CREATE("market.210",A212,"USD","SOFR")</f>
        <v/>
      </c>
      <c r="D212" s="8">
        <f>QS.CONTEXT.ADD.CURVE(C212,"SOFR",$K$2:$K$7,$L$2:$L$7,,,"Actual360","LogLinear",TRUE)</f>
        <v/>
      </c>
      <c r="E212" s="8">
        <f>QS.INSTRUMENT.SWAP("swap.210",C212,H212,B212,"USD","SOFR",I212,J212,0,"Actual360","Simple","Annual","Annual","Annual")</f>
        <v/>
      </c>
      <c r="F212" s="8">
        <f>QS.TRADE.CREATE("trade.210",C212,E212,A212,"Receive")</f>
        <v/>
      </c>
      <c r="G212" s="5"/>
      <c r="H212" s="7" t="s">
        <v>465</v>
      </c>
      <c r="I212" s="9">
        <v>1021000</v>
      </c>
      <c r="J212" s="10">
        <v>0.036</v>
      </c>
    </row>
    <row r="213" spans="1:10">
      <c r="A213" s="7" t="s">
        <v>453</v>
      </c>
      <c r="B213" s="7" t="s">
        <v>466</v>
      </c>
      <c r="C213" s="8">
        <f>QS.CONTEXT.CREATE("market.211",A213,"USD","SOFR")</f>
        <v/>
      </c>
      <c r="D213" s="8">
        <f>QS.CONTEXT.ADD.CURVE(C213,"SOFR",$K$2:$K$7,$L$2:$L$7,,,"Actual360","LogLinear",TRUE)</f>
        <v/>
      </c>
      <c r="E213" s="8">
        <f>QS.INSTRUMENT.SWAP("swap.211",C213,H213,B213,"USD","SOFR",I213,J213,0,"Actual360","Simple","Annual","Annual","Annual")</f>
        <v/>
      </c>
      <c r="F213" s="8">
        <f>QS.TRADE.CREATE("trade.211",C213,E213,A213,"Receive")</f>
        <v/>
      </c>
      <c r="G213" s="5"/>
      <c r="H213" s="7" t="s">
        <v>467</v>
      </c>
      <c r="I213" s="9">
        <v>1021100</v>
      </c>
      <c r="J213" s="10">
        <v>0.0361</v>
      </c>
    </row>
    <row r="214" spans="1:10">
      <c r="A214" s="7" t="s">
        <v>455</v>
      </c>
      <c r="B214" s="7" t="s">
        <v>468</v>
      </c>
      <c r="C214" s="8">
        <f>QS.CONTEXT.CREATE("market.212",A214,"USD","SOFR")</f>
        <v/>
      </c>
      <c r="D214" s="8">
        <f>QS.CONTEXT.ADD.CURVE(C214,"SOFR",$K$2:$K$7,$L$2:$L$7,,,"Actual360","LogLinear",TRUE)</f>
        <v/>
      </c>
      <c r="E214" s="8">
        <f>QS.INSTRUMENT.SWAP("swap.212",C214,H214,B214,"USD","SOFR",I214,J214,0,"Actual360","Simple","Annual","Annual","Annual")</f>
        <v/>
      </c>
      <c r="F214" s="8">
        <f>QS.TRADE.CREATE("trade.212",C214,E214,A214,"Receive")</f>
        <v/>
      </c>
      <c r="G214" s="5"/>
      <c r="H214" s="7" t="s">
        <v>469</v>
      </c>
      <c r="I214" s="9">
        <v>1021200</v>
      </c>
      <c r="J214" s="10">
        <v>0.0362</v>
      </c>
    </row>
    <row r="215" spans="1:10">
      <c r="A215" s="7" t="s">
        <v>457</v>
      </c>
      <c r="B215" s="7" t="s">
        <v>470</v>
      </c>
      <c r="C215" s="8">
        <f>QS.CONTEXT.CREATE("market.213",A215,"USD","SOFR")</f>
        <v/>
      </c>
      <c r="D215" s="8">
        <f>QS.CONTEXT.ADD.CURVE(C215,"SOFR",$K$2:$K$7,$L$2:$L$7,,,"Actual360","LogLinear",TRUE)</f>
        <v/>
      </c>
      <c r="E215" s="8">
        <f>QS.INSTRUMENT.SWAP("swap.213",C215,H215,B215,"USD","SOFR",I215,J215,0,"Actual360","Simple","Annual","Annual","Annual")</f>
        <v/>
      </c>
      <c r="F215" s="8">
        <f>QS.TRADE.CREATE("trade.213",C215,E215,A215,"Receive")</f>
        <v/>
      </c>
      <c r="G215" s="5"/>
      <c r="H215" s="7" t="s">
        <v>471</v>
      </c>
      <c r="I215" s="9">
        <v>1021300</v>
      </c>
      <c r="J215" s="10">
        <v>0.03630000000000001</v>
      </c>
    </row>
    <row r="216" spans="1:10">
      <c r="A216" s="7" t="s">
        <v>459</v>
      </c>
      <c r="B216" s="7" t="s">
        <v>472</v>
      </c>
      <c r="C216" s="8">
        <f>QS.CONTEXT.CREATE("market.214",A216,"USD","SOFR")</f>
        <v/>
      </c>
      <c r="D216" s="8">
        <f>QS.CONTEXT.ADD.CURVE(C216,"SOFR",$K$2:$K$7,$L$2:$L$7,,,"Actual360","LogLinear",TRUE)</f>
        <v/>
      </c>
      <c r="E216" s="8">
        <f>QS.INSTRUMENT.SWAP("swap.214",C216,H216,B216,"USD","SOFR",I216,J216,0,"Actual360","Simple","Annual","Annual","Annual")</f>
        <v/>
      </c>
      <c r="F216" s="8">
        <f>QS.TRADE.CREATE("trade.214",C216,E216,A216,"Receive")</f>
        <v/>
      </c>
      <c r="G216" s="5"/>
      <c r="H216" s="7" t="s">
        <v>473</v>
      </c>
      <c r="I216" s="9">
        <v>1021400</v>
      </c>
      <c r="J216" s="10">
        <v>0.0364</v>
      </c>
    </row>
    <row r="217" spans="1:10">
      <c r="A217" s="7" t="s">
        <v>461</v>
      </c>
      <c r="B217" s="7" t="s">
        <v>474</v>
      </c>
      <c r="C217" s="8">
        <f>QS.CONTEXT.CREATE("market.215",A217,"USD","SOFR")</f>
        <v/>
      </c>
      <c r="D217" s="8">
        <f>QS.CONTEXT.ADD.CURVE(C217,"SOFR",$K$2:$K$7,$L$2:$L$7,,,"Actual360","LogLinear",TRUE)</f>
        <v/>
      </c>
      <c r="E217" s="8">
        <f>QS.INSTRUMENT.SWAP("swap.215",C217,H217,B217,"USD","SOFR",I217,J217,0,"Actual360","Simple","Annual","Annual","Annual")</f>
        <v/>
      </c>
      <c r="F217" s="8">
        <f>QS.TRADE.CREATE("trade.215",C217,E217,A217,"Receive")</f>
        <v/>
      </c>
      <c r="G217" s="5"/>
      <c r="H217" s="7" t="s">
        <v>475</v>
      </c>
      <c r="I217" s="9">
        <v>1021500</v>
      </c>
      <c r="J217" s="10">
        <v>0.0365</v>
      </c>
    </row>
    <row r="218" spans="1:10">
      <c r="A218" s="7" t="s">
        <v>463</v>
      </c>
      <c r="B218" s="7" t="s">
        <v>476</v>
      </c>
      <c r="C218" s="8">
        <f>QS.CONTEXT.CREATE("market.216",A218,"USD","SOFR")</f>
        <v/>
      </c>
      <c r="D218" s="8">
        <f>QS.CONTEXT.ADD.CURVE(C218,"SOFR",$K$2:$K$7,$L$2:$L$7,,,"Actual360","LogLinear",TRUE)</f>
        <v/>
      </c>
      <c r="E218" s="8">
        <f>QS.INSTRUMENT.SWAP("swap.216",C218,H218,B218,"USD","SOFR",I218,J218,0,"Actual360","Simple","Annual","Annual","Annual")</f>
        <v/>
      </c>
      <c r="F218" s="8">
        <f>QS.TRADE.CREATE("trade.216",C218,E218,A218,"Receive")</f>
        <v/>
      </c>
      <c r="G218" s="5"/>
      <c r="H218" s="7" t="s">
        <v>477</v>
      </c>
      <c r="I218" s="9">
        <v>1021600</v>
      </c>
      <c r="J218" s="10">
        <v>0.0366</v>
      </c>
    </row>
    <row r="219" spans="1:10">
      <c r="A219" s="7" t="s">
        <v>465</v>
      </c>
      <c r="B219" s="7" t="s">
        <v>478</v>
      </c>
      <c r="C219" s="8">
        <f>QS.CONTEXT.CREATE("market.217",A219,"USD","SOFR")</f>
        <v/>
      </c>
      <c r="D219" s="8">
        <f>QS.CONTEXT.ADD.CURVE(C219,"SOFR",$K$2:$K$7,$L$2:$L$7,,,"Actual360","LogLinear",TRUE)</f>
        <v/>
      </c>
      <c r="E219" s="8">
        <f>QS.INSTRUMENT.SWAP("swap.217",C219,H219,B219,"USD","SOFR",I219,J219,0,"Actual360","Simple","Annual","Annual","Annual")</f>
        <v/>
      </c>
      <c r="F219" s="8">
        <f>QS.TRADE.CREATE("trade.217",C219,E219,A219,"Receive")</f>
        <v/>
      </c>
      <c r="G219" s="5"/>
      <c r="H219" s="7" t="s">
        <v>479</v>
      </c>
      <c r="I219" s="9">
        <v>1021700</v>
      </c>
      <c r="J219" s="10">
        <v>0.0367</v>
      </c>
    </row>
    <row r="220" spans="1:10">
      <c r="A220" s="7" t="s">
        <v>467</v>
      </c>
      <c r="B220" s="7" t="s">
        <v>480</v>
      </c>
      <c r="C220" s="8">
        <f>QS.CONTEXT.CREATE("market.218",A220,"USD","SOFR")</f>
        <v/>
      </c>
      <c r="D220" s="8">
        <f>QS.CONTEXT.ADD.CURVE(C220,"SOFR",$K$2:$K$7,$L$2:$L$7,,,"Actual360","LogLinear",TRUE)</f>
        <v/>
      </c>
      <c r="E220" s="8">
        <f>QS.INSTRUMENT.SWAP("swap.218",C220,H220,B220,"USD","SOFR",I220,J220,0,"Actual360","Simple","Annual","Annual","Annual")</f>
        <v/>
      </c>
      <c r="F220" s="8">
        <f>QS.TRADE.CREATE("trade.218",C220,E220,A220,"Receive")</f>
        <v/>
      </c>
      <c r="G220" s="5"/>
      <c r="H220" s="7" t="s">
        <v>481</v>
      </c>
      <c r="I220" s="9">
        <v>1021800</v>
      </c>
      <c r="J220" s="10">
        <v>0.03680000000000001</v>
      </c>
    </row>
    <row r="221" spans="1:10">
      <c r="A221" s="7" t="s">
        <v>469</v>
      </c>
      <c r="B221" s="7" t="s">
        <v>482</v>
      </c>
      <c r="C221" s="8">
        <f>QS.CONTEXT.CREATE("market.219",A221,"USD","SOFR")</f>
        <v/>
      </c>
      <c r="D221" s="8">
        <f>QS.CONTEXT.ADD.CURVE(C221,"SOFR",$K$2:$K$7,$L$2:$L$7,,,"Actual360","LogLinear",TRUE)</f>
        <v/>
      </c>
      <c r="E221" s="8">
        <f>QS.INSTRUMENT.SWAP("swap.219",C221,H221,B221,"USD","SOFR",I221,J221,0,"Actual360","Simple","Annual","Annual","Annual")</f>
        <v/>
      </c>
      <c r="F221" s="8">
        <f>QS.TRADE.CREATE("trade.219",C221,E221,A221,"Receive")</f>
        <v/>
      </c>
      <c r="G221" s="5"/>
      <c r="H221" s="7" t="s">
        <v>483</v>
      </c>
      <c r="I221" s="9">
        <v>1021900</v>
      </c>
      <c r="J221" s="10">
        <v>0.0369</v>
      </c>
    </row>
    <row r="222" spans="1:10">
      <c r="A222" s="7" t="s">
        <v>471</v>
      </c>
      <c r="B222" s="7" t="s">
        <v>484</v>
      </c>
      <c r="C222" s="8">
        <f>QS.CONTEXT.CREATE("market.220",A222,"USD","SOFR")</f>
        <v/>
      </c>
      <c r="D222" s="8">
        <f>QS.CONTEXT.ADD.CURVE(C222,"SOFR",$K$2:$K$7,$L$2:$L$7,,,"Actual360","LogLinear",TRUE)</f>
        <v/>
      </c>
      <c r="E222" s="8">
        <f>QS.INSTRUMENT.SWAP("swap.220",C222,H222,B222,"USD","SOFR",I222,J222,0,"Actual360","Simple","Annual","Annual","Annual")</f>
        <v/>
      </c>
      <c r="F222" s="8">
        <f>QS.TRADE.CREATE("trade.220",C222,E222,A222,"Receive")</f>
        <v/>
      </c>
      <c r="G222" s="5"/>
      <c r="H222" s="7" t="s">
        <v>485</v>
      </c>
      <c r="I222" s="9">
        <v>1022000</v>
      </c>
      <c r="J222" s="10">
        <v>0.03700000000000001</v>
      </c>
    </row>
    <row r="223" spans="1:10">
      <c r="A223" s="7" t="s">
        <v>473</v>
      </c>
      <c r="B223" s="7" t="s">
        <v>486</v>
      </c>
      <c r="C223" s="8">
        <f>QS.CONTEXT.CREATE("market.221",A223,"USD","SOFR")</f>
        <v/>
      </c>
      <c r="D223" s="8">
        <f>QS.CONTEXT.ADD.CURVE(C223,"SOFR",$K$2:$K$7,$L$2:$L$7,,,"Actual360","LogLinear",TRUE)</f>
        <v/>
      </c>
      <c r="E223" s="8">
        <f>QS.INSTRUMENT.SWAP("swap.221",C223,H223,B223,"USD","SOFR",I223,J223,0,"Actual360","Simple","Annual","Annual","Annual")</f>
        <v/>
      </c>
      <c r="F223" s="8">
        <f>QS.TRADE.CREATE("trade.221",C223,E223,A223,"Receive")</f>
        <v/>
      </c>
      <c r="G223" s="5"/>
      <c r="H223" s="7" t="s">
        <v>487</v>
      </c>
      <c r="I223" s="9">
        <v>1022100</v>
      </c>
      <c r="J223" s="10">
        <v>0.0371</v>
      </c>
    </row>
    <row r="224" spans="1:10">
      <c r="A224" s="7" t="s">
        <v>475</v>
      </c>
      <c r="B224" s="7" t="s">
        <v>488</v>
      </c>
      <c r="C224" s="8">
        <f>QS.CONTEXT.CREATE("market.222",A224,"USD","SOFR")</f>
        <v/>
      </c>
      <c r="D224" s="8">
        <f>QS.CONTEXT.ADD.CURVE(C224,"SOFR",$K$2:$K$7,$L$2:$L$7,,,"Actual360","LogLinear",TRUE)</f>
        <v/>
      </c>
      <c r="E224" s="8">
        <f>QS.INSTRUMENT.SWAP("swap.222",C224,H224,B224,"USD","SOFR",I224,J224,0,"Actual360","Simple","Annual","Annual","Annual")</f>
        <v/>
      </c>
      <c r="F224" s="8">
        <f>QS.TRADE.CREATE("trade.222",C224,E224,A224,"Receive")</f>
        <v/>
      </c>
      <c r="G224" s="5"/>
      <c r="H224" s="7" t="s">
        <v>489</v>
      </c>
      <c r="I224" s="9">
        <v>1022200</v>
      </c>
      <c r="J224" s="10">
        <v>0.0372</v>
      </c>
    </row>
    <row r="225" spans="1:10">
      <c r="A225" s="7" t="s">
        <v>477</v>
      </c>
      <c r="B225" s="7" t="s">
        <v>490</v>
      </c>
      <c r="C225" s="8">
        <f>QS.CONTEXT.CREATE("market.223",A225,"USD","SOFR")</f>
        <v/>
      </c>
      <c r="D225" s="8">
        <f>QS.CONTEXT.ADD.CURVE(C225,"SOFR",$K$2:$K$7,$L$2:$L$7,,,"Actual360","LogLinear",TRUE)</f>
        <v/>
      </c>
      <c r="E225" s="8">
        <f>QS.INSTRUMENT.SWAP("swap.223",C225,H225,B225,"USD","SOFR",I225,J225,0,"Actual360","Simple","Annual","Annual","Annual")</f>
        <v/>
      </c>
      <c r="F225" s="8">
        <f>QS.TRADE.CREATE("trade.223",C225,E225,A225,"Receive")</f>
        <v/>
      </c>
      <c r="G225" s="5"/>
      <c r="H225" s="7" t="s">
        <v>491</v>
      </c>
      <c r="I225" s="9">
        <v>1022300</v>
      </c>
      <c r="J225" s="10">
        <v>0.0373</v>
      </c>
    </row>
    <row r="226" spans="1:10">
      <c r="A226" s="7" t="s">
        <v>479</v>
      </c>
      <c r="B226" s="7" t="s">
        <v>492</v>
      </c>
      <c r="C226" s="8">
        <f>QS.CONTEXT.CREATE("market.224",A226,"USD","SOFR")</f>
        <v/>
      </c>
      <c r="D226" s="8">
        <f>QS.CONTEXT.ADD.CURVE(C226,"SOFR",$K$2:$K$7,$L$2:$L$7,,,"Actual360","LogLinear",TRUE)</f>
        <v/>
      </c>
      <c r="E226" s="8">
        <f>QS.INSTRUMENT.SWAP("swap.224",C226,H226,B226,"USD","SOFR",I226,J226,0,"Actual360","Simple","Annual","Annual","Annual")</f>
        <v/>
      </c>
      <c r="F226" s="8">
        <f>QS.TRADE.CREATE("trade.224",C226,E226,A226,"Receive")</f>
        <v/>
      </c>
      <c r="G226" s="5"/>
      <c r="H226" s="7" t="s">
        <v>493</v>
      </c>
      <c r="I226" s="9">
        <v>1022400</v>
      </c>
      <c r="J226" s="10">
        <v>0.0374</v>
      </c>
    </row>
    <row r="227" spans="1:10">
      <c r="A227" s="7" t="s">
        <v>481</v>
      </c>
      <c r="B227" s="7" t="s">
        <v>494</v>
      </c>
      <c r="C227" s="8">
        <f>QS.CONTEXT.CREATE("market.225",A227,"USD","SOFR")</f>
        <v/>
      </c>
      <c r="D227" s="8">
        <f>QS.CONTEXT.ADD.CURVE(C227,"SOFR",$K$2:$K$7,$L$2:$L$7,,,"Actual360","LogLinear",TRUE)</f>
        <v/>
      </c>
      <c r="E227" s="8">
        <f>QS.INSTRUMENT.SWAP("swap.225",C227,H227,B227,"USD","SOFR",I227,J227,0,"Actual360","Simple","Annual","Annual","Annual")</f>
        <v/>
      </c>
      <c r="F227" s="8">
        <f>QS.TRADE.CREATE("trade.225",C227,E227,A227,"Receive")</f>
        <v/>
      </c>
      <c r="G227" s="5"/>
      <c r="H227" s="7" t="s">
        <v>495</v>
      </c>
      <c r="I227" s="9">
        <v>1022500</v>
      </c>
      <c r="J227" s="10">
        <v>0.03750000000000001</v>
      </c>
    </row>
    <row r="228" spans="1:10">
      <c r="A228" s="7" t="s">
        <v>483</v>
      </c>
      <c r="B228" s="7" t="s">
        <v>496</v>
      </c>
      <c r="C228" s="8">
        <f>QS.CONTEXT.CREATE("market.226",A228,"USD","SOFR")</f>
        <v/>
      </c>
      <c r="D228" s="8">
        <f>QS.CONTEXT.ADD.CURVE(C228,"SOFR",$K$2:$K$7,$L$2:$L$7,,,"Actual360","LogLinear",TRUE)</f>
        <v/>
      </c>
      <c r="E228" s="8">
        <f>QS.INSTRUMENT.SWAP("swap.226",C228,H228,B228,"USD","SOFR",I228,J228,0,"Actual360","Simple","Annual","Annual","Annual")</f>
        <v/>
      </c>
      <c r="F228" s="8">
        <f>QS.TRADE.CREATE("trade.226",C228,E228,A228,"Receive")</f>
        <v/>
      </c>
      <c r="G228" s="5"/>
      <c r="H228" s="7" t="s">
        <v>497</v>
      </c>
      <c r="I228" s="9">
        <v>1022600</v>
      </c>
      <c r="J228" s="10">
        <v>0.0376</v>
      </c>
    </row>
    <row r="229" spans="1:10">
      <c r="A229" s="7" t="s">
        <v>485</v>
      </c>
      <c r="B229" s="7" t="s">
        <v>498</v>
      </c>
      <c r="C229" s="8">
        <f>QS.CONTEXT.CREATE("market.227",A229,"USD","SOFR")</f>
        <v/>
      </c>
      <c r="D229" s="8">
        <f>QS.CONTEXT.ADD.CURVE(C229,"SOFR",$K$2:$K$7,$L$2:$L$7,,,"Actual360","LogLinear",TRUE)</f>
        <v/>
      </c>
      <c r="E229" s="8">
        <f>QS.INSTRUMENT.SWAP("swap.227",C229,H229,B229,"USD","SOFR",I229,J229,0,"Actual360","Simple","Annual","Annual","Annual")</f>
        <v/>
      </c>
      <c r="F229" s="8">
        <f>QS.TRADE.CREATE("trade.227",C229,E229,A229,"Receive")</f>
        <v/>
      </c>
      <c r="G229" s="5"/>
      <c r="H229" s="7" t="s">
        <v>499</v>
      </c>
      <c r="I229" s="9">
        <v>1022700</v>
      </c>
      <c r="J229" s="10">
        <v>0.0377</v>
      </c>
    </row>
    <row r="230" spans="1:10">
      <c r="A230" s="7" t="s">
        <v>487</v>
      </c>
      <c r="B230" s="7" t="s">
        <v>500</v>
      </c>
      <c r="C230" s="8">
        <f>QS.CONTEXT.CREATE("market.228",A230,"USD","SOFR")</f>
        <v/>
      </c>
      <c r="D230" s="8">
        <f>QS.CONTEXT.ADD.CURVE(C230,"SOFR",$K$2:$K$7,$L$2:$L$7,,,"Actual360","LogLinear",TRUE)</f>
        <v/>
      </c>
      <c r="E230" s="8">
        <f>QS.INSTRUMENT.SWAP("swap.228",C230,H230,B230,"USD","SOFR",I230,J230,0,"Actual360","Simple","Annual","Annual","Annual")</f>
        <v/>
      </c>
      <c r="F230" s="8">
        <f>QS.TRADE.CREATE("trade.228",C230,E230,A230,"Receive")</f>
        <v/>
      </c>
      <c r="G230" s="5"/>
      <c r="H230" s="7" t="s">
        <v>501</v>
      </c>
      <c r="I230" s="9">
        <v>1022800</v>
      </c>
      <c r="J230" s="10">
        <v>0.0378</v>
      </c>
    </row>
    <row r="231" spans="1:10">
      <c r="A231" s="7" t="s">
        <v>489</v>
      </c>
      <c r="B231" s="7" t="s">
        <v>502</v>
      </c>
      <c r="C231" s="8">
        <f>QS.CONTEXT.CREATE("market.229",A231,"USD","SOFR")</f>
        <v/>
      </c>
      <c r="D231" s="8">
        <f>QS.CONTEXT.ADD.CURVE(C231,"SOFR",$K$2:$K$7,$L$2:$L$7,,,"Actual360","LogLinear",TRUE)</f>
        <v/>
      </c>
      <c r="E231" s="8">
        <f>QS.INSTRUMENT.SWAP("swap.229",C231,H231,B231,"USD","SOFR",I231,J231,0,"Actual360","Simple","Annual","Annual","Annual")</f>
        <v/>
      </c>
      <c r="F231" s="8">
        <f>QS.TRADE.CREATE("trade.229",C231,E231,A231,"Receive")</f>
        <v/>
      </c>
      <c r="G231" s="5"/>
      <c r="H231" s="7" t="s">
        <v>503</v>
      </c>
      <c r="I231" s="9">
        <v>1022900</v>
      </c>
      <c r="J231" s="10">
        <v>0.0379</v>
      </c>
    </row>
    <row r="232" spans="1:10">
      <c r="A232" s="7" t="s">
        <v>491</v>
      </c>
      <c r="B232" s="7" t="s">
        <v>504</v>
      </c>
      <c r="C232" s="8">
        <f>QS.CONTEXT.CREATE("market.230",A232,"USD","SOFR")</f>
        <v/>
      </c>
      <c r="D232" s="8">
        <f>QS.CONTEXT.ADD.CURVE(C232,"SOFR",$K$2:$K$7,$L$2:$L$7,,,"Actual360","LogLinear",TRUE)</f>
        <v/>
      </c>
      <c r="E232" s="8">
        <f>QS.INSTRUMENT.SWAP("swap.230",C232,H232,B232,"USD","SOFR",I232,J232,0,"Actual360","Simple","Annual","Annual","Annual")</f>
        <v/>
      </c>
      <c r="F232" s="8">
        <f>QS.TRADE.CREATE("trade.230",C232,E232,A232,"Receive")</f>
        <v/>
      </c>
      <c r="G232" s="5"/>
      <c r="H232" s="7" t="s">
        <v>505</v>
      </c>
      <c r="I232" s="9">
        <v>1023000</v>
      </c>
      <c r="J232" s="10">
        <v>0.03800000000000001</v>
      </c>
    </row>
    <row r="233" spans="1:10">
      <c r="A233" s="7" t="s">
        <v>493</v>
      </c>
      <c r="B233" s="7" t="s">
        <v>506</v>
      </c>
      <c r="C233" s="8">
        <f>QS.CONTEXT.CREATE("market.231",A233,"USD","SOFR")</f>
        <v/>
      </c>
      <c r="D233" s="8">
        <f>QS.CONTEXT.ADD.CURVE(C233,"SOFR",$K$2:$K$7,$L$2:$L$7,,,"Actual360","LogLinear",TRUE)</f>
        <v/>
      </c>
      <c r="E233" s="8">
        <f>QS.INSTRUMENT.SWAP("swap.231",C233,H233,B233,"USD","SOFR",I233,J233,0,"Actual360","Simple","Annual","Annual","Annual")</f>
        <v/>
      </c>
      <c r="F233" s="8">
        <f>QS.TRADE.CREATE("trade.231",C233,E233,A233,"Receive")</f>
        <v/>
      </c>
      <c r="G233" s="5"/>
      <c r="H233" s="7" t="s">
        <v>507</v>
      </c>
      <c r="I233" s="9">
        <v>1023100</v>
      </c>
      <c r="J233" s="10">
        <v>0.0381</v>
      </c>
    </row>
    <row r="234" spans="1:10">
      <c r="A234" s="7" t="s">
        <v>495</v>
      </c>
      <c r="B234" s="7" t="s">
        <v>508</v>
      </c>
      <c r="C234" s="8">
        <f>QS.CONTEXT.CREATE("market.232",A234,"USD","SOFR")</f>
        <v/>
      </c>
      <c r="D234" s="8">
        <f>QS.CONTEXT.ADD.CURVE(C234,"SOFR",$K$2:$K$7,$L$2:$L$7,,,"Actual360","LogLinear",TRUE)</f>
        <v/>
      </c>
      <c r="E234" s="8">
        <f>QS.INSTRUMENT.SWAP("swap.232",C234,H234,B234,"USD","SOFR",I234,J234,0,"Actual360","Simple","Annual","Annual","Annual")</f>
        <v/>
      </c>
      <c r="F234" s="8">
        <f>QS.TRADE.CREATE("trade.232",C234,E234,A234,"Receive")</f>
        <v/>
      </c>
      <c r="G234" s="5"/>
      <c r="H234" s="7" t="s">
        <v>509</v>
      </c>
      <c r="I234" s="9">
        <v>1023200</v>
      </c>
      <c r="J234" s="10">
        <v>0.0382</v>
      </c>
    </row>
    <row r="235" spans="1:10">
      <c r="A235" s="7" t="s">
        <v>497</v>
      </c>
      <c r="B235" s="7" t="s">
        <v>510</v>
      </c>
      <c r="C235" s="8">
        <f>QS.CONTEXT.CREATE("market.233",A235,"USD","SOFR")</f>
        <v/>
      </c>
      <c r="D235" s="8">
        <f>QS.CONTEXT.ADD.CURVE(C235,"SOFR",$K$2:$K$7,$L$2:$L$7,,,"Actual360","LogLinear",TRUE)</f>
        <v/>
      </c>
      <c r="E235" s="8">
        <f>QS.INSTRUMENT.SWAP("swap.233",C235,H235,B235,"USD","SOFR",I235,J235,0,"Actual360","Simple","Annual","Annual","Annual")</f>
        <v/>
      </c>
      <c r="F235" s="8">
        <f>QS.TRADE.CREATE("trade.233",C235,E235,A235,"Receive")</f>
        <v/>
      </c>
      <c r="G235" s="5"/>
      <c r="H235" s="7" t="s">
        <v>511</v>
      </c>
      <c r="I235" s="9">
        <v>1023300</v>
      </c>
      <c r="J235" s="10">
        <v>0.0383</v>
      </c>
    </row>
    <row r="236" spans="1:10">
      <c r="A236" s="7" t="s">
        <v>499</v>
      </c>
      <c r="B236" s="7" t="s">
        <v>512</v>
      </c>
      <c r="C236" s="8">
        <f>QS.CONTEXT.CREATE("market.234",A236,"USD","SOFR")</f>
        <v/>
      </c>
      <c r="D236" s="8">
        <f>QS.CONTEXT.ADD.CURVE(C236,"SOFR",$K$2:$K$7,$L$2:$L$7,,,"Actual360","LogLinear",TRUE)</f>
        <v/>
      </c>
      <c r="E236" s="8">
        <f>QS.INSTRUMENT.SWAP("swap.234",C236,H236,B236,"USD","SOFR",I236,J236,0,"Actual360","Simple","Annual","Annual","Annual")</f>
        <v/>
      </c>
      <c r="F236" s="8">
        <f>QS.TRADE.CREATE("trade.234",C236,E236,A236,"Receive")</f>
        <v/>
      </c>
      <c r="G236" s="5"/>
      <c r="H236" s="7" t="s">
        <v>513</v>
      </c>
      <c r="I236" s="9">
        <v>1023400</v>
      </c>
      <c r="J236" s="10">
        <v>0.0384</v>
      </c>
    </row>
    <row r="237" spans="1:10">
      <c r="A237" s="7" t="s">
        <v>501</v>
      </c>
      <c r="B237" s="7" t="s">
        <v>514</v>
      </c>
      <c r="C237" s="8">
        <f>QS.CONTEXT.CREATE("market.235",A237,"USD","SOFR")</f>
        <v/>
      </c>
      <c r="D237" s="8">
        <f>QS.CONTEXT.ADD.CURVE(C237,"SOFR",$K$2:$K$7,$L$2:$L$7,,,"Actual360","LogLinear",TRUE)</f>
        <v/>
      </c>
      <c r="E237" s="8">
        <f>QS.INSTRUMENT.SWAP("swap.235",C237,H237,B237,"USD","SOFR",I237,J237,0,"Actual360","Simple","Annual","Annual","Annual")</f>
        <v/>
      </c>
      <c r="F237" s="8">
        <f>QS.TRADE.CREATE("trade.235",C237,E237,A237,"Receive")</f>
        <v/>
      </c>
      <c r="G237" s="5"/>
      <c r="H237" s="7" t="s">
        <v>515</v>
      </c>
      <c r="I237" s="9">
        <v>1023500</v>
      </c>
      <c r="J237" s="10">
        <v>0.03850000000000001</v>
      </c>
    </row>
    <row r="238" spans="1:10">
      <c r="A238" s="7" t="s">
        <v>503</v>
      </c>
      <c r="B238" s="7" t="s">
        <v>516</v>
      </c>
      <c r="C238" s="8">
        <f>QS.CONTEXT.CREATE("market.236",A238,"USD","SOFR")</f>
        <v/>
      </c>
      <c r="D238" s="8">
        <f>QS.CONTEXT.ADD.CURVE(C238,"SOFR",$K$2:$K$7,$L$2:$L$7,,,"Actual360","LogLinear",TRUE)</f>
        <v/>
      </c>
      <c r="E238" s="8">
        <f>QS.INSTRUMENT.SWAP("swap.236",C238,H238,B238,"USD","SOFR",I238,J238,0,"Actual360","Simple","Annual","Annual","Annual")</f>
        <v/>
      </c>
      <c r="F238" s="8">
        <f>QS.TRADE.CREATE("trade.236",C238,E238,A238,"Receive")</f>
        <v/>
      </c>
      <c r="G238" s="5"/>
      <c r="H238" s="7" t="s">
        <v>517</v>
      </c>
      <c r="I238" s="9">
        <v>1023600</v>
      </c>
      <c r="J238" s="10">
        <v>0.0386</v>
      </c>
    </row>
    <row r="239" spans="1:10">
      <c r="A239" s="7" t="s">
        <v>505</v>
      </c>
      <c r="B239" s="7" t="s">
        <v>518</v>
      </c>
      <c r="C239" s="8">
        <f>QS.CONTEXT.CREATE("market.237",A239,"USD","SOFR")</f>
        <v/>
      </c>
      <c r="D239" s="8">
        <f>QS.CONTEXT.ADD.CURVE(C239,"SOFR",$K$2:$K$7,$L$2:$L$7,,,"Actual360","LogLinear",TRUE)</f>
        <v/>
      </c>
      <c r="E239" s="8">
        <f>QS.INSTRUMENT.SWAP("swap.237",C239,H239,B239,"USD","SOFR",I239,J239,0,"Actual360","Simple","Annual","Annual","Annual")</f>
        <v/>
      </c>
      <c r="F239" s="8">
        <f>QS.TRADE.CREATE("trade.237",C239,E239,A239,"Receive")</f>
        <v/>
      </c>
      <c r="G239" s="5"/>
      <c r="H239" s="7" t="s">
        <v>519</v>
      </c>
      <c r="I239" s="9">
        <v>1023700</v>
      </c>
      <c r="J239" s="10">
        <v>0.03870000000000001</v>
      </c>
    </row>
    <row r="240" spans="1:10">
      <c r="A240" s="7" t="s">
        <v>507</v>
      </c>
      <c r="B240" s="7" t="s">
        <v>520</v>
      </c>
      <c r="C240" s="8">
        <f>QS.CONTEXT.CREATE("market.238",A240,"USD","SOFR")</f>
        <v/>
      </c>
      <c r="D240" s="8">
        <f>QS.CONTEXT.ADD.CURVE(C240,"SOFR",$K$2:$K$7,$L$2:$L$7,,,"Actual360","LogLinear",TRUE)</f>
        <v/>
      </c>
      <c r="E240" s="8">
        <f>QS.INSTRUMENT.SWAP("swap.238",C240,H240,B240,"USD","SOFR",I240,J240,0,"Actual360","Simple","Annual","Annual","Annual")</f>
        <v/>
      </c>
      <c r="F240" s="8">
        <f>QS.TRADE.CREATE("trade.238",C240,E240,A240,"Receive")</f>
        <v/>
      </c>
      <c r="G240" s="5"/>
      <c r="H240" s="7" t="s">
        <v>521</v>
      </c>
      <c r="I240" s="9">
        <v>1023800</v>
      </c>
      <c r="J240" s="10">
        <v>0.0388</v>
      </c>
    </row>
    <row r="241" spans="1:10">
      <c r="A241" s="7" t="s">
        <v>509</v>
      </c>
      <c r="B241" s="7" t="s">
        <v>522</v>
      </c>
      <c r="C241" s="8">
        <f>QS.CONTEXT.CREATE("market.239",A241,"USD","SOFR")</f>
        <v/>
      </c>
      <c r="D241" s="8">
        <f>QS.CONTEXT.ADD.CURVE(C241,"SOFR",$K$2:$K$7,$L$2:$L$7,,,"Actual360","LogLinear",TRUE)</f>
        <v/>
      </c>
      <c r="E241" s="8">
        <f>QS.INSTRUMENT.SWAP("swap.239",C241,H241,B241,"USD","SOFR",I241,J241,0,"Actual360","Simple","Annual","Annual","Annual")</f>
        <v/>
      </c>
      <c r="F241" s="8">
        <f>QS.TRADE.CREATE("trade.239",C241,E241,A241,"Receive")</f>
        <v/>
      </c>
      <c r="G241" s="5"/>
      <c r="H241" s="7" t="s">
        <v>523</v>
      </c>
      <c r="I241" s="9">
        <v>1023900</v>
      </c>
      <c r="J241" s="10">
        <v>0.0389</v>
      </c>
    </row>
    <row r="242" spans="1:10">
      <c r="A242" s="7" t="s">
        <v>511</v>
      </c>
      <c r="B242" s="7" t="s">
        <v>524</v>
      </c>
      <c r="C242" s="8">
        <f>QS.CONTEXT.CREATE("market.240",A242,"USD","SOFR")</f>
        <v/>
      </c>
      <c r="D242" s="8">
        <f>QS.CONTEXT.ADD.CURVE(C242,"SOFR",$K$2:$K$7,$L$2:$L$7,,,"Actual360","LogLinear",TRUE)</f>
        <v/>
      </c>
      <c r="E242" s="8">
        <f>QS.INSTRUMENT.SWAP("swap.240",C242,H242,B242,"USD","SOFR",I242,J242,0,"Actual360","Simple","Annual","Annual","Annual")</f>
        <v/>
      </c>
      <c r="F242" s="8">
        <f>QS.TRADE.CREATE("trade.240",C242,E242,A242,"Receive")</f>
        <v/>
      </c>
      <c r="G242" s="5"/>
      <c r="H242" s="7" t="s">
        <v>525</v>
      </c>
      <c r="I242" s="9">
        <v>1024000</v>
      </c>
      <c r="J242" s="10">
        <v>0.03900000000000001</v>
      </c>
    </row>
    <row r="243" spans="1:10">
      <c r="A243" s="7" t="s">
        <v>513</v>
      </c>
      <c r="B243" s="7" t="s">
        <v>526</v>
      </c>
      <c r="C243" s="8">
        <f>QS.CONTEXT.CREATE("market.241",A243,"USD","SOFR")</f>
        <v/>
      </c>
      <c r="D243" s="8">
        <f>QS.CONTEXT.ADD.CURVE(C243,"SOFR",$K$2:$K$7,$L$2:$L$7,,,"Actual360","LogLinear",TRUE)</f>
        <v/>
      </c>
      <c r="E243" s="8">
        <f>QS.INSTRUMENT.SWAP("swap.241",C243,H243,B243,"USD","SOFR",I243,J243,0,"Actual360","Simple","Annual","Annual","Annual")</f>
        <v/>
      </c>
      <c r="F243" s="8">
        <f>QS.TRADE.CREATE("trade.241",C243,E243,A243,"Receive")</f>
        <v/>
      </c>
      <c r="G243" s="5"/>
      <c r="H243" s="7" t="s">
        <v>527</v>
      </c>
      <c r="I243" s="9">
        <v>1024100</v>
      </c>
      <c r="J243" s="10">
        <v>0.0391</v>
      </c>
    </row>
    <row r="244" spans="1:10">
      <c r="A244" s="7" t="s">
        <v>515</v>
      </c>
      <c r="B244" s="7" t="s">
        <v>528</v>
      </c>
      <c r="C244" s="8">
        <f>QS.CONTEXT.CREATE("market.242",A244,"USD","SOFR")</f>
        <v/>
      </c>
      <c r="D244" s="8">
        <f>QS.CONTEXT.ADD.CURVE(C244,"SOFR",$K$2:$K$7,$L$2:$L$7,,,"Actual360","LogLinear",TRUE)</f>
        <v/>
      </c>
      <c r="E244" s="8">
        <f>QS.INSTRUMENT.SWAP("swap.242",C244,H244,B244,"USD","SOFR",I244,J244,0,"Actual360","Simple","Annual","Annual","Annual")</f>
        <v/>
      </c>
      <c r="F244" s="8">
        <f>QS.TRADE.CREATE("trade.242",C244,E244,A244,"Receive")</f>
        <v/>
      </c>
      <c r="G244" s="5"/>
      <c r="H244" s="7" t="s">
        <v>529</v>
      </c>
      <c r="I244" s="9">
        <v>1024200</v>
      </c>
      <c r="J244" s="10">
        <v>0.03920000000000001</v>
      </c>
    </row>
    <row r="245" spans="1:10">
      <c r="A245" s="7" t="s">
        <v>517</v>
      </c>
      <c r="B245" s="7" t="s">
        <v>530</v>
      </c>
      <c r="C245" s="8">
        <f>QS.CONTEXT.CREATE("market.243",A245,"USD","SOFR")</f>
        <v/>
      </c>
      <c r="D245" s="8">
        <f>QS.CONTEXT.ADD.CURVE(C245,"SOFR",$K$2:$K$7,$L$2:$L$7,,,"Actual360","LogLinear",TRUE)</f>
        <v/>
      </c>
      <c r="E245" s="8">
        <f>QS.INSTRUMENT.SWAP("swap.243",C245,H245,B245,"USD","SOFR",I245,J245,0,"Actual360","Simple","Annual","Annual","Annual")</f>
        <v/>
      </c>
      <c r="F245" s="8">
        <f>QS.TRADE.CREATE("trade.243",C245,E245,A245,"Receive")</f>
        <v/>
      </c>
      <c r="G245" s="5"/>
      <c r="H245" s="7" t="s">
        <v>531</v>
      </c>
      <c r="I245" s="9">
        <v>1024300</v>
      </c>
      <c r="J245" s="10">
        <v>0.0393</v>
      </c>
    </row>
    <row r="246" spans="1:10">
      <c r="A246" s="7" t="s">
        <v>519</v>
      </c>
      <c r="B246" s="7" t="s">
        <v>532</v>
      </c>
      <c r="C246" s="8">
        <f>QS.CONTEXT.CREATE("market.244",A246,"USD","SOFR")</f>
        <v/>
      </c>
      <c r="D246" s="8">
        <f>QS.CONTEXT.ADD.CURVE(C246,"SOFR",$K$2:$K$7,$L$2:$L$7,,,"Actual360","LogLinear",TRUE)</f>
        <v/>
      </c>
      <c r="E246" s="8">
        <f>QS.INSTRUMENT.SWAP("swap.244",C246,H246,B246,"USD","SOFR",I246,J246,0,"Actual360","Simple","Annual","Annual","Annual")</f>
        <v/>
      </c>
      <c r="F246" s="8">
        <f>QS.TRADE.CREATE("trade.244",C246,E246,A246,"Receive")</f>
        <v/>
      </c>
      <c r="G246" s="5"/>
      <c r="H246" s="7" t="s">
        <v>533</v>
      </c>
      <c r="I246" s="9">
        <v>1024400</v>
      </c>
      <c r="J246" s="10">
        <v>0.0394</v>
      </c>
    </row>
    <row r="247" spans="1:10">
      <c r="A247" s="7" t="s">
        <v>521</v>
      </c>
      <c r="B247" s="7" t="s">
        <v>534</v>
      </c>
      <c r="C247" s="8">
        <f>QS.CONTEXT.CREATE("market.245",A247,"USD","SOFR")</f>
        <v/>
      </c>
      <c r="D247" s="8">
        <f>QS.CONTEXT.ADD.CURVE(C247,"SOFR",$K$2:$K$7,$L$2:$L$7,,,"Actual360","LogLinear",TRUE)</f>
        <v/>
      </c>
      <c r="E247" s="8">
        <f>QS.INSTRUMENT.SWAP("swap.245",C247,H247,B247,"USD","SOFR",I247,J247,0,"Actual360","Simple","Annual","Annual","Annual")</f>
        <v/>
      </c>
      <c r="F247" s="8">
        <f>QS.TRADE.CREATE("trade.245",C247,E247,A247,"Receive")</f>
        <v/>
      </c>
      <c r="G247" s="5"/>
      <c r="H247" s="7" t="s">
        <v>535</v>
      </c>
      <c r="I247" s="9">
        <v>1024500</v>
      </c>
      <c r="J247" s="10">
        <v>0.03950000000000001</v>
      </c>
    </row>
    <row r="248" spans="1:10">
      <c r="A248" s="7" t="s">
        <v>523</v>
      </c>
      <c r="B248" s="7" t="s">
        <v>536</v>
      </c>
      <c r="C248" s="8">
        <f>QS.CONTEXT.CREATE("market.246",A248,"USD","SOFR")</f>
        <v/>
      </c>
      <c r="D248" s="8">
        <f>QS.CONTEXT.ADD.CURVE(C248,"SOFR",$K$2:$K$7,$L$2:$L$7,,,"Actual360","LogLinear",TRUE)</f>
        <v/>
      </c>
      <c r="E248" s="8">
        <f>QS.INSTRUMENT.SWAP("swap.246",C248,H248,B248,"USD","SOFR",I248,J248,0,"Actual360","Simple","Annual","Annual","Annual")</f>
        <v/>
      </c>
      <c r="F248" s="8">
        <f>QS.TRADE.CREATE("trade.246",C248,E248,A248,"Receive")</f>
        <v/>
      </c>
      <c r="G248" s="5"/>
      <c r="H248" s="7" t="s">
        <v>537</v>
      </c>
      <c r="I248" s="9">
        <v>1024600</v>
      </c>
      <c r="J248" s="10">
        <v>0.0396</v>
      </c>
    </row>
    <row r="249" spans="1:10">
      <c r="A249" s="7" t="s">
        <v>525</v>
      </c>
      <c r="B249" s="7" t="s">
        <v>538</v>
      </c>
      <c r="C249" s="8">
        <f>QS.CONTEXT.CREATE("market.247",A249,"USD","SOFR")</f>
        <v/>
      </c>
      <c r="D249" s="8">
        <f>QS.CONTEXT.ADD.CURVE(C249,"SOFR",$K$2:$K$7,$L$2:$L$7,,,"Actual360","LogLinear",TRUE)</f>
        <v/>
      </c>
      <c r="E249" s="8">
        <f>QS.INSTRUMENT.SWAP("swap.247",C249,H249,B249,"USD","SOFR",I249,J249,0,"Actual360","Simple","Annual","Annual","Annual")</f>
        <v/>
      </c>
      <c r="F249" s="8">
        <f>QS.TRADE.CREATE("trade.247",C249,E249,A249,"Receive")</f>
        <v/>
      </c>
      <c r="G249" s="5"/>
      <c r="H249" s="7" t="s">
        <v>539</v>
      </c>
      <c r="I249" s="9">
        <v>1024700</v>
      </c>
      <c r="J249" s="10">
        <v>0.03970000000000001</v>
      </c>
    </row>
    <row r="250" spans="1:10">
      <c r="A250" s="7" t="s">
        <v>527</v>
      </c>
      <c r="B250" s="7" t="s">
        <v>540</v>
      </c>
      <c r="C250" s="8">
        <f>QS.CONTEXT.CREATE("market.248",A250,"USD","SOFR")</f>
        <v/>
      </c>
      <c r="D250" s="8">
        <f>QS.CONTEXT.ADD.CURVE(C250,"SOFR",$K$2:$K$7,$L$2:$L$7,,,"Actual360","LogLinear",TRUE)</f>
        <v/>
      </c>
      <c r="E250" s="8">
        <f>QS.INSTRUMENT.SWAP("swap.248",C250,H250,B250,"USD","SOFR",I250,J250,0,"Actual360","Simple","Annual","Annual","Annual")</f>
        <v/>
      </c>
      <c r="F250" s="8">
        <f>QS.TRADE.CREATE("trade.248",C250,E250,A250,"Receive")</f>
        <v/>
      </c>
      <c r="G250" s="5"/>
      <c r="H250" s="7" t="s">
        <v>541</v>
      </c>
      <c r="I250" s="9">
        <v>1024800</v>
      </c>
      <c r="J250" s="10">
        <v>0.0398</v>
      </c>
    </row>
    <row r="251" spans="1:10">
      <c r="A251" s="7" t="s">
        <v>529</v>
      </c>
      <c r="B251" s="7" t="s">
        <v>542</v>
      </c>
      <c r="C251" s="8">
        <f>QS.CONTEXT.CREATE("market.249",A251,"USD","SOFR")</f>
        <v/>
      </c>
      <c r="D251" s="8">
        <f>QS.CONTEXT.ADD.CURVE(C251,"SOFR",$K$2:$K$7,$L$2:$L$7,,,"Actual360","LogLinear",TRUE)</f>
        <v/>
      </c>
      <c r="E251" s="8">
        <f>QS.INSTRUMENT.SWAP("swap.249",C251,H251,B251,"USD","SOFR",I251,J251,0,"Actual360","Simple","Annual","Annual","Annual")</f>
        <v/>
      </c>
      <c r="F251" s="8">
        <f>QS.TRADE.CREATE("trade.249",C251,E251,A251,"Receive")</f>
        <v/>
      </c>
      <c r="G251" s="5"/>
      <c r="H251" s="7" t="s">
        <v>543</v>
      </c>
      <c r="I251" s="9">
        <v>1024900</v>
      </c>
      <c r="J251" s="10">
        <v>0.0399</v>
      </c>
    </row>
    <row r="252" spans="1:10">
      <c r="A252" s="7" t="s">
        <v>531</v>
      </c>
      <c r="B252" s="7" t="s">
        <v>544</v>
      </c>
      <c r="C252" s="8">
        <f>QS.CONTEXT.CREATE("market.250",A252,"USD","SOFR")</f>
        <v/>
      </c>
      <c r="D252" s="8">
        <f>QS.CONTEXT.ADD.CURVE(C252,"SOFR",$K$2:$K$7,$L$2:$L$7,,,"Actual360","LogLinear",TRUE)</f>
        <v/>
      </c>
      <c r="E252" s="8">
        <f>QS.INSTRUMENT.SWAP("swap.250",C252,H252,B252,"USD","SOFR",I252,J252,0,"Actual360","Simple","Annual","Annual","Annual")</f>
        <v/>
      </c>
      <c r="F252" s="8">
        <f>QS.TRADE.CREATE("trade.250",C252,E252,A252,"Receive")</f>
        <v/>
      </c>
      <c r="G252" s="5"/>
      <c r="H252" s="7" t="s">
        <v>545</v>
      </c>
      <c r="I252" s="9">
        <v>1025000</v>
      </c>
      <c r="J252" s="10">
        <v>0.035</v>
      </c>
    </row>
    <row r="253" spans="1:10">
      <c r="A253" s="7" t="s">
        <v>533</v>
      </c>
      <c r="B253" s="7" t="s">
        <v>546</v>
      </c>
      <c r="C253" s="8">
        <f>QS.CONTEXT.CREATE("market.251",A253,"USD","SOFR")</f>
        <v/>
      </c>
      <c r="D253" s="8">
        <f>QS.CONTEXT.ADD.CURVE(C253,"SOFR",$K$2:$K$7,$L$2:$L$7,,,"Actual360","LogLinear",TRUE)</f>
        <v/>
      </c>
      <c r="E253" s="8">
        <f>QS.INSTRUMENT.SWAP("swap.251",C253,H253,B253,"USD","SOFR",I253,J253,0,"Actual360","Simple","Annual","Annual","Annual")</f>
        <v/>
      </c>
      <c r="F253" s="8">
        <f>QS.TRADE.CREATE("trade.251",C253,E253,A253,"Receive")</f>
        <v/>
      </c>
      <c r="G253" s="5"/>
      <c r="H253" s="7" t="s">
        <v>547</v>
      </c>
      <c r="I253" s="9">
        <v>1025100</v>
      </c>
      <c r="J253" s="10">
        <v>0.03510000000000001</v>
      </c>
    </row>
    <row r="254" spans="1:10">
      <c r="A254" s="7" t="s">
        <v>535</v>
      </c>
      <c r="B254" s="7" t="s">
        <v>548</v>
      </c>
      <c r="C254" s="8">
        <f>QS.CONTEXT.CREATE("market.252",A254,"USD","SOFR")</f>
        <v/>
      </c>
      <c r="D254" s="8">
        <f>QS.CONTEXT.ADD.CURVE(C254,"SOFR",$K$2:$K$7,$L$2:$L$7,,,"Actual360","LogLinear",TRUE)</f>
        <v/>
      </c>
      <c r="E254" s="8">
        <f>QS.INSTRUMENT.SWAP("swap.252",C254,H254,B254,"USD","SOFR",I254,J254,0,"Actual360","Simple","Annual","Annual","Annual")</f>
        <v/>
      </c>
      <c r="F254" s="8">
        <f>QS.TRADE.CREATE("trade.252",C254,E254,A254,"Receive")</f>
        <v/>
      </c>
      <c r="G254" s="5"/>
      <c r="H254" s="7" t="s">
        <v>549</v>
      </c>
      <c r="I254" s="9">
        <v>1025200</v>
      </c>
      <c r="J254" s="10">
        <v>0.0352</v>
      </c>
    </row>
    <row r="255" spans="1:10">
      <c r="A255" s="7" t="s">
        <v>537</v>
      </c>
      <c r="B255" s="7" t="s">
        <v>550</v>
      </c>
      <c r="C255" s="8">
        <f>QS.CONTEXT.CREATE("market.253",A255,"USD","SOFR")</f>
        <v/>
      </c>
      <c r="D255" s="8">
        <f>QS.CONTEXT.ADD.CURVE(C255,"SOFR",$K$2:$K$7,$L$2:$L$7,,,"Actual360","LogLinear",TRUE)</f>
        <v/>
      </c>
      <c r="E255" s="8">
        <f>QS.INSTRUMENT.SWAP("swap.253",C255,H255,B255,"USD","SOFR",I255,J255,0,"Actual360","Simple","Annual","Annual","Annual")</f>
        <v/>
      </c>
      <c r="F255" s="8">
        <f>QS.TRADE.CREATE("trade.253",C255,E255,A255,"Receive")</f>
        <v/>
      </c>
      <c r="G255" s="5"/>
      <c r="H255" s="7" t="s">
        <v>551</v>
      </c>
      <c r="I255" s="9">
        <v>1025300</v>
      </c>
      <c r="J255" s="10">
        <v>0.0353</v>
      </c>
    </row>
    <row r="256" spans="1:10">
      <c r="A256" s="7" t="s">
        <v>539</v>
      </c>
      <c r="B256" s="7" t="s">
        <v>552</v>
      </c>
      <c r="C256" s="8">
        <f>QS.CONTEXT.CREATE("market.254",A256,"USD","SOFR")</f>
        <v/>
      </c>
      <c r="D256" s="8">
        <f>QS.CONTEXT.ADD.CURVE(C256,"SOFR",$K$2:$K$7,$L$2:$L$7,,,"Actual360","LogLinear",TRUE)</f>
        <v/>
      </c>
      <c r="E256" s="8">
        <f>QS.INSTRUMENT.SWAP("swap.254",C256,H256,B256,"USD","SOFR",I256,J256,0,"Actual360","Simple","Annual","Annual","Annual")</f>
        <v/>
      </c>
      <c r="F256" s="8">
        <f>QS.TRADE.CREATE("trade.254",C256,E256,A256,"Receive")</f>
        <v/>
      </c>
      <c r="G256" s="5"/>
      <c r="H256" s="7" t="s">
        <v>553</v>
      </c>
      <c r="I256" s="9">
        <v>1025400</v>
      </c>
      <c r="J256" s="10">
        <v>0.0354</v>
      </c>
    </row>
    <row r="257" spans="1:10">
      <c r="A257" s="7" t="s">
        <v>541</v>
      </c>
      <c r="B257" s="7" t="s">
        <v>554</v>
      </c>
      <c r="C257" s="8">
        <f>QS.CONTEXT.CREATE("market.255",A257,"USD","SOFR")</f>
        <v/>
      </c>
      <c r="D257" s="8">
        <f>QS.CONTEXT.ADD.CURVE(C257,"SOFR",$K$2:$K$7,$L$2:$L$7,,,"Actual360","LogLinear",TRUE)</f>
        <v/>
      </c>
      <c r="E257" s="8">
        <f>QS.INSTRUMENT.SWAP("swap.255",C257,H257,B257,"USD","SOFR",I257,J257,0,"Actual360","Simple","Annual","Annual","Annual")</f>
        <v/>
      </c>
      <c r="F257" s="8">
        <f>QS.TRADE.CREATE("trade.255",C257,E257,A257,"Receive")</f>
        <v/>
      </c>
      <c r="G257" s="5"/>
      <c r="H257" s="7" t="s">
        <v>555</v>
      </c>
      <c r="I257" s="9">
        <v>1025500</v>
      </c>
      <c r="J257" s="10">
        <v>0.0355</v>
      </c>
    </row>
    <row r="258" spans="1:10">
      <c r="A258" s="7" t="s">
        <v>543</v>
      </c>
      <c r="B258" s="7" t="s">
        <v>556</v>
      </c>
      <c r="C258" s="8">
        <f>QS.CONTEXT.CREATE("market.256",A258,"USD","SOFR")</f>
        <v/>
      </c>
      <c r="D258" s="8">
        <f>QS.CONTEXT.ADD.CURVE(C258,"SOFR",$K$2:$K$7,$L$2:$L$7,,,"Actual360","LogLinear",TRUE)</f>
        <v/>
      </c>
      <c r="E258" s="8">
        <f>QS.INSTRUMENT.SWAP("swap.256",C258,H258,B258,"USD","SOFR",I258,J258,0,"Actual360","Simple","Annual","Annual","Annual")</f>
        <v/>
      </c>
      <c r="F258" s="8">
        <f>QS.TRADE.CREATE("trade.256",C258,E258,A258,"Receive")</f>
        <v/>
      </c>
      <c r="G258" s="5"/>
      <c r="H258" s="7" t="s">
        <v>557</v>
      </c>
      <c r="I258" s="9">
        <v>1025600</v>
      </c>
      <c r="J258" s="10">
        <v>0.03560000000000001</v>
      </c>
    </row>
    <row r="259" spans="1:10">
      <c r="A259" s="7" t="s">
        <v>545</v>
      </c>
      <c r="B259" s="7" t="s">
        <v>558</v>
      </c>
      <c r="C259" s="8">
        <f>QS.CONTEXT.CREATE("market.257",A259,"USD","SOFR")</f>
        <v/>
      </c>
      <c r="D259" s="8">
        <f>QS.CONTEXT.ADD.CURVE(C259,"SOFR",$K$2:$K$7,$L$2:$L$7,,,"Actual360","LogLinear",TRUE)</f>
        <v/>
      </c>
      <c r="E259" s="8">
        <f>QS.INSTRUMENT.SWAP("swap.257",C259,H259,B259,"USD","SOFR",I259,J259,0,"Actual360","Simple","Annual","Annual","Annual")</f>
        <v/>
      </c>
      <c r="F259" s="8">
        <f>QS.TRADE.CREATE("trade.257",C259,E259,A259,"Receive")</f>
        <v/>
      </c>
      <c r="G259" s="5"/>
      <c r="H259" s="7" t="s">
        <v>559</v>
      </c>
      <c r="I259" s="9">
        <v>1025700</v>
      </c>
      <c r="J259" s="10">
        <v>0.0357</v>
      </c>
    </row>
    <row r="260" spans="1:10">
      <c r="A260" s="7" t="s">
        <v>547</v>
      </c>
      <c r="B260" s="7" t="s">
        <v>560</v>
      </c>
      <c r="C260" s="8">
        <f>QS.CONTEXT.CREATE("market.258",A260,"USD","SOFR")</f>
        <v/>
      </c>
      <c r="D260" s="8">
        <f>QS.CONTEXT.ADD.CURVE(C260,"SOFR",$K$2:$K$7,$L$2:$L$7,,,"Actual360","LogLinear",TRUE)</f>
        <v/>
      </c>
      <c r="E260" s="8">
        <f>QS.INSTRUMENT.SWAP("swap.258",C260,H260,B260,"USD","SOFR",I260,J260,0,"Actual360","Simple","Annual","Annual","Annual")</f>
        <v/>
      </c>
      <c r="F260" s="8">
        <f>QS.TRADE.CREATE("trade.258",C260,E260,A260,"Receive")</f>
        <v/>
      </c>
      <c r="G260" s="5"/>
      <c r="H260" s="7" t="s">
        <v>561</v>
      </c>
      <c r="I260" s="9">
        <v>1025800</v>
      </c>
      <c r="J260" s="10">
        <v>0.03580000000000001</v>
      </c>
    </row>
    <row r="261" spans="1:10">
      <c r="A261" s="7" t="s">
        <v>549</v>
      </c>
      <c r="B261" s="7" t="s">
        <v>562</v>
      </c>
      <c r="C261" s="8">
        <f>QS.CONTEXT.CREATE("market.259",A261,"USD","SOFR")</f>
        <v/>
      </c>
      <c r="D261" s="8">
        <f>QS.CONTEXT.ADD.CURVE(C261,"SOFR",$K$2:$K$7,$L$2:$L$7,,,"Actual360","LogLinear",TRUE)</f>
        <v/>
      </c>
      <c r="E261" s="8">
        <f>QS.INSTRUMENT.SWAP("swap.259",C261,H261,B261,"USD","SOFR",I261,J261,0,"Actual360","Simple","Annual","Annual","Annual")</f>
        <v/>
      </c>
      <c r="F261" s="8">
        <f>QS.TRADE.CREATE("trade.259",C261,E261,A261,"Receive")</f>
        <v/>
      </c>
      <c r="G261" s="5"/>
      <c r="H261" s="7" t="s">
        <v>563</v>
      </c>
      <c r="I261" s="9">
        <v>1025900</v>
      </c>
      <c r="J261" s="10">
        <v>0.0359</v>
      </c>
    </row>
    <row r="262" spans="1:10">
      <c r="A262" s="7" t="s">
        <v>551</v>
      </c>
      <c r="B262" s="7" t="s">
        <v>564</v>
      </c>
      <c r="C262" s="8">
        <f>QS.CONTEXT.CREATE("market.260",A262,"USD","SOFR")</f>
        <v/>
      </c>
      <c r="D262" s="8">
        <f>QS.CONTEXT.ADD.CURVE(C262,"SOFR",$K$2:$K$7,$L$2:$L$7,,,"Actual360","LogLinear",TRUE)</f>
        <v/>
      </c>
      <c r="E262" s="8">
        <f>QS.INSTRUMENT.SWAP("swap.260",C262,H262,B262,"USD","SOFR",I262,J262,0,"Actual360","Simple","Annual","Annual","Annual")</f>
        <v/>
      </c>
      <c r="F262" s="8">
        <f>QS.TRADE.CREATE("trade.260",C262,E262,A262,"Receive")</f>
        <v/>
      </c>
      <c r="G262" s="5"/>
      <c r="H262" s="7" t="s">
        <v>565</v>
      </c>
      <c r="I262" s="9">
        <v>1026000</v>
      </c>
      <c r="J262" s="10">
        <v>0.036</v>
      </c>
    </row>
    <row r="263" spans="1:10">
      <c r="A263" s="7" t="s">
        <v>553</v>
      </c>
      <c r="B263" s="7" t="s">
        <v>566</v>
      </c>
      <c r="C263" s="8">
        <f>QS.CONTEXT.CREATE("market.261",A263,"USD","SOFR")</f>
        <v/>
      </c>
      <c r="D263" s="8">
        <f>QS.CONTEXT.ADD.CURVE(C263,"SOFR",$K$2:$K$7,$L$2:$L$7,,,"Actual360","LogLinear",TRUE)</f>
        <v/>
      </c>
      <c r="E263" s="8">
        <f>QS.INSTRUMENT.SWAP("swap.261",C263,H263,B263,"USD","SOFR",I263,J263,0,"Actual360","Simple","Annual","Annual","Annual")</f>
        <v/>
      </c>
      <c r="F263" s="8">
        <f>QS.TRADE.CREATE("trade.261",C263,E263,A263,"Receive")</f>
        <v/>
      </c>
      <c r="G263" s="5"/>
      <c r="H263" s="7" t="s">
        <v>567</v>
      </c>
      <c r="I263" s="9">
        <v>1026100</v>
      </c>
      <c r="J263" s="10">
        <v>0.0361</v>
      </c>
    </row>
    <row r="264" spans="1:10">
      <c r="A264" s="7" t="s">
        <v>555</v>
      </c>
      <c r="B264" s="7" t="s">
        <v>568</v>
      </c>
      <c r="C264" s="8">
        <f>QS.CONTEXT.CREATE("market.262",A264,"USD","SOFR")</f>
        <v/>
      </c>
      <c r="D264" s="8">
        <f>QS.CONTEXT.ADD.CURVE(C264,"SOFR",$K$2:$K$7,$L$2:$L$7,,,"Actual360","LogLinear",TRUE)</f>
        <v/>
      </c>
      <c r="E264" s="8">
        <f>QS.INSTRUMENT.SWAP("swap.262",C264,H264,B264,"USD","SOFR",I264,J264,0,"Actual360","Simple","Annual","Annual","Annual")</f>
        <v/>
      </c>
      <c r="F264" s="8">
        <f>QS.TRADE.CREATE("trade.262",C264,E264,A264,"Receive")</f>
        <v/>
      </c>
      <c r="G264" s="5"/>
      <c r="H264" s="7" t="s">
        <v>569</v>
      </c>
      <c r="I264" s="9">
        <v>1026200</v>
      </c>
      <c r="J264" s="10">
        <v>0.0362</v>
      </c>
    </row>
    <row r="265" spans="1:10">
      <c r="A265" s="7" t="s">
        <v>557</v>
      </c>
      <c r="B265" s="7" t="s">
        <v>570</v>
      </c>
      <c r="C265" s="8">
        <f>QS.CONTEXT.CREATE("market.263",A265,"USD","SOFR")</f>
        <v/>
      </c>
      <c r="D265" s="8">
        <f>QS.CONTEXT.ADD.CURVE(C265,"SOFR",$K$2:$K$7,$L$2:$L$7,,,"Actual360","LogLinear",TRUE)</f>
        <v/>
      </c>
      <c r="E265" s="8">
        <f>QS.INSTRUMENT.SWAP("swap.263",C265,H265,B265,"USD","SOFR",I265,J265,0,"Actual360","Simple","Annual","Annual","Annual")</f>
        <v/>
      </c>
      <c r="F265" s="8">
        <f>QS.TRADE.CREATE("trade.263",C265,E265,A265,"Receive")</f>
        <v/>
      </c>
      <c r="G265" s="5"/>
      <c r="H265" s="7" t="s">
        <v>571</v>
      </c>
      <c r="I265" s="9">
        <v>1026300</v>
      </c>
      <c r="J265" s="10">
        <v>0.03630000000000001</v>
      </c>
    </row>
    <row r="266" spans="1:10">
      <c r="A266" s="7" t="s">
        <v>559</v>
      </c>
      <c r="B266" s="7" t="s">
        <v>572</v>
      </c>
      <c r="C266" s="8">
        <f>QS.CONTEXT.CREATE("market.264",A266,"USD","SOFR")</f>
        <v/>
      </c>
      <c r="D266" s="8">
        <f>QS.CONTEXT.ADD.CURVE(C266,"SOFR",$K$2:$K$7,$L$2:$L$7,,,"Actual360","LogLinear",TRUE)</f>
        <v/>
      </c>
      <c r="E266" s="8">
        <f>QS.INSTRUMENT.SWAP("swap.264",C266,H266,B266,"USD","SOFR",I266,J266,0,"Actual360","Simple","Annual","Annual","Annual")</f>
        <v/>
      </c>
      <c r="F266" s="8">
        <f>QS.TRADE.CREATE("trade.264",C266,E266,A266,"Receive")</f>
        <v/>
      </c>
      <c r="G266" s="5"/>
      <c r="H266" s="7" t="s">
        <v>573</v>
      </c>
      <c r="I266" s="9">
        <v>1026400</v>
      </c>
      <c r="J266" s="10">
        <v>0.0364</v>
      </c>
    </row>
    <row r="267" spans="1:10">
      <c r="A267" s="7" t="s">
        <v>561</v>
      </c>
      <c r="B267" s="7" t="s">
        <v>574</v>
      </c>
      <c r="C267" s="8">
        <f>QS.CONTEXT.CREATE("market.265",A267,"USD","SOFR")</f>
        <v/>
      </c>
      <c r="D267" s="8">
        <f>QS.CONTEXT.ADD.CURVE(C267,"SOFR",$K$2:$K$7,$L$2:$L$7,,,"Actual360","LogLinear",TRUE)</f>
        <v/>
      </c>
      <c r="E267" s="8">
        <f>QS.INSTRUMENT.SWAP("swap.265",C267,H267,B267,"USD","SOFR",I267,J267,0,"Actual360","Simple","Annual","Annual","Annual")</f>
        <v/>
      </c>
      <c r="F267" s="8">
        <f>QS.TRADE.CREATE("trade.265",C267,E267,A267,"Receive")</f>
        <v/>
      </c>
      <c r="G267" s="5"/>
      <c r="H267" s="7" t="s">
        <v>575</v>
      </c>
      <c r="I267" s="9">
        <v>1026500</v>
      </c>
      <c r="J267" s="10">
        <v>0.0365</v>
      </c>
    </row>
    <row r="268" spans="1:10">
      <c r="A268" s="7" t="s">
        <v>563</v>
      </c>
      <c r="B268" s="7" t="s">
        <v>576</v>
      </c>
      <c r="C268" s="8">
        <f>QS.CONTEXT.CREATE("market.266",A268,"USD","SOFR")</f>
        <v/>
      </c>
      <c r="D268" s="8">
        <f>QS.CONTEXT.ADD.CURVE(C268,"SOFR",$K$2:$K$7,$L$2:$L$7,,,"Actual360","LogLinear",TRUE)</f>
        <v/>
      </c>
      <c r="E268" s="8">
        <f>QS.INSTRUMENT.SWAP("swap.266",C268,H268,B268,"USD","SOFR",I268,J268,0,"Actual360","Simple","Annual","Annual","Annual")</f>
        <v/>
      </c>
      <c r="F268" s="8">
        <f>QS.TRADE.CREATE("trade.266",C268,E268,A268,"Receive")</f>
        <v/>
      </c>
      <c r="G268" s="5"/>
      <c r="H268" s="7" t="s">
        <v>577</v>
      </c>
      <c r="I268" s="9">
        <v>1026600</v>
      </c>
      <c r="J268" s="10">
        <v>0.0366</v>
      </c>
    </row>
    <row r="269" spans="1:10">
      <c r="A269" s="7" t="s">
        <v>565</v>
      </c>
      <c r="B269" s="7" t="s">
        <v>578</v>
      </c>
      <c r="C269" s="8">
        <f>QS.CONTEXT.CREATE("market.267",A269,"USD","SOFR")</f>
        <v/>
      </c>
      <c r="D269" s="8">
        <f>QS.CONTEXT.ADD.CURVE(C269,"SOFR",$K$2:$K$7,$L$2:$L$7,,,"Actual360","LogLinear",TRUE)</f>
        <v/>
      </c>
      <c r="E269" s="8">
        <f>QS.INSTRUMENT.SWAP("swap.267",C269,H269,B269,"USD","SOFR",I269,J269,0,"Actual360","Simple","Annual","Annual","Annual")</f>
        <v/>
      </c>
      <c r="F269" s="8">
        <f>QS.TRADE.CREATE("trade.267",C269,E269,A269,"Receive")</f>
        <v/>
      </c>
      <c r="G269" s="5"/>
      <c r="H269" s="7" t="s">
        <v>579</v>
      </c>
      <c r="I269" s="9">
        <v>1026700</v>
      </c>
      <c r="J269" s="10">
        <v>0.0367</v>
      </c>
    </row>
    <row r="270" spans="1:10">
      <c r="A270" s="7" t="s">
        <v>567</v>
      </c>
      <c r="B270" s="7" t="s">
        <v>580</v>
      </c>
      <c r="C270" s="8">
        <f>QS.CONTEXT.CREATE("market.268",A270,"USD","SOFR")</f>
        <v/>
      </c>
      <c r="D270" s="8">
        <f>QS.CONTEXT.ADD.CURVE(C270,"SOFR",$K$2:$K$7,$L$2:$L$7,,,"Actual360","LogLinear",TRUE)</f>
        <v/>
      </c>
      <c r="E270" s="8">
        <f>QS.INSTRUMENT.SWAP("swap.268",C270,H270,B270,"USD","SOFR",I270,J270,0,"Actual360","Simple","Annual","Annual","Annual")</f>
        <v/>
      </c>
      <c r="F270" s="8">
        <f>QS.TRADE.CREATE("trade.268",C270,E270,A270,"Receive")</f>
        <v/>
      </c>
      <c r="G270" s="5"/>
      <c r="H270" s="7" t="s">
        <v>581</v>
      </c>
      <c r="I270" s="9">
        <v>1026800</v>
      </c>
      <c r="J270" s="10">
        <v>0.03680000000000001</v>
      </c>
    </row>
    <row r="271" spans="1:10">
      <c r="A271" s="7" t="s">
        <v>569</v>
      </c>
      <c r="B271" s="7" t="s">
        <v>582</v>
      </c>
      <c r="C271" s="8">
        <f>QS.CONTEXT.CREATE("market.269",A271,"USD","SOFR")</f>
        <v/>
      </c>
      <c r="D271" s="8">
        <f>QS.CONTEXT.ADD.CURVE(C271,"SOFR",$K$2:$K$7,$L$2:$L$7,,,"Actual360","LogLinear",TRUE)</f>
        <v/>
      </c>
      <c r="E271" s="8">
        <f>QS.INSTRUMENT.SWAP("swap.269",C271,H271,B271,"USD","SOFR",I271,J271,0,"Actual360","Simple","Annual","Annual","Annual")</f>
        <v/>
      </c>
      <c r="F271" s="8">
        <f>QS.TRADE.CREATE("trade.269",C271,E271,A271,"Receive")</f>
        <v/>
      </c>
      <c r="G271" s="5"/>
      <c r="H271" s="7" t="s">
        <v>583</v>
      </c>
      <c r="I271" s="9">
        <v>1026900</v>
      </c>
      <c r="J271" s="10">
        <v>0.0369</v>
      </c>
    </row>
    <row r="272" spans="1:10">
      <c r="A272" s="7" t="s">
        <v>571</v>
      </c>
      <c r="B272" s="7" t="s">
        <v>584</v>
      </c>
      <c r="C272" s="8">
        <f>QS.CONTEXT.CREATE("market.270",A272,"USD","SOFR")</f>
        <v/>
      </c>
      <c r="D272" s="8">
        <f>QS.CONTEXT.ADD.CURVE(C272,"SOFR",$K$2:$K$7,$L$2:$L$7,,,"Actual360","LogLinear",TRUE)</f>
        <v/>
      </c>
      <c r="E272" s="8">
        <f>QS.INSTRUMENT.SWAP("swap.270",C272,H272,B272,"USD","SOFR",I272,J272,0,"Actual360","Simple","Annual","Annual","Annual")</f>
        <v/>
      </c>
      <c r="F272" s="8">
        <f>QS.TRADE.CREATE("trade.270",C272,E272,A272,"Receive")</f>
        <v/>
      </c>
      <c r="G272" s="5"/>
      <c r="H272" s="7" t="s">
        <v>585</v>
      </c>
      <c r="I272" s="9">
        <v>1027000</v>
      </c>
      <c r="J272" s="10">
        <v>0.03700000000000001</v>
      </c>
    </row>
    <row r="273" spans="1:10">
      <c r="A273" s="7" t="s">
        <v>573</v>
      </c>
      <c r="B273" s="7" t="s">
        <v>586</v>
      </c>
      <c r="C273" s="8">
        <f>QS.CONTEXT.CREATE("market.271",A273,"USD","SOFR")</f>
        <v/>
      </c>
      <c r="D273" s="8">
        <f>QS.CONTEXT.ADD.CURVE(C273,"SOFR",$K$2:$K$7,$L$2:$L$7,,,"Actual360","LogLinear",TRUE)</f>
        <v/>
      </c>
      <c r="E273" s="8">
        <f>QS.INSTRUMENT.SWAP("swap.271",C273,H273,B273,"USD","SOFR",I273,J273,0,"Actual360","Simple","Annual","Annual","Annual")</f>
        <v/>
      </c>
      <c r="F273" s="8">
        <f>QS.TRADE.CREATE("trade.271",C273,E273,A273,"Receive")</f>
        <v/>
      </c>
      <c r="G273" s="5"/>
      <c r="H273" s="7" t="s">
        <v>587</v>
      </c>
      <c r="I273" s="9">
        <v>1027100</v>
      </c>
      <c r="J273" s="10">
        <v>0.0371</v>
      </c>
    </row>
    <row r="274" spans="1:10">
      <c r="A274" s="7" t="s">
        <v>575</v>
      </c>
      <c r="B274" s="7" t="s">
        <v>588</v>
      </c>
      <c r="C274" s="8">
        <f>QS.CONTEXT.CREATE("market.272",A274,"USD","SOFR")</f>
        <v/>
      </c>
      <c r="D274" s="8">
        <f>QS.CONTEXT.ADD.CURVE(C274,"SOFR",$K$2:$K$7,$L$2:$L$7,,,"Actual360","LogLinear",TRUE)</f>
        <v/>
      </c>
      <c r="E274" s="8">
        <f>QS.INSTRUMENT.SWAP("swap.272",C274,H274,B274,"USD","SOFR",I274,J274,0,"Actual360","Simple","Annual","Annual","Annual")</f>
        <v/>
      </c>
      <c r="F274" s="8">
        <f>QS.TRADE.CREATE("trade.272",C274,E274,A274,"Receive")</f>
        <v/>
      </c>
      <c r="G274" s="5"/>
      <c r="H274" s="7" t="s">
        <v>589</v>
      </c>
      <c r="I274" s="9">
        <v>1027200</v>
      </c>
      <c r="J274" s="10">
        <v>0.0372</v>
      </c>
    </row>
    <row r="275" spans="1:10">
      <c r="A275" s="7" t="s">
        <v>577</v>
      </c>
      <c r="B275" s="7" t="s">
        <v>590</v>
      </c>
      <c r="C275" s="8">
        <f>QS.CONTEXT.CREATE("market.273",A275,"USD","SOFR")</f>
        <v/>
      </c>
      <c r="D275" s="8">
        <f>QS.CONTEXT.ADD.CURVE(C275,"SOFR",$K$2:$K$7,$L$2:$L$7,,,"Actual360","LogLinear",TRUE)</f>
        <v/>
      </c>
      <c r="E275" s="8">
        <f>QS.INSTRUMENT.SWAP("swap.273",C275,H275,B275,"USD","SOFR",I275,J275,0,"Actual360","Simple","Annual","Annual","Annual")</f>
        <v/>
      </c>
      <c r="F275" s="8">
        <f>QS.TRADE.CREATE("trade.273",C275,E275,A275,"Receive")</f>
        <v/>
      </c>
      <c r="G275" s="5"/>
      <c r="H275" s="7" t="s">
        <v>591</v>
      </c>
      <c r="I275" s="9">
        <v>1027300</v>
      </c>
      <c r="J275" s="10">
        <v>0.0373</v>
      </c>
    </row>
    <row r="276" spans="1:10">
      <c r="A276" s="7" t="s">
        <v>579</v>
      </c>
      <c r="B276" s="7" t="s">
        <v>592</v>
      </c>
      <c r="C276" s="8">
        <f>QS.CONTEXT.CREATE("market.274",A276,"USD","SOFR")</f>
        <v/>
      </c>
      <c r="D276" s="8">
        <f>QS.CONTEXT.ADD.CURVE(C276,"SOFR",$K$2:$K$7,$L$2:$L$7,,,"Actual360","LogLinear",TRUE)</f>
        <v/>
      </c>
      <c r="E276" s="8">
        <f>QS.INSTRUMENT.SWAP("swap.274",C276,H276,B276,"USD","SOFR",I276,J276,0,"Actual360","Simple","Annual","Annual","Annual")</f>
        <v/>
      </c>
      <c r="F276" s="8">
        <f>QS.TRADE.CREATE("trade.274",C276,E276,A276,"Receive")</f>
        <v/>
      </c>
      <c r="G276" s="5"/>
      <c r="H276" s="7" t="s">
        <v>593</v>
      </c>
      <c r="I276" s="9">
        <v>1027400</v>
      </c>
      <c r="J276" s="10">
        <v>0.0374</v>
      </c>
    </row>
    <row r="277" spans="1:10">
      <c r="A277" s="7" t="s">
        <v>581</v>
      </c>
      <c r="B277" s="7" t="s">
        <v>594</v>
      </c>
      <c r="C277" s="8">
        <f>QS.CONTEXT.CREATE("market.275",A277,"USD","SOFR")</f>
        <v/>
      </c>
      <c r="D277" s="8">
        <f>QS.CONTEXT.ADD.CURVE(C277,"SOFR",$K$2:$K$7,$L$2:$L$7,,,"Actual360","LogLinear",TRUE)</f>
        <v/>
      </c>
      <c r="E277" s="8">
        <f>QS.INSTRUMENT.SWAP("swap.275",C277,H277,B277,"USD","SOFR",I277,J277,0,"Actual360","Simple","Annual","Annual","Annual")</f>
        <v/>
      </c>
      <c r="F277" s="8">
        <f>QS.TRADE.CREATE("trade.275",C277,E277,A277,"Receive")</f>
        <v/>
      </c>
      <c r="G277" s="5"/>
      <c r="H277" s="7" t="s">
        <v>595</v>
      </c>
      <c r="I277" s="9">
        <v>1027500</v>
      </c>
      <c r="J277" s="10">
        <v>0.03750000000000001</v>
      </c>
    </row>
    <row r="278" spans="1:10">
      <c r="A278" s="7" t="s">
        <v>583</v>
      </c>
      <c r="B278" s="7" t="s">
        <v>596</v>
      </c>
      <c r="C278" s="8">
        <f>QS.CONTEXT.CREATE("market.276",A278,"USD","SOFR")</f>
        <v/>
      </c>
      <c r="D278" s="8">
        <f>QS.CONTEXT.ADD.CURVE(C278,"SOFR",$K$2:$K$7,$L$2:$L$7,,,"Actual360","LogLinear",TRUE)</f>
        <v/>
      </c>
      <c r="E278" s="8">
        <f>QS.INSTRUMENT.SWAP("swap.276",C278,H278,B278,"USD","SOFR",I278,J278,0,"Actual360","Simple","Annual","Annual","Annual")</f>
        <v/>
      </c>
      <c r="F278" s="8">
        <f>QS.TRADE.CREATE("trade.276",C278,E278,A278,"Receive")</f>
        <v/>
      </c>
      <c r="G278" s="5"/>
      <c r="H278" s="7" t="s">
        <v>597</v>
      </c>
      <c r="I278" s="9">
        <v>1027600</v>
      </c>
      <c r="J278" s="10">
        <v>0.0376</v>
      </c>
    </row>
    <row r="279" spans="1:10">
      <c r="A279" s="7" t="s">
        <v>585</v>
      </c>
      <c r="B279" s="7" t="s">
        <v>598</v>
      </c>
      <c r="C279" s="8">
        <f>QS.CONTEXT.CREATE("market.277",A279,"USD","SOFR")</f>
        <v/>
      </c>
      <c r="D279" s="8">
        <f>QS.CONTEXT.ADD.CURVE(C279,"SOFR",$K$2:$K$7,$L$2:$L$7,,,"Actual360","LogLinear",TRUE)</f>
        <v/>
      </c>
      <c r="E279" s="8">
        <f>QS.INSTRUMENT.SWAP("swap.277",C279,H279,B279,"USD","SOFR",I279,J279,0,"Actual360","Simple","Annual","Annual","Annual")</f>
        <v/>
      </c>
      <c r="F279" s="8">
        <f>QS.TRADE.CREATE("trade.277",C279,E279,A279,"Receive")</f>
        <v/>
      </c>
      <c r="G279" s="5"/>
      <c r="H279" s="7" t="s">
        <v>599</v>
      </c>
      <c r="I279" s="9">
        <v>1027700</v>
      </c>
      <c r="J279" s="10">
        <v>0.0377</v>
      </c>
    </row>
    <row r="280" spans="1:10">
      <c r="A280" s="7" t="s">
        <v>587</v>
      </c>
      <c r="B280" s="7" t="s">
        <v>600</v>
      </c>
      <c r="C280" s="8">
        <f>QS.CONTEXT.CREATE("market.278",A280,"USD","SOFR")</f>
        <v/>
      </c>
      <c r="D280" s="8">
        <f>QS.CONTEXT.ADD.CURVE(C280,"SOFR",$K$2:$K$7,$L$2:$L$7,,,"Actual360","LogLinear",TRUE)</f>
        <v/>
      </c>
      <c r="E280" s="8">
        <f>QS.INSTRUMENT.SWAP("swap.278",C280,H280,B280,"USD","SOFR",I280,J280,0,"Actual360","Simple","Annual","Annual","Annual")</f>
        <v/>
      </c>
      <c r="F280" s="8">
        <f>QS.TRADE.CREATE("trade.278",C280,E280,A280,"Receive")</f>
        <v/>
      </c>
      <c r="G280" s="5"/>
      <c r="H280" s="7" t="s">
        <v>601</v>
      </c>
      <c r="I280" s="9">
        <v>1027800</v>
      </c>
      <c r="J280" s="10">
        <v>0.0378</v>
      </c>
    </row>
    <row r="281" spans="1:10">
      <c r="A281" s="7" t="s">
        <v>589</v>
      </c>
      <c r="B281" s="7" t="s">
        <v>602</v>
      </c>
      <c r="C281" s="8">
        <f>QS.CONTEXT.CREATE("market.279",A281,"USD","SOFR")</f>
        <v/>
      </c>
      <c r="D281" s="8">
        <f>QS.CONTEXT.ADD.CURVE(C281,"SOFR",$K$2:$K$7,$L$2:$L$7,,,"Actual360","LogLinear",TRUE)</f>
        <v/>
      </c>
      <c r="E281" s="8">
        <f>QS.INSTRUMENT.SWAP("swap.279",C281,H281,B281,"USD","SOFR",I281,J281,0,"Actual360","Simple","Annual","Annual","Annual")</f>
        <v/>
      </c>
      <c r="F281" s="8">
        <f>QS.TRADE.CREATE("trade.279",C281,E281,A281,"Receive")</f>
        <v/>
      </c>
      <c r="G281" s="5"/>
      <c r="H281" s="7" t="s">
        <v>603</v>
      </c>
      <c r="I281" s="9">
        <v>1027900</v>
      </c>
      <c r="J281" s="10">
        <v>0.0379</v>
      </c>
    </row>
    <row r="282" spans="1:10">
      <c r="A282" s="7" t="s">
        <v>591</v>
      </c>
      <c r="B282" s="7" t="s">
        <v>604</v>
      </c>
      <c r="C282" s="8">
        <f>QS.CONTEXT.CREATE("market.280",A282,"USD","SOFR")</f>
        <v/>
      </c>
      <c r="D282" s="8">
        <f>QS.CONTEXT.ADD.CURVE(C282,"SOFR",$K$2:$K$7,$L$2:$L$7,,,"Actual360","LogLinear",TRUE)</f>
        <v/>
      </c>
      <c r="E282" s="8">
        <f>QS.INSTRUMENT.SWAP("swap.280",C282,H282,B282,"USD","SOFR",I282,J282,0,"Actual360","Simple","Annual","Annual","Annual")</f>
        <v/>
      </c>
      <c r="F282" s="8">
        <f>QS.TRADE.CREATE("trade.280",C282,E282,A282,"Receive")</f>
        <v/>
      </c>
      <c r="G282" s="5"/>
      <c r="H282" s="7" t="s">
        <v>605</v>
      </c>
      <c r="I282" s="9">
        <v>1028000</v>
      </c>
      <c r="J282" s="10">
        <v>0.03800000000000001</v>
      </c>
    </row>
    <row r="283" spans="1:10">
      <c r="A283" s="7" t="s">
        <v>593</v>
      </c>
      <c r="B283" s="7" t="s">
        <v>606</v>
      </c>
      <c r="C283" s="8">
        <f>QS.CONTEXT.CREATE("market.281",A283,"USD","SOFR")</f>
        <v/>
      </c>
      <c r="D283" s="8">
        <f>QS.CONTEXT.ADD.CURVE(C283,"SOFR",$K$2:$K$7,$L$2:$L$7,,,"Actual360","LogLinear",TRUE)</f>
        <v/>
      </c>
      <c r="E283" s="8">
        <f>QS.INSTRUMENT.SWAP("swap.281",C283,H283,B283,"USD","SOFR",I283,J283,0,"Actual360","Simple","Annual","Annual","Annual")</f>
        <v/>
      </c>
      <c r="F283" s="8">
        <f>QS.TRADE.CREATE("trade.281",C283,E283,A283,"Receive")</f>
        <v/>
      </c>
      <c r="G283" s="5"/>
      <c r="H283" s="7" t="s">
        <v>607</v>
      </c>
      <c r="I283" s="9">
        <v>1028100</v>
      </c>
      <c r="J283" s="10">
        <v>0.0381</v>
      </c>
    </row>
    <row r="284" spans="1:10">
      <c r="A284" s="7" t="s">
        <v>595</v>
      </c>
      <c r="B284" s="7" t="s">
        <v>608</v>
      </c>
      <c r="C284" s="8">
        <f>QS.CONTEXT.CREATE("market.282",A284,"USD","SOFR")</f>
        <v/>
      </c>
      <c r="D284" s="8">
        <f>QS.CONTEXT.ADD.CURVE(C284,"SOFR",$K$2:$K$7,$L$2:$L$7,,,"Actual360","LogLinear",TRUE)</f>
        <v/>
      </c>
      <c r="E284" s="8">
        <f>QS.INSTRUMENT.SWAP("swap.282",C284,H284,B284,"USD","SOFR",I284,J284,0,"Actual360","Simple","Annual","Annual","Annual")</f>
        <v/>
      </c>
      <c r="F284" s="8">
        <f>QS.TRADE.CREATE("trade.282",C284,E284,A284,"Receive")</f>
        <v/>
      </c>
      <c r="G284" s="5"/>
      <c r="H284" s="7" t="s">
        <v>609</v>
      </c>
      <c r="I284" s="9">
        <v>1028200</v>
      </c>
      <c r="J284" s="10">
        <v>0.0382</v>
      </c>
    </row>
    <row r="285" spans="1:10">
      <c r="A285" s="7" t="s">
        <v>597</v>
      </c>
      <c r="B285" s="7" t="s">
        <v>610</v>
      </c>
      <c r="C285" s="8">
        <f>QS.CONTEXT.CREATE("market.283",A285,"USD","SOFR")</f>
        <v/>
      </c>
      <c r="D285" s="8">
        <f>QS.CONTEXT.ADD.CURVE(C285,"SOFR",$K$2:$K$7,$L$2:$L$7,,,"Actual360","LogLinear",TRUE)</f>
        <v/>
      </c>
      <c r="E285" s="8">
        <f>QS.INSTRUMENT.SWAP("swap.283",C285,H285,B285,"USD","SOFR",I285,J285,0,"Actual360","Simple","Annual","Annual","Annual")</f>
        <v/>
      </c>
      <c r="F285" s="8">
        <f>QS.TRADE.CREATE("trade.283",C285,E285,A285,"Receive")</f>
        <v/>
      </c>
      <c r="G285" s="5"/>
      <c r="H285" s="7" t="s">
        <v>611</v>
      </c>
      <c r="I285" s="9">
        <v>1028300</v>
      </c>
      <c r="J285" s="10">
        <v>0.0383</v>
      </c>
    </row>
    <row r="286" spans="1:10">
      <c r="A286" s="7" t="s">
        <v>599</v>
      </c>
      <c r="B286" s="7" t="s">
        <v>612</v>
      </c>
      <c r="C286" s="8">
        <f>QS.CONTEXT.CREATE("market.284",A286,"USD","SOFR")</f>
        <v/>
      </c>
      <c r="D286" s="8">
        <f>QS.CONTEXT.ADD.CURVE(C286,"SOFR",$K$2:$K$7,$L$2:$L$7,,,"Actual360","LogLinear",TRUE)</f>
        <v/>
      </c>
      <c r="E286" s="8">
        <f>QS.INSTRUMENT.SWAP("swap.284",C286,H286,B286,"USD","SOFR",I286,J286,0,"Actual360","Simple","Annual","Annual","Annual")</f>
        <v/>
      </c>
      <c r="F286" s="8">
        <f>QS.TRADE.CREATE("trade.284",C286,E286,A286,"Receive")</f>
        <v/>
      </c>
      <c r="G286" s="5"/>
      <c r="H286" s="7" t="s">
        <v>613</v>
      </c>
      <c r="I286" s="9">
        <v>1028400</v>
      </c>
      <c r="J286" s="10">
        <v>0.0384</v>
      </c>
    </row>
    <row r="287" spans="1:10">
      <c r="A287" s="7" t="s">
        <v>601</v>
      </c>
      <c r="B287" s="7" t="s">
        <v>614</v>
      </c>
      <c r="C287" s="8">
        <f>QS.CONTEXT.CREATE("market.285",A287,"USD","SOFR")</f>
        <v/>
      </c>
      <c r="D287" s="8">
        <f>QS.CONTEXT.ADD.CURVE(C287,"SOFR",$K$2:$K$7,$L$2:$L$7,,,"Actual360","LogLinear",TRUE)</f>
        <v/>
      </c>
      <c r="E287" s="8">
        <f>QS.INSTRUMENT.SWAP("swap.285",C287,H287,B287,"USD","SOFR",I287,J287,0,"Actual360","Simple","Annual","Annual","Annual")</f>
        <v/>
      </c>
      <c r="F287" s="8">
        <f>QS.TRADE.CREATE("trade.285",C287,E287,A287,"Receive")</f>
        <v/>
      </c>
      <c r="G287" s="5"/>
      <c r="H287" s="7" t="s">
        <v>615</v>
      </c>
      <c r="I287" s="9">
        <v>1028500</v>
      </c>
      <c r="J287" s="10">
        <v>0.03850000000000001</v>
      </c>
    </row>
    <row r="288" spans="1:10">
      <c r="A288" s="7" t="s">
        <v>603</v>
      </c>
      <c r="B288" s="7" t="s">
        <v>616</v>
      </c>
      <c r="C288" s="8">
        <f>QS.CONTEXT.CREATE("market.286",A288,"USD","SOFR")</f>
        <v/>
      </c>
      <c r="D288" s="8">
        <f>QS.CONTEXT.ADD.CURVE(C288,"SOFR",$K$2:$K$7,$L$2:$L$7,,,"Actual360","LogLinear",TRUE)</f>
        <v/>
      </c>
      <c r="E288" s="8">
        <f>QS.INSTRUMENT.SWAP("swap.286",C288,H288,B288,"USD","SOFR",I288,J288,0,"Actual360","Simple","Annual","Annual","Annual")</f>
        <v/>
      </c>
      <c r="F288" s="8">
        <f>QS.TRADE.CREATE("trade.286",C288,E288,A288,"Receive")</f>
        <v/>
      </c>
      <c r="G288" s="5"/>
      <c r="H288" s="7" t="s">
        <v>617</v>
      </c>
      <c r="I288" s="9">
        <v>1028600</v>
      </c>
      <c r="J288" s="10">
        <v>0.0386</v>
      </c>
    </row>
    <row r="289" spans="1:10">
      <c r="A289" s="7" t="s">
        <v>605</v>
      </c>
      <c r="B289" s="7" t="s">
        <v>618</v>
      </c>
      <c r="C289" s="8">
        <f>QS.CONTEXT.CREATE("market.287",A289,"USD","SOFR")</f>
        <v/>
      </c>
      <c r="D289" s="8">
        <f>QS.CONTEXT.ADD.CURVE(C289,"SOFR",$K$2:$K$7,$L$2:$L$7,,,"Actual360","LogLinear",TRUE)</f>
        <v/>
      </c>
      <c r="E289" s="8">
        <f>QS.INSTRUMENT.SWAP("swap.287",C289,H289,B289,"USD","SOFR",I289,J289,0,"Actual360","Simple","Annual","Annual","Annual")</f>
        <v/>
      </c>
      <c r="F289" s="8">
        <f>QS.TRADE.CREATE("trade.287",C289,E289,A289,"Receive")</f>
        <v/>
      </c>
      <c r="G289" s="5"/>
      <c r="H289" s="7" t="s">
        <v>619</v>
      </c>
      <c r="I289" s="9">
        <v>1028700</v>
      </c>
      <c r="J289" s="10">
        <v>0.03870000000000001</v>
      </c>
    </row>
    <row r="290" spans="1:10">
      <c r="A290" s="7" t="s">
        <v>607</v>
      </c>
      <c r="B290" s="7" t="s">
        <v>620</v>
      </c>
      <c r="C290" s="8">
        <f>QS.CONTEXT.CREATE("market.288",A290,"USD","SOFR")</f>
        <v/>
      </c>
      <c r="D290" s="8">
        <f>QS.CONTEXT.ADD.CURVE(C290,"SOFR",$K$2:$K$7,$L$2:$L$7,,,"Actual360","LogLinear",TRUE)</f>
        <v/>
      </c>
      <c r="E290" s="8">
        <f>QS.INSTRUMENT.SWAP("swap.288",C290,H290,B290,"USD","SOFR",I290,J290,0,"Actual360","Simple","Annual","Annual","Annual")</f>
        <v/>
      </c>
      <c r="F290" s="8">
        <f>QS.TRADE.CREATE("trade.288",C290,E290,A290,"Receive")</f>
        <v/>
      </c>
      <c r="G290" s="5"/>
      <c r="H290" s="7" t="s">
        <v>621</v>
      </c>
      <c r="I290" s="9">
        <v>1028800</v>
      </c>
      <c r="J290" s="10">
        <v>0.0388</v>
      </c>
    </row>
    <row r="291" spans="1:10">
      <c r="A291" s="7" t="s">
        <v>609</v>
      </c>
      <c r="B291" s="7" t="s">
        <v>622</v>
      </c>
      <c r="C291" s="8">
        <f>QS.CONTEXT.CREATE("market.289",A291,"USD","SOFR")</f>
        <v/>
      </c>
      <c r="D291" s="8">
        <f>QS.CONTEXT.ADD.CURVE(C291,"SOFR",$K$2:$K$7,$L$2:$L$7,,,"Actual360","LogLinear",TRUE)</f>
        <v/>
      </c>
      <c r="E291" s="8">
        <f>QS.INSTRUMENT.SWAP("swap.289",C291,H291,B291,"USD","SOFR",I291,J291,0,"Actual360","Simple","Annual","Annual","Annual")</f>
        <v/>
      </c>
      <c r="F291" s="8">
        <f>QS.TRADE.CREATE("trade.289",C291,E291,A291,"Receive")</f>
        <v/>
      </c>
      <c r="G291" s="5"/>
      <c r="H291" s="7" t="s">
        <v>623</v>
      </c>
      <c r="I291" s="9">
        <v>1028900</v>
      </c>
      <c r="J291" s="10">
        <v>0.0389</v>
      </c>
    </row>
    <row r="292" spans="1:10">
      <c r="A292" s="7" t="s">
        <v>611</v>
      </c>
      <c r="B292" s="7" t="s">
        <v>624</v>
      </c>
      <c r="C292" s="8">
        <f>QS.CONTEXT.CREATE("market.290",A292,"USD","SOFR")</f>
        <v/>
      </c>
      <c r="D292" s="8">
        <f>QS.CONTEXT.ADD.CURVE(C292,"SOFR",$K$2:$K$7,$L$2:$L$7,,,"Actual360","LogLinear",TRUE)</f>
        <v/>
      </c>
      <c r="E292" s="8">
        <f>QS.INSTRUMENT.SWAP("swap.290",C292,H292,B292,"USD","SOFR",I292,J292,0,"Actual360","Simple","Annual","Annual","Annual")</f>
        <v/>
      </c>
      <c r="F292" s="8">
        <f>QS.TRADE.CREATE("trade.290",C292,E292,A292,"Receive")</f>
        <v/>
      </c>
      <c r="G292" s="5"/>
      <c r="H292" s="7" t="s">
        <v>625</v>
      </c>
      <c r="I292" s="9">
        <v>1029000</v>
      </c>
      <c r="J292" s="10">
        <v>0.03900000000000001</v>
      </c>
    </row>
    <row r="293" spans="1:10">
      <c r="A293" s="7" t="s">
        <v>613</v>
      </c>
      <c r="B293" s="7" t="s">
        <v>626</v>
      </c>
      <c r="C293" s="8">
        <f>QS.CONTEXT.CREATE("market.291",A293,"USD","SOFR")</f>
        <v/>
      </c>
      <c r="D293" s="8">
        <f>QS.CONTEXT.ADD.CURVE(C293,"SOFR",$K$2:$K$7,$L$2:$L$7,,,"Actual360","LogLinear",TRUE)</f>
        <v/>
      </c>
      <c r="E293" s="8">
        <f>QS.INSTRUMENT.SWAP("swap.291",C293,H293,B293,"USD","SOFR",I293,J293,0,"Actual360","Simple","Annual","Annual","Annual")</f>
        <v/>
      </c>
      <c r="F293" s="8">
        <f>QS.TRADE.CREATE("trade.291",C293,E293,A293,"Receive")</f>
        <v/>
      </c>
      <c r="G293" s="5"/>
      <c r="H293" s="7" t="s">
        <v>627</v>
      </c>
      <c r="I293" s="9">
        <v>1029100</v>
      </c>
      <c r="J293" s="10">
        <v>0.0391</v>
      </c>
    </row>
    <row r="294" spans="1:10">
      <c r="A294" s="7" t="s">
        <v>615</v>
      </c>
      <c r="B294" s="7" t="s">
        <v>628</v>
      </c>
      <c r="C294" s="8">
        <f>QS.CONTEXT.CREATE("market.292",A294,"USD","SOFR")</f>
        <v/>
      </c>
      <c r="D294" s="8">
        <f>QS.CONTEXT.ADD.CURVE(C294,"SOFR",$K$2:$K$7,$L$2:$L$7,,,"Actual360","LogLinear",TRUE)</f>
        <v/>
      </c>
      <c r="E294" s="8">
        <f>QS.INSTRUMENT.SWAP("swap.292",C294,H294,B294,"USD","SOFR",I294,J294,0,"Actual360","Simple","Annual","Annual","Annual")</f>
        <v/>
      </c>
      <c r="F294" s="8">
        <f>QS.TRADE.CREATE("trade.292",C294,E294,A294,"Receive")</f>
        <v/>
      </c>
      <c r="G294" s="5"/>
      <c r="H294" s="7" t="s">
        <v>629</v>
      </c>
      <c r="I294" s="9">
        <v>1029200</v>
      </c>
      <c r="J294" s="10">
        <v>0.03920000000000001</v>
      </c>
    </row>
    <row r="295" spans="1:10">
      <c r="A295" s="7" t="s">
        <v>617</v>
      </c>
      <c r="B295" s="7" t="s">
        <v>630</v>
      </c>
      <c r="C295" s="8">
        <f>QS.CONTEXT.CREATE("market.293",A295,"USD","SOFR")</f>
        <v/>
      </c>
      <c r="D295" s="8">
        <f>QS.CONTEXT.ADD.CURVE(C295,"SOFR",$K$2:$K$7,$L$2:$L$7,,,"Actual360","LogLinear",TRUE)</f>
        <v/>
      </c>
      <c r="E295" s="8">
        <f>QS.INSTRUMENT.SWAP("swap.293",C295,H295,B295,"USD","SOFR",I295,J295,0,"Actual360","Simple","Annual","Annual","Annual")</f>
        <v/>
      </c>
      <c r="F295" s="8">
        <f>QS.TRADE.CREATE("trade.293",C295,E295,A295,"Receive")</f>
        <v/>
      </c>
      <c r="G295" s="5"/>
      <c r="H295" s="7" t="s">
        <v>631</v>
      </c>
      <c r="I295" s="9">
        <v>1029300</v>
      </c>
      <c r="J295" s="10">
        <v>0.0393</v>
      </c>
    </row>
    <row r="296" spans="1:10">
      <c r="A296" s="7" t="s">
        <v>619</v>
      </c>
      <c r="B296" s="7" t="s">
        <v>632</v>
      </c>
      <c r="C296" s="8">
        <f>QS.CONTEXT.CREATE("market.294",A296,"USD","SOFR")</f>
        <v/>
      </c>
      <c r="D296" s="8">
        <f>QS.CONTEXT.ADD.CURVE(C296,"SOFR",$K$2:$K$7,$L$2:$L$7,,,"Actual360","LogLinear",TRUE)</f>
        <v/>
      </c>
      <c r="E296" s="8">
        <f>QS.INSTRUMENT.SWAP("swap.294",C296,H296,B296,"USD","SOFR",I296,J296,0,"Actual360","Simple","Annual","Annual","Annual")</f>
        <v/>
      </c>
      <c r="F296" s="8">
        <f>QS.TRADE.CREATE("trade.294",C296,E296,A296,"Receive")</f>
        <v/>
      </c>
      <c r="G296" s="5"/>
      <c r="H296" s="7" t="s">
        <v>633</v>
      </c>
      <c r="I296" s="9">
        <v>1029400</v>
      </c>
      <c r="J296" s="10">
        <v>0.0394</v>
      </c>
    </row>
    <row r="297" spans="1:10">
      <c r="A297" s="7" t="s">
        <v>621</v>
      </c>
      <c r="B297" s="7" t="s">
        <v>634</v>
      </c>
      <c r="C297" s="8">
        <f>QS.CONTEXT.CREATE("market.295",A297,"USD","SOFR")</f>
        <v/>
      </c>
      <c r="D297" s="8">
        <f>QS.CONTEXT.ADD.CURVE(C297,"SOFR",$K$2:$K$7,$L$2:$L$7,,,"Actual360","LogLinear",TRUE)</f>
        <v/>
      </c>
      <c r="E297" s="8">
        <f>QS.INSTRUMENT.SWAP("swap.295",C297,H297,B297,"USD","SOFR",I297,J297,0,"Actual360","Simple","Annual","Annual","Annual")</f>
        <v/>
      </c>
      <c r="F297" s="8">
        <f>QS.TRADE.CREATE("trade.295",C297,E297,A297,"Receive")</f>
        <v/>
      </c>
      <c r="G297" s="5"/>
      <c r="H297" s="7" t="s">
        <v>635</v>
      </c>
      <c r="I297" s="9">
        <v>1029500</v>
      </c>
      <c r="J297" s="10">
        <v>0.03950000000000001</v>
      </c>
    </row>
    <row r="298" spans="1:10">
      <c r="A298" s="7" t="s">
        <v>623</v>
      </c>
      <c r="B298" s="7" t="s">
        <v>636</v>
      </c>
      <c r="C298" s="8">
        <f>QS.CONTEXT.CREATE("market.296",A298,"USD","SOFR")</f>
        <v/>
      </c>
      <c r="D298" s="8">
        <f>QS.CONTEXT.ADD.CURVE(C298,"SOFR",$K$2:$K$7,$L$2:$L$7,,,"Actual360","LogLinear",TRUE)</f>
        <v/>
      </c>
      <c r="E298" s="8">
        <f>QS.INSTRUMENT.SWAP("swap.296",C298,H298,B298,"USD","SOFR",I298,J298,0,"Actual360","Simple","Annual","Annual","Annual")</f>
        <v/>
      </c>
      <c r="F298" s="8">
        <f>QS.TRADE.CREATE("trade.296",C298,E298,A298,"Receive")</f>
        <v/>
      </c>
      <c r="G298" s="5"/>
      <c r="H298" s="7" t="s">
        <v>637</v>
      </c>
      <c r="I298" s="9">
        <v>1029600</v>
      </c>
      <c r="J298" s="10">
        <v>0.0396</v>
      </c>
    </row>
    <row r="299" spans="1:10">
      <c r="A299" s="7" t="s">
        <v>625</v>
      </c>
      <c r="B299" s="7" t="s">
        <v>638</v>
      </c>
      <c r="C299" s="8">
        <f>QS.CONTEXT.CREATE("market.297",A299,"USD","SOFR")</f>
        <v/>
      </c>
      <c r="D299" s="8">
        <f>QS.CONTEXT.ADD.CURVE(C299,"SOFR",$K$2:$K$7,$L$2:$L$7,,,"Actual360","LogLinear",TRUE)</f>
        <v/>
      </c>
      <c r="E299" s="8">
        <f>QS.INSTRUMENT.SWAP("swap.297",C299,H299,B299,"USD","SOFR",I299,J299,0,"Actual360","Simple","Annual","Annual","Annual")</f>
        <v/>
      </c>
      <c r="F299" s="8">
        <f>QS.TRADE.CREATE("trade.297",C299,E299,A299,"Receive")</f>
        <v/>
      </c>
      <c r="G299" s="5"/>
      <c r="H299" s="7" t="s">
        <v>639</v>
      </c>
      <c r="I299" s="9">
        <v>1029700</v>
      </c>
      <c r="J299" s="10">
        <v>0.03970000000000001</v>
      </c>
    </row>
    <row r="300" spans="1:10">
      <c r="A300" s="7" t="s">
        <v>627</v>
      </c>
      <c r="B300" s="7" t="s">
        <v>640</v>
      </c>
      <c r="C300" s="8">
        <f>QS.CONTEXT.CREATE("market.298",A300,"USD","SOFR")</f>
        <v/>
      </c>
      <c r="D300" s="8">
        <f>QS.CONTEXT.ADD.CURVE(C300,"SOFR",$K$2:$K$7,$L$2:$L$7,,,"Actual360","LogLinear",TRUE)</f>
        <v/>
      </c>
      <c r="E300" s="8">
        <f>QS.INSTRUMENT.SWAP("swap.298",C300,H300,B300,"USD","SOFR",I300,J300,0,"Actual360","Simple","Annual","Annual","Annual")</f>
        <v/>
      </c>
      <c r="F300" s="8">
        <f>QS.TRADE.CREATE("trade.298",C300,E300,A300,"Receive")</f>
        <v/>
      </c>
      <c r="G300" s="5"/>
      <c r="H300" s="7" t="s">
        <v>641</v>
      </c>
      <c r="I300" s="9">
        <v>1029800</v>
      </c>
      <c r="J300" s="10">
        <v>0.0398</v>
      </c>
    </row>
    <row r="301" spans="1:10">
      <c r="A301" s="7" t="s">
        <v>629</v>
      </c>
      <c r="B301" s="7" t="s">
        <v>642</v>
      </c>
      <c r="C301" s="8">
        <f>QS.CONTEXT.CREATE("market.299",A301,"USD","SOFR")</f>
        <v/>
      </c>
      <c r="D301" s="8">
        <f>QS.CONTEXT.ADD.CURVE(C301,"SOFR",$K$2:$K$7,$L$2:$L$7,,,"Actual360","LogLinear",TRUE)</f>
        <v/>
      </c>
      <c r="E301" s="8">
        <f>QS.INSTRUMENT.SWAP("swap.299",C301,H301,B301,"USD","SOFR",I301,J301,0,"Actual360","Simple","Annual","Annual","Annual")</f>
        <v/>
      </c>
      <c r="F301" s="8">
        <f>QS.TRADE.CREATE("trade.299",C301,E301,A301,"Receive")</f>
        <v/>
      </c>
      <c r="G301" s="5"/>
      <c r="H301" s="7" t="s">
        <v>643</v>
      </c>
      <c r="I301" s="9">
        <v>1029900</v>
      </c>
      <c r="J301" s="10">
        <v>0.0399</v>
      </c>
    </row>
    <row r="302" spans="1:10">
      <c r="A302" s="7" t="s">
        <v>631</v>
      </c>
      <c r="B302" s="7" t="s">
        <v>644</v>
      </c>
      <c r="C302" s="8">
        <f>QS.CONTEXT.CREATE("market.300",A302,"USD","SOFR")</f>
        <v/>
      </c>
      <c r="D302" s="8">
        <f>QS.CONTEXT.ADD.CURVE(C302,"SOFR",$K$2:$K$7,$L$2:$L$7,,,"Actual360","LogLinear",TRUE)</f>
        <v/>
      </c>
      <c r="E302" s="8">
        <f>QS.INSTRUMENT.SWAP("swap.300",C302,H302,B302,"USD","SOFR",I302,J302,0,"Actual360","Simple","Annual","Annual","Annual")</f>
        <v/>
      </c>
      <c r="F302" s="8">
        <f>QS.TRADE.CREATE("trade.300",C302,E302,A302,"Receive")</f>
        <v/>
      </c>
      <c r="G302" s="5"/>
      <c r="H302" s="7" t="s">
        <v>645</v>
      </c>
      <c r="I302" s="9">
        <v>1030000</v>
      </c>
      <c r="J302" s="10">
        <v>0.035</v>
      </c>
    </row>
    <row r="303" spans="1:10">
      <c r="A303" s="7" t="s">
        <v>633</v>
      </c>
      <c r="B303" s="7" t="s">
        <v>646</v>
      </c>
      <c r="C303" s="8">
        <f>QS.CONTEXT.CREATE("market.301",A303,"USD","SOFR")</f>
        <v/>
      </c>
      <c r="D303" s="8">
        <f>QS.CONTEXT.ADD.CURVE(C303,"SOFR",$K$2:$K$7,$L$2:$L$7,,,"Actual360","LogLinear",TRUE)</f>
        <v/>
      </c>
      <c r="E303" s="8">
        <f>QS.INSTRUMENT.SWAP("swap.301",C303,H303,B303,"USD","SOFR",I303,J303,0,"Actual360","Simple","Annual","Annual","Annual")</f>
        <v/>
      </c>
      <c r="F303" s="8">
        <f>QS.TRADE.CREATE("trade.301",C303,E303,A303,"Receive")</f>
        <v/>
      </c>
      <c r="G303" s="5"/>
      <c r="H303" s="7" t="s">
        <v>647</v>
      </c>
      <c r="I303" s="9">
        <v>1030100</v>
      </c>
      <c r="J303" s="10">
        <v>0.03510000000000001</v>
      </c>
    </row>
    <row r="304" spans="1:10">
      <c r="A304" s="7" t="s">
        <v>635</v>
      </c>
      <c r="B304" s="7" t="s">
        <v>648</v>
      </c>
      <c r="C304" s="8">
        <f>QS.CONTEXT.CREATE("market.302",A304,"USD","SOFR")</f>
        <v/>
      </c>
      <c r="D304" s="8">
        <f>QS.CONTEXT.ADD.CURVE(C304,"SOFR",$K$2:$K$7,$L$2:$L$7,,,"Actual360","LogLinear",TRUE)</f>
        <v/>
      </c>
      <c r="E304" s="8">
        <f>QS.INSTRUMENT.SWAP("swap.302",C304,H304,B304,"USD","SOFR",I304,J304,0,"Actual360","Simple","Annual","Annual","Annual")</f>
        <v/>
      </c>
      <c r="F304" s="8">
        <f>QS.TRADE.CREATE("trade.302",C304,E304,A304,"Receive")</f>
        <v/>
      </c>
      <c r="G304" s="5"/>
      <c r="H304" s="7" t="s">
        <v>649</v>
      </c>
      <c r="I304" s="9">
        <v>1030200</v>
      </c>
      <c r="J304" s="10">
        <v>0.0352</v>
      </c>
    </row>
    <row r="305" spans="1:10">
      <c r="A305" s="7" t="s">
        <v>637</v>
      </c>
      <c r="B305" s="7" t="s">
        <v>650</v>
      </c>
      <c r="C305" s="8">
        <f>QS.CONTEXT.CREATE("market.303",A305,"USD","SOFR")</f>
        <v/>
      </c>
      <c r="D305" s="8">
        <f>QS.CONTEXT.ADD.CURVE(C305,"SOFR",$K$2:$K$7,$L$2:$L$7,,,"Actual360","LogLinear",TRUE)</f>
        <v/>
      </c>
      <c r="E305" s="8">
        <f>QS.INSTRUMENT.SWAP("swap.303",C305,H305,B305,"USD","SOFR",I305,J305,0,"Actual360","Simple","Annual","Annual","Annual")</f>
        <v/>
      </c>
      <c r="F305" s="8">
        <f>QS.TRADE.CREATE("trade.303",C305,E305,A305,"Receive")</f>
        <v/>
      </c>
      <c r="G305" s="5"/>
      <c r="H305" s="7" t="s">
        <v>651</v>
      </c>
      <c r="I305" s="9">
        <v>1030300</v>
      </c>
      <c r="J305" s="10">
        <v>0.0353</v>
      </c>
    </row>
    <row r="306" spans="1:10">
      <c r="A306" s="7" t="s">
        <v>639</v>
      </c>
      <c r="B306" s="7" t="s">
        <v>652</v>
      </c>
      <c r="C306" s="8">
        <f>QS.CONTEXT.CREATE("market.304",A306,"USD","SOFR")</f>
        <v/>
      </c>
      <c r="D306" s="8">
        <f>QS.CONTEXT.ADD.CURVE(C306,"SOFR",$K$2:$K$7,$L$2:$L$7,,,"Actual360","LogLinear",TRUE)</f>
        <v/>
      </c>
      <c r="E306" s="8">
        <f>QS.INSTRUMENT.SWAP("swap.304",C306,H306,B306,"USD","SOFR",I306,J306,0,"Actual360","Simple","Annual","Annual","Annual")</f>
        <v/>
      </c>
      <c r="F306" s="8">
        <f>QS.TRADE.CREATE("trade.304",C306,E306,A306,"Receive")</f>
        <v/>
      </c>
      <c r="G306" s="5"/>
      <c r="H306" s="7" t="s">
        <v>653</v>
      </c>
      <c r="I306" s="9">
        <v>1030400</v>
      </c>
      <c r="J306" s="10">
        <v>0.0354</v>
      </c>
    </row>
    <row r="307" spans="1:10">
      <c r="A307" s="7" t="s">
        <v>641</v>
      </c>
      <c r="B307" s="7" t="s">
        <v>654</v>
      </c>
      <c r="C307" s="8">
        <f>QS.CONTEXT.CREATE("market.305",A307,"USD","SOFR")</f>
        <v/>
      </c>
      <c r="D307" s="8">
        <f>QS.CONTEXT.ADD.CURVE(C307,"SOFR",$K$2:$K$7,$L$2:$L$7,,,"Actual360","LogLinear",TRUE)</f>
        <v/>
      </c>
      <c r="E307" s="8">
        <f>QS.INSTRUMENT.SWAP("swap.305",C307,H307,B307,"USD","SOFR",I307,J307,0,"Actual360","Simple","Annual","Annual","Annual")</f>
        <v/>
      </c>
      <c r="F307" s="8">
        <f>QS.TRADE.CREATE("trade.305",C307,E307,A307,"Receive")</f>
        <v/>
      </c>
      <c r="G307" s="5"/>
      <c r="H307" s="7" t="s">
        <v>655</v>
      </c>
      <c r="I307" s="9">
        <v>1030500</v>
      </c>
      <c r="J307" s="10">
        <v>0.0355</v>
      </c>
    </row>
    <row r="308" spans="1:10">
      <c r="A308" s="7" t="s">
        <v>643</v>
      </c>
      <c r="B308" s="7" t="s">
        <v>656</v>
      </c>
      <c r="C308" s="8">
        <f>QS.CONTEXT.CREATE("market.306",A308,"USD","SOFR")</f>
        <v/>
      </c>
      <c r="D308" s="8">
        <f>QS.CONTEXT.ADD.CURVE(C308,"SOFR",$K$2:$K$7,$L$2:$L$7,,,"Actual360","LogLinear",TRUE)</f>
        <v/>
      </c>
      <c r="E308" s="8">
        <f>QS.INSTRUMENT.SWAP("swap.306",C308,H308,B308,"USD","SOFR",I308,J308,0,"Actual360","Simple","Annual","Annual","Annual")</f>
        <v/>
      </c>
      <c r="F308" s="8">
        <f>QS.TRADE.CREATE("trade.306",C308,E308,A308,"Receive")</f>
        <v/>
      </c>
      <c r="G308" s="5"/>
      <c r="H308" s="7" t="s">
        <v>657</v>
      </c>
      <c r="I308" s="9">
        <v>1030600</v>
      </c>
      <c r="J308" s="10">
        <v>0.03560000000000001</v>
      </c>
    </row>
    <row r="309" spans="1:10">
      <c r="A309" s="7" t="s">
        <v>645</v>
      </c>
      <c r="B309" s="7" t="s">
        <v>658</v>
      </c>
      <c r="C309" s="8">
        <f>QS.CONTEXT.CREATE("market.307",A309,"USD","SOFR")</f>
        <v/>
      </c>
      <c r="D309" s="8">
        <f>QS.CONTEXT.ADD.CURVE(C309,"SOFR",$K$2:$K$7,$L$2:$L$7,,,"Actual360","LogLinear",TRUE)</f>
        <v/>
      </c>
      <c r="E309" s="8">
        <f>QS.INSTRUMENT.SWAP("swap.307",C309,H309,B309,"USD","SOFR",I309,J309,0,"Actual360","Simple","Annual","Annual","Annual")</f>
        <v/>
      </c>
      <c r="F309" s="8">
        <f>QS.TRADE.CREATE("trade.307",C309,E309,A309,"Receive")</f>
        <v/>
      </c>
      <c r="G309" s="5"/>
      <c r="H309" s="7" t="s">
        <v>659</v>
      </c>
      <c r="I309" s="9">
        <v>1030700</v>
      </c>
      <c r="J309" s="10">
        <v>0.0357</v>
      </c>
    </row>
    <row r="310" spans="1:10">
      <c r="A310" s="7" t="s">
        <v>647</v>
      </c>
      <c r="B310" s="7" t="s">
        <v>660</v>
      </c>
      <c r="C310" s="8">
        <f>QS.CONTEXT.CREATE("market.308",A310,"USD","SOFR")</f>
        <v/>
      </c>
      <c r="D310" s="8">
        <f>QS.CONTEXT.ADD.CURVE(C310,"SOFR",$K$2:$K$7,$L$2:$L$7,,,"Actual360","LogLinear",TRUE)</f>
        <v/>
      </c>
      <c r="E310" s="8">
        <f>QS.INSTRUMENT.SWAP("swap.308",C310,H310,B310,"USD","SOFR",I310,J310,0,"Actual360","Simple","Annual","Annual","Annual")</f>
        <v/>
      </c>
      <c r="F310" s="8">
        <f>QS.TRADE.CREATE("trade.308",C310,E310,A310,"Receive")</f>
        <v/>
      </c>
      <c r="G310" s="5"/>
      <c r="H310" s="7" t="s">
        <v>661</v>
      </c>
      <c r="I310" s="9">
        <v>1030800</v>
      </c>
      <c r="J310" s="10">
        <v>0.03580000000000001</v>
      </c>
    </row>
    <row r="311" spans="1:10">
      <c r="A311" s="7" t="s">
        <v>649</v>
      </c>
      <c r="B311" s="7" t="s">
        <v>662</v>
      </c>
      <c r="C311" s="8">
        <f>QS.CONTEXT.CREATE("market.309",A311,"USD","SOFR")</f>
        <v/>
      </c>
      <c r="D311" s="8">
        <f>QS.CONTEXT.ADD.CURVE(C311,"SOFR",$K$2:$K$7,$L$2:$L$7,,,"Actual360","LogLinear",TRUE)</f>
        <v/>
      </c>
      <c r="E311" s="8">
        <f>QS.INSTRUMENT.SWAP("swap.309",C311,H311,B311,"USD","SOFR",I311,J311,0,"Actual360","Simple","Annual","Annual","Annual")</f>
        <v/>
      </c>
      <c r="F311" s="8">
        <f>QS.TRADE.CREATE("trade.309",C311,E311,A311,"Receive")</f>
        <v/>
      </c>
      <c r="G311" s="5"/>
      <c r="H311" s="7" t="s">
        <v>663</v>
      </c>
      <c r="I311" s="9">
        <v>1030900</v>
      </c>
      <c r="J311" s="10">
        <v>0.0359</v>
      </c>
    </row>
    <row r="312" spans="1:10">
      <c r="A312" s="7" t="s">
        <v>651</v>
      </c>
      <c r="B312" s="7" t="s">
        <v>664</v>
      </c>
      <c r="C312" s="8">
        <f>QS.CONTEXT.CREATE("market.310",A312,"USD","SOFR")</f>
        <v/>
      </c>
      <c r="D312" s="8">
        <f>QS.CONTEXT.ADD.CURVE(C312,"SOFR",$K$2:$K$7,$L$2:$L$7,,,"Actual360","LogLinear",TRUE)</f>
        <v/>
      </c>
      <c r="E312" s="8">
        <f>QS.INSTRUMENT.SWAP("swap.310",C312,H312,B312,"USD","SOFR",I312,J312,0,"Actual360","Simple","Annual","Annual","Annual")</f>
        <v/>
      </c>
      <c r="F312" s="8">
        <f>QS.TRADE.CREATE("trade.310",C312,E312,A312,"Receive")</f>
        <v/>
      </c>
      <c r="G312" s="5"/>
      <c r="H312" s="7" t="s">
        <v>665</v>
      </c>
      <c r="I312" s="9">
        <v>1031000</v>
      </c>
      <c r="J312" s="10">
        <v>0.036</v>
      </c>
    </row>
    <row r="313" spans="1:10">
      <c r="A313" s="7" t="s">
        <v>653</v>
      </c>
      <c r="B313" s="7" t="s">
        <v>666</v>
      </c>
      <c r="C313" s="8">
        <f>QS.CONTEXT.CREATE("market.311",A313,"USD","SOFR")</f>
        <v/>
      </c>
      <c r="D313" s="8">
        <f>QS.CONTEXT.ADD.CURVE(C313,"SOFR",$K$2:$K$7,$L$2:$L$7,,,"Actual360","LogLinear",TRUE)</f>
        <v/>
      </c>
      <c r="E313" s="8">
        <f>QS.INSTRUMENT.SWAP("swap.311",C313,H313,B313,"USD","SOFR",I313,J313,0,"Actual360","Simple","Annual","Annual","Annual")</f>
        <v/>
      </c>
      <c r="F313" s="8">
        <f>QS.TRADE.CREATE("trade.311",C313,E313,A313,"Receive")</f>
        <v/>
      </c>
      <c r="G313" s="5"/>
      <c r="H313" s="7" t="s">
        <v>667</v>
      </c>
      <c r="I313" s="9">
        <v>1031100</v>
      </c>
      <c r="J313" s="10">
        <v>0.0361</v>
      </c>
    </row>
    <row r="314" spans="1:10">
      <c r="A314" s="7" t="s">
        <v>655</v>
      </c>
      <c r="B314" s="7" t="s">
        <v>668</v>
      </c>
      <c r="C314" s="8">
        <f>QS.CONTEXT.CREATE("market.312",A314,"USD","SOFR")</f>
        <v/>
      </c>
      <c r="D314" s="8">
        <f>QS.CONTEXT.ADD.CURVE(C314,"SOFR",$K$2:$K$7,$L$2:$L$7,,,"Actual360","LogLinear",TRUE)</f>
        <v/>
      </c>
      <c r="E314" s="8">
        <f>QS.INSTRUMENT.SWAP("swap.312",C314,H314,B314,"USD","SOFR",I314,J314,0,"Actual360","Simple","Annual","Annual","Annual")</f>
        <v/>
      </c>
      <c r="F314" s="8">
        <f>QS.TRADE.CREATE("trade.312",C314,E314,A314,"Receive")</f>
        <v/>
      </c>
      <c r="G314" s="5"/>
      <c r="H314" s="7" t="s">
        <v>669</v>
      </c>
      <c r="I314" s="9">
        <v>1031200</v>
      </c>
      <c r="J314" s="10">
        <v>0.0362</v>
      </c>
    </row>
    <row r="315" spans="1:10">
      <c r="A315" s="7" t="s">
        <v>657</v>
      </c>
      <c r="B315" s="7" t="s">
        <v>670</v>
      </c>
      <c r="C315" s="8">
        <f>QS.CONTEXT.CREATE("market.313",A315,"USD","SOFR")</f>
        <v/>
      </c>
      <c r="D315" s="8">
        <f>QS.CONTEXT.ADD.CURVE(C315,"SOFR",$K$2:$K$7,$L$2:$L$7,,,"Actual360","LogLinear",TRUE)</f>
        <v/>
      </c>
      <c r="E315" s="8">
        <f>QS.INSTRUMENT.SWAP("swap.313",C315,H315,B315,"USD","SOFR",I315,J315,0,"Actual360","Simple","Annual","Annual","Annual")</f>
        <v/>
      </c>
      <c r="F315" s="8">
        <f>QS.TRADE.CREATE("trade.313",C315,E315,A315,"Receive")</f>
        <v/>
      </c>
      <c r="G315" s="5"/>
      <c r="H315" s="7" t="s">
        <v>671</v>
      </c>
      <c r="I315" s="9">
        <v>1031300</v>
      </c>
      <c r="J315" s="10">
        <v>0.03630000000000001</v>
      </c>
    </row>
    <row r="316" spans="1:10">
      <c r="A316" s="7" t="s">
        <v>659</v>
      </c>
      <c r="B316" s="7" t="s">
        <v>672</v>
      </c>
      <c r="C316" s="8">
        <f>QS.CONTEXT.CREATE("market.314",A316,"USD","SOFR")</f>
        <v/>
      </c>
      <c r="D316" s="8">
        <f>QS.CONTEXT.ADD.CURVE(C316,"SOFR",$K$2:$K$7,$L$2:$L$7,,,"Actual360","LogLinear",TRUE)</f>
        <v/>
      </c>
      <c r="E316" s="8">
        <f>QS.INSTRUMENT.SWAP("swap.314",C316,H316,B316,"USD","SOFR",I316,J316,0,"Actual360","Simple","Annual","Annual","Annual")</f>
        <v/>
      </c>
      <c r="F316" s="8">
        <f>QS.TRADE.CREATE("trade.314",C316,E316,A316,"Receive")</f>
        <v/>
      </c>
      <c r="G316" s="5"/>
      <c r="H316" s="7" t="s">
        <v>673</v>
      </c>
      <c r="I316" s="9">
        <v>1031400</v>
      </c>
      <c r="J316" s="10">
        <v>0.0364</v>
      </c>
    </row>
    <row r="317" spans="1:10">
      <c r="A317" s="7" t="s">
        <v>661</v>
      </c>
      <c r="B317" s="7" t="s">
        <v>674</v>
      </c>
      <c r="C317" s="8">
        <f>QS.CONTEXT.CREATE("market.315",A317,"USD","SOFR")</f>
        <v/>
      </c>
      <c r="D317" s="8">
        <f>QS.CONTEXT.ADD.CURVE(C317,"SOFR",$K$2:$K$7,$L$2:$L$7,,,"Actual360","LogLinear",TRUE)</f>
        <v/>
      </c>
      <c r="E317" s="8">
        <f>QS.INSTRUMENT.SWAP("swap.315",C317,H317,B317,"USD","SOFR",I317,J317,0,"Actual360","Simple","Annual","Annual","Annual")</f>
        <v/>
      </c>
      <c r="F317" s="8">
        <f>QS.TRADE.CREATE("trade.315",C317,E317,A317,"Receive")</f>
        <v/>
      </c>
      <c r="G317" s="5"/>
      <c r="H317" s="7" t="s">
        <v>675</v>
      </c>
      <c r="I317" s="9">
        <v>1031500</v>
      </c>
      <c r="J317" s="10">
        <v>0.0365</v>
      </c>
    </row>
    <row r="318" spans="1:10">
      <c r="A318" s="7" t="s">
        <v>663</v>
      </c>
      <c r="B318" s="7" t="s">
        <v>676</v>
      </c>
      <c r="C318" s="8">
        <f>QS.CONTEXT.CREATE("market.316",A318,"USD","SOFR")</f>
        <v/>
      </c>
      <c r="D318" s="8">
        <f>QS.CONTEXT.ADD.CURVE(C318,"SOFR",$K$2:$K$7,$L$2:$L$7,,,"Actual360","LogLinear",TRUE)</f>
        <v/>
      </c>
      <c r="E318" s="8">
        <f>QS.INSTRUMENT.SWAP("swap.316",C318,H318,B318,"USD","SOFR",I318,J318,0,"Actual360","Simple","Annual","Annual","Annual")</f>
        <v/>
      </c>
      <c r="F318" s="8">
        <f>QS.TRADE.CREATE("trade.316",C318,E318,A318,"Receive")</f>
        <v/>
      </c>
      <c r="G318" s="5"/>
      <c r="H318" s="7" t="s">
        <v>677</v>
      </c>
      <c r="I318" s="9">
        <v>1031600</v>
      </c>
      <c r="J318" s="10">
        <v>0.0366</v>
      </c>
    </row>
    <row r="319" spans="1:10">
      <c r="A319" s="7" t="s">
        <v>665</v>
      </c>
      <c r="B319" s="7" t="s">
        <v>678</v>
      </c>
      <c r="C319" s="8">
        <f>QS.CONTEXT.CREATE("market.317",A319,"USD","SOFR")</f>
        <v/>
      </c>
      <c r="D319" s="8">
        <f>QS.CONTEXT.ADD.CURVE(C319,"SOFR",$K$2:$K$7,$L$2:$L$7,,,"Actual360","LogLinear",TRUE)</f>
        <v/>
      </c>
      <c r="E319" s="8">
        <f>QS.INSTRUMENT.SWAP("swap.317",C319,H319,B319,"USD","SOFR",I319,J319,0,"Actual360","Simple","Annual","Annual","Annual")</f>
        <v/>
      </c>
      <c r="F319" s="8">
        <f>QS.TRADE.CREATE("trade.317",C319,E319,A319,"Receive")</f>
        <v/>
      </c>
      <c r="G319" s="5"/>
      <c r="H319" s="7" t="s">
        <v>679</v>
      </c>
      <c r="I319" s="9">
        <v>1031700</v>
      </c>
      <c r="J319" s="10">
        <v>0.0367</v>
      </c>
    </row>
    <row r="320" spans="1:10">
      <c r="A320" s="7" t="s">
        <v>667</v>
      </c>
      <c r="B320" s="7" t="s">
        <v>680</v>
      </c>
      <c r="C320" s="8">
        <f>QS.CONTEXT.CREATE("market.318",A320,"USD","SOFR")</f>
        <v/>
      </c>
      <c r="D320" s="8">
        <f>QS.CONTEXT.ADD.CURVE(C320,"SOFR",$K$2:$K$7,$L$2:$L$7,,,"Actual360","LogLinear",TRUE)</f>
        <v/>
      </c>
      <c r="E320" s="8">
        <f>QS.INSTRUMENT.SWAP("swap.318",C320,H320,B320,"USD","SOFR",I320,J320,0,"Actual360","Simple","Annual","Annual","Annual")</f>
        <v/>
      </c>
      <c r="F320" s="8">
        <f>QS.TRADE.CREATE("trade.318",C320,E320,A320,"Receive")</f>
        <v/>
      </c>
      <c r="G320" s="5"/>
      <c r="H320" s="7" t="s">
        <v>681</v>
      </c>
      <c r="I320" s="9">
        <v>1031800</v>
      </c>
      <c r="J320" s="10">
        <v>0.03680000000000001</v>
      </c>
    </row>
    <row r="321" spans="1:10">
      <c r="A321" s="7" t="s">
        <v>669</v>
      </c>
      <c r="B321" s="7" t="s">
        <v>682</v>
      </c>
      <c r="C321" s="8">
        <f>QS.CONTEXT.CREATE("market.319",A321,"USD","SOFR")</f>
        <v/>
      </c>
      <c r="D321" s="8">
        <f>QS.CONTEXT.ADD.CURVE(C321,"SOFR",$K$2:$K$7,$L$2:$L$7,,,"Actual360","LogLinear",TRUE)</f>
        <v/>
      </c>
      <c r="E321" s="8">
        <f>QS.INSTRUMENT.SWAP("swap.319",C321,H321,B321,"USD","SOFR",I321,J321,0,"Actual360","Simple","Annual","Annual","Annual")</f>
        <v/>
      </c>
      <c r="F321" s="8">
        <f>QS.TRADE.CREATE("trade.319",C321,E321,A321,"Receive")</f>
        <v/>
      </c>
      <c r="G321" s="5"/>
      <c r="H321" s="7" t="s">
        <v>683</v>
      </c>
      <c r="I321" s="9">
        <v>1031900</v>
      </c>
      <c r="J321" s="10">
        <v>0.0369</v>
      </c>
    </row>
    <row r="322" spans="1:10">
      <c r="A322" s="7" t="s">
        <v>671</v>
      </c>
      <c r="B322" s="7" t="s">
        <v>684</v>
      </c>
      <c r="C322" s="8">
        <f>QS.CONTEXT.CREATE("market.320",A322,"USD","SOFR")</f>
        <v/>
      </c>
      <c r="D322" s="8">
        <f>QS.CONTEXT.ADD.CURVE(C322,"SOFR",$K$2:$K$7,$L$2:$L$7,,,"Actual360","LogLinear",TRUE)</f>
        <v/>
      </c>
      <c r="E322" s="8">
        <f>QS.INSTRUMENT.SWAP("swap.320",C322,H322,B322,"USD","SOFR",I322,J322,0,"Actual360","Simple","Annual","Annual","Annual")</f>
        <v/>
      </c>
      <c r="F322" s="8">
        <f>QS.TRADE.CREATE("trade.320",C322,E322,A322,"Receive")</f>
        <v/>
      </c>
      <c r="G322" s="5"/>
      <c r="H322" s="7" t="s">
        <v>685</v>
      </c>
      <c r="I322" s="9">
        <v>1032000</v>
      </c>
      <c r="J322" s="10">
        <v>0.03700000000000001</v>
      </c>
    </row>
    <row r="323" spans="1:10">
      <c r="A323" s="7" t="s">
        <v>673</v>
      </c>
      <c r="B323" s="7" t="s">
        <v>686</v>
      </c>
      <c r="C323" s="8">
        <f>QS.CONTEXT.CREATE("market.321",A323,"USD","SOFR")</f>
        <v/>
      </c>
      <c r="D323" s="8">
        <f>QS.CONTEXT.ADD.CURVE(C323,"SOFR",$K$2:$K$7,$L$2:$L$7,,,"Actual360","LogLinear",TRUE)</f>
        <v/>
      </c>
      <c r="E323" s="8">
        <f>QS.INSTRUMENT.SWAP("swap.321",C323,H323,B323,"USD","SOFR",I323,J323,0,"Actual360","Simple","Annual","Annual","Annual")</f>
        <v/>
      </c>
      <c r="F323" s="8">
        <f>QS.TRADE.CREATE("trade.321",C323,E323,A323,"Receive")</f>
        <v/>
      </c>
      <c r="G323" s="5"/>
      <c r="H323" s="7" t="s">
        <v>687</v>
      </c>
      <c r="I323" s="9">
        <v>1032100</v>
      </c>
      <c r="J323" s="10">
        <v>0.0371</v>
      </c>
    </row>
    <row r="324" spans="1:10">
      <c r="A324" s="7" t="s">
        <v>675</v>
      </c>
      <c r="B324" s="7" t="s">
        <v>688</v>
      </c>
      <c r="C324" s="8">
        <f>QS.CONTEXT.CREATE("market.322",A324,"USD","SOFR")</f>
        <v/>
      </c>
      <c r="D324" s="8">
        <f>QS.CONTEXT.ADD.CURVE(C324,"SOFR",$K$2:$K$7,$L$2:$L$7,,,"Actual360","LogLinear",TRUE)</f>
        <v/>
      </c>
      <c r="E324" s="8">
        <f>QS.INSTRUMENT.SWAP("swap.322",C324,H324,B324,"USD","SOFR",I324,J324,0,"Actual360","Simple","Annual","Annual","Annual")</f>
        <v/>
      </c>
      <c r="F324" s="8">
        <f>QS.TRADE.CREATE("trade.322",C324,E324,A324,"Receive")</f>
        <v/>
      </c>
      <c r="G324" s="5"/>
      <c r="H324" s="7" t="s">
        <v>689</v>
      </c>
      <c r="I324" s="9">
        <v>1032200</v>
      </c>
      <c r="J324" s="10">
        <v>0.0372</v>
      </c>
    </row>
    <row r="325" spans="1:10">
      <c r="A325" s="7" t="s">
        <v>677</v>
      </c>
      <c r="B325" s="7" t="s">
        <v>690</v>
      </c>
      <c r="C325" s="8">
        <f>QS.CONTEXT.CREATE("market.323",A325,"USD","SOFR")</f>
        <v/>
      </c>
      <c r="D325" s="8">
        <f>QS.CONTEXT.ADD.CURVE(C325,"SOFR",$K$2:$K$7,$L$2:$L$7,,,"Actual360","LogLinear",TRUE)</f>
        <v/>
      </c>
      <c r="E325" s="8">
        <f>QS.INSTRUMENT.SWAP("swap.323",C325,H325,B325,"USD","SOFR",I325,J325,0,"Actual360","Simple","Annual","Annual","Annual")</f>
        <v/>
      </c>
      <c r="F325" s="8">
        <f>QS.TRADE.CREATE("trade.323",C325,E325,A325,"Receive")</f>
        <v/>
      </c>
      <c r="G325" s="5"/>
      <c r="H325" s="7" t="s">
        <v>691</v>
      </c>
      <c r="I325" s="9">
        <v>1032300</v>
      </c>
      <c r="J325" s="10">
        <v>0.0373</v>
      </c>
    </row>
    <row r="326" spans="1:10">
      <c r="A326" s="7" t="s">
        <v>679</v>
      </c>
      <c r="B326" s="7" t="s">
        <v>692</v>
      </c>
      <c r="C326" s="8">
        <f>QS.CONTEXT.CREATE("market.324",A326,"USD","SOFR")</f>
        <v/>
      </c>
      <c r="D326" s="8">
        <f>QS.CONTEXT.ADD.CURVE(C326,"SOFR",$K$2:$K$7,$L$2:$L$7,,,"Actual360","LogLinear",TRUE)</f>
        <v/>
      </c>
      <c r="E326" s="8">
        <f>QS.INSTRUMENT.SWAP("swap.324",C326,H326,B326,"USD","SOFR",I326,J326,0,"Actual360","Simple","Annual","Annual","Annual")</f>
        <v/>
      </c>
      <c r="F326" s="8">
        <f>QS.TRADE.CREATE("trade.324",C326,E326,A326,"Receive")</f>
        <v/>
      </c>
      <c r="G326" s="5"/>
      <c r="H326" s="7" t="s">
        <v>693</v>
      </c>
      <c r="I326" s="9">
        <v>1032400</v>
      </c>
      <c r="J326" s="10">
        <v>0.0374</v>
      </c>
    </row>
    <row r="327" spans="1:10">
      <c r="A327" s="7" t="s">
        <v>681</v>
      </c>
      <c r="B327" s="7" t="s">
        <v>694</v>
      </c>
      <c r="C327" s="8">
        <f>QS.CONTEXT.CREATE("market.325",A327,"USD","SOFR")</f>
        <v/>
      </c>
      <c r="D327" s="8">
        <f>QS.CONTEXT.ADD.CURVE(C327,"SOFR",$K$2:$K$7,$L$2:$L$7,,,"Actual360","LogLinear",TRUE)</f>
        <v/>
      </c>
      <c r="E327" s="8">
        <f>QS.INSTRUMENT.SWAP("swap.325",C327,H327,B327,"USD","SOFR",I327,J327,0,"Actual360","Simple","Annual","Annual","Annual")</f>
        <v/>
      </c>
      <c r="F327" s="8">
        <f>QS.TRADE.CREATE("trade.325",C327,E327,A327,"Receive")</f>
        <v/>
      </c>
      <c r="G327" s="5"/>
      <c r="H327" s="7" t="s">
        <v>695</v>
      </c>
      <c r="I327" s="9">
        <v>1032500</v>
      </c>
      <c r="J327" s="10">
        <v>0.03750000000000001</v>
      </c>
    </row>
    <row r="328" spans="1:10">
      <c r="A328" s="7" t="s">
        <v>683</v>
      </c>
      <c r="B328" s="7" t="s">
        <v>696</v>
      </c>
      <c r="C328" s="8">
        <f>QS.CONTEXT.CREATE("market.326",A328,"USD","SOFR")</f>
        <v/>
      </c>
      <c r="D328" s="8">
        <f>QS.CONTEXT.ADD.CURVE(C328,"SOFR",$K$2:$K$7,$L$2:$L$7,,,"Actual360","LogLinear",TRUE)</f>
        <v/>
      </c>
      <c r="E328" s="8">
        <f>QS.INSTRUMENT.SWAP("swap.326",C328,H328,B328,"USD","SOFR",I328,J328,0,"Actual360","Simple","Annual","Annual","Annual")</f>
        <v/>
      </c>
      <c r="F328" s="8">
        <f>QS.TRADE.CREATE("trade.326",C328,E328,A328,"Receive")</f>
        <v/>
      </c>
      <c r="G328" s="5"/>
      <c r="H328" s="7" t="s">
        <v>697</v>
      </c>
      <c r="I328" s="9">
        <v>1032600</v>
      </c>
      <c r="J328" s="10">
        <v>0.0376</v>
      </c>
    </row>
    <row r="329" spans="1:10">
      <c r="A329" s="7" t="s">
        <v>685</v>
      </c>
      <c r="B329" s="7" t="s">
        <v>698</v>
      </c>
      <c r="C329" s="8">
        <f>QS.CONTEXT.CREATE("market.327",A329,"USD","SOFR")</f>
        <v/>
      </c>
      <c r="D329" s="8">
        <f>QS.CONTEXT.ADD.CURVE(C329,"SOFR",$K$2:$K$7,$L$2:$L$7,,,"Actual360","LogLinear",TRUE)</f>
        <v/>
      </c>
      <c r="E329" s="8">
        <f>QS.INSTRUMENT.SWAP("swap.327",C329,H329,B329,"USD","SOFR",I329,J329,0,"Actual360","Simple","Annual","Annual","Annual")</f>
        <v/>
      </c>
      <c r="F329" s="8">
        <f>QS.TRADE.CREATE("trade.327",C329,E329,A329,"Receive")</f>
        <v/>
      </c>
      <c r="G329" s="5"/>
      <c r="H329" s="7" t="s">
        <v>699</v>
      </c>
      <c r="I329" s="9">
        <v>1032700</v>
      </c>
      <c r="J329" s="10">
        <v>0.0377</v>
      </c>
    </row>
    <row r="330" spans="1:10">
      <c r="A330" s="7" t="s">
        <v>687</v>
      </c>
      <c r="B330" s="7" t="s">
        <v>700</v>
      </c>
      <c r="C330" s="8">
        <f>QS.CONTEXT.CREATE("market.328",A330,"USD","SOFR")</f>
        <v/>
      </c>
      <c r="D330" s="8">
        <f>QS.CONTEXT.ADD.CURVE(C330,"SOFR",$K$2:$K$7,$L$2:$L$7,,,"Actual360","LogLinear",TRUE)</f>
        <v/>
      </c>
      <c r="E330" s="8">
        <f>QS.INSTRUMENT.SWAP("swap.328",C330,H330,B330,"USD","SOFR",I330,J330,0,"Actual360","Simple","Annual","Annual","Annual")</f>
        <v/>
      </c>
      <c r="F330" s="8">
        <f>QS.TRADE.CREATE("trade.328",C330,E330,A330,"Receive")</f>
        <v/>
      </c>
      <c r="G330" s="5"/>
      <c r="H330" s="7" t="s">
        <v>701</v>
      </c>
      <c r="I330" s="9">
        <v>1032800</v>
      </c>
      <c r="J330" s="10">
        <v>0.0378</v>
      </c>
    </row>
    <row r="331" spans="1:10">
      <c r="A331" s="7" t="s">
        <v>689</v>
      </c>
      <c r="B331" s="7" t="s">
        <v>702</v>
      </c>
      <c r="C331" s="8">
        <f>QS.CONTEXT.CREATE("market.329",A331,"USD","SOFR")</f>
        <v/>
      </c>
      <c r="D331" s="8">
        <f>QS.CONTEXT.ADD.CURVE(C331,"SOFR",$K$2:$K$7,$L$2:$L$7,,,"Actual360","LogLinear",TRUE)</f>
        <v/>
      </c>
      <c r="E331" s="8">
        <f>QS.INSTRUMENT.SWAP("swap.329",C331,H331,B331,"USD","SOFR",I331,J331,0,"Actual360","Simple","Annual","Annual","Annual")</f>
        <v/>
      </c>
      <c r="F331" s="8">
        <f>QS.TRADE.CREATE("trade.329",C331,E331,A331,"Receive")</f>
        <v/>
      </c>
      <c r="G331" s="5"/>
      <c r="H331" s="7" t="s">
        <v>703</v>
      </c>
      <c r="I331" s="9">
        <v>1032900</v>
      </c>
      <c r="J331" s="10">
        <v>0.0379</v>
      </c>
    </row>
    <row r="332" spans="1:10">
      <c r="A332" s="7" t="s">
        <v>691</v>
      </c>
      <c r="B332" s="7" t="s">
        <v>704</v>
      </c>
      <c r="C332" s="8">
        <f>QS.CONTEXT.CREATE("market.330",A332,"USD","SOFR")</f>
        <v/>
      </c>
      <c r="D332" s="8">
        <f>QS.CONTEXT.ADD.CURVE(C332,"SOFR",$K$2:$K$7,$L$2:$L$7,,,"Actual360","LogLinear",TRUE)</f>
        <v/>
      </c>
      <c r="E332" s="8">
        <f>QS.INSTRUMENT.SWAP("swap.330",C332,H332,B332,"USD","SOFR",I332,J332,0,"Actual360","Simple","Annual","Annual","Annual")</f>
        <v/>
      </c>
      <c r="F332" s="8">
        <f>QS.TRADE.CREATE("trade.330",C332,E332,A332,"Receive")</f>
        <v/>
      </c>
      <c r="G332" s="5"/>
      <c r="H332" s="7" t="s">
        <v>705</v>
      </c>
      <c r="I332" s="9">
        <v>1033000</v>
      </c>
      <c r="J332" s="10">
        <v>0.03800000000000001</v>
      </c>
    </row>
    <row r="333" spans="1:10">
      <c r="A333" s="7" t="s">
        <v>693</v>
      </c>
      <c r="B333" s="7" t="s">
        <v>706</v>
      </c>
      <c r="C333" s="8">
        <f>QS.CONTEXT.CREATE("market.331",A333,"USD","SOFR")</f>
        <v/>
      </c>
      <c r="D333" s="8">
        <f>QS.CONTEXT.ADD.CURVE(C333,"SOFR",$K$2:$K$7,$L$2:$L$7,,,"Actual360","LogLinear",TRUE)</f>
        <v/>
      </c>
      <c r="E333" s="8">
        <f>QS.INSTRUMENT.SWAP("swap.331",C333,H333,B333,"USD","SOFR",I333,J333,0,"Actual360","Simple","Annual","Annual","Annual")</f>
        <v/>
      </c>
      <c r="F333" s="8">
        <f>QS.TRADE.CREATE("trade.331",C333,E333,A333,"Receive")</f>
        <v/>
      </c>
      <c r="G333" s="5"/>
      <c r="H333" s="7" t="s">
        <v>707</v>
      </c>
      <c r="I333" s="9">
        <v>1033100</v>
      </c>
      <c r="J333" s="10">
        <v>0.0381</v>
      </c>
    </row>
    <row r="334" spans="1:10">
      <c r="A334" s="7" t="s">
        <v>695</v>
      </c>
      <c r="B334" s="7" t="s">
        <v>708</v>
      </c>
      <c r="C334" s="8">
        <f>QS.CONTEXT.CREATE("market.332",A334,"USD","SOFR")</f>
        <v/>
      </c>
      <c r="D334" s="8">
        <f>QS.CONTEXT.ADD.CURVE(C334,"SOFR",$K$2:$K$7,$L$2:$L$7,,,"Actual360","LogLinear",TRUE)</f>
        <v/>
      </c>
      <c r="E334" s="8">
        <f>QS.INSTRUMENT.SWAP("swap.332",C334,H334,B334,"USD","SOFR",I334,J334,0,"Actual360","Simple","Annual","Annual","Annual")</f>
        <v/>
      </c>
      <c r="F334" s="8">
        <f>QS.TRADE.CREATE("trade.332",C334,E334,A334,"Receive")</f>
        <v/>
      </c>
      <c r="G334" s="5"/>
      <c r="H334" s="7" t="s">
        <v>709</v>
      </c>
      <c r="I334" s="9">
        <v>1033200</v>
      </c>
      <c r="J334" s="10">
        <v>0.0382</v>
      </c>
    </row>
    <row r="335" spans="1:10">
      <c r="A335" s="7" t="s">
        <v>697</v>
      </c>
      <c r="B335" s="7" t="s">
        <v>710</v>
      </c>
      <c r="C335" s="8">
        <f>QS.CONTEXT.CREATE("market.333",A335,"USD","SOFR")</f>
        <v/>
      </c>
      <c r="D335" s="8">
        <f>QS.CONTEXT.ADD.CURVE(C335,"SOFR",$K$2:$K$7,$L$2:$L$7,,,"Actual360","LogLinear",TRUE)</f>
        <v/>
      </c>
      <c r="E335" s="8">
        <f>QS.INSTRUMENT.SWAP("swap.333",C335,H335,B335,"USD","SOFR",I335,J335,0,"Actual360","Simple","Annual","Annual","Annual")</f>
        <v/>
      </c>
      <c r="F335" s="8">
        <f>QS.TRADE.CREATE("trade.333",C335,E335,A335,"Receive")</f>
        <v/>
      </c>
      <c r="G335" s="5"/>
      <c r="H335" s="7" t="s">
        <v>711</v>
      </c>
      <c r="I335" s="9">
        <v>1033300</v>
      </c>
      <c r="J335" s="10">
        <v>0.0383</v>
      </c>
    </row>
    <row r="336" spans="1:10">
      <c r="A336" s="7" t="s">
        <v>699</v>
      </c>
      <c r="B336" s="7" t="s">
        <v>712</v>
      </c>
      <c r="C336" s="8">
        <f>QS.CONTEXT.CREATE("market.334",A336,"USD","SOFR")</f>
        <v/>
      </c>
      <c r="D336" s="8">
        <f>QS.CONTEXT.ADD.CURVE(C336,"SOFR",$K$2:$K$7,$L$2:$L$7,,,"Actual360","LogLinear",TRUE)</f>
        <v/>
      </c>
      <c r="E336" s="8">
        <f>QS.INSTRUMENT.SWAP("swap.334",C336,H336,B336,"USD","SOFR",I336,J336,0,"Actual360","Simple","Annual","Annual","Annual")</f>
        <v/>
      </c>
      <c r="F336" s="8">
        <f>QS.TRADE.CREATE("trade.334",C336,E336,A336,"Receive")</f>
        <v/>
      </c>
      <c r="G336" s="5"/>
      <c r="H336" s="7" t="s">
        <v>713</v>
      </c>
      <c r="I336" s="9">
        <v>1033400</v>
      </c>
      <c r="J336" s="10">
        <v>0.0384</v>
      </c>
    </row>
    <row r="337" spans="1:10">
      <c r="A337" s="7" t="s">
        <v>701</v>
      </c>
      <c r="B337" s="7" t="s">
        <v>714</v>
      </c>
      <c r="C337" s="8">
        <f>QS.CONTEXT.CREATE("market.335",A337,"USD","SOFR")</f>
        <v/>
      </c>
      <c r="D337" s="8">
        <f>QS.CONTEXT.ADD.CURVE(C337,"SOFR",$K$2:$K$7,$L$2:$L$7,,,"Actual360","LogLinear",TRUE)</f>
        <v/>
      </c>
      <c r="E337" s="8">
        <f>QS.INSTRUMENT.SWAP("swap.335",C337,H337,B337,"USD","SOFR",I337,J337,0,"Actual360","Simple","Annual","Annual","Annual")</f>
        <v/>
      </c>
      <c r="F337" s="8">
        <f>QS.TRADE.CREATE("trade.335",C337,E337,A337,"Receive")</f>
        <v/>
      </c>
      <c r="G337" s="5"/>
      <c r="H337" s="7" t="s">
        <v>715</v>
      </c>
      <c r="I337" s="9">
        <v>1033500</v>
      </c>
      <c r="J337" s="10">
        <v>0.03850000000000001</v>
      </c>
    </row>
    <row r="338" spans="1:10">
      <c r="A338" s="7" t="s">
        <v>703</v>
      </c>
      <c r="B338" s="7" t="s">
        <v>716</v>
      </c>
      <c r="C338" s="8">
        <f>QS.CONTEXT.CREATE("market.336",A338,"USD","SOFR")</f>
        <v/>
      </c>
      <c r="D338" s="8">
        <f>QS.CONTEXT.ADD.CURVE(C338,"SOFR",$K$2:$K$7,$L$2:$L$7,,,"Actual360","LogLinear",TRUE)</f>
        <v/>
      </c>
      <c r="E338" s="8">
        <f>QS.INSTRUMENT.SWAP("swap.336",C338,H338,B338,"USD","SOFR",I338,J338,0,"Actual360","Simple","Annual","Annual","Annual")</f>
        <v/>
      </c>
      <c r="F338" s="8">
        <f>QS.TRADE.CREATE("trade.336",C338,E338,A338,"Receive")</f>
        <v/>
      </c>
      <c r="G338" s="5"/>
      <c r="H338" s="7" t="s">
        <v>717</v>
      </c>
      <c r="I338" s="9">
        <v>1033600</v>
      </c>
      <c r="J338" s="10">
        <v>0.0386</v>
      </c>
    </row>
    <row r="339" spans="1:10">
      <c r="A339" s="7" t="s">
        <v>705</v>
      </c>
      <c r="B339" s="7" t="s">
        <v>718</v>
      </c>
      <c r="C339" s="8">
        <f>QS.CONTEXT.CREATE("market.337",A339,"USD","SOFR")</f>
        <v/>
      </c>
      <c r="D339" s="8">
        <f>QS.CONTEXT.ADD.CURVE(C339,"SOFR",$K$2:$K$7,$L$2:$L$7,,,"Actual360","LogLinear",TRUE)</f>
        <v/>
      </c>
      <c r="E339" s="8">
        <f>QS.INSTRUMENT.SWAP("swap.337",C339,H339,B339,"USD","SOFR",I339,J339,0,"Actual360","Simple","Annual","Annual","Annual")</f>
        <v/>
      </c>
      <c r="F339" s="8">
        <f>QS.TRADE.CREATE("trade.337",C339,E339,A339,"Receive")</f>
        <v/>
      </c>
      <c r="G339" s="5"/>
      <c r="H339" s="7" t="s">
        <v>719</v>
      </c>
      <c r="I339" s="9">
        <v>1033700</v>
      </c>
      <c r="J339" s="10">
        <v>0.03870000000000001</v>
      </c>
    </row>
    <row r="340" spans="1:10">
      <c r="A340" s="7" t="s">
        <v>707</v>
      </c>
      <c r="B340" s="7" t="s">
        <v>720</v>
      </c>
      <c r="C340" s="8">
        <f>QS.CONTEXT.CREATE("market.338",A340,"USD","SOFR")</f>
        <v/>
      </c>
      <c r="D340" s="8">
        <f>QS.CONTEXT.ADD.CURVE(C340,"SOFR",$K$2:$K$7,$L$2:$L$7,,,"Actual360","LogLinear",TRUE)</f>
        <v/>
      </c>
      <c r="E340" s="8">
        <f>QS.INSTRUMENT.SWAP("swap.338",C340,H340,B340,"USD","SOFR",I340,J340,0,"Actual360","Simple","Annual","Annual","Annual")</f>
        <v/>
      </c>
      <c r="F340" s="8">
        <f>QS.TRADE.CREATE("trade.338",C340,E340,A340,"Receive")</f>
        <v/>
      </c>
      <c r="G340" s="5"/>
      <c r="H340" s="7" t="s">
        <v>721</v>
      </c>
      <c r="I340" s="9">
        <v>1033800</v>
      </c>
      <c r="J340" s="10">
        <v>0.0388</v>
      </c>
    </row>
    <row r="341" spans="1:10">
      <c r="A341" s="7" t="s">
        <v>709</v>
      </c>
      <c r="B341" s="7" t="s">
        <v>722</v>
      </c>
      <c r="C341" s="8">
        <f>QS.CONTEXT.CREATE("market.339",A341,"USD","SOFR")</f>
        <v/>
      </c>
      <c r="D341" s="8">
        <f>QS.CONTEXT.ADD.CURVE(C341,"SOFR",$K$2:$K$7,$L$2:$L$7,,,"Actual360","LogLinear",TRUE)</f>
        <v/>
      </c>
      <c r="E341" s="8">
        <f>QS.INSTRUMENT.SWAP("swap.339",C341,H341,B341,"USD","SOFR",I341,J341,0,"Actual360","Simple","Annual","Annual","Annual")</f>
        <v/>
      </c>
      <c r="F341" s="8">
        <f>QS.TRADE.CREATE("trade.339",C341,E341,A341,"Receive")</f>
        <v/>
      </c>
      <c r="G341" s="5"/>
      <c r="H341" s="7" t="s">
        <v>723</v>
      </c>
      <c r="I341" s="9">
        <v>1033900</v>
      </c>
      <c r="J341" s="10">
        <v>0.0389</v>
      </c>
    </row>
    <row r="342" spans="1:10">
      <c r="A342" s="7" t="s">
        <v>711</v>
      </c>
      <c r="B342" s="7" t="s">
        <v>724</v>
      </c>
      <c r="C342" s="8">
        <f>QS.CONTEXT.CREATE("market.340",A342,"USD","SOFR")</f>
        <v/>
      </c>
      <c r="D342" s="8">
        <f>QS.CONTEXT.ADD.CURVE(C342,"SOFR",$K$2:$K$7,$L$2:$L$7,,,"Actual360","LogLinear",TRUE)</f>
        <v/>
      </c>
      <c r="E342" s="8">
        <f>QS.INSTRUMENT.SWAP("swap.340",C342,H342,B342,"USD","SOFR",I342,J342,0,"Actual360","Simple","Annual","Annual","Annual")</f>
        <v/>
      </c>
      <c r="F342" s="8">
        <f>QS.TRADE.CREATE("trade.340",C342,E342,A342,"Receive")</f>
        <v/>
      </c>
      <c r="G342" s="5"/>
      <c r="H342" s="7" t="s">
        <v>725</v>
      </c>
      <c r="I342" s="9">
        <v>1034000</v>
      </c>
      <c r="J342" s="10">
        <v>0.03900000000000001</v>
      </c>
    </row>
    <row r="343" spans="1:10">
      <c r="A343" s="7" t="s">
        <v>713</v>
      </c>
      <c r="B343" s="7" t="s">
        <v>726</v>
      </c>
      <c r="C343" s="8">
        <f>QS.CONTEXT.CREATE("market.341",A343,"USD","SOFR")</f>
        <v/>
      </c>
      <c r="D343" s="8">
        <f>QS.CONTEXT.ADD.CURVE(C343,"SOFR",$K$2:$K$7,$L$2:$L$7,,,"Actual360","LogLinear",TRUE)</f>
        <v/>
      </c>
      <c r="E343" s="8">
        <f>QS.INSTRUMENT.SWAP("swap.341",C343,H343,B343,"USD","SOFR",I343,J343,0,"Actual360","Simple","Annual","Annual","Annual")</f>
        <v/>
      </c>
      <c r="F343" s="8">
        <f>QS.TRADE.CREATE("trade.341",C343,E343,A343,"Receive")</f>
        <v/>
      </c>
      <c r="G343" s="5"/>
      <c r="H343" s="7" t="s">
        <v>727</v>
      </c>
      <c r="I343" s="9">
        <v>1034100</v>
      </c>
      <c r="J343" s="10">
        <v>0.0391</v>
      </c>
    </row>
    <row r="344" spans="1:10">
      <c r="A344" s="7" t="s">
        <v>715</v>
      </c>
      <c r="B344" s="7" t="s">
        <v>728</v>
      </c>
      <c r="C344" s="8">
        <f>QS.CONTEXT.CREATE("market.342",A344,"USD","SOFR")</f>
        <v/>
      </c>
      <c r="D344" s="8">
        <f>QS.CONTEXT.ADD.CURVE(C344,"SOFR",$K$2:$K$7,$L$2:$L$7,,,"Actual360","LogLinear",TRUE)</f>
        <v/>
      </c>
      <c r="E344" s="8">
        <f>QS.INSTRUMENT.SWAP("swap.342",C344,H344,B344,"USD","SOFR",I344,J344,0,"Actual360","Simple","Annual","Annual","Annual")</f>
        <v/>
      </c>
      <c r="F344" s="8">
        <f>QS.TRADE.CREATE("trade.342",C344,E344,A344,"Receive")</f>
        <v/>
      </c>
      <c r="G344" s="5"/>
      <c r="H344" s="7" t="s">
        <v>729</v>
      </c>
      <c r="I344" s="9">
        <v>1034200</v>
      </c>
      <c r="J344" s="10">
        <v>0.03920000000000001</v>
      </c>
    </row>
    <row r="345" spans="1:10">
      <c r="A345" s="7" t="s">
        <v>717</v>
      </c>
      <c r="B345" s="7" t="s">
        <v>730</v>
      </c>
      <c r="C345" s="8">
        <f>QS.CONTEXT.CREATE("market.343",A345,"USD","SOFR")</f>
        <v/>
      </c>
      <c r="D345" s="8">
        <f>QS.CONTEXT.ADD.CURVE(C345,"SOFR",$K$2:$K$7,$L$2:$L$7,,,"Actual360","LogLinear",TRUE)</f>
        <v/>
      </c>
      <c r="E345" s="8">
        <f>QS.INSTRUMENT.SWAP("swap.343",C345,H345,B345,"USD","SOFR",I345,J345,0,"Actual360","Simple","Annual","Annual","Annual")</f>
        <v/>
      </c>
      <c r="F345" s="8">
        <f>QS.TRADE.CREATE("trade.343",C345,E345,A345,"Receive")</f>
        <v/>
      </c>
      <c r="G345" s="5"/>
      <c r="H345" s="7" t="s">
        <v>731</v>
      </c>
      <c r="I345" s="9">
        <v>1034300</v>
      </c>
      <c r="J345" s="10">
        <v>0.0393</v>
      </c>
    </row>
    <row r="346" spans="1:10">
      <c r="A346" s="7" t="s">
        <v>719</v>
      </c>
      <c r="B346" s="7" t="s">
        <v>732</v>
      </c>
      <c r="C346" s="8">
        <f>QS.CONTEXT.CREATE("market.344",A346,"USD","SOFR")</f>
        <v/>
      </c>
      <c r="D346" s="8">
        <f>QS.CONTEXT.ADD.CURVE(C346,"SOFR",$K$2:$K$7,$L$2:$L$7,,,"Actual360","LogLinear",TRUE)</f>
        <v/>
      </c>
      <c r="E346" s="8">
        <f>QS.INSTRUMENT.SWAP("swap.344",C346,H346,B346,"USD","SOFR",I346,J346,0,"Actual360","Simple","Annual","Annual","Annual")</f>
        <v/>
      </c>
      <c r="F346" s="8">
        <f>QS.TRADE.CREATE("trade.344",C346,E346,A346,"Receive")</f>
        <v/>
      </c>
      <c r="G346" s="5"/>
      <c r="H346" s="7" t="s">
        <v>733</v>
      </c>
      <c r="I346" s="9">
        <v>1034400</v>
      </c>
      <c r="J346" s="10">
        <v>0.0394</v>
      </c>
    </row>
    <row r="347" spans="1:10">
      <c r="A347" s="7" t="s">
        <v>721</v>
      </c>
      <c r="B347" s="7" t="s">
        <v>734</v>
      </c>
      <c r="C347" s="8">
        <f>QS.CONTEXT.CREATE("market.345",A347,"USD","SOFR")</f>
        <v/>
      </c>
      <c r="D347" s="8">
        <f>QS.CONTEXT.ADD.CURVE(C347,"SOFR",$K$2:$K$7,$L$2:$L$7,,,"Actual360","LogLinear",TRUE)</f>
        <v/>
      </c>
      <c r="E347" s="8">
        <f>QS.INSTRUMENT.SWAP("swap.345",C347,H347,B347,"USD","SOFR",I347,J347,0,"Actual360","Simple","Annual","Annual","Annual")</f>
        <v/>
      </c>
      <c r="F347" s="8">
        <f>QS.TRADE.CREATE("trade.345",C347,E347,A347,"Receive")</f>
        <v/>
      </c>
      <c r="G347" s="5"/>
      <c r="H347" s="7" t="s">
        <v>735</v>
      </c>
      <c r="I347" s="9">
        <v>1034500</v>
      </c>
      <c r="J347" s="10">
        <v>0.03950000000000001</v>
      </c>
    </row>
    <row r="348" spans="1:10">
      <c r="A348" s="7" t="s">
        <v>723</v>
      </c>
      <c r="B348" s="7" t="s">
        <v>736</v>
      </c>
      <c r="C348" s="8">
        <f>QS.CONTEXT.CREATE("market.346",A348,"USD","SOFR")</f>
        <v/>
      </c>
      <c r="D348" s="8">
        <f>QS.CONTEXT.ADD.CURVE(C348,"SOFR",$K$2:$K$7,$L$2:$L$7,,,"Actual360","LogLinear",TRUE)</f>
        <v/>
      </c>
      <c r="E348" s="8">
        <f>QS.INSTRUMENT.SWAP("swap.346",C348,H348,B348,"USD","SOFR",I348,J348,0,"Actual360","Simple","Annual","Annual","Annual")</f>
        <v/>
      </c>
      <c r="F348" s="8">
        <f>QS.TRADE.CREATE("trade.346",C348,E348,A348,"Receive")</f>
        <v/>
      </c>
      <c r="G348" s="5"/>
      <c r="H348" s="7" t="s">
        <v>737</v>
      </c>
      <c r="I348" s="9">
        <v>1034600</v>
      </c>
      <c r="J348" s="10">
        <v>0.0396</v>
      </c>
    </row>
    <row r="349" spans="1:10">
      <c r="A349" s="7" t="s">
        <v>725</v>
      </c>
      <c r="B349" s="7" t="s">
        <v>738</v>
      </c>
      <c r="C349" s="8">
        <f>QS.CONTEXT.CREATE("market.347",A349,"USD","SOFR")</f>
        <v/>
      </c>
      <c r="D349" s="8">
        <f>QS.CONTEXT.ADD.CURVE(C349,"SOFR",$K$2:$K$7,$L$2:$L$7,,,"Actual360","LogLinear",TRUE)</f>
        <v/>
      </c>
      <c r="E349" s="8">
        <f>QS.INSTRUMENT.SWAP("swap.347",C349,H349,B349,"USD","SOFR",I349,J349,0,"Actual360","Simple","Annual","Annual","Annual")</f>
        <v/>
      </c>
      <c r="F349" s="8">
        <f>QS.TRADE.CREATE("trade.347",C349,E349,A349,"Receive")</f>
        <v/>
      </c>
      <c r="G349" s="5"/>
      <c r="H349" s="7" t="s">
        <v>739</v>
      </c>
      <c r="I349" s="9">
        <v>1034700</v>
      </c>
      <c r="J349" s="10">
        <v>0.03970000000000001</v>
      </c>
    </row>
    <row r="350" spans="1:10">
      <c r="A350" s="7" t="s">
        <v>727</v>
      </c>
      <c r="B350" s="7" t="s">
        <v>740</v>
      </c>
      <c r="C350" s="8">
        <f>QS.CONTEXT.CREATE("market.348",A350,"USD","SOFR")</f>
        <v/>
      </c>
      <c r="D350" s="8">
        <f>QS.CONTEXT.ADD.CURVE(C350,"SOFR",$K$2:$K$7,$L$2:$L$7,,,"Actual360","LogLinear",TRUE)</f>
        <v/>
      </c>
      <c r="E350" s="8">
        <f>QS.INSTRUMENT.SWAP("swap.348",C350,H350,B350,"USD","SOFR",I350,J350,0,"Actual360","Simple","Annual","Annual","Annual")</f>
        <v/>
      </c>
      <c r="F350" s="8">
        <f>QS.TRADE.CREATE("trade.348",C350,E350,A350,"Receive")</f>
        <v/>
      </c>
      <c r="G350" s="5"/>
      <c r="H350" s="7" t="s">
        <v>741</v>
      </c>
      <c r="I350" s="9">
        <v>1034800</v>
      </c>
      <c r="J350" s="10">
        <v>0.0398</v>
      </c>
    </row>
    <row r="351" spans="1:10">
      <c r="A351" s="7" t="s">
        <v>729</v>
      </c>
      <c r="B351" s="7" t="s">
        <v>742</v>
      </c>
      <c r="C351" s="8">
        <f>QS.CONTEXT.CREATE("market.349",A351,"USD","SOFR")</f>
        <v/>
      </c>
      <c r="D351" s="8">
        <f>QS.CONTEXT.ADD.CURVE(C351,"SOFR",$K$2:$K$7,$L$2:$L$7,,,"Actual360","LogLinear",TRUE)</f>
        <v/>
      </c>
      <c r="E351" s="8">
        <f>QS.INSTRUMENT.SWAP("swap.349",C351,H351,B351,"USD","SOFR",I351,J351,0,"Actual360","Simple","Annual","Annual","Annual")</f>
        <v/>
      </c>
      <c r="F351" s="8">
        <f>QS.TRADE.CREATE("trade.349",C351,E351,A351,"Receive")</f>
        <v/>
      </c>
      <c r="G351" s="5"/>
      <c r="H351" s="7" t="s">
        <v>743</v>
      </c>
      <c r="I351" s="9">
        <v>1034900</v>
      </c>
      <c r="J351" s="10">
        <v>0.0399</v>
      </c>
    </row>
    <row r="352" spans="1:10">
      <c r="A352" s="7" t="s">
        <v>731</v>
      </c>
      <c r="B352" s="7" t="s">
        <v>744</v>
      </c>
      <c r="C352" s="8">
        <f>QS.CONTEXT.CREATE("market.350",A352,"USD","SOFR")</f>
        <v/>
      </c>
      <c r="D352" s="8">
        <f>QS.CONTEXT.ADD.CURVE(C352,"SOFR",$K$2:$K$7,$L$2:$L$7,,,"Actual360","LogLinear",TRUE)</f>
        <v/>
      </c>
      <c r="E352" s="8">
        <f>QS.INSTRUMENT.SWAP("swap.350",C352,H352,B352,"USD","SOFR",I352,J352,0,"Actual360","Simple","Annual","Annual","Annual")</f>
        <v/>
      </c>
      <c r="F352" s="8">
        <f>QS.TRADE.CREATE("trade.350",C352,E352,A352,"Receive")</f>
        <v/>
      </c>
      <c r="G352" s="5"/>
      <c r="H352" s="7" t="s">
        <v>745</v>
      </c>
      <c r="I352" s="9">
        <v>1035000</v>
      </c>
      <c r="J352" s="10">
        <v>0.035</v>
      </c>
    </row>
    <row r="353" spans="1:10">
      <c r="A353" s="7" t="s">
        <v>733</v>
      </c>
      <c r="B353" s="7" t="s">
        <v>746</v>
      </c>
      <c r="C353" s="8">
        <f>QS.CONTEXT.CREATE("market.351",A353,"USD","SOFR")</f>
        <v/>
      </c>
      <c r="D353" s="8">
        <f>QS.CONTEXT.ADD.CURVE(C353,"SOFR",$K$2:$K$7,$L$2:$L$7,,,"Actual360","LogLinear",TRUE)</f>
        <v/>
      </c>
      <c r="E353" s="8">
        <f>QS.INSTRUMENT.SWAP("swap.351",C353,H353,B353,"USD","SOFR",I353,J353,0,"Actual360","Simple","Annual","Annual","Annual")</f>
        <v/>
      </c>
      <c r="F353" s="8">
        <f>QS.TRADE.CREATE("trade.351",C353,E353,A353,"Receive")</f>
        <v/>
      </c>
      <c r="G353" s="5"/>
      <c r="H353" s="7" t="s">
        <v>747</v>
      </c>
      <c r="I353" s="9">
        <v>1035100</v>
      </c>
      <c r="J353" s="10">
        <v>0.03510000000000001</v>
      </c>
    </row>
    <row r="354" spans="1:10">
      <c r="A354" s="7" t="s">
        <v>735</v>
      </c>
      <c r="B354" s="7" t="s">
        <v>748</v>
      </c>
      <c r="C354" s="8">
        <f>QS.CONTEXT.CREATE("market.352",A354,"USD","SOFR")</f>
        <v/>
      </c>
      <c r="D354" s="8">
        <f>QS.CONTEXT.ADD.CURVE(C354,"SOFR",$K$2:$K$7,$L$2:$L$7,,,"Actual360","LogLinear",TRUE)</f>
        <v/>
      </c>
      <c r="E354" s="8">
        <f>QS.INSTRUMENT.SWAP("swap.352",C354,H354,B354,"USD","SOFR",I354,J354,0,"Actual360","Simple","Annual","Annual","Annual")</f>
        <v/>
      </c>
      <c r="F354" s="8">
        <f>QS.TRADE.CREATE("trade.352",C354,E354,A354,"Receive")</f>
        <v/>
      </c>
      <c r="G354" s="5"/>
      <c r="H354" s="7" t="s">
        <v>749</v>
      </c>
      <c r="I354" s="9">
        <v>1035200</v>
      </c>
      <c r="J354" s="10">
        <v>0.0352</v>
      </c>
    </row>
    <row r="355" spans="1:10">
      <c r="A355" s="7" t="s">
        <v>737</v>
      </c>
      <c r="B355" s="7" t="s">
        <v>750</v>
      </c>
      <c r="C355" s="8">
        <f>QS.CONTEXT.CREATE("market.353",A355,"USD","SOFR")</f>
        <v/>
      </c>
      <c r="D355" s="8">
        <f>QS.CONTEXT.ADD.CURVE(C355,"SOFR",$K$2:$K$7,$L$2:$L$7,,,"Actual360","LogLinear",TRUE)</f>
        <v/>
      </c>
      <c r="E355" s="8">
        <f>QS.INSTRUMENT.SWAP("swap.353",C355,H355,B355,"USD","SOFR",I355,J355,0,"Actual360","Simple","Annual","Annual","Annual")</f>
        <v/>
      </c>
      <c r="F355" s="8">
        <f>QS.TRADE.CREATE("trade.353",C355,E355,A355,"Receive")</f>
        <v/>
      </c>
      <c r="G355" s="5"/>
      <c r="H355" s="7" t="s">
        <v>751</v>
      </c>
      <c r="I355" s="9">
        <v>1035300</v>
      </c>
      <c r="J355" s="10">
        <v>0.0353</v>
      </c>
    </row>
    <row r="356" spans="1:10">
      <c r="A356" s="7" t="s">
        <v>739</v>
      </c>
      <c r="B356" s="7" t="s">
        <v>752</v>
      </c>
      <c r="C356" s="8">
        <f>QS.CONTEXT.CREATE("market.354",A356,"USD","SOFR")</f>
        <v/>
      </c>
      <c r="D356" s="8">
        <f>QS.CONTEXT.ADD.CURVE(C356,"SOFR",$K$2:$K$7,$L$2:$L$7,,,"Actual360","LogLinear",TRUE)</f>
        <v/>
      </c>
      <c r="E356" s="8">
        <f>QS.INSTRUMENT.SWAP("swap.354",C356,H356,B356,"USD","SOFR",I356,J356,0,"Actual360","Simple","Annual","Annual","Annual")</f>
        <v/>
      </c>
      <c r="F356" s="8">
        <f>QS.TRADE.CREATE("trade.354",C356,E356,A356,"Receive")</f>
        <v/>
      </c>
      <c r="G356" s="5"/>
      <c r="H356" s="7" t="s">
        <v>753</v>
      </c>
      <c r="I356" s="9">
        <v>1035400</v>
      </c>
      <c r="J356" s="10">
        <v>0.0354</v>
      </c>
    </row>
    <row r="357" spans="1:10">
      <c r="A357" s="7" t="s">
        <v>741</v>
      </c>
      <c r="B357" s="7" t="s">
        <v>754</v>
      </c>
      <c r="C357" s="8">
        <f>QS.CONTEXT.CREATE("market.355",A357,"USD","SOFR")</f>
        <v/>
      </c>
      <c r="D357" s="8">
        <f>QS.CONTEXT.ADD.CURVE(C357,"SOFR",$K$2:$K$7,$L$2:$L$7,,,"Actual360","LogLinear",TRUE)</f>
        <v/>
      </c>
      <c r="E357" s="8">
        <f>QS.INSTRUMENT.SWAP("swap.355",C357,H357,B357,"USD","SOFR",I357,J357,0,"Actual360","Simple","Annual","Annual","Annual")</f>
        <v/>
      </c>
      <c r="F357" s="8">
        <f>QS.TRADE.CREATE("trade.355",C357,E357,A357,"Receive")</f>
        <v/>
      </c>
      <c r="G357" s="5"/>
      <c r="H357" s="7" t="s">
        <v>755</v>
      </c>
      <c r="I357" s="9">
        <v>1035500</v>
      </c>
      <c r="J357" s="10">
        <v>0.0355</v>
      </c>
    </row>
    <row r="358" spans="1:10">
      <c r="A358" s="7" t="s">
        <v>743</v>
      </c>
      <c r="B358" s="7" t="s">
        <v>756</v>
      </c>
      <c r="C358" s="8">
        <f>QS.CONTEXT.CREATE("market.356",A358,"USD","SOFR")</f>
        <v/>
      </c>
      <c r="D358" s="8">
        <f>QS.CONTEXT.ADD.CURVE(C358,"SOFR",$K$2:$K$7,$L$2:$L$7,,,"Actual360","LogLinear",TRUE)</f>
        <v/>
      </c>
      <c r="E358" s="8">
        <f>QS.INSTRUMENT.SWAP("swap.356",C358,H358,B358,"USD","SOFR",I358,J358,0,"Actual360","Simple","Annual","Annual","Annual")</f>
        <v/>
      </c>
      <c r="F358" s="8">
        <f>QS.TRADE.CREATE("trade.356",C358,E358,A358,"Receive")</f>
        <v/>
      </c>
      <c r="G358" s="5"/>
      <c r="H358" s="7" t="s">
        <v>757</v>
      </c>
      <c r="I358" s="9">
        <v>1035600</v>
      </c>
      <c r="J358" s="10">
        <v>0.03560000000000001</v>
      </c>
    </row>
    <row r="359" spans="1:10">
      <c r="A359" s="7" t="s">
        <v>745</v>
      </c>
      <c r="B359" s="7" t="s">
        <v>758</v>
      </c>
      <c r="C359" s="8">
        <f>QS.CONTEXT.CREATE("market.357",A359,"USD","SOFR")</f>
        <v/>
      </c>
      <c r="D359" s="8">
        <f>QS.CONTEXT.ADD.CURVE(C359,"SOFR",$K$2:$K$7,$L$2:$L$7,,,"Actual360","LogLinear",TRUE)</f>
        <v/>
      </c>
      <c r="E359" s="8">
        <f>QS.INSTRUMENT.SWAP("swap.357",C359,H359,B359,"USD","SOFR",I359,J359,0,"Actual360","Simple","Annual","Annual","Annual")</f>
        <v/>
      </c>
      <c r="F359" s="8">
        <f>QS.TRADE.CREATE("trade.357",C359,E359,A359,"Receive")</f>
        <v/>
      </c>
      <c r="G359" s="5"/>
      <c r="H359" s="7" t="s">
        <v>759</v>
      </c>
      <c r="I359" s="9">
        <v>1035700</v>
      </c>
      <c r="J359" s="10">
        <v>0.0357</v>
      </c>
    </row>
    <row r="360" spans="1:10">
      <c r="A360" s="7" t="s">
        <v>747</v>
      </c>
      <c r="B360" s="7" t="s">
        <v>760</v>
      </c>
      <c r="C360" s="8">
        <f>QS.CONTEXT.CREATE("market.358",A360,"USD","SOFR")</f>
        <v/>
      </c>
      <c r="D360" s="8">
        <f>QS.CONTEXT.ADD.CURVE(C360,"SOFR",$K$2:$K$7,$L$2:$L$7,,,"Actual360","LogLinear",TRUE)</f>
        <v/>
      </c>
      <c r="E360" s="8">
        <f>QS.INSTRUMENT.SWAP("swap.358",C360,H360,B360,"USD","SOFR",I360,J360,0,"Actual360","Simple","Annual","Annual","Annual")</f>
        <v/>
      </c>
      <c r="F360" s="8">
        <f>QS.TRADE.CREATE("trade.358",C360,E360,A360,"Receive")</f>
        <v/>
      </c>
      <c r="G360" s="5"/>
      <c r="H360" s="7" t="s">
        <v>761</v>
      </c>
      <c r="I360" s="9">
        <v>1035800</v>
      </c>
      <c r="J360" s="10">
        <v>0.03580000000000001</v>
      </c>
    </row>
    <row r="361" spans="1:10">
      <c r="A361" s="7" t="s">
        <v>749</v>
      </c>
      <c r="B361" s="7" t="s">
        <v>762</v>
      </c>
      <c r="C361" s="8">
        <f>QS.CONTEXT.CREATE("market.359",A361,"USD","SOFR")</f>
        <v/>
      </c>
      <c r="D361" s="8">
        <f>QS.CONTEXT.ADD.CURVE(C361,"SOFR",$K$2:$K$7,$L$2:$L$7,,,"Actual360","LogLinear",TRUE)</f>
        <v/>
      </c>
      <c r="E361" s="8">
        <f>QS.INSTRUMENT.SWAP("swap.359",C361,H361,B361,"USD","SOFR",I361,J361,0,"Actual360","Simple","Annual","Annual","Annual")</f>
        <v/>
      </c>
      <c r="F361" s="8">
        <f>QS.TRADE.CREATE("trade.359",C361,E361,A361,"Receive")</f>
        <v/>
      </c>
      <c r="G361" s="5"/>
      <c r="H361" s="7" t="s">
        <v>763</v>
      </c>
      <c r="I361" s="9">
        <v>1035900</v>
      </c>
      <c r="J361" s="10">
        <v>0.0359</v>
      </c>
    </row>
    <row r="362" spans="1:10">
      <c r="A362" s="7" t="s">
        <v>751</v>
      </c>
      <c r="B362" s="7" t="s">
        <v>764</v>
      </c>
      <c r="C362" s="8">
        <f>QS.CONTEXT.CREATE("market.360",A362,"USD","SOFR")</f>
        <v/>
      </c>
      <c r="D362" s="8">
        <f>QS.CONTEXT.ADD.CURVE(C362,"SOFR",$K$2:$K$7,$L$2:$L$7,,,"Actual360","LogLinear",TRUE)</f>
        <v/>
      </c>
      <c r="E362" s="8">
        <f>QS.INSTRUMENT.SWAP("swap.360",C362,H362,B362,"USD","SOFR",I362,J362,0,"Actual360","Simple","Annual","Annual","Annual")</f>
        <v/>
      </c>
      <c r="F362" s="8">
        <f>QS.TRADE.CREATE("trade.360",C362,E362,A362,"Receive")</f>
        <v/>
      </c>
      <c r="G362" s="5"/>
      <c r="H362" s="7" t="s">
        <v>765</v>
      </c>
      <c r="I362" s="9">
        <v>1036000</v>
      </c>
      <c r="J362" s="10">
        <v>0.036</v>
      </c>
    </row>
    <row r="363" spans="1:10">
      <c r="A363" s="7" t="s">
        <v>753</v>
      </c>
      <c r="B363" s="7" t="s">
        <v>766</v>
      </c>
      <c r="C363" s="8">
        <f>QS.CONTEXT.CREATE("market.361",A363,"USD","SOFR")</f>
        <v/>
      </c>
      <c r="D363" s="8">
        <f>QS.CONTEXT.ADD.CURVE(C363,"SOFR",$K$2:$K$7,$L$2:$L$7,,,"Actual360","LogLinear",TRUE)</f>
        <v/>
      </c>
      <c r="E363" s="8">
        <f>QS.INSTRUMENT.SWAP("swap.361",C363,H363,B363,"USD","SOFR",I363,J363,0,"Actual360","Simple","Annual","Annual","Annual")</f>
        <v/>
      </c>
      <c r="F363" s="8">
        <f>QS.TRADE.CREATE("trade.361",C363,E363,A363,"Receive")</f>
        <v/>
      </c>
      <c r="G363" s="5"/>
      <c r="H363" s="7" t="s">
        <v>767</v>
      </c>
      <c r="I363" s="9">
        <v>1036100</v>
      </c>
      <c r="J363" s="10">
        <v>0.0361</v>
      </c>
    </row>
    <row r="364" spans="1:10">
      <c r="A364" s="7" t="s">
        <v>755</v>
      </c>
      <c r="B364" s="7" t="s">
        <v>768</v>
      </c>
      <c r="C364" s="8">
        <f>QS.CONTEXT.CREATE("market.362",A364,"USD","SOFR")</f>
        <v/>
      </c>
      <c r="D364" s="8">
        <f>QS.CONTEXT.ADD.CURVE(C364,"SOFR",$K$2:$K$7,$L$2:$L$7,,,"Actual360","LogLinear",TRUE)</f>
        <v/>
      </c>
      <c r="E364" s="8">
        <f>QS.INSTRUMENT.SWAP("swap.362",C364,H364,B364,"USD","SOFR",I364,J364,0,"Actual360","Simple","Annual","Annual","Annual")</f>
        <v/>
      </c>
      <c r="F364" s="8">
        <f>QS.TRADE.CREATE("trade.362",C364,E364,A364,"Receive")</f>
        <v/>
      </c>
      <c r="G364" s="5"/>
      <c r="H364" s="7" t="s">
        <v>769</v>
      </c>
      <c r="I364" s="9">
        <v>1036200</v>
      </c>
      <c r="J364" s="10">
        <v>0.0362</v>
      </c>
    </row>
    <row r="365" spans="1:10">
      <c r="A365" s="7" t="s">
        <v>757</v>
      </c>
      <c r="B365" s="7" t="s">
        <v>770</v>
      </c>
      <c r="C365" s="8">
        <f>QS.CONTEXT.CREATE("market.363",A365,"USD","SOFR")</f>
        <v/>
      </c>
      <c r="D365" s="8">
        <f>QS.CONTEXT.ADD.CURVE(C365,"SOFR",$K$2:$K$7,$L$2:$L$7,,,"Actual360","LogLinear",TRUE)</f>
        <v/>
      </c>
      <c r="E365" s="8">
        <f>QS.INSTRUMENT.SWAP("swap.363",C365,H365,B365,"USD","SOFR",I365,J365,0,"Actual360","Simple","Annual","Annual","Annual")</f>
        <v/>
      </c>
      <c r="F365" s="8">
        <f>QS.TRADE.CREATE("trade.363",C365,E365,A365,"Receive")</f>
        <v/>
      </c>
      <c r="G365" s="5"/>
      <c r="H365" s="7" t="s">
        <v>771</v>
      </c>
      <c r="I365" s="9">
        <v>1036300</v>
      </c>
      <c r="J365" s="10">
        <v>0.03630000000000001</v>
      </c>
    </row>
    <row r="366" spans="1:10">
      <c r="A366" s="7" t="s">
        <v>759</v>
      </c>
      <c r="B366" s="7" t="s">
        <v>772</v>
      </c>
      <c r="C366" s="8">
        <f>QS.CONTEXT.CREATE("market.364",A366,"USD","SOFR")</f>
        <v/>
      </c>
      <c r="D366" s="8">
        <f>QS.CONTEXT.ADD.CURVE(C366,"SOFR",$K$2:$K$7,$L$2:$L$7,,,"Actual360","LogLinear",TRUE)</f>
        <v/>
      </c>
      <c r="E366" s="8">
        <f>QS.INSTRUMENT.SWAP("swap.364",C366,H366,B366,"USD","SOFR",I366,J366,0,"Actual360","Simple","Annual","Annual","Annual")</f>
        <v/>
      </c>
      <c r="F366" s="8">
        <f>QS.TRADE.CREATE("trade.364",C366,E366,A366,"Receive")</f>
        <v/>
      </c>
      <c r="G366" s="5"/>
      <c r="H366" s="7" t="s">
        <v>773</v>
      </c>
      <c r="I366" s="9">
        <v>1036400</v>
      </c>
      <c r="J366" s="10">
        <v>0.0364</v>
      </c>
    </row>
    <row r="367" spans="1:10">
      <c r="A367" s="7" t="s">
        <v>761</v>
      </c>
      <c r="B367" s="7" t="s">
        <v>774</v>
      </c>
      <c r="C367" s="8">
        <f>QS.CONTEXT.CREATE("market.365",A367,"USD","SOFR")</f>
        <v/>
      </c>
      <c r="D367" s="8">
        <f>QS.CONTEXT.ADD.CURVE(C367,"SOFR",$K$2:$K$7,$L$2:$L$7,,,"Actual360","LogLinear",TRUE)</f>
        <v/>
      </c>
      <c r="E367" s="8">
        <f>QS.INSTRUMENT.SWAP("swap.365",C367,H367,B367,"USD","SOFR",I367,J367,0,"Actual360","Simple","Annual","Annual","Annual")</f>
        <v/>
      </c>
      <c r="F367" s="8">
        <f>QS.TRADE.CREATE("trade.365",C367,E367,A367,"Receive")</f>
        <v/>
      </c>
      <c r="G367" s="5"/>
      <c r="H367" s="7" t="s">
        <v>775</v>
      </c>
      <c r="I367" s="9">
        <v>1036500</v>
      </c>
      <c r="J367" s="10">
        <v>0.0365</v>
      </c>
    </row>
    <row r="368" spans="1:10">
      <c r="A368" s="7" t="s">
        <v>763</v>
      </c>
      <c r="B368" s="7" t="s">
        <v>776</v>
      </c>
      <c r="C368" s="8">
        <f>QS.CONTEXT.CREATE("market.366",A368,"USD","SOFR")</f>
        <v/>
      </c>
      <c r="D368" s="8">
        <f>QS.CONTEXT.ADD.CURVE(C368,"SOFR",$K$2:$K$7,$L$2:$L$7,,,"Actual360","LogLinear",TRUE)</f>
        <v/>
      </c>
      <c r="E368" s="8">
        <f>QS.INSTRUMENT.SWAP("swap.366",C368,H368,B368,"USD","SOFR",I368,J368,0,"Actual360","Simple","Annual","Annual","Annual")</f>
        <v/>
      </c>
      <c r="F368" s="8">
        <f>QS.TRADE.CREATE("trade.366",C368,E368,A368,"Receive")</f>
        <v/>
      </c>
      <c r="G368" s="5"/>
      <c r="H368" s="7" t="s">
        <v>777</v>
      </c>
      <c r="I368" s="9">
        <v>1036600</v>
      </c>
      <c r="J368" s="10">
        <v>0.0366</v>
      </c>
    </row>
    <row r="369" spans="1:10">
      <c r="A369" s="7" t="s">
        <v>765</v>
      </c>
      <c r="B369" s="7" t="s">
        <v>778</v>
      </c>
      <c r="C369" s="8">
        <f>QS.CONTEXT.CREATE("market.367",A369,"USD","SOFR")</f>
        <v/>
      </c>
      <c r="D369" s="8">
        <f>QS.CONTEXT.ADD.CURVE(C369,"SOFR",$K$2:$K$7,$L$2:$L$7,,,"Actual360","LogLinear",TRUE)</f>
        <v/>
      </c>
      <c r="E369" s="8">
        <f>QS.INSTRUMENT.SWAP("swap.367",C369,H369,B369,"USD","SOFR",I369,J369,0,"Actual360","Simple","Annual","Annual","Annual")</f>
        <v/>
      </c>
      <c r="F369" s="8">
        <f>QS.TRADE.CREATE("trade.367",C369,E369,A369,"Receive")</f>
        <v/>
      </c>
      <c r="G369" s="5"/>
      <c r="H369" s="7" t="s">
        <v>779</v>
      </c>
      <c r="I369" s="9">
        <v>1036700</v>
      </c>
      <c r="J369" s="10">
        <v>0.0367</v>
      </c>
    </row>
    <row r="370" spans="1:10">
      <c r="A370" s="7" t="s">
        <v>767</v>
      </c>
      <c r="B370" s="7" t="s">
        <v>780</v>
      </c>
      <c r="C370" s="8">
        <f>QS.CONTEXT.CREATE("market.368",A370,"USD","SOFR")</f>
        <v/>
      </c>
      <c r="D370" s="8">
        <f>QS.CONTEXT.ADD.CURVE(C370,"SOFR",$K$2:$K$7,$L$2:$L$7,,,"Actual360","LogLinear",TRUE)</f>
        <v/>
      </c>
      <c r="E370" s="8">
        <f>QS.INSTRUMENT.SWAP("swap.368",C370,H370,B370,"USD","SOFR",I370,J370,0,"Actual360","Simple","Annual","Annual","Annual")</f>
        <v/>
      </c>
      <c r="F370" s="8">
        <f>QS.TRADE.CREATE("trade.368",C370,E370,A370,"Receive")</f>
        <v/>
      </c>
      <c r="G370" s="5"/>
      <c r="H370" s="7" t="s">
        <v>781</v>
      </c>
      <c r="I370" s="9">
        <v>1036800</v>
      </c>
      <c r="J370" s="10">
        <v>0.03680000000000001</v>
      </c>
    </row>
    <row r="371" spans="1:10">
      <c r="A371" s="7" t="s">
        <v>769</v>
      </c>
      <c r="B371" s="7" t="s">
        <v>782</v>
      </c>
      <c r="C371" s="8">
        <f>QS.CONTEXT.CREATE("market.369",A371,"USD","SOFR")</f>
        <v/>
      </c>
      <c r="D371" s="8">
        <f>QS.CONTEXT.ADD.CURVE(C371,"SOFR",$K$2:$K$7,$L$2:$L$7,,,"Actual360","LogLinear",TRUE)</f>
        <v/>
      </c>
      <c r="E371" s="8">
        <f>QS.INSTRUMENT.SWAP("swap.369",C371,H371,B371,"USD","SOFR",I371,J371,0,"Actual360","Simple","Annual","Annual","Annual")</f>
        <v/>
      </c>
      <c r="F371" s="8">
        <f>QS.TRADE.CREATE("trade.369",C371,E371,A371,"Receive")</f>
        <v/>
      </c>
      <c r="G371" s="5"/>
      <c r="H371" s="7" t="s">
        <v>783</v>
      </c>
      <c r="I371" s="9">
        <v>1036900</v>
      </c>
      <c r="J371" s="10">
        <v>0.0369</v>
      </c>
    </row>
    <row r="372" spans="1:10">
      <c r="A372" s="7" t="s">
        <v>771</v>
      </c>
      <c r="B372" s="7" t="s">
        <v>784</v>
      </c>
      <c r="C372" s="8">
        <f>QS.CONTEXT.CREATE("market.370",A372,"USD","SOFR")</f>
        <v/>
      </c>
      <c r="D372" s="8">
        <f>QS.CONTEXT.ADD.CURVE(C372,"SOFR",$K$2:$K$7,$L$2:$L$7,,,"Actual360","LogLinear",TRUE)</f>
        <v/>
      </c>
      <c r="E372" s="8">
        <f>QS.INSTRUMENT.SWAP("swap.370",C372,H372,B372,"USD","SOFR",I372,J372,0,"Actual360","Simple","Annual","Annual","Annual")</f>
        <v/>
      </c>
      <c r="F372" s="8">
        <f>QS.TRADE.CREATE("trade.370",C372,E372,A372,"Receive")</f>
        <v/>
      </c>
      <c r="G372" s="5"/>
      <c r="H372" s="7" t="s">
        <v>785</v>
      </c>
      <c r="I372" s="9">
        <v>1037000</v>
      </c>
      <c r="J372" s="10">
        <v>0.03700000000000001</v>
      </c>
    </row>
    <row r="373" spans="1:10">
      <c r="A373" s="7" t="s">
        <v>773</v>
      </c>
      <c r="B373" s="7" t="s">
        <v>786</v>
      </c>
      <c r="C373" s="8">
        <f>QS.CONTEXT.CREATE("market.371",A373,"USD","SOFR")</f>
        <v/>
      </c>
      <c r="D373" s="8">
        <f>QS.CONTEXT.ADD.CURVE(C373,"SOFR",$K$2:$K$7,$L$2:$L$7,,,"Actual360","LogLinear",TRUE)</f>
        <v/>
      </c>
      <c r="E373" s="8">
        <f>QS.INSTRUMENT.SWAP("swap.371",C373,H373,B373,"USD","SOFR",I373,J373,0,"Actual360","Simple","Annual","Annual","Annual")</f>
        <v/>
      </c>
      <c r="F373" s="8">
        <f>QS.TRADE.CREATE("trade.371",C373,E373,A373,"Receive")</f>
        <v/>
      </c>
      <c r="G373" s="5"/>
      <c r="H373" s="7" t="s">
        <v>787</v>
      </c>
      <c r="I373" s="9">
        <v>1037100</v>
      </c>
      <c r="J373" s="10">
        <v>0.0371</v>
      </c>
    </row>
    <row r="374" spans="1:10">
      <c r="A374" s="7" t="s">
        <v>775</v>
      </c>
      <c r="B374" s="7" t="s">
        <v>788</v>
      </c>
      <c r="C374" s="8">
        <f>QS.CONTEXT.CREATE("market.372",A374,"USD","SOFR")</f>
        <v/>
      </c>
      <c r="D374" s="8">
        <f>QS.CONTEXT.ADD.CURVE(C374,"SOFR",$K$2:$K$7,$L$2:$L$7,,,"Actual360","LogLinear",TRUE)</f>
        <v/>
      </c>
      <c r="E374" s="8">
        <f>QS.INSTRUMENT.SWAP("swap.372",C374,H374,B374,"USD","SOFR",I374,J374,0,"Actual360","Simple","Annual","Annual","Annual")</f>
        <v/>
      </c>
      <c r="F374" s="8">
        <f>QS.TRADE.CREATE("trade.372",C374,E374,A374,"Receive")</f>
        <v/>
      </c>
      <c r="G374" s="5"/>
      <c r="H374" s="7" t="s">
        <v>789</v>
      </c>
      <c r="I374" s="9">
        <v>1037200</v>
      </c>
      <c r="J374" s="10">
        <v>0.0372</v>
      </c>
    </row>
    <row r="375" spans="1:10">
      <c r="A375" s="7" t="s">
        <v>777</v>
      </c>
      <c r="B375" s="7" t="s">
        <v>790</v>
      </c>
      <c r="C375" s="8">
        <f>QS.CONTEXT.CREATE("market.373",A375,"USD","SOFR")</f>
        <v/>
      </c>
      <c r="D375" s="8">
        <f>QS.CONTEXT.ADD.CURVE(C375,"SOFR",$K$2:$K$7,$L$2:$L$7,,,"Actual360","LogLinear",TRUE)</f>
        <v/>
      </c>
      <c r="E375" s="8">
        <f>QS.INSTRUMENT.SWAP("swap.373",C375,H375,B375,"USD","SOFR",I375,J375,0,"Actual360","Simple","Annual","Annual","Annual")</f>
        <v/>
      </c>
      <c r="F375" s="8">
        <f>QS.TRADE.CREATE("trade.373",C375,E375,A375,"Receive")</f>
        <v/>
      </c>
      <c r="G375" s="5"/>
      <c r="H375" s="7" t="s">
        <v>791</v>
      </c>
      <c r="I375" s="9">
        <v>1037300</v>
      </c>
      <c r="J375" s="10">
        <v>0.0373</v>
      </c>
    </row>
    <row r="376" spans="1:10">
      <c r="A376" s="7" t="s">
        <v>779</v>
      </c>
      <c r="B376" s="7" t="s">
        <v>792</v>
      </c>
      <c r="C376" s="8">
        <f>QS.CONTEXT.CREATE("market.374",A376,"USD","SOFR")</f>
        <v/>
      </c>
      <c r="D376" s="8">
        <f>QS.CONTEXT.ADD.CURVE(C376,"SOFR",$K$2:$K$7,$L$2:$L$7,,,"Actual360","LogLinear",TRUE)</f>
        <v/>
      </c>
      <c r="E376" s="8">
        <f>QS.INSTRUMENT.SWAP("swap.374",C376,H376,B376,"USD","SOFR",I376,J376,0,"Actual360","Simple","Annual","Annual","Annual")</f>
        <v/>
      </c>
      <c r="F376" s="8">
        <f>QS.TRADE.CREATE("trade.374",C376,E376,A376,"Receive")</f>
        <v/>
      </c>
      <c r="G376" s="5"/>
      <c r="H376" s="7" t="s">
        <v>793</v>
      </c>
      <c r="I376" s="9">
        <v>1037400</v>
      </c>
      <c r="J376" s="10">
        <v>0.0374</v>
      </c>
    </row>
    <row r="377" spans="1:10">
      <c r="A377" s="7" t="s">
        <v>781</v>
      </c>
      <c r="B377" s="7" t="s">
        <v>794</v>
      </c>
      <c r="C377" s="8">
        <f>QS.CONTEXT.CREATE("market.375",A377,"USD","SOFR")</f>
        <v/>
      </c>
      <c r="D377" s="8">
        <f>QS.CONTEXT.ADD.CURVE(C377,"SOFR",$K$2:$K$7,$L$2:$L$7,,,"Actual360","LogLinear",TRUE)</f>
        <v/>
      </c>
      <c r="E377" s="8">
        <f>QS.INSTRUMENT.SWAP("swap.375",C377,H377,B377,"USD","SOFR",I377,J377,0,"Actual360","Simple","Annual","Annual","Annual")</f>
        <v/>
      </c>
      <c r="F377" s="8">
        <f>QS.TRADE.CREATE("trade.375",C377,E377,A377,"Receive")</f>
        <v/>
      </c>
      <c r="G377" s="5"/>
      <c r="H377" s="7" t="s">
        <v>795</v>
      </c>
      <c r="I377" s="9">
        <v>1037500</v>
      </c>
      <c r="J377" s="10">
        <v>0.03750000000000001</v>
      </c>
    </row>
    <row r="378" spans="1:10">
      <c r="A378" s="7" t="s">
        <v>783</v>
      </c>
      <c r="B378" s="7" t="s">
        <v>796</v>
      </c>
      <c r="C378" s="8">
        <f>QS.CONTEXT.CREATE("market.376",A378,"USD","SOFR")</f>
        <v/>
      </c>
      <c r="D378" s="8">
        <f>QS.CONTEXT.ADD.CURVE(C378,"SOFR",$K$2:$K$7,$L$2:$L$7,,,"Actual360","LogLinear",TRUE)</f>
        <v/>
      </c>
      <c r="E378" s="8">
        <f>QS.INSTRUMENT.SWAP("swap.376",C378,H378,B378,"USD","SOFR",I378,J378,0,"Actual360","Simple","Annual","Annual","Annual")</f>
        <v/>
      </c>
      <c r="F378" s="8">
        <f>QS.TRADE.CREATE("trade.376",C378,E378,A378,"Receive")</f>
        <v/>
      </c>
      <c r="G378" s="5"/>
      <c r="H378" s="7" t="s">
        <v>797</v>
      </c>
      <c r="I378" s="9">
        <v>1037600</v>
      </c>
      <c r="J378" s="10">
        <v>0.0376</v>
      </c>
    </row>
    <row r="379" spans="1:10">
      <c r="A379" s="7" t="s">
        <v>785</v>
      </c>
      <c r="B379" s="7" t="s">
        <v>798</v>
      </c>
      <c r="C379" s="8">
        <f>QS.CONTEXT.CREATE("market.377",A379,"USD","SOFR")</f>
        <v/>
      </c>
      <c r="D379" s="8">
        <f>QS.CONTEXT.ADD.CURVE(C379,"SOFR",$K$2:$K$7,$L$2:$L$7,,,"Actual360","LogLinear",TRUE)</f>
        <v/>
      </c>
      <c r="E379" s="8">
        <f>QS.INSTRUMENT.SWAP("swap.377",C379,H379,B379,"USD","SOFR",I379,J379,0,"Actual360","Simple","Annual","Annual","Annual")</f>
        <v/>
      </c>
      <c r="F379" s="8">
        <f>QS.TRADE.CREATE("trade.377",C379,E379,A379,"Receive")</f>
        <v/>
      </c>
      <c r="G379" s="5"/>
      <c r="H379" s="7" t="s">
        <v>799</v>
      </c>
      <c r="I379" s="9">
        <v>1037700</v>
      </c>
      <c r="J379" s="10">
        <v>0.0377</v>
      </c>
    </row>
    <row r="380" spans="1:10">
      <c r="A380" s="7" t="s">
        <v>787</v>
      </c>
      <c r="B380" s="7" t="s">
        <v>800</v>
      </c>
      <c r="C380" s="8">
        <f>QS.CONTEXT.CREATE("market.378",A380,"USD","SOFR")</f>
        <v/>
      </c>
      <c r="D380" s="8">
        <f>QS.CONTEXT.ADD.CURVE(C380,"SOFR",$K$2:$K$7,$L$2:$L$7,,,"Actual360","LogLinear",TRUE)</f>
        <v/>
      </c>
      <c r="E380" s="8">
        <f>QS.INSTRUMENT.SWAP("swap.378",C380,H380,B380,"USD","SOFR",I380,J380,0,"Actual360","Simple","Annual","Annual","Annual")</f>
        <v/>
      </c>
      <c r="F380" s="8">
        <f>QS.TRADE.CREATE("trade.378",C380,E380,A380,"Receive")</f>
        <v/>
      </c>
      <c r="G380" s="5"/>
      <c r="H380" s="7" t="s">
        <v>801</v>
      </c>
      <c r="I380" s="9">
        <v>1037800</v>
      </c>
      <c r="J380" s="10">
        <v>0.0378</v>
      </c>
    </row>
    <row r="381" spans="1:10">
      <c r="A381" s="7" t="s">
        <v>789</v>
      </c>
      <c r="B381" s="7" t="s">
        <v>802</v>
      </c>
      <c r="C381" s="8">
        <f>QS.CONTEXT.CREATE("market.379",A381,"USD","SOFR")</f>
        <v/>
      </c>
      <c r="D381" s="8">
        <f>QS.CONTEXT.ADD.CURVE(C381,"SOFR",$K$2:$K$7,$L$2:$L$7,,,"Actual360","LogLinear",TRUE)</f>
        <v/>
      </c>
      <c r="E381" s="8">
        <f>QS.INSTRUMENT.SWAP("swap.379",C381,H381,B381,"USD","SOFR",I381,J381,0,"Actual360","Simple","Annual","Annual","Annual")</f>
        <v/>
      </c>
      <c r="F381" s="8">
        <f>QS.TRADE.CREATE("trade.379",C381,E381,A381,"Receive")</f>
        <v/>
      </c>
      <c r="G381" s="5"/>
      <c r="H381" s="7" t="s">
        <v>803</v>
      </c>
      <c r="I381" s="9">
        <v>1037900</v>
      </c>
      <c r="J381" s="10">
        <v>0.0379</v>
      </c>
    </row>
    <row r="382" spans="1:10">
      <c r="A382" s="7" t="s">
        <v>791</v>
      </c>
      <c r="B382" s="7" t="s">
        <v>804</v>
      </c>
      <c r="C382" s="8">
        <f>QS.CONTEXT.CREATE("market.380",A382,"USD","SOFR")</f>
        <v/>
      </c>
      <c r="D382" s="8">
        <f>QS.CONTEXT.ADD.CURVE(C382,"SOFR",$K$2:$K$7,$L$2:$L$7,,,"Actual360","LogLinear",TRUE)</f>
        <v/>
      </c>
      <c r="E382" s="8">
        <f>QS.INSTRUMENT.SWAP("swap.380",C382,H382,B382,"USD","SOFR",I382,J382,0,"Actual360","Simple","Annual","Annual","Annual")</f>
        <v/>
      </c>
      <c r="F382" s="8">
        <f>QS.TRADE.CREATE("trade.380",C382,E382,A382,"Receive")</f>
        <v/>
      </c>
      <c r="G382" s="5"/>
      <c r="H382" s="7" t="s">
        <v>805</v>
      </c>
      <c r="I382" s="9">
        <v>1038000</v>
      </c>
      <c r="J382" s="10">
        <v>0.03800000000000001</v>
      </c>
    </row>
    <row r="383" spans="1:10">
      <c r="A383" s="7" t="s">
        <v>793</v>
      </c>
      <c r="B383" s="7" t="s">
        <v>806</v>
      </c>
      <c r="C383" s="8">
        <f>QS.CONTEXT.CREATE("market.381",A383,"USD","SOFR")</f>
        <v/>
      </c>
      <c r="D383" s="8">
        <f>QS.CONTEXT.ADD.CURVE(C383,"SOFR",$K$2:$K$7,$L$2:$L$7,,,"Actual360","LogLinear",TRUE)</f>
        <v/>
      </c>
      <c r="E383" s="8">
        <f>QS.INSTRUMENT.SWAP("swap.381",C383,H383,B383,"USD","SOFR",I383,J383,0,"Actual360","Simple","Annual","Annual","Annual")</f>
        <v/>
      </c>
      <c r="F383" s="8">
        <f>QS.TRADE.CREATE("trade.381",C383,E383,A383,"Receive")</f>
        <v/>
      </c>
      <c r="G383" s="5"/>
      <c r="H383" s="7" t="s">
        <v>807</v>
      </c>
      <c r="I383" s="9">
        <v>1038100</v>
      </c>
      <c r="J383" s="10">
        <v>0.0381</v>
      </c>
    </row>
    <row r="384" spans="1:10">
      <c r="A384" s="7" t="s">
        <v>795</v>
      </c>
      <c r="B384" s="7" t="s">
        <v>808</v>
      </c>
      <c r="C384" s="8">
        <f>QS.CONTEXT.CREATE("market.382",A384,"USD","SOFR")</f>
        <v/>
      </c>
      <c r="D384" s="8">
        <f>QS.CONTEXT.ADD.CURVE(C384,"SOFR",$K$2:$K$7,$L$2:$L$7,,,"Actual360","LogLinear",TRUE)</f>
        <v/>
      </c>
      <c r="E384" s="8">
        <f>QS.INSTRUMENT.SWAP("swap.382",C384,H384,B384,"USD","SOFR",I384,J384,0,"Actual360","Simple","Annual","Annual","Annual")</f>
        <v/>
      </c>
      <c r="F384" s="8">
        <f>QS.TRADE.CREATE("trade.382",C384,E384,A384,"Receive")</f>
        <v/>
      </c>
      <c r="G384" s="5"/>
      <c r="H384" s="7" t="s">
        <v>809</v>
      </c>
      <c r="I384" s="9">
        <v>1038200</v>
      </c>
      <c r="J384" s="10">
        <v>0.0382</v>
      </c>
    </row>
    <row r="385" spans="1:10">
      <c r="A385" s="7" t="s">
        <v>797</v>
      </c>
      <c r="B385" s="7" t="s">
        <v>810</v>
      </c>
      <c r="C385" s="8">
        <f>QS.CONTEXT.CREATE("market.383",A385,"USD","SOFR")</f>
        <v/>
      </c>
      <c r="D385" s="8">
        <f>QS.CONTEXT.ADD.CURVE(C385,"SOFR",$K$2:$K$7,$L$2:$L$7,,,"Actual360","LogLinear",TRUE)</f>
        <v/>
      </c>
      <c r="E385" s="8">
        <f>QS.INSTRUMENT.SWAP("swap.383",C385,H385,B385,"USD","SOFR",I385,J385,0,"Actual360","Simple","Annual","Annual","Annual")</f>
        <v/>
      </c>
      <c r="F385" s="8">
        <f>QS.TRADE.CREATE("trade.383",C385,E385,A385,"Receive")</f>
        <v/>
      </c>
      <c r="G385" s="5"/>
      <c r="H385" s="7" t="s">
        <v>811</v>
      </c>
      <c r="I385" s="9">
        <v>1038300</v>
      </c>
      <c r="J385" s="10">
        <v>0.0383</v>
      </c>
    </row>
    <row r="386" spans="1:10">
      <c r="A386" s="7" t="s">
        <v>799</v>
      </c>
      <c r="B386" s="7" t="s">
        <v>812</v>
      </c>
      <c r="C386" s="8">
        <f>QS.CONTEXT.CREATE("market.384",A386,"USD","SOFR")</f>
        <v/>
      </c>
      <c r="D386" s="8">
        <f>QS.CONTEXT.ADD.CURVE(C386,"SOFR",$K$2:$K$7,$L$2:$L$7,,,"Actual360","LogLinear",TRUE)</f>
        <v/>
      </c>
      <c r="E386" s="8">
        <f>QS.INSTRUMENT.SWAP("swap.384",C386,H386,B386,"USD","SOFR",I386,J386,0,"Actual360","Simple","Annual","Annual","Annual")</f>
        <v/>
      </c>
      <c r="F386" s="8">
        <f>QS.TRADE.CREATE("trade.384",C386,E386,A386,"Receive")</f>
        <v/>
      </c>
      <c r="G386" s="5"/>
      <c r="H386" s="7" t="s">
        <v>813</v>
      </c>
      <c r="I386" s="9">
        <v>1038400</v>
      </c>
      <c r="J386" s="10">
        <v>0.0384</v>
      </c>
    </row>
    <row r="387" spans="1:10">
      <c r="A387" s="7" t="s">
        <v>801</v>
      </c>
      <c r="B387" s="7" t="s">
        <v>814</v>
      </c>
      <c r="C387" s="8">
        <f>QS.CONTEXT.CREATE("market.385",A387,"USD","SOFR")</f>
        <v/>
      </c>
      <c r="D387" s="8">
        <f>QS.CONTEXT.ADD.CURVE(C387,"SOFR",$K$2:$K$7,$L$2:$L$7,,,"Actual360","LogLinear",TRUE)</f>
        <v/>
      </c>
      <c r="E387" s="8">
        <f>QS.INSTRUMENT.SWAP("swap.385",C387,H387,B387,"USD","SOFR",I387,J387,0,"Actual360","Simple","Annual","Annual","Annual")</f>
        <v/>
      </c>
      <c r="F387" s="8">
        <f>QS.TRADE.CREATE("trade.385",C387,E387,A387,"Receive")</f>
        <v/>
      </c>
      <c r="G387" s="5"/>
      <c r="H387" s="7" t="s">
        <v>815</v>
      </c>
      <c r="I387" s="9">
        <v>1038500</v>
      </c>
      <c r="J387" s="10">
        <v>0.03850000000000001</v>
      </c>
    </row>
    <row r="388" spans="1:10">
      <c r="A388" s="7" t="s">
        <v>803</v>
      </c>
      <c r="B388" s="7" t="s">
        <v>816</v>
      </c>
      <c r="C388" s="8">
        <f>QS.CONTEXT.CREATE("market.386",A388,"USD","SOFR")</f>
        <v/>
      </c>
      <c r="D388" s="8">
        <f>QS.CONTEXT.ADD.CURVE(C388,"SOFR",$K$2:$K$7,$L$2:$L$7,,,"Actual360","LogLinear",TRUE)</f>
        <v/>
      </c>
      <c r="E388" s="8">
        <f>QS.INSTRUMENT.SWAP("swap.386",C388,H388,B388,"USD","SOFR",I388,J388,0,"Actual360","Simple","Annual","Annual","Annual")</f>
        <v/>
      </c>
      <c r="F388" s="8">
        <f>QS.TRADE.CREATE("trade.386",C388,E388,A388,"Receive")</f>
        <v/>
      </c>
      <c r="G388" s="5"/>
      <c r="H388" s="7" t="s">
        <v>817</v>
      </c>
      <c r="I388" s="9">
        <v>1038600</v>
      </c>
      <c r="J388" s="10">
        <v>0.0386</v>
      </c>
    </row>
    <row r="389" spans="1:10">
      <c r="A389" s="7" t="s">
        <v>805</v>
      </c>
      <c r="B389" s="7" t="s">
        <v>818</v>
      </c>
      <c r="C389" s="8">
        <f>QS.CONTEXT.CREATE("market.387",A389,"USD","SOFR")</f>
        <v/>
      </c>
      <c r="D389" s="8">
        <f>QS.CONTEXT.ADD.CURVE(C389,"SOFR",$K$2:$K$7,$L$2:$L$7,,,"Actual360","LogLinear",TRUE)</f>
        <v/>
      </c>
      <c r="E389" s="8">
        <f>QS.INSTRUMENT.SWAP("swap.387",C389,H389,B389,"USD","SOFR",I389,J389,0,"Actual360","Simple","Annual","Annual","Annual")</f>
        <v/>
      </c>
      <c r="F389" s="8">
        <f>QS.TRADE.CREATE("trade.387",C389,E389,A389,"Receive")</f>
        <v/>
      </c>
      <c r="G389" s="5"/>
      <c r="H389" s="7" t="s">
        <v>819</v>
      </c>
      <c r="I389" s="9">
        <v>1038700</v>
      </c>
      <c r="J389" s="10">
        <v>0.03870000000000001</v>
      </c>
    </row>
    <row r="390" spans="1:10">
      <c r="A390" s="7" t="s">
        <v>807</v>
      </c>
      <c r="B390" s="7" t="s">
        <v>820</v>
      </c>
      <c r="C390" s="8">
        <f>QS.CONTEXT.CREATE("market.388",A390,"USD","SOFR")</f>
        <v/>
      </c>
      <c r="D390" s="8">
        <f>QS.CONTEXT.ADD.CURVE(C390,"SOFR",$K$2:$K$7,$L$2:$L$7,,,"Actual360","LogLinear",TRUE)</f>
        <v/>
      </c>
      <c r="E390" s="8">
        <f>QS.INSTRUMENT.SWAP("swap.388",C390,H390,B390,"USD","SOFR",I390,J390,0,"Actual360","Simple","Annual","Annual","Annual")</f>
        <v/>
      </c>
      <c r="F390" s="8">
        <f>QS.TRADE.CREATE("trade.388",C390,E390,A390,"Receive")</f>
        <v/>
      </c>
      <c r="G390" s="5"/>
      <c r="H390" s="7" t="s">
        <v>821</v>
      </c>
      <c r="I390" s="9">
        <v>1038800</v>
      </c>
      <c r="J390" s="10">
        <v>0.0388</v>
      </c>
    </row>
    <row r="391" spans="1:10">
      <c r="A391" s="7" t="s">
        <v>809</v>
      </c>
      <c r="B391" s="7" t="s">
        <v>822</v>
      </c>
      <c r="C391" s="8">
        <f>QS.CONTEXT.CREATE("market.389",A391,"USD","SOFR")</f>
        <v/>
      </c>
      <c r="D391" s="8">
        <f>QS.CONTEXT.ADD.CURVE(C391,"SOFR",$K$2:$K$7,$L$2:$L$7,,,"Actual360","LogLinear",TRUE)</f>
        <v/>
      </c>
      <c r="E391" s="8">
        <f>QS.INSTRUMENT.SWAP("swap.389",C391,H391,B391,"USD","SOFR",I391,J391,0,"Actual360","Simple","Annual","Annual","Annual")</f>
        <v/>
      </c>
      <c r="F391" s="8">
        <f>QS.TRADE.CREATE("trade.389",C391,E391,A391,"Receive")</f>
        <v/>
      </c>
      <c r="G391" s="5"/>
      <c r="H391" s="7" t="s">
        <v>823</v>
      </c>
      <c r="I391" s="9">
        <v>1038900</v>
      </c>
      <c r="J391" s="10">
        <v>0.0389</v>
      </c>
    </row>
    <row r="392" spans="1:10">
      <c r="A392" s="7" t="s">
        <v>811</v>
      </c>
      <c r="B392" s="7" t="s">
        <v>824</v>
      </c>
      <c r="C392" s="8">
        <f>QS.CONTEXT.CREATE("market.390",A392,"USD","SOFR")</f>
        <v/>
      </c>
      <c r="D392" s="8">
        <f>QS.CONTEXT.ADD.CURVE(C392,"SOFR",$K$2:$K$7,$L$2:$L$7,,,"Actual360","LogLinear",TRUE)</f>
        <v/>
      </c>
      <c r="E392" s="8">
        <f>QS.INSTRUMENT.SWAP("swap.390",C392,H392,B392,"USD","SOFR",I392,J392,0,"Actual360","Simple","Annual","Annual","Annual")</f>
        <v/>
      </c>
      <c r="F392" s="8">
        <f>QS.TRADE.CREATE("trade.390",C392,E392,A392,"Receive")</f>
        <v/>
      </c>
      <c r="G392" s="5"/>
      <c r="H392" s="7" t="s">
        <v>825</v>
      </c>
      <c r="I392" s="9">
        <v>1039000</v>
      </c>
      <c r="J392" s="10">
        <v>0.03900000000000001</v>
      </c>
    </row>
    <row r="393" spans="1:10">
      <c r="A393" s="7" t="s">
        <v>813</v>
      </c>
      <c r="B393" s="7" t="s">
        <v>826</v>
      </c>
      <c r="C393" s="8">
        <f>QS.CONTEXT.CREATE("market.391",A393,"USD","SOFR")</f>
        <v/>
      </c>
      <c r="D393" s="8">
        <f>QS.CONTEXT.ADD.CURVE(C393,"SOFR",$K$2:$K$7,$L$2:$L$7,,,"Actual360","LogLinear",TRUE)</f>
        <v/>
      </c>
      <c r="E393" s="8">
        <f>QS.INSTRUMENT.SWAP("swap.391",C393,H393,B393,"USD","SOFR",I393,J393,0,"Actual360","Simple","Annual","Annual","Annual")</f>
        <v/>
      </c>
      <c r="F393" s="8">
        <f>QS.TRADE.CREATE("trade.391",C393,E393,A393,"Receive")</f>
        <v/>
      </c>
      <c r="G393" s="5"/>
      <c r="H393" s="7" t="s">
        <v>827</v>
      </c>
      <c r="I393" s="9">
        <v>1039100</v>
      </c>
      <c r="J393" s="10">
        <v>0.0391</v>
      </c>
    </row>
    <row r="394" spans="1:10">
      <c r="A394" s="7" t="s">
        <v>815</v>
      </c>
      <c r="B394" s="7" t="s">
        <v>828</v>
      </c>
      <c r="C394" s="8">
        <f>QS.CONTEXT.CREATE("market.392",A394,"USD","SOFR")</f>
        <v/>
      </c>
      <c r="D394" s="8">
        <f>QS.CONTEXT.ADD.CURVE(C394,"SOFR",$K$2:$K$7,$L$2:$L$7,,,"Actual360","LogLinear",TRUE)</f>
        <v/>
      </c>
      <c r="E394" s="8">
        <f>QS.INSTRUMENT.SWAP("swap.392",C394,H394,B394,"USD","SOFR",I394,J394,0,"Actual360","Simple","Annual","Annual","Annual")</f>
        <v/>
      </c>
      <c r="F394" s="8">
        <f>QS.TRADE.CREATE("trade.392",C394,E394,A394,"Receive")</f>
        <v/>
      </c>
      <c r="G394" s="5"/>
      <c r="H394" s="7" t="s">
        <v>829</v>
      </c>
      <c r="I394" s="9">
        <v>1039200</v>
      </c>
      <c r="J394" s="10">
        <v>0.03920000000000001</v>
      </c>
    </row>
    <row r="395" spans="1:10">
      <c r="A395" s="7" t="s">
        <v>817</v>
      </c>
      <c r="B395" s="7" t="s">
        <v>830</v>
      </c>
      <c r="C395" s="8">
        <f>QS.CONTEXT.CREATE("market.393",A395,"USD","SOFR")</f>
        <v/>
      </c>
      <c r="D395" s="8">
        <f>QS.CONTEXT.ADD.CURVE(C395,"SOFR",$K$2:$K$7,$L$2:$L$7,,,"Actual360","LogLinear",TRUE)</f>
        <v/>
      </c>
      <c r="E395" s="8">
        <f>QS.INSTRUMENT.SWAP("swap.393",C395,H395,B395,"USD","SOFR",I395,J395,0,"Actual360","Simple","Annual","Annual","Annual")</f>
        <v/>
      </c>
      <c r="F395" s="8">
        <f>QS.TRADE.CREATE("trade.393",C395,E395,A395,"Receive")</f>
        <v/>
      </c>
      <c r="G395" s="5"/>
      <c r="H395" s="7" t="s">
        <v>831</v>
      </c>
      <c r="I395" s="9">
        <v>1039300</v>
      </c>
      <c r="J395" s="10">
        <v>0.0393</v>
      </c>
    </row>
    <row r="396" spans="1:10">
      <c r="A396" s="7" t="s">
        <v>819</v>
      </c>
      <c r="B396" s="7" t="s">
        <v>832</v>
      </c>
      <c r="C396" s="8">
        <f>QS.CONTEXT.CREATE("market.394",A396,"USD","SOFR")</f>
        <v/>
      </c>
      <c r="D396" s="8">
        <f>QS.CONTEXT.ADD.CURVE(C396,"SOFR",$K$2:$K$7,$L$2:$L$7,,,"Actual360","LogLinear",TRUE)</f>
        <v/>
      </c>
      <c r="E396" s="8">
        <f>QS.INSTRUMENT.SWAP("swap.394",C396,H396,B396,"USD","SOFR",I396,J396,0,"Actual360","Simple","Annual","Annual","Annual")</f>
        <v/>
      </c>
      <c r="F396" s="8">
        <f>QS.TRADE.CREATE("trade.394",C396,E396,A396,"Receive")</f>
        <v/>
      </c>
      <c r="G396" s="5"/>
      <c r="H396" s="7" t="s">
        <v>833</v>
      </c>
      <c r="I396" s="9">
        <v>1039400</v>
      </c>
      <c r="J396" s="10">
        <v>0.0394</v>
      </c>
    </row>
    <row r="397" spans="1:10">
      <c r="A397" s="7" t="s">
        <v>821</v>
      </c>
      <c r="B397" s="7" t="s">
        <v>834</v>
      </c>
      <c r="C397" s="8">
        <f>QS.CONTEXT.CREATE("market.395",A397,"USD","SOFR")</f>
        <v/>
      </c>
      <c r="D397" s="8">
        <f>QS.CONTEXT.ADD.CURVE(C397,"SOFR",$K$2:$K$7,$L$2:$L$7,,,"Actual360","LogLinear",TRUE)</f>
        <v/>
      </c>
      <c r="E397" s="8">
        <f>QS.INSTRUMENT.SWAP("swap.395",C397,H397,B397,"USD","SOFR",I397,J397,0,"Actual360","Simple","Annual","Annual","Annual")</f>
        <v/>
      </c>
      <c r="F397" s="8">
        <f>QS.TRADE.CREATE("trade.395",C397,E397,A397,"Receive")</f>
        <v/>
      </c>
      <c r="G397" s="5"/>
      <c r="H397" s="7" t="s">
        <v>835</v>
      </c>
      <c r="I397" s="9">
        <v>1039500</v>
      </c>
      <c r="J397" s="10">
        <v>0.03950000000000001</v>
      </c>
    </row>
    <row r="398" spans="1:10">
      <c r="A398" s="7" t="s">
        <v>823</v>
      </c>
      <c r="B398" s="7" t="s">
        <v>836</v>
      </c>
      <c r="C398" s="8">
        <f>QS.CONTEXT.CREATE("market.396",A398,"USD","SOFR")</f>
        <v/>
      </c>
      <c r="D398" s="8">
        <f>QS.CONTEXT.ADD.CURVE(C398,"SOFR",$K$2:$K$7,$L$2:$L$7,,,"Actual360","LogLinear",TRUE)</f>
        <v/>
      </c>
      <c r="E398" s="8">
        <f>QS.INSTRUMENT.SWAP("swap.396",C398,H398,B398,"USD","SOFR",I398,J398,0,"Actual360","Simple","Annual","Annual","Annual")</f>
        <v/>
      </c>
      <c r="F398" s="8">
        <f>QS.TRADE.CREATE("trade.396",C398,E398,A398,"Receive")</f>
        <v/>
      </c>
      <c r="G398" s="5"/>
      <c r="H398" s="7" t="s">
        <v>837</v>
      </c>
      <c r="I398" s="9">
        <v>1039600</v>
      </c>
      <c r="J398" s="10">
        <v>0.0396</v>
      </c>
    </row>
    <row r="399" spans="1:10">
      <c r="A399" s="7" t="s">
        <v>825</v>
      </c>
      <c r="B399" s="7" t="s">
        <v>838</v>
      </c>
      <c r="C399" s="8">
        <f>QS.CONTEXT.CREATE("market.397",A399,"USD","SOFR")</f>
        <v/>
      </c>
      <c r="D399" s="8">
        <f>QS.CONTEXT.ADD.CURVE(C399,"SOFR",$K$2:$K$7,$L$2:$L$7,,,"Actual360","LogLinear",TRUE)</f>
        <v/>
      </c>
      <c r="E399" s="8">
        <f>QS.INSTRUMENT.SWAP("swap.397",C399,H399,B399,"USD","SOFR",I399,J399,0,"Actual360","Simple","Annual","Annual","Annual")</f>
        <v/>
      </c>
      <c r="F399" s="8">
        <f>QS.TRADE.CREATE("trade.397",C399,E399,A399,"Receive")</f>
        <v/>
      </c>
      <c r="G399" s="5"/>
      <c r="H399" s="7" t="s">
        <v>839</v>
      </c>
      <c r="I399" s="9">
        <v>1039700</v>
      </c>
      <c r="J399" s="10">
        <v>0.03970000000000001</v>
      </c>
    </row>
    <row r="400" spans="1:10">
      <c r="A400" s="7" t="s">
        <v>827</v>
      </c>
      <c r="B400" s="7" t="s">
        <v>840</v>
      </c>
      <c r="C400" s="8">
        <f>QS.CONTEXT.CREATE("market.398",A400,"USD","SOFR")</f>
        <v/>
      </c>
      <c r="D400" s="8">
        <f>QS.CONTEXT.ADD.CURVE(C400,"SOFR",$K$2:$K$7,$L$2:$L$7,,,"Actual360","LogLinear",TRUE)</f>
        <v/>
      </c>
      <c r="E400" s="8">
        <f>QS.INSTRUMENT.SWAP("swap.398",C400,H400,B400,"USD","SOFR",I400,J400,0,"Actual360","Simple","Annual","Annual","Annual")</f>
        <v/>
      </c>
      <c r="F400" s="8">
        <f>QS.TRADE.CREATE("trade.398",C400,E400,A400,"Receive")</f>
        <v/>
      </c>
      <c r="G400" s="5"/>
      <c r="H400" s="7" t="s">
        <v>841</v>
      </c>
      <c r="I400" s="9">
        <v>1039800</v>
      </c>
      <c r="J400" s="10">
        <v>0.0398</v>
      </c>
    </row>
    <row r="401" spans="1:10">
      <c r="A401" s="7" t="s">
        <v>829</v>
      </c>
      <c r="B401" s="7" t="s">
        <v>842</v>
      </c>
      <c r="C401" s="8">
        <f>QS.CONTEXT.CREATE("market.399",A401,"USD","SOFR")</f>
        <v/>
      </c>
      <c r="D401" s="8">
        <f>QS.CONTEXT.ADD.CURVE(C401,"SOFR",$K$2:$K$7,$L$2:$L$7,,,"Actual360","LogLinear",TRUE)</f>
        <v/>
      </c>
      <c r="E401" s="8">
        <f>QS.INSTRUMENT.SWAP("swap.399",C401,H401,B401,"USD","SOFR",I401,J401,0,"Actual360","Simple","Annual","Annual","Annual")</f>
        <v/>
      </c>
      <c r="F401" s="8">
        <f>QS.TRADE.CREATE("trade.399",C401,E401,A401,"Receive")</f>
        <v/>
      </c>
      <c r="G401" s="5"/>
      <c r="H401" s="7" t="s">
        <v>843</v>
      </c>
      <c r="I401" s="9">
        <v>1039900</v>
      </c>
      <c r="J401" s="10">
        <v>0.0399</v>
      </c>
    </row>
    <row r="402" spans="1:10">
      <c r="A402" s="7" t="s">
        <v>831</v>
      </c>
      <c r="B402" s="7" t="s">
        <v>844</v>
      </c>
      <c r="C402" s="8">
        <f>QS.CONTEXT.CREATE("market.400",A402,"USD","SOFR")</f>
        <v/>
      </c>
      <c r="D402" s="8">
        <f>QS.CONTEXT.ADD.CURVE(C402,"SOFR",$K$2:$K$7,$L$2:$L$7,,,"Actual360","LogLinear",TRUE)</f>
        <v/>
      </c>
      <c r="E402" s="8">
        <f>QS.INSTRUMENT.SWAP("swap.400",C402,H402,B402,"USD","SOFR",I402,J402,0,"Actual360","Simple","Annual","Annual","Annual")</f>
        <v/>
      </c>
      <c r="F402" s="8">
        <f>QS.TRADE.CREATE("trade.400",C402,E402,A402,"Receive")</f>
        <v/>
      </c>
      <c r="G402" s="5"/>
      <c r="H402" s="7" t="s">
        <v>845</v>
      </c>
      <c r="I402" s="9">
        <v>1040000</v>
      </c>
      <c r="J402" s="10">
        <v>0.035</v>
      </c>
    </row>
    <row r="403" spans="1:10">
      <c r="A403" s="7" t="s">
        <v>833</v>
      </c>
      <c r="B403" s="7" t="s">
        <v>846</v>
      </c>
      <c r="C403" s="8">
        <f>QS.CONTEXT.CREATE("market.401",A403,"USD","SOFR")</f>
        <v/>
      </c>
      <c r="D403" s="8">
        <f>QS.CONTEXT.ADD.CURVE(C403,"SOFR",$K$2:$K$7,$L$2:$L$7,,,"Actual360","LogLinear",TRUE)</f>
        <v/>
      </c>
      <c r="E403" s="8">
        <f>QS.INSTRUMENT.SWAP("swap.401",C403,H403,B403,"USD","SOFR",I403,J403,0,"Actual360","Simple","Annual","Annual","Annual")</f>
        <v/>
      </c>
      <c r="F403" s="8">
        <f>QS.TRADE.CREATE("trade.401",C403,E403,A403,"Receive")</f>
        <v/>
      </c>
      <c r="G403" s="5"/>
      <c r="H403" s="7" t="s">
        <v>847</v>
      </c>
      <c r="I403" s="9">
        <v>1040100</v>
      </c>
      <c r="J403" s="10">
        <v>0.03510000000000001</v>
      </c>
    </row>
    <row r="404" spans="1:10">
      <c r="A404" s="7" t="s">
        <v>835</v>
      </c>
      <c r="B404" s="7" t="s">
        <v>848</v>
      </c>
      <c r="C404" s="8">
        <f>QS.CONTEXT.CREATE("market.402",A404,"USD","SOFR")</f>
        <v/>
      </c>
      <c r="D404" s="8">
        <f>QS.CONTEXT.ADD.CURVE(C404,"SOFR",$K$2:$K$7,$L$2:$L$7,,,"Actual360","LogLinear",TRUE)</f>
        <v/>
      </c>
      <c r="E404" s="8">
        <f>QS.INSTRUMENT.SWAP("swap.402",C404,H404,B404,"USD","SOFR",I404,J404,0,"Actual360","Simple","Annual","Annual","Annual")</f>
        <v/>
      </c>
      <c r="F404" s="8">
        <f>QS.TRADE.CREATE("trade.402",C404,E404,A404,"Receive")</f>
        <v/>
      </c>
      <c r="G404" s="5"/>
      <c r="H404" s="7" t="s">
        <v>849</v>
      </c>
      <c r="I404" s="9">
        <v>1040200</v>
      </c>
      <c r="J404" s="10">
        <v>0.0352</v>
      </c>
    </row>
    <row r="405" spans="1:10">
      <c r="A405" s="7" t="s">
        <v>837</v>
      </c>
      <c r="B405" s="7" t="s">
        <v>850</v>
      </c>
      <c r="C405" s="8">
        <f>QS.CONTEXT.CREATE("market.403",A405,"USD","SOFR")</f>
        <v/>
      </c>
      <c r="D405" s="8">
        <f>QS.CONTEXT.ADD.CURVE(C405,"SOFR",$K$2:$K$7,$L$2:$L$7,,,"Actual360","LogLinear",TRUE)</f>
        <v/>
      </c>
      <c r="E405" s="8">
        <f>QS.INSTRUMENT.SWAP("swap.403",C405,H405,B405,"USD","SOFR",I405,J405,0,"Actual360","Simple","Annual","Annual","Annual")</f>
        <v/>
      </c>
      <c r="F405" s="8">
        <f>QS.TRADE.CREATE("trade.403",C405,E405,A405,"Receive")</f>
        <v/>
      </c>
      <c r="G405" s="5"/>
      <c r="H405" s="7" t="s">
        <v>851</v>
      </c>
      <c r="I405" s="9">
        <v>1040300</v>
      </c>
      <c r="J405" s="10">
        <v>0.0353</v>
      </c>
    </row>
    <row r="406" spans="1:10">
      <c r="A406" s="7" t="s">
        <v>839</v>
      </c>
      <c r="B406" s="7" t="s">
        <v>852</v>
      </c>
      <c r="C406" s="8">
        <f>QS.CONTEXT.CREATE("market.404",A406,"USD","SOFR")</f>
        <v/>
      </c>
      <c r="D406" s="8">
        <f>QS.CONTEXT.ADD.CURVE(C406,"SOFR",$K$2:$K$7,$L$2:$L$7,,,"Actual360","LogLinear",TRUE)</f>
        <v/>
      </c>
      <c r="E406" s="8">
        <f>QS.INSTRUMENT.SWAP("swap.404",C406,H406,B406,"USD","SOFR",I406,J406,0,"Actual360","Simple","Annual","Annual","Annual")</f>
        <v/>
      </c>
      <c r="F406" s="8">
        <f>QS.TRADE.CREATE("trade.404",C406,E406,A406,"Receive")</f>
        <v/>
      </c>
      <c r="G406" s="5"/>
      <c r="H406" s="7" t="s">
        <v>853</v>
      </c>
      <c r="I406" s="9">
        <v>1040400</v>
      </c>
      <c r="J406" s="10">
        <v>0.0354</v>
      </c>
    </row>
    <row r="407" spans="1:10">
      <c r="A407" s="7" t="s">
        <v>841</v>
      </c>
      <c r="B407" s="7" t="s">
        <v>854</v>
      </c>
      <c r="C407" s="8">
        <f>QS.CONTEXT.CREATE("market.405",A407,"USD","SOFR")</f>
        <v/>
      </c>
      <c r="D407" s="8">
        <f>QS.CONTEXT.ADD.CURVE(C407,"SOFR",$K$2:$K$7,$L$2:$L$7,,,"Actual360","LogLinear",TRUE)</f>
        <v/>
      </c>
      <c r="E407" s="8">
        <f>QS.INSTRUMENT.SWAP("swap.405",C407,H407,B407,"USD","SOFR",I407,J407,0,"Actual360","Simple","Annual","Annual","Annual")</f>
        <v/>
      </c>
      <c r="F407" s="8">
        <f>QS.TRADE.CREATE("trade.405",C407,E407,A407,"Receive")</f>
        <v/>
      </c>
      <c r="G407" s="5"/>
      <c r="H407" s="7" t="s">
        <v>855</v>
      </c>
      <c r="I407" s="9">
        <v>1040500</v>
      </c>
      <c r="J407" s="10">
        <v>0.0355</v>
      </c>
    </row>
    <row r="408" spans="1:10">
      <c r="A408" s="7" t="s">
        <v>843</v>
      </c>
      <c r="B408" s="7" t="s">
        <v>856</v>
      </c>
      <c r="C408" s="8">
        <f>QS.CONTEXT.CREATE("market.406",A408,"USD","SOFR")</f>
        <v/>
      </c>
      <c r="D408" s="8">
        <f>QS.CONTEXT.ADD.CURVE(C408,"SOFR",$K$2:$K$7,$L$2:$L$7,,,"Actual360","LogLinear",TRUE)</f>
        <v/>
      </c>
      <c r="E408" s="8">
        <f>QS.INSTRUMENT.SWAP("swap.406",C408,H408,B408,"USD","SOFR",I408,J408,0,"Actual360","Simple","Annual","Annual","Annual")</f>
        <v/>
      </c>
      <c r="F408" s="8">
        <f>QS.TRADE.CREATE("trade.406",C408,E408,A408,"Receive")</f>
        <v/>
      </c>
      <c r="G408" s="5"/>
      <c r="H408" s="7" t="s">
        <v>857</v>
      </c>
      <c r="I408" s="9">
        <v>1040600</v>
      </c>
      <c r="J408" s="10">
        <v>0.03560000000000001</v>
      </c>
    </row>
    <row r="409" spans="1:10">
      <c r="A409" s="7" t="s">
        <v>845</v>
      </c>
      <c r="B409" s="7" t="s">
        <v>858</v>
      </c>
      <c r="C409" s="8">
        <f>QS.CONTEXT.CREATE("market.407",A409,"USD","SOFR")</f>
        <v/>
      </c>
      <c r="D409" s="8">
        <f>QS.CONTEXT.ADD.CURVE(C409,"SOFR",$K$2:$K$7,$L$2:$L$7,,,"Actual360","LogLinear",TRUE)</f>
        <v/>
      </c>
      <c r="E409" s="8">
        <f>QS.INSTRUMENT.SWAP("swap.407",C409,H409,B409,"USD","SOFR",I409,J409,0,"Actual360","Simple","Annual","Annual","Annual")</f>
        <v/>
      </c>
      <c r="F409" s="8">
        <f>QS.TRADE.CREATE("trade.407",C409,E409,A409,"Receive")</f>
        <v/>
      </c>
      <c r="G409" s="5"/>
      <c r="H409" s="7" t="s">
        <v>859</v>
      </c>
      <c r="I409" s="9">
        <v>1040700</v>
      </c>
      <c r="J409" s="10">
        <v>0.0357</v>
      </c>
    </row>
    <row r="410" spans="1:10">
      <c r="A410" s="7" t="s">
        <v>847</v>
      </c>
      <c r="B410" s="7" t="s">
        <v>860</v>
      </c>
      <c r="C410" s="8">
        <f>QS.CONTEXT.CREATE("market.408",A410,"USD","SOFR")</f>
        <v/>
      </c>
      <c r="D410" s="8">
        <f>QS.CONTEXT.ADD.CURVE(C410,"SOFR",$K$2:$K$7,$L$2:$L$7,,,"Actual360","LogLinear",TRUE)</f>
        <v/>
      </c>
      <c r="E410" s="8">
        <f>QS.INSTRUMENT.SWAP("swap.408",C410,H410,B410,"USD","SOFR",I410,J410,0,"Actual360","Simple","Annual","Annual","Annual")</f>
        <v/>
      </c>
      <c r="F410" s="8">
        <f>QS.TRADE.CREATE("trade.408",C410,E410,A410,"Receive")</f>
        <v/>
      </c>
      <c r="G410" s="5"/>
      <c r="H410" s="7" t="s">
        <v>861</v>
      </c>
      <c r="I410" s="9">
        <v>1040800</v>
      </c>
      <c r="J410" s="10">
        <v>0.03580000000000001</v>
      </c>
    </row>
    <row r="411" spans="1:10">
      <c r="A411" s="7" t="s">
        <v>849</v>
      </c>
      <c r="B411" s="7" t="s">
        <v>862</v>
      </c>
      <c r="C411" s="8">
        <f>QS.CONTEXT.CREATE("market.409",A411,"USD","SOFR")</f>
        <v/>
      </c>
      <c r="D411" s="8">
        <f>QS.CONTEXT.ADD.CURVE(C411,"SOFR",$K$2:$K$7,$L$2:$L$7,,,"Actual360","LogLinear",TRUE)</f>
        <v/>
      </c>
      <c r="E411" s="8">
        <f>QS.INSTRUMENT.SWAP("swap.409",C411,H411,B411,"USD","SOFR",I411,J411,0,"Actual360","Simple","Annual","Annual","Annual")</f>
        <v/>
      </c>
      <c r="F411" s="8">
        <f>QS.TRADE.CREATE("trade.409",C411,E411,A411,"Receive")</f>
        <v/>
      </c>
      <c r="G411" s="5"/>
      <c r="H411" s="7" t="s">
        <v>863</v>
      </c>
      <c r="I411" s="9">
        <v>1040900</v>
      </c>
      <c r="J411" s="10">
        <v>0.0359</v>
      </c>
    </row>
    <row r="412" spans="1:10">
      <c r="A412" s="7" t="s">
        <v>851</v>
      </c>
      <c r="B412" s="7" t="s">
        <v>864</v>
      </c>
      <c r="C412" s="8">
        <f>QS.CONTEXT.CREATE("market.410",A412,"USD","SOFR")</f>
        <v/>
      </c>
      <c r="D412" s="8">
        <f>QS.CONTEXT.ADD.CURVE(C412,"SOFR",$K$2:$K$7,$L$2:$L$7,,,"Actual360","LogLinear",TRUE)</f>
        <v/>
      </c>
      <c r="E412" s="8">
        <f>QS.INSTRUMENT.SWAP("swap.410",C412,H412,B412,"USD","SOFR",I412,J412,0,"Actual360","Simple","Annual","Annual","Annual")</f>
        <v/>
      </c>
      <c r="F412" s="8">
        <f>QS.TRADE.CREATE("trade.410",C412,E412,A412,"Receive")</f>
        <v/>
      </c>
      <c r="G412" s="5"/>
      <c r="H412" s="7" t="s">
        <v>865</v>
      </c>
      <c r="I412" s="9">
        <v>1041000</v>
      </c>
      <c r="J412" s="10">
        <v>0.036</v>
      </c>
    </row>
    <row r="413" spans="1:10">
      <c r="A413" s="7" t="s">
        <v>853</v>
      </c>
      <c r="B413" s="7" t="s">
        <v>866</v>
      </c>
      <c r="C413" s="8">
        <f>QS.CONTEXT.CREATE("market.411",A413,"USD","SOFR")</f>
        <v/>
      </c>
      <c r="D413" s="8">
        <f>QS.CONTEXT.ADD.CURVE(C413,"SOFR",$K$2:$K$7,$L$2:$L$7,,,"Actual360","LogLinear",TRUE)</f>
        <v/>
      </c>
      <c r="E413" s="8">
        <f>QS.INSTRUMENT.SWAP("swap.411",C413,H413,B413,"USD","SOFR",I413,J413,0,"Actual360","Simple","Annual","Annual","Annual")</f>
        <v/>
      </c>
      <c r="F413" s="8">
        <f>QS.TRADE.CREATE("trade.411",C413,E413,A413,"Receive")</f>
        <v/>
      </c>
      <c r="G413" s="5"/>
      <c r="H413" s="7" t="s">
        <v>867</v>
      </c>
      <c r="I413" s="9">
        <v>1041100</v>
      </c>
      <c r="J413" s="10">
        <v>0.0361</v>
      </c>
    </row>
    <row r="414" spans="1:10">
      <c r="A414" s="7" t="s">
        <v>855</v>
      </c>
      <c r="B414" s="7" t="s">
        <v>868</v>
      </c>
      <c r="C414" s="8">
        <f>QS.CONTEXT.CREATE("market.412",A414,"USD","SOFR")</f>
        <v/>
      </c>
      <c r="D414" s="8">
        <f>QS.CONTEXT.ADD.CURVE(C414,"SOFR",$K$2:$K$7,$L$2:$L$7,,,"Actual360","LogLinear",TRUE)</f>
        <v/>
      </c>
      <c r="E414" s="8">
        <f>QS.INSTRUMENT.SWAP("swap.412",C414,H414,B414,"USD","SOFR",I414,J414,0,"Actual360","Simple","Annual","Annual","Annual")</f>
        <v/>
      </c>
      <c r="F414" s="8">
        <f>QS.TRADE.CREATE("trade.412",C414,E414,A414,"Receive")</f>
        <v/>
      </c>
      <c r="G414" s="5"/>
      <c r="H414" s="7" t="s">
        <v>869</v>
      </c>
      <c r="I414" s="9">
        <v>1041200</v>
      </c>
      <c r="J414" s="10">
        <v>0.0362</v>
      </c>
    </row>
    <row r="415" spans="1:10">
      <c r="A415" s="7" t="s">
        <v>857</v>
      </c>
      <c r="B415" s="7" t="s">
        <v>870</v>
      </c>
      <c r="C415" s="8">
        <f>QS.CONTEXT.CREATE("market.413",A415,"USD","SOFR")</f>
        <v/>
      </c>
      <c r="D415" s="8">
        <f>QS.CONTEXT.ADD.CURVE(C415,"SOFR",$K$2:$K$7,$L$2:$L$7,,,"Actual360","LogLinear",TRUE)</f>
        <v/>
      </c>
      <c r="E415" s="8">
        <f>QS.INSTRUMENT.SWAP("swap.413",C415,H415,B415,"USD","SOFR",I415,J415,0,"Actual360","Simple","Annual","Annual","Annual")</f>
        <v/>
      </c>
      <c r="F415" s="8">
        <f>QS.TRADE.CREATE("trade.413",C415,E415,A415,"Receive")</f>
        <v/>
      </c>
      <c r="G415" s="5"/>
      <c r="H415" s="7" t="s">
        <v>871</v>
      </c>
      <c r="I415" s="9">
        <v>1041300</v>
      </c>
      <c r="J415" s="10">
        <v>0.03630000000000001</v>
      </c>
    </row>
    <row r="416" spans="1:10">
      <c r="A416" s="7" t="s">
        <v>859</v>
      </c>
      <c r="B416" s="7" t="s">
        <v>872</v>
      </c>
      <c r="C416" s="8">
        <f>QS.CONTEXT.CREATE("market.414",A416,"USD","SOFR")</f>
        <v/>
      </c>
      <c r="D416" s="8">
        <f>QS.CONTEXT.ADD.CURVE(C416,"SOFR",$K$2:$K$7,$L$2:$L$7,,,"Actual360","LogLinear",TRUE)</f>
        <v/>
      </c>
      <c r="E416" s="8">
        <f>QS.INSTRUMENT.SWAP("swap.414",C416,H416,B416,"USD","SOFR",I416,J416,0,"Actual360","Simple","Annual","Annual","Annual")</f>
        <v/>
      </c>
      <c r="F416" s="8">
        <f>QS.TRADE.CREATE("trade.414",C416,E416,A416,"Receive")</f>
        <v/>
      </c>
      <c r="G416" s="5"/>
      <c r="H416" s="7" t="s">
        <v>873</v>
      </c>
      <c r="I416" s="9">
        <v>1041400</v>
      </c>
      <c r="J416" s="10">
        <v>0.0364</v>
      </c>
    </row>
    <row r="417" spans="1:10">
      <c r="A417" s="7" t="s">
        <v>861</v>
      </c>
      <c r="B417" s="7" t="s">
        <v>874</v>
      </c>
      <c r="C417" s="8">
        <f>QS.CONTEXT.CREATE("market.415",A417,"USD","SOFR")</f>
        <v/>
      </c>
      <c r="D417" s="8">
        <f>QS.CONTEXT.ADD.CURVE(C417,"SOFR",$K$2:$K$7,$L$2:$L$7,,,"Actual360","LogLinear",TRUE)</f>
        <v/>
      </c>
      <c r="E417" s="8">
        <f>QS.INSTRUMENT.SWAP("swap.415",C417,H417,B417,"USD","SOFR",I417,J417,0,"Actual360","Simple","Annual","Annual","Annual")</f>
        <v/>
      </c>
      <c r="F417" s="8">
        <f>QS.TRADE.CREATE("trade.415",C417,E417,A417,"Receive")</f>
        <v/>
      </c>
      <c r="G417" s="5"/>
      <c r="H417" s="7" t="s">
        <v>875</v>
      </c>
      <c r="I417" s="9">
        <v>1041500</v>
      </c>
      <c r="J417" s="10">
        <v>0.0365</v>
      </c>
    </row>
    <row r="418" spans="1:10">
      <c r="A418" s="7" t="s">
        <v>863</v>
      </c>
      <c r="B418" s="7" t="s">
        <v>876</v>
      </c>
      <c r="C418" s="8">
        <f>QS.CONTEXT.CREATE("market.416",A418,"USD","SOFR")</f>
        <v/>
      </c>
      <c r="D418" s="8">
        <f>QS.CONTEXT.ADD.CURVE(C418,"SOFR",$K$2:$K$7,$L$2:$L$7,,,"Actual360","LogLinear",TRUE)</f>
        <v/>
      </c>
      <c r="E418" s="8">
        <f>QS.INSTRUMENT.SWAP("swap.416",C418,H418,B418,"USD","SOFR",I418,J418,0,"Actual360","Simple","Annual","Annual","Annual")</f>
        <v/>
      </c>
      <c r="F418" s="8">
        <f>QS.TRADE.CREATE("trade.416",C418,E418,A418,"Receive")</f>
        <v/>
      </c>
      <c r="G418" s="5"/>
      <c r="H418" s="7" t="s">
        <v>877</v>
      </c>
      <c r="I418" s="9">
        <v>1041600</v>
      </c>
      <c r="J418" s="10">
        <v>0.0366</v>
      </c>
    </row>
    <row r="419" spans="1:10">
      <c r="A419" s="7" t="s">
        <v>865</v>
      </c>
      <c r="B419" s="7" t="s">
        <v>878</v>
      </c>
      <c r="C419" s="8">
        <f>QS.CONTEXT.CREATE("market.417",A419,"USD","SOFR")</f>
        <v/>
      </c>
      <c r="D419" s="8">
        <f>QS.CONTEXT.ADD.CURVE(C419,"SOFR",$K$2:$K$7,$L$2:$L$7,,,"Actual360","LogLinear",TRUE)</f>
        <v/>
      </c>
      <c r="E419" s="8">
        <f>QS.INSTRUMENT.SWAP("swap.417",C419,H419,B419,"USD","SOFR",I419,J419,0,"Actual360","Simple","Annual","Annual","Annual")</f>
        <v/>
      </c>
      <c r="F419" s="8">
        <f>QS.TRADE.CREATE("trade.417",C419,E419,A419,"Receive")</f>
        <v/>
      </c>
      <c r="G419" s="5"/>
      <c r="H419" s="7" t="s">
        <v>879</v>
      </c>
      <c r="I419" s="9">
        <v>1041700</v>
      </c>
      <c r="J419" s="10">
        <v>0.0367</v>
      </c>
    </row>
    <row r="420" spans="1:10">
      <c r="A420" s="7" t="s">
        <v>867</v>
      </c>
      <c r="B420" s="7" t="s">
        <v>880</v>
      </c>
      <c r="C420" s="8">
        <f>QS.CONTEXT.CREATE("market.418",A420,"USD","SOFR")</f>
        <v/>
      </c>
      <c r="D420" s="8">
        <f>QS.CONTEXT.ADD.CURVE(C420,"SOFR",$K$2:$K$7,$L$2:$L$7,,,"Actual360","LogLinear",TRUE)</f>
        <v/>
      </c>
      <c r="E420" s="8">
        <f>QS.INSTRUMENT.SWAP("swap.418",C420,H420,B420,"USD","SOFR",I420,J420,0,"Actual360","Simple","Annual","Annual","Annual")</f>
        <v/>
      </c>
      <c r="F420" s="8">
        <f>QS.TRADE.CREATE("trade.418",C420,E420,A420,"Receive")</f>
        <v/>
      </c>
      <c r="G420" s="5"/>
      <c r="H420" s="7" t="s">
        <v>881</v>
      </c>
      <c r="I420" s="9">
        <v>1041800</v>
      </c>
      <c r="J420" s="10">
        <v>0.03680000000000001</v>
      </c>
    </row>
    <row r="421" spans="1:10">
      <c r="A421" s="7" t="s">
        <v>869</v>
      </c>
      <c r="B421" s="7" t="s">
        <v>882</v>
      </c>
      <c r="C421" s="8">
        <f>QS.CONTEXT.CREATE("market.419",A421,"USD","SOFR")</f>
        <v/>
      </c>
      <c r="D421" s="8">
        <f>QS.CONTEXT.ADD.CURVE(C421,"SOFR",$K$2:$K$7,$L$2:$L$7,,,"Actual360","LogLinear",TRUE)</f>
        <v/>
      </c>
      <c r="E421" s="8">
        <f>QS.INSTRUMENT.SWAP("swap.419",C421,H421,B421,"USD","SOFR",I421,J421,0,"Actual360","Simple","Annual","Annual","Annual")</f>
        <v/>
      </c>
      <c r="F421" s="8">
        <f>QS.TRADE.CREATE("trade.419",C421,E421,A421,"Receive")</f>
        <v/>
      </c>
      <c r="G421" s="5"/>
      <c r="H421" s="7" t="s">
        <v>883</v>
      </c>
      <c r="I421" s="9">
        <v>1041900</v>
      </c>
      <c r="J421" s="10">
        <v>0.0369</v>
      </c>
    </row>
    <row r="422" spans="1:10">
      <c r="A422" s="7" t="s">
        <v>871</v>
      </c>
      <c r="B422" s="7" t="s">
        <v>884</v>
      </c>
      <c r="C422" s="8">
        <f>QS.CONTEXT.CREATE("market.420",A422,"USD","SOFR")</f>
        <v/>
      </c>
      <c r="D422" s="8">
        <f>QS.CONTEXT.ADD.CURVE(C422,"SOFR",$K$2:$K$7,$L$2:$L$7,,,"Actual360","LogLinear",TRUE)</f>
        <v/>
      </c>
      <c r="E422" s="8">
        <f>QS.INSTRUMENT.SWAP("swap.420",C422,H422,B422,"USD","SOFR",I422,J422,0,"Actual360","Simple","Annual","Annual","Annual")</f>
        <v/>
      </c>
      <c r="F422" s="8">
        <f>QS.TRADE.CREATE("trade.420",C422,E422,A422,"Receive")</f>
        <v/>
      </c>
      <c r="G422" s="5"/>
      <c r="H422" s="7" t="s">
        <v>885</v>
      </c>
      <c r="I422" s="9">
        <v>1042000</v>
      </c>
      <c r="J422" s="10">
        <v>0.03700000000000001</v>
      </c>
    </row>
    <row r="423" spans="1:10">
      <c r="A423" s="7" t="s">
        <v>873</v>
      </c>
      <c r="B423" s="7" t="s">
        <v>886</v>
      </c>
      <c r="C423" s="8">
        <f>QS.CONTEXT.CREATE("market.421",A423,"USD","SOFR")</f>
        <v/>
      </c>
      <c r="D423" s="8">
        <f>QS.CONTEXT.ADD.CURVE(C423,"SOFR",$K$2:$K$7,$L$2:$L$7,,,"Actual360","LogLinear",TRUE)</f>
        <v/>
      </c>
      <c r="E423" s="8">
        <f>QS.INSTRUMENT.SWAP("swap.421",C423,H423,B423,"USD","SOFR",I423,J423,0,"Actual360","Simple","Annual","Annual","Annual")</f>
        <v/>
      </c>
      <c r="F423" s="8">
        <f>QS.TRADE.CREATE("trade.421",C423,E423,A423,"Receive")</f>
        <v/>
      </c>
      <c r="G423" s="5"/>
      <c r="H423" s="7" t="s">
        <v>887</v>
      </c>
      <c r="I423" s="9">
        <v>1042100</v>
      </c>
      <c r="J423" s="10">
        <v>0.0371</v>
      </c>
    </row>
    <row r="424" spans="1:10">
      <c r="A424" s="7" t="s">
        <v>875</v>
      </c>
      <c r="B424" s="7" t="s">
        <v>888</v>
      </c>
      <c r="C424" s="8">
        <f>QS.CONTEXT.CREATE("market.422",A424,"USD","SOFR")</f>
        <v/>
      </c>
      <c r="D424" s="8">
        <f>QS.CONTEXT.ADD.CURVE(C424,"SOFR",$K$2:$K$7,$L$2:$L$7,,,"Actual360","LogLinear",TRUE)</f>
        <v/>
      </c>
      <c r="E424" s="8">
        <f>QS.INSTRUMENT.SWAP("swap.422",C424,H424,B424,"USD","SOFR",I424,J424,0,"Actual360","Simple","Annual","Annual","Annual")</f>
        <v/>
      </c>
      <c r="F424" s="8">
        <f>QS.TRADE.CREATE("trade.422",C424,E424,A424,"Receive")</f>
        <v/>
      </c>
      <c r="G424" s="5"/>
      <c r="H424" s="7" t="s">
        <v>889</v>
      </c>
      <c r="I424" s="9">
        <v>1042200</v>
      </c>
      <c r="J424" s="10">
        <v>0.0372</v>
      </c>
    </row>
    <row r="425" spans="1:10">
      <c r="A425" s="7" t="s">
        <v>877</v>
      </c>
      <c r="B425" s="7" t="s">
        <v>890</v>
      </c>
      <c r="C425" s="8">
        <f>QS.CONTEXT.CREATE("market.423",A425,"USD","SOFR")</f>
        <v/>
      </c>
      <c r="D425" s="8">
        <f>QS.CONTEXT.ADD.CURVE(C425,"SOFR",$K$2:$K$7,$L$2:$L$7,,,"Actual360","LogLinear",TRUE)</f>
        <v/>
      </c>
      <c r="E425" s="8">
        <f>QS.INSTRUMENT.SWAP("swap.423",C425,H425,B425,"USD","SOFR",I425,J425,0,"Actual360","Simple","Annual","Annual","Annual")</f>
        <v/>
      </c>
      <c r="F425" s="8">
        <f>QS.TRADE.CREATE("trade.423",C425,E425,A425,"Receive")</f>
        <v/>
      </c>
      <c r="G425" s="5"/>
      <c r="H425" s="7" t="s">
        <v>891</v>
      </c>
      <c r="I425" s="9">
        <v>1042300</v>
      </c>
      <c r="J425" s="10">
        <v>0.0373</v>
      </c>
    </row>
    <row r="426" spans="1:10">
      <c r="A426" s="7" t="s">
        <v>879</v>
      </c>
      <c r="B426" s="7" t="s">
        <v>892</v>
      </c>
      <c r="C426" s="8">
        <f>QS.CONTEXT.CREATE("market.424",A426,"USD","SOFR")</f>
        <v/>
      </c>
      <c r="D426" s="8">
        <f>QS.CONTEXT.ADD.CURVE(C426,"SOFR",$K$2:$K$7,$L$2:$L$7,,,"Actual360","LogLinear",TRUE)</f>
        <v/>
      </c>
      <c r="E426" s="8">
        <f>QS.INSTRUMENT.SWAP("swap.424",C426,H426,B426,"USD","SOFR",I426,J426,0,"Actual360","Simple","Annual","Annual","Annual")</f>
        <v/>
      </c>
      <c r="F426" s="8">
        <f>QS.TRADE.CREATE("trade.424",C426,E426,A426,"Receive")</f>
        <v/>
      </c>
      <c r="G426" s="5"/>
      <c r="H426" s="7" t="s">
        <v>893</v>
      </c>
      <c r="I426" s="9">
        <v>1042400</v>
      </c>
      <c r="J426" s="10">
        <v>0.0374</v>
      </c>
    </row>
    <row r="427" spans="1:10">
      <c r="A427" s="7" t="s">
        <v>881</v>
      </c>
      <c r="B427" s="7" t="s">
        <v>894</v>
      </c>
      <c r="C427" s="8">
        <f>QS.CONTEXT.CREATE("market.425",A427,"USD","SOFR")</f>
        <v/>
      </c>
      <c r="D427" s="8">
        <f>QS.CONTEXT.ADD.CURVE(C427,"SOFR",$K$2:$K$7,$L$2:$L$7,,,"Actual360","LogLinear",TRUE)</f>
        <v/>
      </c>
      <c r="E427" s="8">
        <f>QS.INSTRUMENT.SWAP("swap.425",C427,H427,B427,"USD","SOFR",I427,J427,0,"Actual360","Simple","Annual","Annual","Annual")</f>
        <v/>
      </c>
      <c r="F427" s="8">
        <f>QS.TRADE.CREATE("trade.425",C427,E427,A427,"Receive")</f>
        <v/>
      </c>
      <c r="G427" s="5"/>
      <c r="H427" s="7" t="s">
        <v>895</v>
      </c>
      <c r="I427" s="9">
        <v>1042500</v>
      </c>
      <c r="J427" s="10">
        <v>0.03750000000000001</v>
      </c>
    </row>
    <row r="428" spans="1:10">
      <c r="A428" s="7" t="s">
        <v>883</v>
      </c>
      <c r="B428" s="7" t="s">
        <v>896</v>
      </c>
      <c r="C428" s="8">
        <f>QS.CONTEXT.CREATE("market.426",A428,"USD","SOFR")</f>
        <v/>
      </c>
      <c r="D428" s="8">
        <f>QS.CONTEXT.ADD.CURVE(C428,"SOFR",$K$2:$K$7,$L$2:$L$7,,,"Actual360","LogLinear",TRUE)</f>
        <v/>
      </c>
      <c r="E428" s="8">
        <f>QS.INSTRUMENT.SWAP("swap.426",C428,H428,B428,"USD","SOFR",I428,J428,0,"Actual360","Simple","Annual","Annual","Annual")</f>
        <v/>
      </c>
      <c r="F428" s="8">
        <f>QS.TRADE.CREATE("trade.426",C428,E428,A428,"Receive")</f>
        <v/>
      </c>
      <c r="G428" s="5"/>
      <c r="H428" s="7" t="s">
        <v>897</v>
      </c>
      <c r="I428" s="9">
        <v>1042600</v>
      </c>
      <c r="J428" s="10">
        <v>0.0376</v>
      </c>
    </row>
    <row r="429" spans="1:10">
      <c r="A429" s="7" t="s">
        <v>885</v>
      </c>
      <c r="B429" s="7" t="s">
        <v>898</v>
      </c>
      <c r="C429" s="8">
        <f>QS.CONTEXT.CREATE("market.427",A429,"USD","SOFR")</f>
        <v/>
      </c>
      <c r="D429" s="8">
        <f>QS.CONTEXT.ADD.CURVE(C429,"SOFR",$K$2:$K$7,$L$2:$L$7,,,"Actual360","LogLinear",TRUE)</f>
        <v/>
      </c>
      <c r="E429" s="8">
        <f>QS.INSTRUMENT.SWAP("swap.427",C429,H429,B429,"USD","SOFR",I429,J429,0,"Actual360","Simple","Annual","Annual","Annual")</f>
        <v/>
      </c>
      <c r="F429" s="8">
        <f>QS.TRADE.CREATE("trade.427",C429,E429,A429,"Receive")</f>
        <v/>
      </c>
      <c r="G429" s="5"/>
      <c r="H429" s="7" t="s">
        <v>899</v>
      </c>
      <c r="I429" s="9">
        <v>1042700</v>
      </c>
      <c r="J429" s="10">
        <v>0.0377</v>
      </c>
    </row>
    <row r="430" spans="1:10">
      <c r="A430" s="7" t="s">
        <v>887</v>
      </c>
      <c r="B430" s="7" t="s">
        <v>900</v>
      </c>
      <c r="C430" s="8">
        <f>QS.CONTEXT.CREATE("market.428",A430,"USD","SOFR")</f>
        <v/>
      </c>
      <c r="D430" s="8">
        <f>QS.CONTEXT.ADD.CURVE(C430,"SOFR",$K$2:$K$7,$L$2:$L$7,,,"Actual360","LogLinear",TRUE)</f>
        <v/>
      </c>
      <c r="E430" s="8">
        <f>QS.INSTRUMENT.SWAP("swap.428",C430,H430,B430,"USD","SOFR",I430,J430,0,"Actual360","Simple","Annual","Annual","Annual")</f>
        <v/>
      </c>
      <c r="F430" s="8">
        <f>QS.TRADE.CREATE("trade.428",C430,E430,A430,"Receive")</f>
        <v/>
      </c>
      <c r="G430" s="5"/>
      <c r="H430" s="7" t="s">
        <v>901</v>
      </c>
      <c r="I430" s="9">
        <v>1042800</v>
      </c>
      <c r="J430" s="10">
        <v>0.0378</v>
      </c>
    </row>
    <row r="431" spans="1:10">
      <c r="A431" s="7" t="s">
        <v>889</v>
      </c>
      <c r="B431" s="7" t="s">
        <v>902</v>
      </c>
      <c r="C431" s="8">
        <f>QS.CONTEXT.CREATE("market.429",A431,"USD","SOFR")</f>
        <v/>
      </c>
      <c r="D431" s="8">
        <f>QS.CONTEXT.ADD.CURVE(C431,"SOFR",$K$2:$K$7,$L$2:$L$7,,,"Actual360","LogLinear",TRUE)</f>
        <v/>
      </c>
      <c r="E431" s="8">
        <f>QS.INSTRUMENT.SWAP("swap.429",C431,H431,B431,"USD","SOFR",I431,J431,0,"Actual360","Simple","Annual","Annual","Annual")</f>
        <v/>
      </c>
      <c r="F431" s="8">
        <f>QS.TRADE.CREATE("trade.429",C431,E431,A431,"Receive")</f>
        <v/>
      </c>
      <c r="G431" s="5"/>
      <c r="H431" s="7" t="s">
        <v>903</v>
      </c>
      <c r="I431" s="9">
        <v>1042900</v>
      </c>
      <c r="J431" s="10">
        <v>0.0379</v>
      </c>
    </row>
    <row r="432" spans="1:10">
      <c r="A432" s="7" t="s">
        <v>891</v>
      </c>
      <c r="B432" s="7" t="s">
        <v>904</v>
      </c>
      <c r="C432" s="8">
        <f>QS.CONTEXT.CREATE("market.430",A432,"USD","SOFR")</f>
        <v/>
      </c>
      <c r="D432" s="8">
        <f>QS.CONTEXT.ADD.CURVE(C432,"SOFR",$K$2:$K$7,$L$2:$L$7,,,"Actual360","LogLinear",TRUE)</f>
        <v/>
      </c>
      <c r="E432" s="8">
        <f>QS.INSTRUMENT.SWAP("swap.430",C432,H432,B432,"USD","SOFR",I432,J432,0,"Actual360","Simple","Annual","Annual","Annual")</f>
        <v/>
      </c>
      <c r="F432" s="8">
        <f>QS.TRADE.CREATE("trade.430",C432,E432,A432,"Receive")</f>
        <v/>
      </c>
      <c r="G432" s="5"/>
      <c r="H432" s="7" t="s">
        <v>905</v>
      </c>
      <c r="I432" s="9">
        <v>1043000</v>
      </c>
      <c r="J432" s="10">
        <v>0.03800000000000001</v>
      </c>
    </row>
    <row r="433" spans="1:10">
      <c r="A433" s="7" t="s">
        <v>893</v>
      </c>
      <c r="B433" s="7" t="s">
        <v>906</v>
      </c>
      <c r="C433" s="8">
        <f>QS.CONTEXT.CREATE("market.431",A433,"USD","SOFR")</f>
        <v/>
      </c>
      <c r="D433" s="8">
        <f>QS.CONTEXT.ADD.CURVE(C433,"SOFR",$K$2:$K$7,$L$2:$L$7,,,"Actual360","LogLinear",TRUE)</f>
        <v/>
      </c>
      <c r="E433" s="8">
        <f>QS.INSTRUMENT.SWAP("swap.431",C433,H433,B433,"USD","SOFR",I433,J433,0,"Actual360","Simple","Annual","Annual","Annual")</f>
        <v/>
      </c>
      <c r="F433" s="8">
        <f>QS.TRADE.CREATE("trade.431",C433,E433,A433,"Receive")</f>
        <v/>
      </c>
      <c r="G433" s="5"/>
      <c r="H433" s="7" t="s">
        <v>907</v>
      </c>
      <c r="I433" s="9">
        <v>1043100</v>
      </c>
      <c r="J433" s="10">
        <v>0.0381</v>
      </c>
    </row>
    <row r="434" spans="1:10">
      <c r="A434" s="7" t="s">
        <v>895</v>
      </c>
      <c r="B434" s="7" t="s">
        <v>908</v>
      </c>
      <c r="C434" s="8">
        <f>QS.CONTEXT.CREATE("market.432",A434,"USD","SOFR")</f>
        <v/>
      </c>
      <c r="D434" s="8">
        <f>QS.CONTEXT.ADD.CURVE(C434,"SOFR",$K$2:$K$7,$L$2:$L$7,,,"Actual360","LogLinear",TRUE)</f>
        <v/>
      </c>
      <c r="E434" s="8">
        <f>QS.INSTRUMENT.SWAP("swap.432",C434,H434,B434,"USD","SOFR",I434,J434,0,"Actual360","Simple","Annual","Annual","Annual")</f>
        <v/>
      </c>
      <c r="F434" s="8">
        <f>QS.TRADE.CREATE("trade.432",C434,E434,A434,"Receive")</f>
        <v/>
      </c>
      <c r="G434" s="5"/>
      <c r="H434" s="7" t="s">
        <v>909</v>
      </c>
      <c r="I434" s="9">
        <v>1043200</v>
      </c>
      <c r="J434" s="10">
        <v>0.0382</v>
      </c>
    </row>
    <row r="435" spans="1:10">
      <c r="A435" s="7" t="s">
        <v>897</v>
      </c>
      <c r="B435" s="7" t="s">
        <v>910</v>
      </c>
      <c r="C435" s="8">
        <f>QS.CONTEXT.CREATE("market.433",A435,"USD","SOFR")</f>
        <v/>
      </c>
      <c r="D435" s="8">
        <f>QS.CONTEXT.ADD.CURVE(C435,"SOFR",$K$2:$K$7,$L$2:$L$7,,,"Actual360","LogLinear",TRUE)</f>
        <v/>
      </c>
      <c r="E435" s="8">
        <f>QS.INSTRUMENT.SWAP("swap.433",C435,H435,B435,"USD","SOFR",I435,J435,0,"Actual360","Simple","Annual","Annual","Annual")</f>
        <v/>
      </c>
      <c r="F435" s="8">
        <f>QS.TRADE.CREATE("trade.433",C435,E435,A435,"Receive")</f>
        <v/>
      </c>
      <c r="G435" s="5"/>
      <c r="H435" s="7" t="s">
        <v>911</v>
      </c>
      <c r="I435" s="9">
        <v>1043300</v>
      </c>
      <c r="J435" s="10">
        <v>0.0383</v>
      </c>
    </row>
    <row r="436" spans="1:10">
      <c r="A436" s="7" t="s">
        <v>899</v>
      </c>
      <c r="B436" s="7" t="s">
        <v>912</v>
      </c>
      <c r="C436" s="8">
        <f>QS.CONTEXT.CREATE("market.434",A436,"USD","SOFR")</f>
        <v/>
      </c>
      <c r="D436" s="8">
        <f>QS.CONTEXT.ADD.CURVE(C436,"SOFR",$K$2:$K$7,$L$2:$L$7,,,"Actual360","LogLinear",TRUE)</f>
        <v/>
      </c>
      <c r="E436" s="8">
        <f>QS.INSTRUMENT.SWAP("swap.434",C436,H436,B436,"USD","SOFR",I436,J436,0,"Actual360","Simple","Annual","Annual","Annual")</f>
        <v/>
      </c>
      <c r="F436" s="8">
        <f>QS.TRADE.CREATE("trade.434",C436,E436,A436,"Receive")</f>
        <v/>
      </c>
      <c r="G436" s="5"/>
      <c r="H436" s="7" t="s">
        <v>913</v>
      </c>
      <c r="I436" s="9">
        <v>1043400</v>
      </c>
      <c r="J436" s="10">
        <v>0.0384</v>
      </c>
    </row>
    <row r="437" spans="1:10">
      <c r="A437" s="7" t="s">
        <v>901</v>
      </c>
      <c r="B437" s="7" t="s">
        <v>914</v>
      </c>
      <c r="C437" s="8">
        <f>QS.CONTEXT.CREATE("market.435",A437,"USD","SOFR")</f>
        <v/>
      </c>
      <c r="D437" s="8">
        <f>QS.CONTEXT.ADD.CURVE(C437,"SOFR",$K$2:$K$7,$L$2:$L$7,,,"Actual360","LogLinear",TRUE)</f>
        <v/>
      </c>
      <c r="E437" s="8">
        <f>QS.INSTRUMENT.SWAP("swap.435",C437,H437,B437,"USD","SOFR",I437,J437,0,"Actual360","Simple","Annual","Annual","Annual")</f>
        <v/>
      </c>
      <c r="F437" s="8">
        <f>QS.TRADE.CREATE("trade.435",C437,E437,A437,"Receive")</f>
        <v/>
      </c>
      <c r="G437" s="5"/>
      <c r="H437" s="7" t="s">
        <v>915</v>
      </c>
      <c r="I437" s="9">
        <v>1043500</v>
      </c>
      <c r="J437" s="10">
        <v>0.03850000000000001</v>
      </c>
    </row>
    <row r="438" spans="1:10">
      <c r="A438" s="7" t="s">
        <v>903</v>
      </c>
      <c r="B438" s="7" t="s">
        <v>916</v>
      </c>
      <c r="C438" s="8">
        <f>QS.CONTEXT.CREATE("market.436",A438,"USD","SOFR")</f>
        <v/>
      </c>
      <c r="D438" s="8">
        <f>QS.CONTEXT.ADD.CURVE(C438,"SOFR",$K$2:$K$7,$L$2:$L$7,,,"Actual360","LogLinear",TRUE)</f>
        <v/>
      </c>
      <c r="E438" s="8">
        <f>QS.INSTRUMENT.SWAP("swap.436",C438,H438,B438,"USD","SOFR",I438,J438,0,"Actual360","Simple","Annual","Annual","Annual")</f>
        <v/>
      </c>
      <c r="F438" s="8">
        <f>QS.TRADE.CREATE("trade.436",C438,E438,A438,"Receive")</f>
        <v/>
      </c>
      <c r="G438" s="5"/>
      <c r="H438" s="7" t="s">
        <v>917</v>
      </c>
      <c r="I438" s="9">
        <v>1043600</v>
      </c>
      <c r="J438" s="10">
        <v>0.0386</v>
      </c>
    </row>
    <row r="439" spans="1:10">
      <c r="A439" s="7" t="s">
        <v>905</v>
      </c>
      <c r="B439" s="7" t="s">
        <v>918</v>
      </c>
      <c r="C439" s="8">
        <f>QS.CONTEXT.CREATE("market.437",A439,"USD","SOFR")</f>
        <v/>
      </c>
      <c r="D439" s="8">
        <f>QS.CONTEXT.ADD.CURVE(C439,"SOFR",$K$2:$K$7,$L$2:$L$7,,,"Actual360","LogLinear",TRUE)</f>
        <v/>
      </c>
      <c r="E439" s="8">
        <f>QS.INSTRUMENT.SWAP("swap.437",C439,H439,B439,"USD","SOFR",I439,J439,0,"Actual360","Simple","Annual","Annual","Annual")</f>
        <v/>
      </c>
      <c r="F439" s="8">
        <f>QS.TRADE.CREATE("trade.437",C439,E439,A439,"Receive")</f>
        <v/>
      </c>
      <c r="G439" s="5"/>
      <c r="H439" s="7" t="s">
        <v>919</v>
      </c>
      <c r="I439" s="9">
        <v>1043700</v>
      </c>
      <c r="J439" s="10">
        <v>0.03870000000000001</v>
      </c>
    </row>
    <row r="440" spans="1:10">
      <c r="A440" s="7" t="s">
        <v>907</v>
      </c>
      <c r="B440" s="7" t="s">
        <v>920</v>
      </c>
      <c r="C440" s="8">
        <f>QS.CONTEXT.CREATE("market.438",A440,"USD","SOFR")</f>
        <v/>
      </c>
      <c r="D440" s="8">
        <f>QS.CONTEXT.ADD.CURVE(C440,"SOFR",$K$2:$K$7,$L$2:$L$7,,,"Actual360","LogLinear",TRUE)</f>
        <v/>
      </c>
      <c r="E440" s="8">
        <f>QS.INSTRUMENT.SWAP("swap.438",C440,H440,B440,"USD","SOFR",I440,J440,0,"Actual360","Simple","Annual","Annual","Annual")</f>
        <v/>
      </c>
      <c r="F440" s="8">
        <f>QS.TRADE.CREATE("trade.438",C440,E440,A440,"Receive")</f>
        <v/>
      </c>
      <c r="G440" s="5"/>
      <c r="H440" s="7" t="s">
        <v>921</v>
      </c>
      <c r="I440" s="9">
        <v>1043800</v>
      </c>
      <c r="J440" s="10">
        <v>0.0388</v>
      </c>
    </row>
    <row r="441" spans="1:10">
      <c r="A441" s="7" t="s">
        <v>909</v>
      </c>
      <c r="B441" s="7" t="s">
        <v>922</v>
      </c>
      <c r="C441" s="8">
        <f>QS.CONTEXT.CREATE("market.439",A441,"USD","SOFR")</f>
        <v/>
      </c>
      <c r="D441" s="8">
        <f>QS.CONTEXT.ADD.CURVE(C441,"SOFR",$K$2:$K$7,$L$2:$L$7,,,"Actual360","LogLinear",TRUE)</f>
        <v/>
      </c>
      <c r="E441" s="8">
        <f>QS.INSTRUMENT.SWAP("swap.439",C441,H441,B441,"USD","SOFR",I441,J441,0,"Actual360","Simple","Annual","Annual","Annual")</f>
        <v/>
      </c>
      <c r="F441" s="8">
        <f>QS.TRADE.CREATE("trade.439",C441,E441,A441,"Receive")</f>
        <v/>
      </c>
      <c r="G441" s="5"/>
      <c r="H441" s="7" t="s">
        <v>923</v>
      </c>
      <c r="I441" s="9">
        <v>1043900</v>
      </c>
      <c r="J441" s="10">
        <v>0.0389</v>
      </c>
    </row>
    <row r="442" spans="1:10">
      <c r="A442" s="7" t="s">
        <v>911</v>
      </c>
      <c r="B442" s="7" t="s">
        <v>924</v>
      </c>
      <c r="C442" s="8">
        <f>QS.CONTEXT.CREATE("market.440",A442,"USD","SOFR")</f>
        <v/>
      </c>
      <c r="D442" s="8">
        <f>QS.CONTEXT.ADD.CURVE(C442,"SOFR",$K$2:$K$7,$L$2:$L$7,,,"Actual360","LogLinear",TRUE)</f>
        <v/>
      </c>
      <c r="E442" s="8">
        <f>QS.INSTRUMENT.SWAP("swap.440",C442,H442,B442,"USD","SOFR",I442,J442,0,"Actual360","Simple","Annual","Annual","Annual")</f>
        <v/>
      </c>
      <c r="F442" s="8">
        <f>QS.TRADE.CREATE("trade.440",C442,E442,A442,"Receive")</f>
        <v/>
      </c>
      <c r="G442" s="5"/>
      <c r="H442" s="7" t="s">
        <v>925</v>
      </c>
      <c r="I442" s="9">
        <v>1044000</v>
      </c>
      <c r="J442" s="10">
        <v>0.03900000000000001</v>
      </c>
    </row>
    <row r="443" spans="1:10">
      <c r="A443" s="7" t="s">
        <v>913</v>
      </c>
      <c r="B443" s="7" t="s">
        <v>926</v>
      </c>
      <c r="C443" s="8">
        <f>QS.CONTEXT.CREATE("market.441",A443,"USD","SOFR")</f>
        <v/>
      </c>
      <c r="D443" s="8">
        <f>QS.CONTEXT.ADD.CURVE(C443,"SOFR",$K$2:$K$7,$L$2:$L$7,,,"Actual360","LogLinear",TRUE)</f>
        <v/>
      </c>
      <c r="E443" s="8">
        <f>QS.INSTRUMENT.SWAP("swap.441",C443,H443,B443,"USD","SOFR",I443,J443,0,"Actual360","Simple","Annual","Annual","Annual")</f>
        <v/>
      </c>
      <c r="F443" s="8">
        <f>QS.TRADE.CREATE("trade.441",C443,E443,A443,"Receive")</f>
        <v/>
      </c>
      <c r="G443" s="5"/>
      <c r="H443" s="7" t="s">
        <v>927</v>
      </c>
      <c r="I443" s="9">
        <v>1044100</v>
      </c>
      <c r="J443" s="10">
        <v>0.0391</v>
      </c>
    </row>
    <row r="444" spans="1:10">
      <c r="A444" s="7" t="s">
        <v>915</v>
      </c>
      <c r="B444" s="7" t="s">
        <v>928</v>
      </c>
      <c r="C444" s="8">
        <f>QS.CONTEXT.CREATE("market.442",A444,"USD","SOFR")</f>
        <v/>
      </c>
      <c r="D444" s="8">
        <f>QS.CONTEXT.ADD.CURVE(C444,"SOFR",$K$2:$K$7,$L$2:$L$7,,,"Actual360","LogLinear",TRUE)</f>
        <v/>
      </c>
      <c r="E444" s="8">
        <f>QS.INSTRUMENT.SWAP("swap.442",C444,H444,B444,"USD","SOFR",I444,J444,0,"Actual360","Simple","Annual","Annual","Annual")</f>
        <v/>
      </c>
      <c r="F444" s="8">
        <f>QS.TRADE.CREATE("trade.442",C444,E444,A444,"Receive")</f>
        <v/>
      </c>
      <c r="G444" s="5"/>
      <c r="H444" s="7" t="s">
        <v>929</v>
      </c>
      <c r="I444" s="9">
        <v>1044200</v>
      </c>
      <c r="J444" s="10">
        <v>0.03920000000000001</v>
      </c>
    </row>
    <row r="445" spans="1:10">
      <c r="A445" s="7" t="s">
        <v>917</v>
      </c>
      <c r="B445" s="7" t="s">
        <v>930</v>
      </c>
      <c r="C445" s="8">
        <f>QS.CONTEXT.CREATE("market.443",A445,"USD","SOFR")</f>
        <v/>
      </c>
      <c r="D445" s="8">
        <f>QS.CONTEXT.ADD.CURVE(C445,"SOFR",$K$2:$K$7,$L$2:$L$7,,,"Actual360","LogLinear",TRUE)</f>
        <v/>
      </c>
      <c r="E445" s="8">
        <f>QS.INSTRUMENT.SWAP("swap.443",C445,H445,B445,"USD","SOFR",I445,J445,0,"Actual360","Simple","Annual","Annual","Annual")</f>
        <v/>
      </c>
      <c r="F445" s="8">
        <f>QS.TRADE.CREATE("trade.443",C445,E445,A445,"Receive")</f>
        <v/>
      </c>
      <c r="G445" s="5"/>
      <c r="H445" s="7" t="s">
        <v>931</v>
      </c>
      <c r="I445" s="9">
        <v>1044300</v>
      </c>
      <c r="J445" s="10">
        <v>0.0393</v>
      </c>
    </row>
    <row r="446" spans="1:10">
      <c r="A446" s="7" t="s">
        <v>919</v>
      </c>
      <c r="B446" s="7" t="s">
        <v>932</v>
      </c>
      <c r="C446" s="8">
        <f>QS.CONTEXT.CREATE("market.444",A446,"USD","SOFR")</f>
        <v/>
      </c>
      <c r="D446" s="8">
        <f>QS.CONTEXT.ADD.CURVE(C446,"SOFR",$K$2:$K$7,$L$2:$L$7,,,"Actual360","LogLinear",TRUE)</f>
        <v/>
      </c>
      <c r="E446" s="8">
        <f>QS.INSTRUMENT.SWAP("swap.444",C446,H446,B446,"USD","SOFR",I446,J446,0,"Actual360","Simple","Annual","Annual","Annual")</f>
        <v/>
      </c>
      <c r="F446" s="8">
        <f>QS.TRADE.CREATE("trade.444",C446,E446,A446,"Receive")</f>
        <v/>
      </c>
      <c r="G446" s="5"/>
      <c r="H446" s="7" t="s">
        <v>933</v>
      </c>
      <c r="I446" s="9">
        <v>1044400</v>
      </c>
      <c r="J446" s="10">
        <v>0.0394</v>
      </c>
    </row>
    <row r="447" spans="1:10">
      <c r="A447" s="7" t="s">
        <v>921</v>
      </c>
      <c r="B447" s="7" t="s">
        <v>934</v>
      </c>
      <c r="C447" s="8">
        <f>QS.CONTEXT.CREATE("market.445",A447,"USD","SOFR")</f>
        <v/>
      </c>
      <c r="D447" s="8">
        <f>QS.CONTEXT.ADD.CURVE(C447,"SOFR",$K$2:$K$7,$L$2:$L$7,,,"Actual360","LogLinear",TRUE)</f>
        <v/>
      </c>
      <c r="E447" s="8">
        <f>QS.INSTRUMENT.SWAP("swap.445",C447,H447,B447,"USD","SOFR",I447,J447,0,"Actual360","Simple","Annual","Annual","Annual")</f>
        <v/>
      </c>
      <c r="F447" s="8">
        <f>QS.TRADE.CREATE("trade.445",C447,E447,A447,"Receive")</f>
        <v/>
      </c>
      <c r="G447" s="5"/>
      <c r="H447" s="7" t="s">
        <v>935</v>
      </c>
      <c r="I447" s="9">
        <v>1044500</v>
      </c>
      <c r="J447" s="10">
        <v>0.03950000000000001</v>
      </c>
    </row>
    <row r="448" spans="1:10">
      <c r="A448" s="7" t="s">
        <v>923</v>
      </c>
      <c r="B448" s="7" t="s">
        <v>936</v>
      </c>
      <c r="C448" s="8">
        <f>QS.CONTEXT.CREATE("market.446",A448,"USD","SOFR")</f>
        <v/>
      </c>
      <c r="D448" s="8">
        <f>QS.CONTEXT.ADD.CURVE(C448,"SOFR",$K$2:$K$7,$L$2:$L$7,,,"Actual360","LogLinear",TRUE)</f>
        <v/>
      </c>
      <c r="E448" s="8">
        <f>QS.INSTRUMENT.SWAP("swap.446",C448,H448,B448,"USD","SOFR",I448,J448,0,"Actual360","Simple","Annual","Annual","Annual")</f>
        <v/>
      </c>
      <c r="F448" s="8">
        <f>QS.TRADE.CREATE("trade.446",C448,E448,A448,"Receive")</f>
        <v/>
      </c>
      <c r="G448" s="5"/>
      <c r="H448" s="7" t="s">
        <v>937</v>
      </c>
      <c r="I448" s="9">
        <v>1044600</v>
      </c>
      <c r="J448" s="10">
        <v>0.0396</v>
      </c>
    </row>
    <row r="449" spans="1:10">
      <c r="A449" s="7" t="s">
        <v>925</v>
      </c>
      <c r="B449" s="7" t="s">
        <v>938</v>
      </c>
      <c r="C449" s="8">
        <f>QS.CONTEXT.CREATE("market.447",A449,"USD","SOFR")</f>
        <v/>
      </c>
      <c r="D449" s="8">
        <f>QS.CONTEXT.ADD.CURVE(C449,"SOFR",$K$2:$K$7,$L$2:$L$7,,,"Actual360","LogLinear",TRUE)</f>
        <v/>
      </c>
      <c r="E449" s="8">
        <f>QS.INSTRUMENT.SWAP("swap.447",C449,H449,B449,"USD","SOFR",I449,J449,0,"Actual360","Simple","Annual","Annual","Annual")</f>
        <v/>
      </c>
      <c r="F449" s="8">
        <f>QS.TRADE.CREATE("trade.447",C449,E449,A449,"Receive")</f>
        <v/>
      </c>
      <c r="G449" s="5"/>
      <c r="H449" s="7" t="s">
        <v>939</v>
      </c>
      <c r="I449" s="9">
        <v>1044700</v>
      </c>
      <c r="J449" s="10">
        <v>0.03970000000000001</v>
      </c>
    </row>
    <row r="450" spans="1:10">
      <c r="A450" s="7" t="s">
        <v>927</v>
      </c>
      <c r="B450" s="7" t="s">
        <v>940</v>
      </c>
      <c r="C450" s="8">
        <f>QS.CONTEXT.CREATE("market.448",A450,"USD","SOFR")</f>
        <v/>
      </c>
      <c r="D450" s="8">
        <f>QS.CONTEXT.ADD.CURVE(C450,"SOFR",$K$2:$K$7,$L$2:$L$7,,,"Actual360","LogLinear",TRUE)</f>
        <v/>
      </c>
      <c r="E450" s="8">
        <f>QS.INSTRUMENT.SWAP("swap.448",C450,H450,B450,"USD","SOFR",I450,J450,0,"Actual360","Simple","Annual","Annual","Annual")</f>
        <v/>
      </c>
      <c r="F450" s="8">
        <f>QS.TRADE.CREATE("trade.448",C450,E450,A450,"Receive")</f>
        <v/>
      </c>
      <c r="G450" s="5"/>
      <c r="H450" s="7" t="s">
        <v>941</v>
      </c>
      <c r="I450" s="9">
        <v>1044800</v>
      </c>
      <c r="J450" s="10">
        <v>0.0398</v>
      </c>
    </row>
    <row r="451" spans="1:10">
      <c r="A451" s="7" t="s">
        <v>929</v>
      </c>
      <c r="B451" s="7" t="s">
        <v>942</v>
      </c>
      <c r="C451" s="8">
        <f>QS.CONTEXT.CREATE("market.449",A451,"USD","SOFR")</f>
        <v/>
      </c>
      <c r="D451" s="8">
        <f>QS.CONTEXT.ADD.CURVE(C451,"SOFR",$K$2:$K$7,$L$2:$L$7,,,"Actual360","LogLinear",TRUE)</f>
        <v/>
      </c>
      <c r="E451" s="8">
        <f>QS.INSTRUMENT.SWAP("swap.449",C451,H451,B451,"USD","SOFR",I451,J451,0,"Actual360","Simple","Annual","Annual","Annual")</f>
        <v/>
      </c>
      <c r="F451" s="8">
        <f>QS.TRADE.CREATE("trade.449",C451,E451,A451,"Receive")</f>
        <v/>
      </c>
      <c r="G451" s="5"/>
      <c r="H451" s="7" t="s">
        <v>943</v>
      </c>
      <c r="I451" s="9">
        <v>1044900</v>
      </c>
      <c r="J451" s="10">
        <v>0.0399</v>
      </c>
    </row>
    <row r="452" spans="1:10">
      <c r="A452" s="7" t="s">
        <v>931</v>
      </c>
      <c r="B452" s="7" t="s">
        <v>944</v>
      </c>
      <c r="C452" s="8">
        <f>QS.CONTEXT.CREATE("market.450",A452,"USD","SOFR")</f>
        <v/>
      </c>
      <c r="D452" s="8">
        <f>QS.CONTEXT.ADD.CURVE(C452,"SOFR",$K$2:$K$7,$L$2:$L$7,,,"Actual360","LogLinear",TRUE)</f>
        <v/>
      </c>
      <c r="E452" s="8">
        <f>QS.INSTRUMENT.SWAP("swap.450",C452,H452,B452,"USD","SOFR",I452,J452,0,"Actual360","Simple","Annual","Annual","Annual")</f>
        <v/>
      </c>
      <c r="F452" s="8">
        <f>QS.TRADE.CREATE("trade.450",C452,E452,A452,"Receive")</f>
        <v/>
      </c>
      <c r="G452" s="5"/>
      <c r="H452" s="7" t="s">
        <v>945</v>
      </c>
      <c r="I452" s="9">
        <v>1045000</v>
      </c>
      <c r="J452" s="10">
        <v>0.035</v>
      </c>
    </row>
    <row r="453" spans="1:10">
      <c r="A453" s="7" t="s">
        <v>933</v>
      </c>
      <c r="B453" s="7" t="s">
        <v>946</v>
      </c>
      <c r="C453" s="8">
        <f>QS.CONTEXT.CREATE("market.451",A453,"USD","SOFR")</f>
        <v/>
      </c>
      <c r="D453" s="8">
        <f>QS.CONTEXT.ADD.CURVE(C453,"SOFR",$K$2:$K$7,$L$2:$L$7,,,"Actual360","LogLinear",TRUE)</f>
        <v/>
      </c>
      <c r="E453" s="8">
        <f>QS.INSTRUMENT.SWAP("swap.451",C453,H453,B453,"USD","SOFR",I453,J453,0,"Actual360","Simple","Annual","Annual","Annual")</f>
        <v/>
      </c>
      <c r="F453" s="8">
        <f>QS.TRADE.CREATE("trade.451",C453,E453,A453,"Receive")</f>
        <v/>
      </c>
      <c r="G453" s="5"/>
      <c r="H453" s="7" t="s">
        <v>947</v>
      </c>
      <c r="I453" s="9">
        <v>1045100</v>
      </c>
      <c r="J453" s="10">
        <v>0.03510000000000001</v>
      </c>
    </row>
    <row r="454" spans="1:10">
      <c r="A454" s="7" t="s">
        <v>935</v>
      </c>
      <c r="B454" s="7" t="s">
        <v>948</v>
      </c>
      <c r="C454" s="8">
        <f>QS.CONTEXT.CREATE("market.452",A454,"USD","SOFR")</f>
        <v/>
      </c>
      <c r="D454" s="8">
        <f>QS.CONTEXT.ADD.CURVE(C454,"SOFR",$K$2:$K$7,$L$2:$L$7,,,"Actual360","LogLinear",TRUE)</f>
        <v/>
      </c>
      <c r="E454" s="8">
        <f>QS.INSTRUMENT.SWAP("swap.452",C454,H454,B454,"USD","SOFR",I454,J454,0,"Actual360","Simple","Annual","Annual","Annual")</f>
        <v/>
      </c>
      <c r="F454" s="8">
        <f>QS.TRADE.CREATE("trade.452",C454,E454,A454,"Receive")</f>
        <v/>
      </c>
      <c r="G454" s="5"/>
      <c r="H454" s="7" t="s">
        <v>949</v>
      </c>
      <c r="I454" s="9">
        <v>1045200</v>
      </c>
      <c r="J454" s="10">
        <v>0.0352</v>
      </c>
    </row>
    <row r="455" spans="1:10">
      <c r="A455" s="7" t="s">
        <v>937</v>
      </c>
      <c r="B455" s="7" t="s">
        <v>950</v>
      </c>
      <c r="C455" s="8">
        <f>QS.CONTEXT.CREATE("market.453",A455,"USD","SOFR")</f>
        <v/>
      </c>
      <c r="D455" s="8">
        <f>QS.CONTEXT.ADD.CURVE(C455,"SOFR",$K$2:$K$7,$L$2:$L$7,,,"Actual360","LogLinear",TRUE)</f>
        <v/>
      </c>
      <c r="E455" s="8">
        <f>QS.INSTRUMENT.SWAP("swap.453",C455,H455,B455,"USD","SOFR",I455,J455,0,"Actual360","Simple","Annual","Annual","Annual")</f>
        <v/>
      </c>
      <c r="F455" s="8">
        <f>QS.TRADE.CREATE("trade.453",C455,E455,A455,"Receive")</f>
        <v/>
      </c>
      <c r="G455" s="5"/>
      <c r="H455" s="7" t="s">
        <v>951</v>
      </c>
      <c r="I455" s="9">
        <v>1045300</v>
      </c>
      <c r="J455" s="10">
        <v>0.0353</v>
      </c>
    </row>
    <row r="456" spans="1:10">
      <c r="A456" s="7" t="s">
        <v>939</v>
      </c>
      <c r="B456" s="7" t="s">
        <v>952</v>
      </c>
      <c r="C456" s="8">
        <f>QS.CONTEXT.CREATE("market.454",A456,"USD","SOFR")</f>
        <v/>
      </c>
      <c r="D456" s="8">
        <f>QS.CONTEXT.ADD.CURVE(C456,"SOFR",$K$2:$K$7,$L$2:$L$7,,,"Actual360","LogLinear",TRUE)</f>
        <v/>
      </c>
      <c r="E456" s="8">
        <f>QS.INSTRUMENT.SWAP("swap.454",C456,H456,B456,"USD","SOFR",I456,J456,0,"Actual360","Simple","Annual","Annual","Annual")</f>
        <v/>
      </c>
      <c r="F456" s="8">
        <f>QS.TRADE.CREATE("trade.454",C456,E456,A456,"Receive")</f>
        <v/>
      </c>
      <c r="G456" s="5"/>
      <c r="H456" s="7" t="s">
        <v>953</v>
      </c>
      <c r="I456" s="9">
        <v>1045400</v>
      </c>
      <c r="J456" s="10">
        <v>0.0354</v>
      </c>
    </row>
    <row r="457" spans="1:10">
      <c r="A457" s="7" t="s">
        <v>941</v>
      </c>
      <c r="B457" s="7" t="s">
        <v>954</v>
      </c>
      <c r="C457" s="8">
        <f>QS.CONTEXT.CREATE("market.455",A457,"USD","SOFR")</f>
        <v/>
      </c>
      <c r="D457" s="8">
        <f>QS.CONTEXT.ADD.CURVE(C457,"SOFR",$K$2:$K$7,$L$2:$L$7,,,"Actual360","LogLinear",TRUE)</f>
        <v/>
      </c>
      <c r="E457" s="8">
        <f>QS.INSTRUMENT.SWAP("swap.455",C457,H457,B457,"USD","SOFR",I457,J457,0,"Actual360","Simple","Annual","Annual","Annual")</f>
        <v/>
      </c>
      <c r="F457" s="8">
        <f>QS.TRADE.CREATE("trade.455",C457,E457,A457,"Receive")</f>
        <v/>
      </c>
      <c r="G457" s="5"/>
      <c r="H457" s="7" t="s">
        <v>955</v>
      </c>
      <c r="I457" s="9">
        <v>1045500</v>
      </c>
      <c r="J457" s="10">
        <v>0.0355</v>
      </c>
    </row>
    <row r="458" spans="1:10">
      <c r="A458" s="7" t="s">
        <v>943</v>
      </c>
      <c r="B458" s="7" t="s">
        <v>956</v>
      </c>
      <c r="C458" s="8">
        <f>QS.CONTEXT.CREATE("market.456",A458,"USD","SOFR")</f>
        <v/>
      </c>
      <c r="D458" s="8">
        <f>QS.CONTEXT.ADD.CURVE(C458,"SOFR",$K$2:$K$7,$L$2:$L$7,,,"Actual360","LogLinear",TRUE)</f>
        <v/>
      </c>
      <c r="E458" s="8">
        <f>QS.INSTRUMENT.SWAP("swap.456",C458,H458,B458,"USD","SOFR",I458,J458,0,"Actual360","Simple","Annual","Annual","Annual")</f>
        <v/>
      </c>
      <c r="F458" s="8">
        <f>QS.TRADE.CREATE("trade.456",C458,E458,A458,"Receive")</f>
        <v/>
      </c>
      <c r="G458" s="5"/>
      <c r="H458" s="7" t="s">
        <v>957</v>
      </c>
      <c r="I458" s="9">
        <v>1045600</v>
      </c>
      <c r="J458" s="10">
        <v>0.03560000000000001</v>
      </c>
    </row>
    <row r="459" spans="1:10">
      <c r="A459" s="7" t="s">
        <v>945</v>
      </c>
      <c r="B459" s="7" t="s">
        <v>958</v>
      </c>
      <c r="C459" s="8">
        <f>QS.CONTEXT.CREATE("market.457",A459,"USD","SOFR")</f>
        <v/>
      </c>
      <c r="D459" s="8">
        <f>QS.CONTEXT.ADD.CURVE(C459,"SOFR",$K$2:$K$7,$L$2:$L$7,,,"Actual360","LogLinear",TRUE)</f>
        <v/>
      </c>
      <c r="E459" s="8">
        <f>QS.INSTRUMENT.SWAP("swap.457",C459,H459,B459,"USD","SOFR",I459,J459,0,"Actual360","Simple","Annual","Annual","Annual")</f>
        <v/>
      </c>
      <c r="F459" s="8">
        <f>QS.TRADE.CREATE("trade.457",C459,E459,A459,"Receive")</f>
        <v/>
      </c>
      <c r="G459" s="5"/>
      <c r="H459" s="7" t="s">
        <v>959</v>
      </c>
      <c r="I459" s="9">
        <v>1045700</v>
      </c>
      <c r="J459" s="10">
        <v>0.0357</v>
      </c>
    </row>
    <row r="460" spans="1:10">
      <c r="A460" s="7" t="s">
        <v>947</v>
      </c>
      <c r="B460" s="7" t="s">
        <v>960</v>
      </c>
      <c r="C460" s="8">
        <f>QS.CONTEXT.CREATE("market.458",A460,"USD","SOFR")</f>
        <v/>
      </c>
      <c r="D460" s="8">
        <f>QS.CONTEXT.ADD.CURVE(C460,"SOFR",$K$2:$K$7,$L$2:$L$7,,,"Actual360","LogLinear",TRUE)</f>
        <v/>
      </c>
      <c r="E460" s="8">
        <f>QS.INSTRUMENT.SWAP("swap.458",C460,H460,B460,"USD","SOFR",I460,J460,0,"Actual360","Simple","Annual","Annual","Annual")</f>
        <v/>
      </c>
      <c r="F460" s="8">
        <f>QS.TRADE.CREATE("trade.458",C460,E460,A460,"Receive")</f>
        <v/>
      </c>
      <c r="G460" s="5"/>
      <c r="H460" s="7" t="s">
        <v>961</v>
      </c>
      <c r="I460" s="9">
        <v>1045800</v>
      </c>
      <c r="J460" s="10">
        <v>0.03580000000000001</v>
      </c>
    </row>
    <row r="461" spans="1:10">
      <c r="A461" s="7" t="s">
        <v>949</v>
      </c>
      <c r="B461" s="7" t="s">
        <v>962</v>
      </c>
      <c r="C461" s="8">
        <f>QS.CONTEXT.CREATE("market.459",A461,"USD","SOFR")</f>
        <v/>
      </c>
      <c r="D461" s="8">
        <f>QS.CONTEXT.ADD.CURVE(C461,"SOFR",$K$2:$K$7,$L$2:$L$7,,,"Actual360","LogLinear",TRUE)</f>
        <v/>
      </c>
      <c r="E461" s="8">
        <f>QS.INSTRUMENT.SWAP("swap.459",C461,H461,B461,"USD","SOFR",I461,J461,0,"Actual360","Simple","Annual","Annual","Annual")</f>
        <v/>
      </c>
      <c r="F461" s="8">
        <f>QS.TRADE.CREATE("trade.459",C461,E461,A461,"Receive")</f>
        <v/>
      </c>
      <c r="G461" s="5"/>
      <c r="H461" s="7" t="s">
        <v>963</v>
      </c>
      <c r="I461" s="9">
        <v>1045900</v>
      </c>
      <c r="J461" s="10">
        <v>0.0359</v>
      </c>
    </row>
    <row r="462" spans="1:10">
      <c r="A462" s="7" t="s">
        <v>951</v>
      </c>
      <c r="B462" s="7" t="s">
        <v>964</v>
      </c>
      <c r="C462" s="8">
        <f>QS.CONTEXT.CREATE("market.460",A462,"USD","SOFR")</f>
        <v/>
      </c>
      <c r="D462" s="8">
        <f>QS.CONTEXT.ADD.CURVE(C462,"SOFR",$K$2:$K$7,$L$2:$L$7,,,"Actual360","LogLinear",TRUE)</f>
        <v/>
      </c>
      <c r="E462" s="8">
        <f>QS.INSTRUMENT.SWAP("swap.460",C462,H462,B462,"USD","SOFR",I462,J462,0,"Actual360","Simple","Annual","Annual","Annual")</f>
        <v/>
      </c>
      <c r="F462" s="8">
        <f>QS.TRADE.CREATE("trade.460",C462,E462,A462,"Receive")</f>
        <v/>
      </c>
      <c r="G462" s="5"/>
      <c r="H462" s="7" t="s">
        <v>965</v>
      </c>
      <c r="I462" s="9">
        <v>1046000</v>
      </c>
      <c r="J462" s="10">
        <v>0.036</v>
      </c>
    </row>
    <row r="463" spans="1:10">
      <c r="A463" s="7" t="s">
        <v>953</v>
      </c>
      <c r="B463" s="7" t="s">
        <v>966</v>
      </c>
      <c r="C463" s="8">
        <f>QS.CONTEXT.CREATE("market.461",A463,"USD","SOFR")</f>
        <v/>
      </c>
      <c r="D463" s="8">
        <f>QS.CONTEXT.ADD.CURVE(C463,"SOFR",$K$2:$K$7,$L$2:$L$7,,,"Actual360","LogLinear",TRUE)</f>
        <v/>
      </c>
      <c r="E463" s="8">
        <f>QS.INSTRUMENT.SWAP("swap.461",C463,H463,B463,"USD","SOFR",I463,J463,0,"Actual360","Simple","Annual","Annual","Annual")</f>
        <v/>
      </c>
      <c r="F463" s="8">
        <f>QS.TRADE.CREATE("trade.461",C463,E463,A463,"Receive")</f>
        <v/>
      </c>
      <c r="G463" s="5"/>
      <c r="H463" s="7" t="s">
        <v>967</v>
      </c>
      <c r="I463" s="9">
        <v>1046100</v>
      </c>
      <c r="J463" s="10">
        <v>0.0361</v>
      </c>
    </row>
    <row r="464" spans="1:10">
      <c r="A464" s="7" t="s">
        <v>955</v>
      </c>
      <c r="B464" s="7" t="s">
        <v>968</v>
      </c>
      <c r="C464" s="8">
        <f>QS.CONTEXT.CREATE("market.462",A464,"USD","SOFR")</f>
        <v/>
      </c>
      <c r="D464" s="8">
        <f>QS.CONTEXT.ADD.CURVE(C464,"SOFR",$K$2:$K$7,$L$2:$L$7,,,"Actual360","LogLinear",TRUE)</f>
        <v/>
      </c>
      <c r="E464" s="8">
        <f>QS.INSTRUMENT.SWAP("swap.462",C464,H464,B464,"USD","SOFR",I464,J464,0,"Actual360","Simple","Annual","Annual","Annual")</f>
        <v/>
      </c>
      <c r="F464" s="8">
        <f>QS.TRADE.CREATE("trade.462",C464,E464,A464,"Receive")</f>
        <v/>
      </c>
      <c r="G464" s="5"/>
      <c r="H464" s="7" t="s">
        <v>969</v>
      </c>
      <c r="I464" s="9">
        <v>1046200</v>
      </c>
      <c r="J464" s="10">
        <v>0.0362</v>
      </c>
    </row>
    <row r="465" spans="1:10">
      <c r="A465" s="7" t="s">
        <v>957</v>
      </c>
      <c r="B465" s="7" t="s">
        <v>970</v>
      </c>
      <c r="C465" s="8">
        <f>QS.CONTEXT.CREATE("market.463",A465,"USD","SOFR")</f>
        <v/>
      </c>
      <c r="D465" s="8">
        <f>QS.CONTEXT.ADD.CURVE(C465,"SOFR",$K$2:$K$7,$L$2:$L$7,,,"Actual360","LogLinear",TRUE)</f>
        <v/>
      </c>
      <c r="E465" s="8">
        <f>QS.INSTRUMENT.SWAP("swap.463",C465,H465,B465,"USD","SOFR",I465,J465,0,"Actual360","Simple","Annual","Annual","Annual")</f>
        <v/>
      </c>
      <c r="F465" s="8">
        <f>QS.TRADE.CREATE("trade.463",C465,E465,A465,"Receive")</f>
        <v/>
      </c>
      <c r="G465" s="5"/>
      <c r="H465" s="7" t="s">
        <v>971</v>
      </c>
      <c r="I465" s="9">
        <v>1046300</v>
      </c>
      <c r="J465" s="10">
        <v>0.03630000000000001</v>
      </c>
    </row>
    <row r="466" spans="1:10">
      <c r="A466" s="7" t="s">
        <v>959</v>
      </c>
      <c r="B466" s="7" t="s">
        <v>972</v>
      </c>
      <c r="C466" s="8">
        <f>QS.CONTEXT.CREATE("market.464",A466,"USD","SOFR")</f>
        <v/>
      </c>
      <c r="D466" s="8">
        <f>QS.CONTEXT.ADD.CURVE(C466,"SOFR",$K$2:$K$7,$L$2:$L$7,,,"Actual360","LogLinear",TRUE)</f>
        <v/>
      </c>
      <c r="E466" s="8">
        <f>QS.INSTRUMENT.SWAP("swap.464",C466,H466,B466,"USD","SOFR",I466,J466,0,"Actual360","Simple","Annual","Annual","Annual")</f>
        <v/>
      </c>
      <c r="F466" s="8">
        <f>QS.TRADE.CREATE("trade.464",C466,E466,A466,"Receive")</f>
        <v/>
      </c>
      <c r="G466" s="5"/>
      <c r="H466" s="7" t="s">
        <v>973</v>
      </c>
      <c r="I466" s="9">
        <v>1046400</v>
      </c>
      <c r="J466" s="10">
        <v>0.0364</v>
      </c>
    </row>
    <row r="467" spans="1:10">
      <c r="A467" s="7" t="s">
        <v>961</v>
      </c>
      <c r="B467" s="7" t="s">
        <v>974</v>
      </c>
      <c r="C467" s="8">
        <f>QS.CONTEXT.CREATE("market.465",A467,"USD","SOFR")</f>
        <v/>
      </c>
      <c r="D467" s="8">
        <f>QS.CONTEXT.ADD.CURVE(C467,"SOFR",$K$2:$K$7,$L$2:$L$7,,,"Actual360","LogLinear",TRUE)</f>
        <v/>
      </c>
      <c r="E467" s="8">
        <f>QS.INSTRUMENT.SWAP("swap.465",C467,H467,B467,"USD","SOFR",I467,J467,0,"Actual360","Simple","Annual","Annual","Annual")</f>
        <v/>
      </c>
      <c r="F467" s="8">
        <f>QS.TRADE.CREATE("trade.465",C467,E467,A467,"Receive")</f>
        <v/>
      </c>
      <c r="G467" s="5"/>
      <c r="H467" s="7" t="s">
        <v>975</v>
      </c>
      <c r="I467" s="9">
        <v>1046500</v>
      </c>
      <c r="J467" s="10">
        <v>0.0365</v>
      </c>
    </row>
    <row r="468" spans="1:10">
      <c r="A468" s="7" t="s">
        <v>963</v>
      </c>
      <c r="B468" s="7" t="s">
        <v>976</v>
      </c>
      <c r="C468" s="8">
        <f>QS.CONTEXT.CREATE("market.466",A468,"USD","SOFR")</f>
        <v/>
      </c>
      <c r="D468" s="8">
        <f>QS.CONTEXT.ADD.CURVE(C468,"SOFR",$K$2:$K$7,$L$2:$L$7,,,"Actual360","LogLinear",TRUE)</f>
        <v/>
      </c>
      <c r="E468" s="8">
        <f>QS.INSTRUMENT.SWAP("swap.466",C468,H468,B468,"USD","SOFR",I468,J468,0,"Actual360","Simple","Annual","Annual","Annual")</f>
        <v/>
      </c>
      <c r="F468" s="8">
        <f>QS.TRADE.CREATE("trade.466",C468,E468,A468,"Receive")</f>
        <v/>
      </c>
      <c r="G468" s="5"/>
      <c r="H468" s="7" t="s">
        <v>977</v>
      </c>
      <c r="I468" s="9">
        <v>1046600</v>
      </c>
      <c r="J468" s="10">
        <v>0.0366</v>
      </c>
    </row>
    <row r="469" spans="1:10">
      <c r="A469" s="7" t="s">
        <v>965</v>
      </c>
      <c r="B469" s="7" t="s">
        <v>978</v>
      </c>
      <c r="C469" s="8">
        <f>QS.CONTEXT.CREATE("market.467",A469,"USD","SOFR")</f>
        <v/>
      </c>
      <c r="D469" s="8">
        <f>QS.CONTEXT.ADD.CURVE(C469,"SOFR",$K$2:$K$7,$L$2:$L$7,,,"Actual360","LogLinear",TRUE)</f>
        <v/>
      </c>
      <c r="E469" s="8">
        <f>QS.INSTRUMENT.SWAP("swap.467",C469,H469,B469,"USD","SOFR",I469,J469,0,"Actual360","Simple","Annual","Annual","Annual")</f>
        <v/>
      </c>
      <c r="F469" s="8">
        <f>QS.TRADE.CREATE("trade.467",C469,E469,A469,"Receive")</f>
        <v/>
      </c>
      <c r="G469" s="5"/>
      <c r="H469" s="7" t="s">
        <v>979</v>
      </c>
      <c r="I469" s="9">
        <v>1046700</v>
      </c>
      <c r="J469" s="10">
        <v>0.0367</v>
      </c>
    </row>
    <row r="470" spans="1:10">
      <c r="A470" s="7" t="s">
        <v>967</v>
      </c>
      <c r="B470" s="7" t="s">
        <v>980</v>
      </c>
      <c r="C470" s="8">
        <f>QS.CONTEXT.CREATE("market.468",A470,"USD","SOFR")</f>
        <v/>
      </c>
      <c r="D470" s="8">
        <f>QS.CONTEXT.ADD.CURVE(C470,"SOFR",$K$2:$K$7,$L$2:$L$7,,,"Actual360","LogLinear",TRUE)</f>
        <v/>
      </c>
      <c r="E470" s="8">
        <f>QS.INSTRUMENT.SWAP("swap.468",C470,H470,B470,"USD","SOFR",I470,J470,0,"Actual360","Simple","Annual","Annual","Annual")</f>
        <v/>
      </c>
      <c r="F470" s="8">
        <f>QS.TRADE.CREATE("trade.468",C470,E470,A470,"Receive")</f>
        <v/>
      </c>
      <c r="G470" s="5"/>
      <c r="H470" s="7" t="s">
        <v>981</v>
      </c>
      <c r="I470" s="9">
        <v>1046800</v>
      </c>
      <c r="J470" s="10">
        <v>0.03680000000000001</v>
      </c>
    </row>
    <row r="471" spans="1:10">
      <c r="A471" s="7" t="s">
        <v>969</v>
      </c>
      <c r="B471" s="7" t="s">
        <v>982</v>
      </c>
      <c r="C471" s="8">
        <f>QS.CONTEXT.CREATE("market.469",A471,"USD","SOFR")</f>
        <v/>
      </c>
      <c r="D471" s="8">
        <f>QS.CONTEXT.ADD.CURVE(C471,"SOFR",$K$2:$K$7,$L$2:$L$7,,,"Actual360","LogLinear",TRUE)</f>
        <v/>
      </c>
      <c r="E471" s="8">
        <f>QS.INSTRUMENT.SWAP("swap.469",C471,H471,B471,"USD","SOFR",I471,J471,0,"Actual360","Simple","Annual","Annual","Annual")</f>
        <v/>
      </c>
      <c r="F471" s="8">
        <f>QS.TRADE.CREATE("trade.469",C471,E471,A471,"Receive")</f>
        <v/>
      </c>
      <c r="G471" s="5"/>
      <c r="H471" s="7" t="s">
        <v>983</v>
      </c>
      <c r="I471" s="9">
        <v>1046900</v>
      </c>
      <c r="J471" s="10">
        <v>0.0369</v>
      </c>
    </row>
    <row r="472" spans="1:10">
      <c r="A472" s="7" t="s">
        <v>971</v>
      </c>
      <c r="B472" s="7" t="s">
        <v>984</v>
      </c>
      <c r="C472" s="8">
        <f>QS.CONTEXT.CREATE("market.470",A472,"USD","SOFR")</f>
        <v/>
      </c>
      <c r="D472" s="8">
        <f>QS.CONTEXT.ADD.CURVE(C472,"SOFR",$K$2:$K$7,$L$2:$L$7,,,"Actual360","LogLinear",TRUE)</f>
        <v/>
      </c>
      <c r="E472" s="8">
        <f>QS.INSTRUMENT.SWAP("swap.470",C472,H472,B472,"USD","SOFR",I472,J472,0,"Actual360","Simple","Annual","Annual","Annual")</f>
        <v/>
      </c>
      <c r="F472" s="8">
        <f>QS.TRADE.CREATE("trade.470",C472,E472,A472,"Receive")</f>
        <v/>
      </c>
      <c r="G472" s="5"/>
      <c r="H472" s="7" t="s">
        <v>985</v>
      </c>
      <c r="I472" s="9">
        <v>1047000</v>
      </c>
      <c r="J472" s="10">
        <v>0.03700000000000001</v>
      </c>
    </row>
    <row r="473" spans="1:10">
      <c r="A473" s="7" t="s">
        <v>973</v>
      </c>
      <c r="B473" s="7" t="s">
        <v>986</v>
      </c>
      <c r="C473" s="8">
        <f>QS.CONTEXT.CREATE("market.471",A473,"USD","SOFR")</f>
        <v/>
      </c>
      <c r="D473" s="8">
        <f>QS.CONTEXT.ADD.CURVE(C473,"SOFR",$K$2:$K$7,$L$2:$L$7,,,"Actual360","LogLinear",TRUE)</f>
        <v/>
      </c>
      <c r="E473" s="8">
        <f>QS.INSTRUMENT.SWAP("swap.471",C473,H473,B473,"USD","SOFR",I473,J473,0,"Actual360","Simple","Annual","Annual","Annual")</f>
        <v/>
      </c>
      <c r="F473" s="8">
        <f>QS.TRADE.CREATE("trade.471",C473,E473,A473,"Receive")</f>
        <v/>
      </c>
      <c r="G473" s="5"/>
      <c r="H473" s="7" t="s">
        <v>987</v>
      </c>
      <c r="I473" s="9">
        <v>1047100</v>
      </c>
      <c r="J473" s="10">
        <v>0.0371</v>
      </c>
    </row>
    <row r="474" spans="1:10">
      <c r="A474" s="7" t="s">
        <v>975</v>
      </c>
      <c r="B474" s="7" t="s">
        <v>988</v>
      </c>
      <c r="C474" s="8">
        <f>QS.CONTEXT.CREATE("market.472",A474,"USD","SOFR")</f>
        <v/>
      </c>
      <c r="D474" s="8">
        <f>QS.CONTEXT.ADD.CURVE(C474,"SOFR",$K$2:$K$7,$L$2:$L$7,,,"Actual360","LogLinear",TRUE)</f>
        <v/>
      </c>
      <c r="E474" s="8">
        <f>QS.INSTRUMENT.SWAP("swap.472",C474,H474,B474,"USD","SOFR",I474,J474,0,"Actual360","Simple","Annual","Annual","Annual")</f>
        <v/>
      </c>
      <c r="F474" s="8">
        <f>QS.TRADE.CREATE("trade.472",C474,E474,A474,"Receive")</f>
        <v/>
      </c>
      <c r="G474" s="5"/>
      <c r="H474" s="7" t="s">
        <v>989</v>
      </c>
      <c r="I474" s="9">
        <v>1047200</v>
      </c>
      <c r="J474" s="10">
        <v>0.0372</v>
      </c>
    </row>
    <row r="475" spans="1:10">
      <c r="A475" s="7" t="s">
        <v>977</v>
      </c>
      <c r="B475" s="7" t="s">
        <v>990</v>
      </c>
      <c r="C475" s="8">
        <f>QS.CONTEXT.CREATE("market.473",A475,"USD","SOFR")</f>
        <v/>
      </c>
      <c r="D475" s="8">
        <f>QS.CONTEXT.ADD.CURVE(C475,"SOFR",$K$2:$K$7,$L$2:$L$7,,,"Actual360","LogLinear",TRUE)</f>
        <v/>
      </c>
      <c r="E475" s="8">
        <f>QS.INSTRUMENT.SWAP("swap.473",C475,H475,B475,"USD","SOFR",I475,J475,0,"Actual360","Simple","Annual","Annual","Annual")</f>
        <v/>
      </c>
      <c r="F475" s="8">
        <f>QS.TRADE.CREATE("trade.473",C475,E475,A475,"Receive")</f>
        <v/>
      </c>
      <c r="G475" s="5"/>
      <c r="H475" s="7" t="s">
        <v>991</v>
      </c>
      <c r="I475" s="9">
        <v>1047300</v>
      </c>
      <c r="J475" s="10">
        <v>0.0373</v>
      </c>
    </row>
    <row r="476" spans="1:10">
      <c r="A476" s="7" t="s">
        <v>979</v>
      </c>
      <c r="B476" s="7" t="s">
        <v>992</v>
      </c>
      <c r="C476" s="8">
        <f>QS.CONTEXT.CREATE("market.474",A476,"USD","SOFR")</f>
        <v/>
      </c>
      <c r="D476" s="8">
        <f>QS.CONTEXT.ADD.CURVE(C476,"SOFR",$K$2:$K$7,$L$2:$L$7,,,"Actual360","LogLinear",TRUE)</f>
        <v/>
      </c>
      <c r="E476" s="8">
        <f>QS.INSTRUMENT.SWAP("swap.474",C476,H476,B476,"USD","SOFR",I476,J476,0,"Actual360","Simple","Annual","Annual","Annual")</f>
        <v/>
      </c>
      <c r="F476" s="8">
        <f>QS.TRADE.CREATE("trade.474",C476,E476,A476,"Receive")</f>
        <v/>
      </c>
      <c r="G476" s="5"/>
      <c r="H476" s="7" t="s">
        <v>993</v>
      </c>
      <c r="I476" s="9">
        <v>1047400</v>
      </c>
      <c r="J476" s="10">
        <v>0.0374</v>
      </c>
    </row>
    <row r="477" spans="1:10">
      <c r="A477" s="7" t="s">
        <v>981</v>
      </c>
      <c r="B477" s="7" t="s">
        <v>994</v>
      </c>
      <c r="C477" s="8">
        <f>QS.CONTEXT.CREATE("market.475",A477,"USD","SOFR")</f>
        <v/>
      </c>
      <c r="D477" s="8">
        <f>QS.CONTEXT.ADD.CURVE(C477,"SOFR",$K$2:$K$7,$L$2:$L$7,,,"Actual360","LogLinear",TRUE)</f>
        <v/>
      </c>
      <c r="E477" s="8">
        <f>QS.INSTRUMENT.SWAP("swap.475",C477,H477,B477,"USD","SOFR",I477,J477,0,"Actual360","Simple","Annual","Annual","Annual")</f>
        <v/>
      </c>
      <c r="F477" s="8">
        <f>QS.TRADE.CREATE("trade.475",C477,E477,A477,"Receive")</f>
        <v/>
      </c>
      <c r="G477" s="5"/>
      <c r="H477" s="7" t="s">
        <v>995</v>
      </c>
      <c r="I477" s="9">
        <v>1047500</v>
      </c>
      <c r="J477" s="10">
        <v>0.03750000000000001</v>
      </c>
    </row>
    <row r="478" spans="1:10">
      <c r="A478" s="7" t="s">
        <v>983</v>
      </c>
      <c r="B478" s="7" t="s">
        <v>996</v>
      </c>
      <c r="C478" s="8">
        <f>QS.CONTEXT.CREATE("market.476",A478,"USD","SOFR")</f>
        <v/>
      </c>
      <c r="D478" s="8">
        <f>QS.CONTEXT.ADD.CURVE(C478,"SOFR",$K$2:$K$7,$L$2:$L$7,,,"Actual360","LogLinear",TRUE)</f>
        <v/>
      </c>
      <c r="E478" s="8">
        <f>QS.INSTRUMENT.SWAP("swap.476",C478,H478,B478,"USD","SOFR",I478,J478,0,"Actual360","Simple","Annual","Annual","Annual")</f>
        <v/>
      </c>
      <c r="F478" s="8">
        <f>QS.TRADE.CREATE("trade.476",C478,E478,A478,"Receive")</f>
        <v/>
      </c>
      <c r="G478" s="5"/>
      <c r="H478" s="7" t="s">
        <v>997</v>
      </c>
      <c r="I478" s="9">
        <v>1047600</v>
      </c>
      <c r="J478" s="10">
        <v>0.0376</v>
      </c>
    </row>
    <row r="479" spans="1:10">
      <c r="A479" s="7" t="s">
        <v>985</v>
      </c>
      <c r="B479" s="7" t="s">
        <v>998</v>
      </c>
      <c r="C479" s="8">
        <f>QS.CONTEXT.CREATE("market.477",A479,"USD","SOFR")</f>
        <v/>
      </c>
      <c r="D479" s="8">
        <f>QS.CONTEXT.ADD.CURVE(C479,"SOFR",$K$2:$K$7,$L$2:$L$7,,,"Actual360","LogLinear",TRUE)</f>
        <v/>
      </c>
      <c r="E479" s="8">
        <f>QS.INSTRUMENT.SWAP("swap.477",C479,H479,B479,"USD","SOFR",I479,J479,0,"Actual360","Simple","Annual","Annual","Annual")</f>
        <v/>
      </c>
      <c r="F479" s="8">
        <f>QS.TRADE.CREATE("trade.477",C479,E479,A479,"Receive")</f>
        <v/>
      </c>
      <c r="G479" s="5"/>
      <c r="H479" s="7" t="s">
        <v>999</v>
      </c>
      <c r="I479" s="9">
        <v>1047700</v>
      </c>
      <c r="J479" s="10">
        <v>0.0377</v>
      </c>
    </row>
    <row r="480" spans="1:10">
      <c r="A480" s="7" t="s">
        <v>987</v>
      </c>
      <c r="B480" s="7" t="s">
        <v>1000</v>
      </c>
      <c r="C480" s="8">
        <f>QS.CONTEXT.CREATE("market.478",A480,"USD","SOFR")</f>
        <v/>
      </c>
      <c r="D480" s="8">
        <f>QS.CONTEXT.ADD.CURVE(C480,"SOFR",$K$2:$K$7,$L$2:$L$7,,,"Actual360","LogLinear",TRUE)</f>
        <v/>
      </c>
      <c r="E480" s="8">
        <f>QS.INSTRUMENT.SWAP("swap.478",C480,H480,B480,"USD","SOFR",I480,J480,0,"Actual360","Simple","Annual","Annual","Annual")</f>
        <v/>
      </c>
      <c r="F480" s="8">
        <f>QS.TRADE.CREATE("trade.478",C480,E480,A480,"Receive")</f>
        <v/>
      </c>
      <c r="G480" s="5"/>
      <c r="H480" s="7" t="s">
        <v>1001</v>
      </c>
      <c r="I480" s="9">
        <v>1047800</v>
      </c>
      <c r="J480" s="10">
        <v>0.0378</v>
      </c>
    </row>
    <row r="481" spans="1:10">
      <c r="A481" s="7" t="s">
        <v>989</v>
      </c>
      <c r="B481" s="7" t="s">
        <v>1002</v>
      </c>
      <c r="C481" s="8">
        <f>QS.CONTEXT.CREATE("market.479",A481,"USD","SOFR")</f>
        <v/>
      </c>
      <c r="D481" s="8">
        <f>QS.CONTEXT.ADD.CURVE(C481,"SOFR",$K$2:$K$7,$L$2:$L$7,,,"Actual360","LogLinear",TRUE)</f>
        <v/>
      </c>
      <c r="E481" s="8">
        <f>QS.INSTRUMENT.SWAP("swap.479",C481,H481,B481,"USD","SOFR",I481,J481,0,"Actual360","Simple","Annual","Annual","Annual")</f>
        <v/>
      </c>
      <c r="F481" s="8">
        <f>QS.TRADE.CREATE("trade.479",C481,E481,A481,"Receive")</f>
        <v/>
      </c>
      <c r="G481" s="5"/>
      <c r="H481" s="7" t="s">
        <v>1003</v>
      </c>
      <c r="I481" s="9">
        <v>1047900</v>
      </c>
      <c r="J481" s="10">
        <v>0.0379</v>
      </c>
    </row>
    <row r="482" spans="1:10">
      <c r="A482" s="7" t="s">
        <v>991</v>
      </c>
      <c r="B482" s="7" t="s">
        <v>1004</v>
      </c>
      <c r="C482" s="8">
        <f>QS.CONTEXT.CREATE("market.480",A482,"USD","SOFR")</f>
        <v/>
      </c>
      <c r="D482" s="8">
        <f>QS.CONTEXT.ADD.CURVE(C482,"SOFR",$K$2:$K$7,$L$2:$L$7,,,"Actual360","LogLinear",TRUE)</f>
        <v/>
      </c>
      <c r="E482" s="8">
        <f>QS.INSTRUMENT.SWAP("swap.480",C482,H482,B482,"USD","SOFR",I482,J482,0,"Actual360","Simple","Annual","Annual","Annual")</f>
        <v/>
      </c>
      <c r="F482" s="8">
        <f>QS.TRADE.CREATE("trade.480",C482,E482,A482,"Receive")</f>
        <v/>
      </c>
      <c r="G482" s="5"/>
      <c r="H482" s="7" t="s">
        <v>1005</v>
      </c>
      <c r="I482" s="9">
        <v>1048000</v>
      </c>
      <c r="J482" s="10">
        <v>0.03800000000000001</v>
      </c>
    </row>
    <row r="483" spans="1:10">
      <c r="A483" s="7" t="s">
        <v>993</v>
      </c>
      <c r="B483" s="7" t="s">
        <v>1006</v>
      </c>
      <c r="C483" s="8">
        <f>QS.CONTEXT.CREATE("market.481",A483,"USD","SOFR")</f>
        <v/>
      </c>
      <c r="D483" s="8">
        <f>QS.CONTEXT.ADD.CURVE(C483,"SOFR",$K$2:$K$7,$L$2:$L$7,,,"Actual360","LogLinear",TRUE)</f>
        <v/>
      </c>
      <c r="E483" s="8">
        <f>QS.INSTRUMENT.SWAP("swap.481",C483,H483,B483,"USD","SOFR",I483,J483,0,"Actual360","Simple","Annual","Annual","Annual")</f>
        <v/>
      </c>
      <c r="F483" s="8">
        <f>QS.TRADE.CREATE("trade.481",C483,E483,A483,"Receive")</f>
        <v/>
      </c>
      <c r="G483" s="5"/>
      <c r="H483" s="7" t="s">
        <v>1007</v>
      </c>
      <c r="I483" s="9">
        <v>1048100</v>
      </c>
      <c r="J483" s="10">
        <v>0.0381</v>
      </c>
    </row>
    <row r="484" spans="1:10">
      <c r="A484" s="7" t="s">
        <v>995</v>
      </c>
      <c r="B484" s="7" t="s">
        <v>1008</v>
      </c>
      <c r="C484" s="8">
        <f>QS.CONTEXT.CREATE("market.482",A484,"USD","SOFR")</f>
        <v/>
      </c>
      <c r="D484" s="8">
        <f>QS.CONTEXT.ADD.CURVE(C484,"SOFR",$K$2:$K$7,$L$2:$L$7,,,"Actual360","LogLinear",TRUE)</f>
        <v/>
      </c>
      <c r="E484" s="8">
        <f>QS.INSTRUMENT.SWAP("swap.482",C484,H484,B484,"USD","SOFR",I484,J484,0,"Actual360","Simple","Annual","Annual","Annual")</f>
        <v/>
      </c>
      <c r="F484" s="8">
        <f>QS.TRADE.CREATE("trade.482",C484,E484,A484,"Receive")</f>
        <v/>
      </c>
      <c r="G484" s="5"/>
      <c r="H484" s="7" t="s">
        <v>1009</v>
      </c>
      <c r="I484" s="9">
        <v>1048200</v>
      </c>
      <c r="J484" s="10">
        <v>0.0382</v>
      </c>
    </row>
    <row r="485" spans="1:10">
      <c r="A485" s="7" t="s">
        <v>997</v>
      </c>
      <c r="B485" s="7" t="s">
        <v>1010</v>
      </c>
      <c r="C485" s="8">
        <f>QS.CONTEXT.CREATE("market.483",A485,"USD","SOFR")</f>
        <v/>
      </c>
      <c r="D485" s="8">
        <f>QS.CONTEXT.ADD.CURVE(C485,"SOFR",$K$2:$K$7,$L$2:$L$7,,,"Actual360","LogLinear",TRUE)</f>
        <v/>
      </c>
      <c r="E485" s="8">
        <f>QS.INSTRUMENT.SWAP("swap.483",C485,H485,B485,"USD","SOFR",I485,J485,0,"Actual360","Simple","Annual","Annual","Annual")</f>
        <v/>
      </c>
      <c r="F485" s="8">
        <f>QS.TRADE.CREATE("trade.483",C485,E485,A485,"Receive")</f>
        <v/>
      </c>
      <c r="G485" s="5"/>
      <c r="H485" s="7" t="s">
        <v>1011</v>
      </c>
      <c r="I485" s="9">
        <v>1048300</v>
      </c>
      <c r="J485" s="10">
        <v>0.0383</v>
      </c>
    </row>
    <row r="486" spans="1:10">
      <c r="A486" s="7" t="s">
        <v>999</v>
      </c>
      <c r="B486" s="7" t="s">
        <v>1012</v>
      </c>
      <c r="C486" s="8">
        <f>QS.CONTEXT.CREATE("market.484",A486,"USD","SOFR")</f>
        <v/>
      </c>
      <c r="D486" s="8">
        <f>QS.CONTEXT.ADD.CURVE(C486,"SOFR",$K$2:$K$7,$L$2:$L$7,,,"Actual360","LogLinear",TRUE)</f>
        <v/>
      </c>
      <c r="E486" s="8">
        <f>QS.INSTRUMENT.SWAP("swap.484",C486,H486,B486,"USD","SOFR",I486,J486,0,"Actual360","Simple","Annual","Annual","Annual")</f>
        <v/>
      </c>
      <c r="F486" s="8">
        <f>QS.TRADE.CREATE("trade.484",C486,E486,A486,"Receive")</f>
        <v/>
      </c>
      <c r="G486" s="5"/>
      <c r="H486" s="7" t="s">
        <v>1013</v>
      </c>
      <c r="I486" s="9">
        <v>1048400</v>
      </c>
      <c r="J486" s="10">
        <v>0.0384</v>
      </c>
    </row>
    <row r="487" spans="1:10">
      <c r="A487" s="7" t="s">
        <v>1001</v>
      </c>
      <c r="B487" s="7" t="s">
        <v>1014</v>
      </c>
      <c r="C487" s="8">
        <f>QS.CONTEXT.CREATE("market.485",A487,"USD","SOFR")</f>
        <v/>
      </c>
      <c r="D487" s="8">
        <f>QS.CONTEXT.ADD.CURVE(C487,"SOFR",$K$2:$K$7,$L$2:$L$7,,,"Actual360","LogLinear",TRUE)</f>
        <v/>
      </c>
      <c r="E487" s="8">
        <f>QS.INSTRUMENT.SWAP("swap.485",C487,H487,B487,"USD","SOFR",I487,J487,0,"Actual360","Simple","Annual","Annual","Annual")</f>
        <v/>
      </c>
      <c r="F487" s="8">
        <f>QS.TRADE.CREATE("trade.485",C487,E487,A487,"Receive")</f>
        <v/>
      </c>
      <c r="G487" s="5"/>
      <c r="H487" s="7" t="s">
        <v>1015</v>
      </c>
      <c r="I487" s="9">
        <v>1048500</v>
      </c>
      <c r="J487" s="10">
        <v>0.03850000000000001</v>
      </c>
    </row>
    <row r="488" spans="1:10">
      <c r="A488" s="7" t="s">
        <v>1003</v>
      </c>
      <c r="B488" s="7" t="s">
        <v>1016</v>
      </c>
      <c r="C488" s="8">
        <f>QS.CONTEXT.CREATE("market.486",A488,"USD","SOFR")</f>
        <v/>
      </c>
      <c r="D488" s="8">
        <f>QS.CONTEXT.ADD.CURVE(C488,"SOFR",$K$2:$K$7,$L$2:$L$7,,,"Actual360","LogLinear",TRUE)</f>
        <v/>
      </c>
      <c r="E488" s="8">
        <f>QS.INSTRUMENT.SWAP("swap.486",C488,H488,B488,"USD","SOFR",I488,J488,0,"Actual360","Simple","Annual","Annual","Annual")</f>
        <v/>
      </c>
      <c r="F488" s="8">
        <f>QS.TRADE.CREATE("trade.486",C488,E488,A488,"Receive")</f>
        <v/>
      </c>
      <c r="G488" s="5"/>
      <c r="H488" s="7" t="s">
        <v>1017</v>
      </c>
      <c r="I488" s="9">
        <v>1048600</v>
      </c>
      <c r="J488" s="10">
        <v>0.0386</v>
      </c>
    </row>
    <row r="489" spans="1:10">
      <c r="A489" s="7" t="s">
        <v>1005</v>
      </c>
      <c r="B489" s="7" t="s">
        <v>1018</v>
      </c>
      <c r="C489" s="8">
        <f>QS.CONTEXT.CREATE("market.487",A489,"USD","SOFR")</f>
        <v/>
      </c>
      <c r="D489" s="8">
        <f>QS.CONTEXT.ADD.CURVE(C489,"SOFR",$K$2:$K$7,$L$2:$L$7,,,"Actual360","LogLinear",TRUE)</f>
        <v/>
      </c>
      <c r="E489" s="8">
        <f>QS.INSTRUMENT.SWAP("swap.487",C489,H489,B489,"USD","SOFR",I489,J489,0,"Actual360","Simple","Annual","Annual","Annual")</f>
        <v/>
      </c>
      <c r="F489" s="8">
        <f>QS.TRADE.CREATE("trade.487",C489,E489,A489,"Receive")</f>
        <v/>
      </c>
      <c r="G489" s="5"/>
      <c r="H489" s="7" t="s">
        <v>1019</v>
      </c>
      <c r="I489" s="9">
        <v>1048700</v>
      </c>
      <c r="J489" s="10">
        <v>0.03870000000000001</v>
      </c>
    </row>
    <row r="490" spans="1:10">
      <c r="A490" s="7" t="s">
        <v>1007</v>
      </c>
      <c r="B490" s="7" t="s">
        <v>1020</v>
      </c>
      <c r="C490" s="8">
        <f>QS.CONTEXT.CREATE("market.488",A490,"USD","SOFR")</f>
        <v/>
      </c>
      <c r="D490" s="8">
        <f>QS.CONTEXT.ADD.CURVE(C490,"SOFR",$K$2:$K$7,$L$2:$L$7,,,"Actual360","LogLinear",TRUE)</f>
        <v/>
      </c>
      <c r="E490" s="8">
        <f>QS.INSTRUMENT.SWAP("swap.488",C490,H490,B490,"USD","SOFR",I490,J490,0,"Actual360","Simple","Annual","Annual","Annual")</f>
        <v/>
      </c>
      <c r="F490" s="8">
        <f>QS.TRADE.CREATE("trade.488",C490,E490,A490,"Receive")</f>
        <v/>
      </c>
      <c r="G490" s="5"/>
      <c r="H490" s="7" t="s">
        <v>1021</v>
      </c>
      <c r="I490" s="9">
        <v>1048800</v>
      </c>
      <c r="J490" s="10">
        <v>0.0388</v>
      </c>
    </row>
    <row r="491" spans="1:10">
      <c r="A491" s="7" t="s">
        <v>1009</v>
      </c>
      <c r="B491" s="7" t="s">
        <v>1022</v>
      </c>
      <c r="C491" s="8">
        <f>QS.CONTEXT.CREATE("market.489",A491,"USD","SOFR")</f>
        <v/>
      </c>
      <c r="D491" s="8">
        <f>QS.CONTEXT.ADD.CURVE(C491,"SOFR",$K$2:$K$7,$L$2:$L$7,,,"Actual360","LogLinear",TRUE)</f>
        <v/>
      </c>
      <c r="E491" s="8">
        <f>QS.INSTRUMENT.SWAP("swap.489",C491,H491,B491,"USD","SOFR",I491,J491,0,"Actual360","Simple","Annual","Annual","Annual")</f>
        <v/>
      </c>
      <c r="F491" s="8">
        <f>QS.TRADE.CREATE("trade.489",C491,E491,A491,"Receive")</f>
        <v/>
      </c>
      <c r="G491" s="5"/>
      <c r="H491" s="7" t="s">
        <v>1023</v>
      </c>
      <c r="I491" s="9">
        <v>1048900</v>
      </c>
      <c r="J491" s="10">
        <v>0.0389</v>
      </c>
    </row>
    <row r="492" spans="1:10">
      <c r="A492" s="7" t="s">
        <v>1011</v>
      </c>
      <c r="B492" s="7" t="s">
        <v>1024</v>
      </c>
      <c r="C492" s="8">
        <f>QS.CONTEXT.CREATE("market.490",A492,"USD","SOFR")</f>
        <v/>
      </c>
      <c r="D492" s="8">
        <f>QS.CONTEXT.ADD.CURVE(C492,"SOFR",$K$2:$K$7,$L$2:$L$7,,,"Actual360","LogLinear",TRUE)</f>
        <v/>
      </c>
      <c r="E492" s="8">
        <f>QS.INSTRUMENT.SWAP("swap.490",C492,H492,B492,"USD","SOFR",I492,J492,0,"Actual360","Simple","Annual","Annual","Annual")</f>
        <v/>
      </c>
      <c r="F492" s="8">
        <f>QS.TRADE.CREATE("trade.490",C492,E492,A492,"Receive")</f>
        <v/>
      </c>
      <c r="G492" s="5"/>
      <c r="H492" s="7" t="s">
        <v>1025</v>
      </c>
      <c r="I492" s="9">
        <v>1049000</v>
      </c>
      <c r="J492" s="10">
        <v>0.03900000000000001</v>
      </c>
    </row>
    <row r="493" spans="1:10">
      <c r="A493" s="7" t="s">
        <v>1013</v>
      </c>
      <c r="B493" s="7" t="s">
        <v>1026</v>
      </c>
      <c r="C493" s="8">
        <f>QS.CONTEXT.CREATE("market.491",A493,"USD","SOFR")</f>
        <v/>
      </c>
      <c r="D493" s="8">
        <f>QS.CONTEXT.ADD.CURVE(C493,"SOFR",$K$2:$K$7,$L$2:$L$7,,,"Actual360","LogLinear",TRUE)</f>
        <v/>
      </c>
      <c r="E493" s="8">
        <f>QS.INSTRUMENT.SWAP("swap.491",C493,H493,B493,"USD","SOFR",I493,J493,0,"Actual360","Simple","Annual","Annual","Annual")</f>
        <v/>
      </c>
      <c r="F493" s="8">
        <f>QS.TRADE.CREATE("trade.491",C493,E493,A493,"Receive")</f>
        <v/>
      </c>
      <c r="G493" s="5"/>
      <c r="H493" s="7" t="s">
        <v>1027</v>
      </c>
      <c r="I493" s="9">
        <v>1049100</v>
      </c>
      <c r="J493" s="10">
        <v>0.0391</v>
      </c>
    </row>
    <row r="494" spans="1:10">
      <c r="A494" s="7" t="s">
        <v>1015</v>
      </c>
      <c r="B494" s="7" t="s">
        <v>1028</v>
      </c>
      <c r="C494" s="8">
        <f>QS.CONTEXT.CREATE("market.492",A494,"USD","SOFR")</f>
        <v/>
      </c>
      <c r="D494" s="8">
        <f>QS.CONTEXT.ADD.CURVE(C494,"SOFR",$K$2:$K$7,$L$2:$L$7,,,"Actual360","LogLinear",TRUE)</f>
        <v/>
      </c>
      <c r="E494" s="8">
        <f>QS.INSTRUMENT.SWAP("swap.492",C494,H494,B494,"USD","SOFR",I494,J494,0,"Actual360","Simple","Annual","Annual","Annual")</f>
        <v/>
      </c>
      <c r="F494" s="8">
        <f>QS.TRADE.CREATE("trade.492",C494,E494,A494,"Receive")</f>
        <v/>
      </c>
      <c r="G494" s="5"/>
      <c r="H494" s="7" t="s">
        <v>1029</v>
      </c>
      <c r="I494" s="9">
        <v>1049200</v>
      </c>
      <c r="J494" s="10">
        <v>0.03920000000000001</v>
      </c>
    </row>
    <row r="495" spans="1:10">
      <c r="A495" s="7" t="s">
        <v>1017</v>
      </c>
      <c r="B495" s="7" t="s">
        <v>1030</v>
      </c>
      <c r="C495" s="8">
        <f>QS.CONTEXT.CREATE("market.493",A495,"USD","SOFR")</f>
        <v/>
      </c>
      <c r="D495" s="8">
        <f>QS.CONTEXT.ADD.CURVE(C495,"SOFR",$K$2:$K$7,$L$2:$L$7,,,"Actual360","LogLinear",TRUE)</f>
        <v/>
      </c>
      <c r="E495" s="8">
        <f>QS.INSTRUMENT.SWAP("swap.493",C495,H495,B495,"USD","SOFR",I495,J495,0,"Actual360","Simple","Annual","Annual","Annual")</f>
        <v/>
      </c>
      <c r="F495" s="8">
        <f>QS.TRADE.CREATE("trade.493",C495,E495,A495,"Receive")</f>
        <v/>
      </c>
      <c r="G495" s="5"/>
      <c r="H495" s="7" t="s">
        <v>1031</v>
      </c>
      <c r="I495" s="9">
        <v>1049300</v>
      </c>
      <c r="J495" s="10">
        <v>0.0393</v>
      </c>
    </row>
    <row r="496" spans="1:10">
      <c r="A496" s="7" t="s">
        <v>1019</v>
      </c>
      <c r="B496" s="7" t="s">
        <v>1032</v>
      </c>
      <c r="C496" s="8">
        <f>QS.CONTEXT.CREATE("market.494",A496,"USD","SOFR")</f>
        <v/>
      </c>
      <c r="D496" s="8">
        <f>QS.CONTEXT.ADD.CURVE(C496,"SOFR",$K$2:$K$7,$L$2:$L$7,,,"Actual360","LogLinear",TRUE)</f>
        <v/>
      </c>
      <c r="E496" s="8">
        <f>QS.INSTRUMENT.SWAP("swap.494",C496,H496,B496,"USD","SOFR",I496,J496,0,"Actual360","Simple","Annual","Annual","Annual")</f>
        <v/>
      </c>
      <c r="F496" s="8">
        <f>QS.TRADE.CREATE("trade.494",C496,E496,A496,"Receive")</f>
        <v/>
      </c>
      <c r="G496" s="5"/>
      <c r="H496" s="7" t="s">
        <v>1033</v>
      </c>
      <c r="I496" s="9">
        <v>1049400</v>
      </c>
      <c r="J496" s="10">
        <v>0.0394</v>
      </c>
    </row>
    <row r="497" spans="1:10">
      <c r="A497" s="7" t="s">
        <v>1021</v>
      </c>
      <c r="B497" s="7" t="s">
        <v>1034</v>
      </c>
      <c r="C497" s="8">
        <f>QS.CONTEXT.CREATE("market.495",A497,"USD","SOFR")</f>
        <v/>
      </c>
      <c r="D497" s="8">
        <f>QS.CONTEXT.ADD.CURVE(C497,"SOFR",$K$2:$K$7,$L$2:$L$7,,,"Actual360","LogLinear",TRUE)</f>
        <v/>
      </c>
      <c r="E497" s="8">
        <f>QS.INSTRUMENT.SWAP("swap.495",C497,H497,B497,"USD","SOFR",I497,J497,0,"Actual360","Simple","Annual","Annual","Annual")</f>
        <v/>
      </c>
      <c r="F497" s="8">
        <f>QS.TRADE.CREATE("trade.495",C497,E497,A497,"Receive")</f>
        <v/>
      </c>
      <c r="G497" s="5"/>
      <c r="H497" s="7" t="s">
        <v>1035</v>
      </c>
      <c r="I497" s="9">
        <v>1049500</v>
      </c>
      <c r="J497" s="10">
        <v>0.03950000000000001</v>
      </c>
    </row>
    <row r="498" spans="1:10">
      <c r="A498" s="7" t="s">
        <v>1023</v>
      </c>
      <c r="B498" s="7" t="s">
        <v>1036</v>
      </c>
      <c r="C498" s="8">
        <f>QS.CONTEXT.CREATE("market.496",A498,"USD","SOFR")</f>
        <v/>
      </c>
      <c r="D498" s="8">
        <f>QS.CONTEXT.ADD.CURVE(C498,"SOFR",$K$2:$K$7,$L$2:$L$7,,,"Actual360","LogLinear",TRUE)</f>
        <v/>
      </c>
      <c r="E498" s="8">
        <f>QS.INSTRUMENT.SWAP("swap.496",C498,H498,B498,"USD","SOFR",I498,J498,0,"Actual360","Simple","Annual","Annual","Annual")</f>
        <v/>
      </c>
      <c r="F498" s="8">
        <f>QS.TRADE.CREATE("trade.496",C498,E498,A498,"Receive")</f>
        <v/>
      </c>
      <c r="G498" s="5"/>
      <c r="H498" s="7" t="s">
        <v>1037</v>
      </c>
      <c r="I498" s="9">
        <v>1049600</v>
      </c>
      <c r="J498" s="10">
        <v>0.0396</v>
      </c>
    </row>
    <row r="499" spans="1:10">
      <c r="A499" s="7" t="s">
        <v>1025</v>
      </c>
      <c r="B499" s="7" t="s">
        <v>1038</v>
      </c>
      <c r="C499" s="8">
        <f>QS.CONTEXT.CREATE("market.497",A499,"USD","SOFR")</f>
        <v/>
      </c>
      <c r="D499" s="8">
        <f>QS.CONTEXT.ADD.CURVE(C499,"SOFR",$K$2:$K$7,$L$2:$L$7,,,"Actual360","LogLinear",TRUE)</f>
        <v/>
      </c>
      <c r="E499" s="8">
        <f>QS.INSTRUMENT.SWAP("swap.497",C499,H499,B499,"USD","SOFR",I499,J499,0,"Actual360","Simple","Annual","Annual","Annual")</f>
        <v/>
      </c>
      <c r="F499" s="8">
        <f>QS.TRADE.CREATE("trade.497",C499,E499,A499,"Receive")</f>
        <v/>
      </c>
      <c r="G499" s="5"/>
      <c r="H499" s="7" t="s">
        <v>1039</v>
      </c>
      <c r="I499" s="9">
        <v>1049700</v>
      </c>
      <c r="J499" s="10">
        <v>0.03970000000000001</v>
      </c>
    </row>
    <row r="500" spans="1:10">
      <c r="A500" s="7" t="s">
        <v>1027</v>
      </c>
      <c r="B500" s="7" t="s">
        <v>1040</v>
      </c>
      <c r="C500" s="8">
        <f>QS.CONTEXT.CREATE("market.498",A500,"USD","SOFR")</f>
        <v/>
      </c>
      <c r="D500" s="8">
        <f>QS.CONTEXT.ADD.CURVE(C500,"SOFR",$K$2:$K$7,$L$2:$L$7,,,"Actual360","LogLinear",TRUE)</f>
        <v/>
      </c>
      <c r="E500" s="8">
        <f>QS.INSTRUMENT.SWAP("swap.498",C500,H500,B500,"USD","SOFR",I500,J500,0,"Actual360","Simple","Annual","Annual","Annual")</f>
        <v/>
      </c>
      <c r="F500" s="8">
        <f>QS.TRADE.CREATE("trade.498",C500,E500,A500,"Receive")</f>
        <v/>
      </c>
      <c r="G500" s="5"/>
      <c r="H500" s="7" t="s">
        <v>1041</v>
      </c>
      <c r="I500" s="9">
        <v>1049800</v>
      </c>
      <c r="J500" s="10">
        <v>0.0398</v>
      </c>
    </row>
    <row r="501" spans="1:10">
      <c r="A501" s="7" t="s">
        <v>1029</v>
      </c>
      <c r="B501" s="7" t="s">
        <v>1042</v>
      </c>
      <c r="C501" s="8">
        <f>QS.CONTEXT.CREATE("market.499",A501,"USD","SOFR")</f>
        <v/>
      </c>
      <c r="D501" s="8">
        <f>QS.CONTEXT.ADD.CURVE(C501,"SOFR",$K$2:$K$7,$L$2:$L$7,,,"Actual360","LogLinear",TRUE)</f>
        <v/>
      </c>
      <c r="E501" s="8">
        <f>QS.INSTRUMENT.SWAP("swap.499",C501,H501,B501,"USD","SOFR",I501,J501,0,"Actual360","Simple","Annual","Annual","Annual")</f>
        <v/>
      </c>
      <c r="F501" s="8">
        <f>QS.TRADE.CREATE("trade.499",C501,E501,A501,"Receive")</f>
        <v/>
      </c>
      <c r="G501" s="5"/>
      <c r="H501" s="7" t="s">
        <v>1043</v>
      </c>
      <c r="I501" s="9">
        <v>1049900</v>
      </c>
      <c r="J501" s="10">
        <v>0.0399</v>
      </c>
    </row>
    <row r="502" spans="1:10">
      <c r="A502" s="7" t="s">
        <v>1031</v>
      </c>
      <c r="B502" s="7" t="s">
        <v>1044</v>
      </c>
      <c r="C502" s="8">
        <f>QS.CONTEXT.CREATE("market.500",A502,"USD","SOFR")</f>
        <v/>
      </c>
      <c r="D502" s="8">
        <f>QS.CONTEXT.ADD.CURVE(C502,"SOFR",$K$2:$K$7,$L$2:$L$7,,,"Actual360","LogLinear",TRUE)</f>
        <v/>
      </c>
      <c r="E502" s="8">
        <f>QS.INSTRUMENT.SWAP("swap.500",C502,H502,B502,"USD","SOFR",I502,J502,0,"Actual360","Simple","Annual","Annual","Annual")</f>
        <v/>
      </c>
      <c r="F502" s="8">
        <f>QS.TRADE.CREATE("trade.500",C502,E502,A502,"Receive")</f>
        <v/>
      </c>
      <c r="G502" s="5"/>
      <c r="H502" s="7" t="s">
        <v>1045</v>
      </c>
      <c r="I502" s="9">
        <v>1050000</v>
      </c>
      <c r="J502" s="10">
        <v>0.035</v>
      </c>
    </row>
    <row r="503" spans="1:10">
      <c r="A503" s="7" t="s">
        <v>1033</v>
      </c>
      <c r="B503" s="7" t="s">
        <v>1046</v>
      </c>
      <c r="C503" s="8">
        <f>QS.CONTEXT.CREATE("market.501",A503,"USD","SOFR")</f>
        <v/>
      </c>
      <c r="D503" s="8">
        <f>QS.CONTEXT.ADD.CURVE(C503,"SOFR",$K$2:$K$7,$L$2:$L$7,,,"Actual360","LogLinear",TRUE)</f>
        <v/>
      </c>
      <c r="E503" s="8">
        <f>QS.INSTRUMENT.SWAP("swap.501",C503,H503,B503,"USD","SOFR",I503,J503,0,"Actual360","Simple","Annual","Annual","Annual")</f>
        <v/>
      </c>
      <c r="F503" s="8">
        <f>QS.TRADE.CREATE("trade.501",C503,E503,A503,"Receive")</f>
        <v/>
      </c>
      <c r="G503" s="5"/>
      <c r="H503" s="7" t="s">
        <v>1047</v>
      </c>
      <c r="I503" s="9">
        <v>1050100</v>
      </c>
      <c r="J503" s="10">
        <v>0.03510000000000001</v>
      </c>
    </row>
    <row r="504" spans="1:10">
      <c r="A504" s="7" t="s">
        <v>1035</v>
      </c>
      <c r="B504" s="7" t="s">
        <v>1048</v>
      </c>
      <c r="C504" s="8">
        <f>QS.CONTEXT.CREATE("market.502",A504,"USD","SOFR")</f>
        <v/>
      </c>
      <c r="D504" s="8">
        <f>QS.CONTEXT.ADD.CURVE(C504,"SOFR",$K$2:$K$7,$L$2:$L$7,,,"Actual360","LogLinear",TRUE)</f>
        <v/>
      </c>
      <c r="E504" s="8">
        <f>QS.INSTRUMENT.SWAP("swap.502",C504,H504,B504,"USD","SOFR",I504,J504,0,"Actual360","Simple","Annual","Annual","Annual")</f>
        <v/>
      </c>
      <c r="F504" s="8">
        <f>QS.TRADE.CREATE("trade.502",C504,E504,A504,"Receive")</f>
        <v/>
      </c>
      <c r="G504" s="5"/>
      <c r="H504" s="7" t="s">
        <v>1049</v>
      </c>
      <c r="I504" s="9">
        <v>1050200</v>
      </c>
      <c r="J504" s="10">
        <v>0.0352</v>
      </c>
    </row>
    <row r="505" spans="1:10">
      <c r="A505" s="7" t="s">
        <v>1037</v>
      </c>
      <c r="B505" s="7" t="s">
        <v>1050</v>
      </c>
      <c r="C505" s="8">
        <f>QS.CONTEXT.CREATE("market.503",A505,"USD","SOFR")</f>
        <v/>
      </c>
      <c r="D505" s="8">
        <f>QS.CONTEXT.ADD.CURVE(C505,"SOFR",$K$2:$K$7,$L$2:$L$7,,,"Actual360","LogLinear",TRUE)</f>
        <v/>
      </c>
      <c r="E505" s="8">
        <f>QS.INSTRUMENT.SWAP("swap.503",C505,H505,B505,"USD","SOFR",I505,J505,0,"Actual360","Simple","Annual","Annual","Annual")</f>
        <v/>
      </c>
      <c r="F505" s="8">
        <f>QS.TRADE.CREATE("trade.503",C505,E505,A505,"Receive")</f>
        <v/>
      </c>
      <c r="G505" s="5"/>
      <c r="H505" s="7" t="s">
        <v>1051</v>
      </c>
      <c r="I505" s="9">
        <v>1050300</v>
      </c>
      <c r="J505" s="10">
        <v>0.0353</v>
      </c>
    </row>
    <row r="506" spans="1:10">
      <c r="A506" s="7" t="s">
        <v>1039</v>
      </c>
      <c r="B506" s="7" t="s">
        <v>1052</v>
      </c>
      <c r="C506" s="8">
        <f>QS.CONTEXT.CREATE("market.504",A506,"USD","SOFR")</f>
        <v/>
      </c>
      <c r="D506" s="8">
        <f>QS.CONTEXT.ADD.CURVE(C506,"SOFR",$K$2:$K$7,$L$2:$L$7,,,"Actual360","LogLinear",TRUE)</f>
        <v/>
      </c>
      <c r="E506" s="8">
        <f>QS.INSTRUMENT.SWAP("swap.504",C506,H506,B506,"USD","SOFR",I506,J506,0,"Actual360","Simple","Annual","Annual","Annual")</f>
        <v/>
      </c>
      <c r="F506" s="8">
        <f>QS.TRADE.CREATE("trade.504",C506,E506,A506,"Receive")</f>
        <v/>
      </c>
      <c r="G506" s="5"/>
      <c r="H506" s="7" t="s">
        <v>1053</v>
      </c>
      <c r="I506" s="9">
        <v>1050400</v>
      </c>
      <c r="J506" s="10">
        <v>0.0354</v>
      </c>
    </row>
    <row r="507" spans="1:10">
      <c r="A507" s="7" t="s">
        <v>1041</v>
      </c>
      <c r="B507" s="7" t="s">
        <v>1054</v>
      </c>
      <c r="C507" s="8">
        <f>QS.CONTEXT.CREATE("market.505",A507,"USD","SOFR")</f>
        <v/>
      </c>
      <c r="D507" s="8">
        <f>QS.CONTEXT.ADD.CURVE(C507,"SOFR",$K$2:$K$7,$L$2:$L$7,,,"Actual360","LogLinear",TRUE)</f>
        <v/>
      </c>
      <c r="E507" s="8">
        <f>QS.INSTRUMENT.SWAP("swap.505",C507,H507,B507,"USD","SOFR",I507,J507,0,"Actual360","Simple","Annual","Annual","Annual")</f>
        <v/>
      </c>
      <c r="F507" s="8">
        <f>QS.TRADE.CREATE("trade.505",C507,E507,A507,"Receive")</f>
        <v/>
      </c>
      <c r="G507" s="5"/>
      <c r="H507" s="7" t="s">
        <v>1055</v>
      </c>
      <c r="I507" s="9">
        <v>1050500</v>
      </c>
      <c r="J507" s="10">
        <v>0.0355</v>
      </c>
    </row>
    <row r="508" spans="1:10">
      <c r="A508" s="7" t="s">
        <v>1043</v>
      </c>
      <c r="B508" s="7" t="s">
        <v>1056</v>
      </c>
      <c r="C508" s="8">
        <f>QS.CONTEXT.CREATE("market.506",A508,"USD","SOFR")</f>
        <v/>
      </c>
      <c r="D508" s="8">
        <f>QS.CONTEXT.ADD.CURVE(C508,"SOFR",$K$2:$K$7,$L$2:$L$7,,,"Actual360","LogLinear",TRUE)</f>
        <v/>
      </c>
      <c r="E508" s="8">
        <f>QS.INSTRUMENT.SWAP("swap.506",C508,H508,B508,"USD","SOFR",I508,J508,0,"Actual360","Simple","Annual","Annual","Annual")</f>
        <v/>
      </c>
      <c r="F508" s="8">
        <f>QS.TRADE.CREATE("trade.506",C508,E508,A508,"Receive")</f>
        <v/>
      </c>
      <c r="G508" s="5"/>
      <c r="H508" s="7" t="s">
        <v>1057</v>
      </c>
      <c r="I508" s="9">
        <v>1050600</v>
      </c>
      <c r="J508" s="10">
        <v>0.03560000000000001</v>
      </c>
    </row>
    <row r="509" spans="1:10">
      <c r="A509" s="7" t="s">
        <v>1045</v>
      </c>
      <c r="B509" s="7" t="s">
        <v>1058</v>
      </c>
      <c r="C509" s="8">
        <f>QS.CONTEXT.CREATE("market.507",A509,"USD","SOFR")</f>
        <v/>
      </c>
      <c r="D509" s="8">
        <f>QS.CONTEXT.ADD.CURVE(C509,"SOFR",$K$2:$K$7,$L$2:$L$7,,,"Actual360","LogLinear",TRUE)</f>
        <v/>
      </c>
      <c r="E509" s="8">
        <f>QS.INSTRUMENT.SWAP("swap.507",C509,H509,B509,"USD","SOFR",I509,J509,0,"Actual360","Simple","Annual","Annual","Annual")</f>
        <v/>
      </c>
      <c r="F509" s="8">
        <f>QS.TRADE.CREATE("trade.507",C509,E509,A509,"Receive")</f>
        <v/>
      </c>
      <c r="G509" s="5"/>
      <c r="H509" s="7" t="s">
        <v>1059</v>
      </c>
      <c r="I509" s="9">
        <v>1050700</v>
      </c>
      <c r="J509" s="10">
        <v>0.0357</v>
      </c>
    </row>
    <row r="510" spans="1:10">
      <c r="A510" s="7" t="s">
        <v>1047</v>
      </c>
      <c r="B510" s="7" t="s">
        <v>1060</v>
      </c>
      <c r="C510" s="8">
        <f>QS.CONTEXT.CREATE("market.508",A510,"USD","SOFR")</f>
        <v/>
      </c>
      <c r="D510" s="8">
        <f>QS.CONTEXT.ADD.CURVE(C510,"SOFR",$K$2:$K$7,$L$2:$L$7,,,"Actual360","LogLinear",TRUE)</f>
        <v/>
      </c>
      <c r="E510" s="8">
        <f>QS.INSTRUMENT.SWAP("swap.508",C510,H510,B510,"USD","SOFR",I510,J510,0,"Actual360","Simple","Annual","Annual","Annual")</f>
        <v/>
      </c>
      <c r="F510" s="8">
        <f>QS.TRADE.CREATE("trade.508",C510,E510,A510,"Receive")</f>
        <v/>
      </c>
      <c r="G510" s="5"/>
      <c r="H510" s="7" t="s">
        <v>1061</v>
      </c>
      <c r="I510" s="9">
        <v>1050800</v>
      </c>
      <c r="J510" s="10">
        <v>0.03580000000000001</v>
      </c>
    </row>
    <row r="511" spans="1:10">
      <c r="A511" s="7" t="s">
        <v>1049</v>
      </c>
      <c r="B511" s="7" t="s">
        <v>1062</v>
      </c>
      <c r="C511" s="8">
        <f>QS.CONTEXT.CREATE("market.509",A511,"USD","SOFR")</f>
        <v/>
      </c>
      <c r="D511" s="8">
        <f>QS.CONTEXT.ADD.CURVE(C511,"SOFR",$K$2:$K$7,$L$2:$L$7,,,"Actual360","LogLinear",TRUE)</f>
        <v/>
      </c>
      <c r="E511" s="8">
        <f>QS.INSTRUMENT.SWAP("swap.509",C511,H511,B511,"USD","SOFR",I511,J511,0,"Actual360","Simple","Annual","Annual","Annual")</f>
        <v/>
      </c>
      <c r="F511" s="8">
        <f>QS.TRADE.CREATE("trade.509",C511,E511,A511,"Receive")</f>
        <v/>
      </c>
      <c r="G511" s="5"/>
      <c r="H511" s="7" t="s">
        <v>1063</v>
      </c>
      <c r="I511" s="9">
        <v>1050900</v>
      </c>
      <c r="J511" s="10">
        <v>0.0359</v>
      </c>
    </row>
    <row r="512" spans="1:10">
      <c r="A512" s="7" t="s">
        <v>1051</v>
      </c>
      <c r="B512" s="7" t="s">
        <v>1064</v>
      </c>
      <c r="C512" s="8">
        <f>QS.CONTEXT.CREATE("market.510",A512,"USD","SOFR")</f>
        <v/>
      </c>
      <c r="D512" s="8">
        <f>QS.CONTEXT.ADD.CURVE(C512,"SOFR",$K$2:$K$7,$L$2:$L$7,,,"Actual360","LogLinear",TRUE)</f>
        <v/>
      </c>
      <c r="E512" s="8">
        <f>QS.INSTRUMENT.SWAP("swap.510",C512,H512,B512,"USD","SOFR",I512,J512,0,"Actual360","Simple","Annual","Annual","Annual")</f>
        <v/>
      </c>
      <c r="F512" s="8">
        <f>QS.TRADE.CREATE("trade.510",C512,E512,A512,"Receive")</f>
        <v/>
      </c>
      <c r="G512" s="5"/>
      <c r="H512" s="7" t="s">
        <v>1065</v>
      </c>
      <c r="I512" s="9">
        <v>1051000</v>
      </c>
      <c r="J512" s="10">
        <v>0.036</v>
      </c>
    </row>
    <row r="513" spans="1:10">
      <c r="A513" s="7" t="s">
        <v>1053</v>
      </c>
      <c r="B513" s="7" t="s">
        <v>1066</v>
      </c>
      <c r="C513" s="8">
        <f>QS.CONTEXT.CREATE("market.511",A513,"USD","SOFR")</f>
        <v/>
      </c>
      <c r="D513" s="8">
        <f>QS.CONTEXT.ADD.CURVE(C513,"SOFR",$K$2:$K$7,$L$2:$L$7,,,"Actual360","LogLinear",TRUE)</f>
        <v/>
      </c>
      <c r="E513" s="8">
        <f>QS.INSTRUMENT.SWAP("swap.511",C513,H513,B513,"USD","SOFR",I513,J513,0,"Actual360","Simple","Annual","Annual","Annual")</f>
        <v/>
      </c>
      <c r="F513" s="8">
        <f>QS.TRADE.CREATE("trade.511",C513,E513,A513,"Receive")</f>
        <v/>
      </c>
      <c r="G513" s="5"/>
      <c r="H513" s="7" t="s">
        <v>1067</v>
      </c>
      <c r="I513" s="9">
        <v>1051100</v>
      </c>
      <c r="J513" s="10">
        <v>0.0361</v>
      </c>
    </row>
    <row r="514" spans="1:10">
      <c r="A514" s="7" t="s">
        <v>1055</v>
      </c>
      <c r="B514" s="7" t="s">
        <v>1068</v>
      </c>
      <c r="C514" s="8">
        <f>QS.CONTEXT.CREATE("market.512",A514,"USD","SOFR")</f>
        <v/>
      </c>
      <c r="D514" s="8">
        <f>QS.CONTEXT.ADD.CURVE(C514,"SOFR",$K$2:$K$7,$L$2:$L$7,,,"Actual360","LogLinear",TRUE)</f>
        <v/>
      </c>
      <c r="E514" s="8">
        <f>QS.INSTRUMENT.SWAP("swap.512",C514,H514,B514,"USD","SOFR",I514,J514,0,"Actual360","Simple","Annual","Annual","Annual")</f>
        <v/>
      </c>
      <c r="F514" s="8">
        <f>QS.TRADE.CREATE("trade.512",C514,E514,A514,"Receive")</f>
        <v/>
      </c>
      <c r="G514" s="5"/>
      <c r="H514" s="7" t="s">
        <v>1069</v>
      </c>
      <c r="I514" s="9">
        <v>1051200</v>
      </c>
      <c r="J514" s="10">
        <v>0.0362</v>
      </c>
    </row>
    <row r="515" spans="1:10">
      <c r="A515" s="7" t="s">
        <v>1057</v>
      </c>
      <c r="B515" s="7" t="s">
        <v>1070</v>
      </c>
      <c r="C515" s="8">
        <f>QS.CONTEXT.CREATE("market.513",A515,"USD","SOFR")</f>
        <v/>
      </c>
      <c r="D515" s="8">
        <f>QS.CONTEXT.ADD.CURVE(C515,"SOFR",$K$2:$K$7,$L$2:$L$7,,,"Actual360","LogLinear",TRUE)</f>
        <v/>
      </c>
      <c r="E515" s="8">
        <f>QS.INSTRUMENT.SWAP("swap.513",C515,H515,B515,"USD","SOFR",I515,J515,0,"Actual360","Simple","Annual","Annual","Annual")</f>
        <v/>
      </c>
      <c r="F515" s="8">
        <f>QS.TRADE.CREATE("trade.513",C515,E515,A515,"Receive")</f>
        <v/>
      </c>
      <c r="G515" s="5"/>
      <c r="H515" s="7" t="s">
        <v>1071</v>
      </c>
      <c r="I515" s="9">
        <v>1051300</v>
      </c>
      <c r="J515" s="10">
        <v>0.03630000000000001</v>
      </c>
    </row>
    <row r="516" spans="1:10">
      <c r="A516" s="7" t="s">
        <v>1059</v>
      </c>
      <c r="B516" s="7" t="s">
        <v>1072</v>
      </c>
      <c r="C516" s="8">
        <f>QS.CONTEXT.CREATE("market.514",A516,"USD","SOFR")</f>
        <v/>
      </c>
      <c r="D516" s="8">
        <f>QS.CONTEXT.ADD.CURVE(C516,"SOFR",$K$2:$K$7,$L$2:$L$7,,,"Actual360","LogLinear",TRUE)</f>
        <v/>
      </c>
      <c r="E516" s="8">
        <f>QS.INSTRUMENT.SWAP("swap.514",C516,H516,B516,"USD","SOFR",I516,J516,0,"Actual360","Simple","Annual","Annual","Annual")</f>
        <v/>
      </c>
      <c r="F516" s="8">
        <f>QS.TRADE.CREATE("trade.514",C516,E516,A516,"Receive")</f>
        <v/>
      </c>
      <c r="G516" s="5"/>
      <c r="H516" s="7" t="s">
        <v>1073</v>
      </c>
      <c r="I516" s="9">
        <v>1051400</v>
      </c>
      <c r="J516" s="10">
        <v>0.0364</v>
      </c>
    </row>
    <row r="517" spans="1:10">
      <c r="A517" s="7" t="s">
        <v>1061</v>
      </c>
      <c r="B517" s="7" t="s">
        <v>1074</v>
      </c>
      <c r="C517" s="8">
        <f>QS.CONTEXT.CREATE("market.515",A517,"USD","SOFR")</f>
        <v/>
      </c>
      <c r="D517" s="8">
        <f>QS.CONTEXT.ADD.CURVE(C517,"SOFR",$K$2:$K$7,$L$2:$L$7,,,"Actual360","LogLinear",TRUE)</f>
        <v/>
      </c>
      <c r="E517" s="8">
        <f>QS.INSTRUMENT.SWAP("swap.515",C517,H517,B517,"USD","SOFR",I517,J517,0,"Actual360","Simple","Annual","Annual","Annual")</f>
        <v/>
      </c>
      <c r="F517" s="8">
        <f>QS.TRADE.CREATE("trade.515",C517,E517,A517,"Receive")</f>
        <v/>
      </c>
      <c r="G517" s="5"/>
      <c r="H517" s="7" t="s">
        <v>1075</v>
      </c>
      <c r="I517" s="9">
        <v>1051500</v>
      </c>
      <c r="J517" s="10">
        <v>0.0365</v>
      </c>
    </row>
    <row r="518" spans="1:10">
      <c r="A518" s="7" t="s">
        <v>1063</v>
      </c>
      <c r="B518" s="7" t="s">
        <v>1076</v>
      </c>
      <c r="C518" s="8">
        <f>QS.CONTEXT.CREATE("market.516",A518,"USD","SOFR")</f>
        <v/>
      </c>
      <c r="D518" s="8">
        <f>QS.CONTEXT.ADD.CURVE(C518,"SOFR",$K$2:$K$7,$L$2:$L$7,,,"Actual360","LogLinear",TRUE)</f>
        <v/>
      </c>
      <c r="E518" s="8">
        <f>QS.INSTRUMENT.SWAP("swap.516",C518,H518,B518,"USD","SOFR",I518,J518,0,"Actual360","Simple","Annual","Annual","Annual")</f>
        <v/>
      </c>
      <c r="F518" s="8">
        <f>QS.TRADE.CREATE("trade.516",C518,E518,A518,"Receive")</f>
        <v/>
      </c>
      <c r="G518" s="5"/>
      <c r="H518" s="7" t="s">
        <v>1077</v>
      </c>
      <c r="I518" s="9">
        <v>1051600</v>
      </c>
      <c r="J518" s="10">
        <v>0.0366</v>
      </c>
    </row>
    <row r="519" spans="1:10">
      <c r="A519" s="7" t="s">
        <v>1065</v>
      </c>
      <c r="B519" s="7" t="s">
        <v>1078</v>
      </c>
      <c r="C519" s="8">
        <f>QS.CONTEXT.CREATE("market.517",A519,"USD","SOFR")</f>
        <v/>
      </c>
      <c r="D519" s="8">
        <f>QS.CONTEXT.ADD.CURVE(C519,"SOFR",$K$2:$K$7,$L$2:$L$7,,,"Actual360","LogLinear",TRUE)</f>
        <v/>
      </c>
      <c r="E519" s="8">
        <f>QS.INSTRUMENT.SWAP("swap.517",C519,H519,B519,"USD","SOFR",I519,J519,0,"Actual360","Simple","Annual","Annual","Annual")</f>
        <v/>
      </c>
      <c r="F519" s="8">
        <f>QS.TRADE.CREATE("trade.517",C519,E519,A519,"Receive")</f>
        <v/>
      </c>
      <c r="G519" s="5"/>
      <c r="H519" s="7" t="s">
        <v>1079</v>
      </c>
      <c r="I519" s="9">
        <v>1051700</v>
      </c>
      <c r="J519" s="10">
        <v>0.0367</v>
      </c>
    </row>
    <row r="520" spans="1:10">
      <c r="A520" s="7" t="s">
        <v>1067</v>
      </c>
      <c r="B520" s="7" t="s">
        <v>1080</v>
      </c>
      <c r="C520" s="8">
        <f>QS.CONTEXT.CREATE("market.518",A520,"USD","SOFR")</f>
        <v/>
      </c>
      <c r="D520" s="8">
        <f>QS.CONTEXT.ADD.CURVE(C520,"SOFR",$K$2:$K$7,$L$2:$L$7,,,"Actual360","LogLinear",TRUE)</f>
        <v/>
      </c>
      <c r="E520" s="8">
        <f>QS.INSTRUMENT.SWAP("swap.518",C520,H520,B520,"USD","SOFR",I520,J520,0,"Actual360","Simple","Annual","Annual","Annual")</f>
        <v/>
      </c>
      <c r="F520" s="8">
        <f>QS.TRADE.CREATE("trade.518",C520,E520,A520,"Receive")</f>
        <v/>
      </c>
      <c r="G520" s="5"/>
      <c r="H520" s="7" t="s">
        <v>1081</v>
      </c>
      <c r="I520" s="9">
        <v>1051800</v>
      </c>
      <c r="J520" s="10">
        <v>0.03680000000000001</v>
      </c>
    </row>
    <row r="521" spans="1:10">
      <c r="A521" s="7" t="s">
        <v>1069</v>
      </c>
      <c r="B521" s="7" t="s">
        <v>1082</v>
      </c>
      <c r="C521" s="8">
        <f>QS.CONTEXT.CREATE("market.519",A521,"USD","SOFR")</f>
        <v/>
      </c>
      <c r="D521" s="8">
        <f>QS.CONTEXT.ADD.CURVE(C521,"SOFR",$K$2:$K$7,$L$2:$L$7,,,"Actual360","LogLinear",TRUE)</f>
        <v/>
      </c>
      <c r="E521" s="8">
        <f>QS.INSTRUMENT.SWAP("swap.519",C521,H521,B521,"USD","SOFR",I521,J521,0,"Actual360","Simple","Annual","Annual","Annual")</f>
        <v/>
      </c>
      <c r="F521" s="8">
        <f>QS.TRADE.CREATE("trade.519",C521,E521,A521,"Receive")</f>
        <v/>
      </c>
      <c r="G521" s="5"/>
      <c r="H521" s="7" t="s">
        <v>1083</v>
      </c>
      <c r="I521" s="9">
        <v>1051900</v>
      </c>
      <c r="J521" s="10">
        <v>0.0369</v>
      </c>
    </row>
    <row r="522" spans="1:10">
      <c r="A522" s="7" t="s">
        <v>1071</v>
      </c>
      <c r="B522" s="7" t="s">
        <v>1084</v>
      </c>
      <c r="C522" s="8">
        <f>QS.CONTEXT.CREATE("market.520",A522,"USD","SOFR")</f>
        <v/>
      </c>
      <c r="D522" s="8">
        <f>QS.CONTEXT.ADD.CURVE(C522,"SOFR",$K$2:$K$7,$L$2:$L$7,,,"Actual360","LogLinear",TRUE)</f>
        <v/>
      </c>
      <c r="E522" s="8">
        <f>QS.INSTRUMENT.SWAP("swap.520",C522,H522,B522,"USD","SOFR",I522,J522,0,"Actual360","Simple","Annual","Annual","Annual")</f>
        <v/>
      </c>
      <c r="F522" s="8">
        <f>QS.TRADE.CREATE("trade.520",C522,E522,A522,"Receive")</f>
        <v/>
      </c>
      <c r="G522" s="5"/>
      <c r="H522" s="7" t="s">
        <v>1085</v>
      </c>
      <c r="I522" s="9">
        <v>1052000</v>
      </c>
      <c r="J522" s="10">
        <v>0.03700000000000001</v>
      </c>
    </row>
    <row r="523" spans="1:10">
      <c r="A523" s="7" t="s">
        <v>1073</v>
      </c>
      <c r="B523" s="7" t="s">
        <v>1086</v>
      </c>
      <c r="C523" s="8">
        <f>QS.CONTEXT.CREATE("market.521",A523,"USD","SOFR")</f>
        <v/>
      </c>
      <c r="D523" s="8">
        <f>QS.CONTEXT.ADD.CURVE(C523,"SOFR",$K$2:$K$7,$L$2:$L$7,,,"Actual360","LogLinear",TRUE)</f>
        <v/>
      </c>
      <c r="E523" s="8">
        <f>QS.INSTRUMENT.SWAP("swap.521",C523,H523,B523,"USD","SOFR",I523,J523,0,"Actual360","Simple","Annual","Annual","Annual")</f>
        <v/>
      </c>
      <c r="F523" s="8">
        <f>QS.TRADE.CREATE("trade.521",C523,E523,A523,"Receive")</f>
        <v/>
      </c>
      <c r="G523" s="5"/>
      <c r="H523" s="7" t="s">
        <v>1087</v>
      </c>
      <c r="I523" s="9">
        <v>1052100</v>
      </c>
      <c r="J523" s="10">
        <v>0.0371</v>
      </c>
    </row>
    <row r="524" spans="1:10">
      <c r="A524" s="7" t="s">
        <v>1075</v>
      </c>
      <c r="B524" s="7" t="s">
        <v>1088</v>
      </c>
      <c r="C524" s="8">
        <f>QS.CONTEXT.CREATE("market.522",A524,"USD","SOFR")</f>
        <v/>
      </c>
      <c r="D524" s="8">
        <f>QS.CONTEXT.ADD.CURVE(C524,"SOFR",$K$2:$K$7,$L$2:$L$7,,,"Actual360","LogLinear",TRUE)</f>
        <v/>
      </c>
      <c r="E524" s="8">
        <f>QS.INSTRUMENT.SWAP("swap.522",C524,H524,B524,"USD","SOFR",I524,J524,0,"Actual360","Simple","Annual","Annual","Annual")</f>
        <v/>
      </c>
      <c r="F524" s="8">
        <f>QS.TRADE.CREATE("trade.522",C524,E524,A524,"Receive")</f>
        <v/>
      </c>
      <c r="G524" s="5"/>
      <c r="H524" s="7" t="s">
        <v>1089</v>
      </c>
      <c r="I524" s="9">
        <v>1052200</v>
      </c>
      <c r="J524" s="10">
        <v>0.0372</v>
      </c>
    </row>
    <row r="525" spans="1:10">
      <c r="A525" s="7" t="s">
        <v>1077</v>
      </c>
      <c r="B525" s="7" t="s">
        <v>1090</v>
      </c>
      <c r="C525" s="8">
        <f>QS.CONTEXT.CREATE("market.523",A525,"USD","SOFR")</f>
        <v/>
      </c>
      <c r="D525" s="8">
        <f>QS.CONTEXT.ADD.CURVE(C525,"SOFR",$K$2:$K$7,$L$2:$L$7,,,"Actual360","LogLinear",TRUE)</f>
        <v/>
      </c>
      <c r="E525" s="8">
        <f>QS.INSTRUMENT.SWAP("swap.523",C525,H525,B525,"USD","SOFR",I525,J525,0,"Actual360","Simple","Annual","Annual","Annual")</f>
        <v/>
      </c>
      <c r="F525" s="8">
        <f>QS.TRADE.CREATE("trade.523",C525,E525,A525,"Receive")</f>
        <v/>
      </c>
      <c r="G525" s="5"/>
      <c r="H525" s="7" t="s">
        <v>1091</v>
      </c>
      <c r="I525" s="9">
        <v>1052300</v>
      </c>
      <c r="J525" s="10">
        <v>0.0373</v>
      </c>
    </row>
    <row r="526" spans="1:10">
      <c r="A526" s="7" t="s">
        <v>1079</v>
      </c>
      <c r="B526" s="7" t="s">
        <v>1092</v>
      </c>
      <c r="C526" s="8">
        <f>QS.CONTEXT.CREATE("market.524",A526,"USD","SOFR")</f>
        <v/>
      </c>
      <c r="D526" s="8">
        <f>QS.CONTEXT.ADD.CURVE(C526,"SOFR",$K$2:$K$7,$L$2:$L$7,,,"Actual360","LogLinear",TRUE)</f>
        <v/>
      </c>
      <c r="E526" s="8">
        <f>QS.INSTRUMENT.SWAP("swap.524",C526,H526,B526,"USD","SOFR",I526,J526,0,"Actual360","Simple","Annual","Annual","Annual")</f>
        <v/>
      </c>
      <c r="F526" s="8">
        <f>QS.TRADE.CREATE("trade.524",C526,E526,A526,"Receive")</f>
        <v/>
      </c>
      <c r="G526" s="5"/>
      <c r="H526" s="7" t="s">
        <v>1093</v>
      </c>
      <c r="I526" s="9">
        <v>1052400</v>
      </c>
      <c r="J526" s="10">
        <v>0.0374</v>
      </c>
    </row>
    <row r="527" spans="1:10">
      <c r="A527" s="7" t="s">
        <v>1081</v>
      </c>
      <c r="B527" s="7" t="s">
        <v>1094</v>
      </c>
      <c r="C527" s="8">
        <f>QS.CONTEXT.CREATE("market.525",A527,"USD","SOFR")</f>
        <v/>
      </c>
      <c r="D527" s="8">
        <f>QS.CONTEXT.ADD.CURVE(C527,"SOFR",$K$2:$K$7,$L$2:$L$7,,,"Actual360","LogLinear",TRUE)</f>
        <v/>
      </c>
      <c r="E527" s="8">
        <f>QS.INSTRUMENT.SWAP("swap.525",C527,H527,B527,"USD","SOFR",I527,J527,0,"Actual360","Simple","Annual","Annual","Annual")</f>
        <v/>
      </c>
      <c r="F527" s="8">
        <f>QS.TRADE.CREATE("trade.525",C527,E527,A527,"Receive")</f>
        <v/>
      </c>
      <c r="G527" s="5"/>
      <c r="H527" s="7" t="s">
        <v>1095</v>
      </c>
      <c r="I527" s="9">
        <v>1052500</v>
      </c>
      <c r="J527" s="10">
        <v>0.03750000000000001</v>
      </c>
    </row>
    <row r="528" spans="1:10">
      <c r="A528" s="7" t="s">
        <v>1083</v>
      </c>
      <c r="B528" s="7" t="s">
        <v>1096</v>
      </c>
      <c r="C528" s="8">
        <f>QS.CONTEXT.CREATE("market.526",A528,"USD","SOFR")</f>
        <v/>
      </c>
      <c r="D528" s="8">
        <f>QS.CONTEXT.ADD.CURVE(C528,"SOFR",$K$2:$K$7,$L$2:$L$7,,,"Actual360","LogLinear",TRUE)</f>
        <v/>
      </c>
      <c r="E528" s="8">
        <f>QS.INSTRUMENT.SWAP("swap.526",C528,H528,B528,"USD","SOFR",I528,J528,0,"Actual360","Simple","Annual","Annual","Annual")</f>
        <v/>
      </c>
      <c r="F528" s="8">
        <f>QS.TRADE.CREATE("trade.526",C528,E528,A528,"Receive")</f>
        <v/>
      </c>
      <c r="G528" s="5"/>
      <c r="H528" s="7" t="s">
        <v>1097</v>
      </c>
      <c r="I528" s="9">
        <v>1052600</v>
      </c>
      <c r="J528" s="10">
        <v>0.0376</v>
      </c>
    </row>
    <row r="529" spans="1:10">
      <c r="A529" s="7" t="s">
        <v>1085</v>
      </c>
      <c r="B529" s="7" t="s">
        <v>1098</v>
      </c>
      <c r="C529" s="8">
        <f>QS.CONTEXT.CREATE("market.527",A529,"USD","SOFR")</f>
        <v/>
      </c>
      <c r="D529" s="8">
        <f>QS.CONTEXT.ADD.CURVE(C529,"SOFR",$K$2:$K$7,$L$2:$L$7,,,"Actual360","LogLinear",TRUE)</f>
        <v/>
      </c>
      <c r="E529" s="8">
        <f>QS.INSTRUMENT.SWAP("swap.527",C529,H529,B529,"USD","SOFR",I529,J529,0,"Actual360","Simple","Annual","Annual","Annual")</f>
        <v/>
      </c>
      <c r="F529" s="8">
        <f>QS.TRADE.CREATE("trade.527",C529,E529,A529,"Receive")</f>
        <v/>
      </c>
      <c r="G529" s="5"/>
      <c r="H529" s="7" t="s">
        <v>1099</v>
      </c>
      <c r="I529" s="9">
        <v>1052700</v>
      </c>
      <c r="J529" s="10">
        <v>0.0377</v>
      </c>
    </row>
    <row r="530" spans="1:10">
      <c r="A530" s="7" t="s">
        <v>1087</v>
      </c>
      <c r="B530" s="7" t="s">
        <v>1100</v>
      </c>
      <c r="C530" s="8">
        <f>QS.CONTEXT.CREATE("market.528",A530,"USD","SOFR")</f>
        <v/>
      </c>
      <c r="D530" s="8">
        <f>QS.CONTEXT.ADD.CURVE(C530,"SOFR",$K$2:$K$7,$L$2:$L$7,,,"Actual360","LogLinear",TRUE)</f>
        <v/>
      </c>
      <c r="E530" s="8">
        <f>QS.INSTRUMENT.SWAP("swap.528",C530,H530,B530,"USD","SOFR",I530,J530,0,"Actual360","Simple","Annual","Annual","Annual")</f>
        <v/>
      </c>
      <c r="F530" s="8">
        <f>QS.TRADE.CREATE("trade.528",C530,E530,A530,"Receive")</f>
        <v/>
      </c>
      <c r="G530" s="5"/>
      <c r="H530" s="7" t="s">
        <v>1101</v>
      </c>
      <c r="I530" s="9">
        <v>1052800</v>
      </c>
      <c r="J530" s="10">
        <v>0.0378</v>
      </c>
    </row>
    <row r="531" spans="1:10">
      <c r="A531" s="7" t="s">
        <v>1089</v>
      </c>
      <c r="B531" s="7" t="s">
        <v>1102</v>
      </c>
      <c r="C531" s="8">
        <f>QS.CONTEXT.CREATE("market.529",A531,"USD","SOFR")</f>
        <v/>
      </c>
      <c r="D531" s="8">
        <f>QS.CONTEXT.ADD.CURVE(C531,"SOFR",$K$2:$K$7,$L$2:$L$7,,,"Actual360","LogLinear",TRUE)</f>
        <v/>
      </c>
      <c r="E531" s="8">
        <f>QS.INSTRUMENT.SWAP("swap.529",C531,H531,B531,"USD","SOFR",I531,J531,0,"Actual360","Simple","Annual","Annual","Annual")</f>
        <v/>
      </c>
      <c r="F531" s="8">
        <f>QS.TRADE.CREATE("trade.529",C531,E531,A531,"Receive")</f>
        <v/>
      </c>
      <c r="G531" s="5"/>
      <c r="H531" s="7" t="s">
        <v>1103</v>
      </c>
      <c r="I531" s="9">
        <v>1052900</v>
      </c>
      <c r="J531" s="10">
        <v>0.0379</v>
      </c>
    </row>
    <row r="532" spans="1:10">
      <c r="A532" s="7" t="s">
        <v>1091</v>
      </c>
      <c r="B532" s="7" t="s">
        <v>1104</v>
      </c>
      <c r="C532" s="8">
        <f>QS.CONTEXT.CREATE("market.530",A532,"USD","SOFR")</f>
        <v/>
      </c>
      <c r="D532" s="8">
        <f>QS.CONTEXT.ADD.CURVE(C532,"SOFR",$K$2:$K$7,$L$2:$L$7,,,"Actual360","LogLinear",TRUE)</f>
        <v/>
      </c>
      <c r="E532" s="8">
        <f>QS.INSTRUMENT.SWAP("swap.530",C532,H532,B532,"USD","SOFR",I532,J532,0,"Actual360","Simple","Annual","Annual","Annual")</f>
        <v/>
      </c>
      <c r="F532" s="8">
        <f>QS.TRADE.CREATE("trade.530",C532,E532,A532,"Receive")</f>
        <v/>
      </c>
      <c r="G532" s="5"/>
      <c r="H532" s="7" t="s">
        <v>1105</v>
      </c>
      <c r="I532" s="9">
        <v>1053000</v>
      </c>
      <c r="J532" s="10">
        <v>0.03800000000000001</v>
      </c>
    </row>
    <row r="533" spans="1:10">
      <c r="A533" s="7" t="s">
        <v>1093</v>
      </c>
      <c r="B533" s="7" t="s">
        <v>1106</v>
      </c>
      <c r="C533" s="8">
        <f>QS.CONTEXT.CREATE("market.531",A533,"USD","SOFR")</f>
        <v/>
      </c>
      <c r="D533" s="8">
        <f>QS.CONTEXT.ADD.CURVE(C533,"SOFR",$K$2:$K$7,$L$2:$L$7,,,"Actual360","LogLinear",TRUE)</f>
        <v/>
      </c>
      <c r="E533" s="8">
        <f>QS.INSTRUMENT.SWAP("swap.531",C533,H533,B533,"USD","SOFR",I533,J533,0,"Actual360","Simple","Annual","Annual","Annual")</f>
        <v/>
      </c>
      <c r="F533" s="8">
        <f>QS.TRADE.CREATE("trade.531",C533,E533,A533,"Receive")</f>
        <v/>
      </c>
      <c r="G533" s="5"/>
      <c r="H533" s="7" t="s">
        <v>1107</v>
      </c>
      <c r="I533" s="9">
        <v>1053100</v>
      </c>
      <c r="J533" s="10">
        <v>0.0381</v>
      </c>
    </row>
    <row r="534" spans="1:10">
      <c r="A534" s="7" t="s">
        <v>1095</v>
      </c>
      <c r="B534" s="7" t="s">
        <v>1108</v>
      </c>
      <c r="C534" s="8">
        <f>QS.CONTEXT.CREATE("market.532",A534,"USD","SOFR")</f>
        <v/>
      </c>
      <c r="D534" s="8">
        <f>QS.CONTEXT.ADD.CURVE(C534,"SOFR",$K$2:$K$7,$L$2:$L$7,,,"Actual360","LogLinear",TRUE)</f>
        <v/>
      </c>
      <c r="E534" s="8">
        <f>QS.INSTRUMENT.SWAP("swap.532",C534,H534,B534,"USD","SOFR",I534,J534,0,"Actual360","Simple","Annual","Annual","Annual")</f>
        <v/>
      </c>
      <c r="F534" s="8">
        <f>QS.TRADE.CREATE("trade.532",C534,E534,A534,"Receive")</f>
        <v/>
      </c>
      <c r="G534" s="5"/>
      <c r="H534" s="7" t="s">
        <v>1109</v>
      </c>
      <c r="I534" s="9">
        <v>1053200</v>
      </c>
      <c r="J534" s="10">
        <v>0.0382</v>
      </c>
    </row>
    <row r="535" spans="1:10">
      <c r="A535" s="7" t="s">
        <v>1097</v>
      </c>
      <c r="B535" s="7" t="s">
        <v>1110</v>
      </c>
      <c r="C535" s="8">
        <f>QS.CONTEXT.CREATE("market.533",A535,"USD","SOFR")</f>
        <v/>
      </c>
      <c r="D535" s="8">
        <f>QS.CONTEXT.ADD.CURVE(C535,"SOFR",$K$2:$K$7,$L$2:$L$7,,,"Actual360","LogLinear",TRUE)</f>
        <v/>
      </c>
      <c r="E535" s="8">
        <f>QS.INSTRUMENT.SWAP("swap.533",C535,H535,B535,"USD","SOFR",I535,J535,0,"Actual360","Simple","Annual","Annual","Annual")</f>
        <v/>
      </c>
      <c r="F535" s="8">
        <f>QS.TRADE.CREATE("trade.533",C535,E535,A535,"Receive")</f>
        <v/>
      </c>
      <c r="G535" s="5"/>
      <c r="H535" s="7" t="s">
        <v>1111</v>
      </c>
      <c r="I535" s="9">
        <v>1053300</v>
      </c>
      <c r="J535" s="10">
        <v>0.0383</v>
      </c>
    </row>
    <row r="536" spans="1:10">
      <c r="A536" s="7" t="s">
        <v>1099</v>
      </c>
      <c r="B536" s="7" t="s">
        <v>1112</v>
      </c>
      <c r="C536" s="8">
        <f>QS.CONTEXT.CREATE("market.534",A536,"USD","SOFR")</f>
        <v/>
      </c>
      <c r="D536" s="8">
        <f>QS.CONTEXT.ADD.CURVE(C536,"SOFR",$K$2:$K$7,$L$2:$L$7,,,"Actual360","LogLinear",TRUE)</f>
        <v/>
      </c>
      <c r="E536" s="8">
        <f>QS.INSTRUMENT.SWAP("swap.534",C536,H536,B536,"USD","SOFR",I536,J536,0,"Actual360","Simple","Annual","Annual","Annual")</f>
        <v/>
      </c>
      <c r="F536" s="8">
        <f>QS.TRADE.CREATE("trade.534",C536,E536,A536,"Receive")</f>
        <v/>
      </c>
      <c r="G536" s="5"/>
      <c r="H536" s="7" t="s">
        <v>1113</v>
      </c>
      <c r="I536" s="9">
        <v>1053400</v>
      </c>
      <c r="J536" s="10">
        <v>0.0384</v>
      </c>
    </row>
    <row r="537" spans="1:10">
      <c r="A537" s="7" t="s">
        <v>1101</v>
      </c>
      <c r="B537" s="7" t="s">
        <v>1114</v>
      </c>
      <c r="C537" s="8">
        <f>QS.CONTEXT.CREATE("market.535",A537,"USD","SOFR")</f>
        <v/>
      </c>
      <c r="D537" s="8">
        <f>QS.CONTEXT.ADD.CURVE(C537,"SOFR",$K$2:$K$7,$L$2:$L$7,,,"Actual360","LogLinear",TRUE)</f>
        <v/>
      </c>
      <c r="E537" s="8">
        <f>QS.INSTRUMENT.SWAP("swap.535",C537,H537,B537,"USD","SOFR",I537,J537,0,"Actual360","Simple","Annual","Annual","Annual")</f>
        <v/>
      </c>
      <c r="F537" s="8">
        <f>QS.TRADE.CREATE("trade.535",C537,E537,A537,"Receive")</f>
        <v/>
      </c>
      <c r="G537" s="5"/>
      <c r="H537" s="7" t="s">
        <v>1115</v>
      </c>
      <c r="I537" s="9">
        <v>1053500</v>
      </c>
      <c r="J537" s="10">
        <v>0.03850000000000001</v>
      </c>
    </row>
    <row r="538" spans="1:10">
      <c r="A538" s="7" t="s">
        <v>1103</v>
      </c>
      <c r="B538" s="7" t="s">
        <v>1116</v>
      </c>
      <c r="C538" s="8">
        <f>QS.CONTEXT.CREATE("market.536",A538,"USD","SOFR")</f>
        <v/>
      </c>
      <c r="D538" s="8">
        <f>QS.CONTEXT.ADD.CURVE(C538,"SOFR",$K$2:$K$7,$L$2:$L$7,,,"Actual360","LogLinear",TRUE)</f>
        <v/>
      </c>
      <c r="E538" s="8">
        <f>QS.INSTRUMENT.SWAP("swap.536",C538,H538,B538,"USD","SOFR",I538,J538,0,"Actual360","Simple","Annual","Annual","Annual")</f>
        <v/>
      </c>
      <c r="F538" s="8">
        <f>QS.TRADE.CREATE("trade.536",C538,E538,A538,"Receive")</f>
        <v/>
      </c>
      <c r="G538" s="5"/>
      <c r="H538" s="7" t="s">
        <v>1117</v>
      </c>
      <c r="I538" s="9">
        <v>1053600</v>
      </c>
      <c r="J538" s="10">
        <v>0.0386</v>
      </c>
    </row>
    <row r="539" spans="1:10">
      <c r="A539" s="7" t="s">
        <v>1105</v>
      </c>
      <c r="B539" s="7" t="s">
        <v>1118</v>
      </c>
      <c r="C539" s="8">
        <f>QS.CONTEXT.CREATE("market.537",A539,"USD","SOFR")</f>
        <v/>
      </c>
      <c r="D539" s="8">
        <f>QS.CONTEXT.ADD.CURVE(C539,"SOFR",$K$2:$K$7,$L$2:$L$7,,,"Actual360","LogLinear",TRUE)</f>
        <v/>
      </c>
      <c r="E539" s="8">
        <f>QS.INSTRUMENT.SWAP("swap.537",C539,H539,B539,"USD","SOFR",I539,J539,0,"Actual360","Simple","Annual","Annual","Annual")</f>
        <v/>
      </c>
      <c r="F539" s="8">
        <f>QS.TRADE.CREATE("trade.537",C539,E539,A539,"Receive")</f>
        <v/>
      </c>
      <c r="G539" s="5"/>
      <c r="H539" s="7" t="s">
        <v>1119</v>
      </c>
      <c r="I539" s="9">
        <v>1053700</v>
      </c>
      <c r="J539" s="10">
        <v>0.03870000000000001</v>
      </c>
    </row>
    <row r="540" spans="1:10">
      <c r="A540" s="7" t="s">
        <v>1107</v>
      </c>
      <c r="B540" s="7" t="s">
        <v>1120</v>
      </c>
      <c r="C540" s="8">
        <f>QS.CONTEXT.CREATE("market.538",A540,"USD","SOFR")</f>
        <v/>
      </c>
      <c r="D540" s="8">
        <f>QS.CONTEXT.ADD.CURVE(C540,"SOFR",$K$2:$K$7,$L$2:$L$7,,,"Actual360","LogLinear",TRUE)</f>
        <v/>
      </c>
      <c r="E540" s="8">
        <f>QS.INSTRUMENT.SWAP("swap.538",C540,H540,B540,"USD","SOFR",I540,J540,0,"Actual360","Simple","Annual","Annual","Annual")</f>
        <v/>
      </c>
      <c r="F540" s="8">
        <f>QS.TRADE.CREATE("trade.538",C540,E540,A540,"Receive")</f>
        <v/>
      </c>
      <c r="G540" s="5"/>
      <c r="H540" s="7" t="s">
        <v>1121</v>
      </c>
      <c r="I540" s="9">
        <v>1053800</v>
      </c>
      <c r="J540" s="10">
        <v>0.0388</v>
      </c>
    </row>
    <row r="541" spans="1:10">
      <c r="A541" s="7" t="s">
        <v>1109</v>
      </c>
      <c r="B541" s="7" t="s">
        <v>1122</v>
      </c>
      <c r="C541" s="8">
        <f>QS.CONTEXT.CREATE("market.539",A541,"USD","SOFR")</f>
        <v/>
      </c>
      <c r="D541" s="8">
        <f>QS.CONTEXT.ADD.CURVE(C541,"SOFR",$K$2:$K$7,$L$2:$L$7,,,"Actual360","LogLinear",TRUE)</f>
        <v/>
      </c>
      <c r="E541" s="8">
        <f>QS.INSTRUMENT.SWAP("swap.539",C541,H541,B541,"USD","SOFR",I541,J541,0,"Actual360","Simple","Annual","Annual","Annual")</f>
        <v/>
      </c>
      <c r="F541" s="8">
        <f>QS.TRADE.CREATE("trade.539",C541,E541,A541,"Receive")</f>
        <v/>
      </c>
      <c r="G541" s="5"/>
      <c r="H541" s="7" t="s">
        <v>1123</v>
      </c>
      <c r="I541" s="9">
        <v>1053900</v>
      </c>
      <c r="J541" s="10">
        <v>0.0389</v>
      </c>
    </row>
    <row r="542" spans="1:10">
      <c r="A542" s="7" t="s">
        <v>1111</v>
      </c>
      <c r="B542" s="7" t="s">
        <v>1124</v>
      </c>
      <c r="C542" s="8">
        <f>QS.CONTEXT.CREATE("market.540",A542,"USD","SOFR")</f>
        <v/>
      </c>
      <c r="D542" s="8">
        <f>QS.CONTEXT.ADD.CURVE(C542,"SOFR",$K$2:$K$7,$L$2:$L$7,,,"Actual360","LogLinear",TRUE)</f>
        <v/>
      </c>
      <c r="E542" s="8">
        <f>QS.INSTRUMENT.SWAP("swap.540",C542,H542,B542,"USD","SOFR",I542,J542,0,"Actual360","Simple","Annual","Annual","Annual")</f>
        <v/>
      </c>
      <c r="F542" s="8">
        <f>QS.TRADE.CREATE("trade.540",C542,E542,A542,"Receive")</f>
        <v/>
      </c>
      <c r="G542" s="5"/>
      <c r="H542" s="7" t="s">
        <v>1125</v>
      </c>
      <c r="I542" s="9">
        <v>1054000</v>
      </c>
      <c r="J542" s="10">
        <v>0.03900000000000001</v>
      </c>
    </row>
    <row r="543" spans="1:10">
      <c r="A543" s="7" t="s">
        <v>1113</v>
      </c>
      <c r="B543" s="7" t="s">
        <v>1126</v>
      </c>
      <c r="C543" s="8">
        <f>QS.CONTEXT.CREATE("market.541",A543,"USD","SOFR")</f>
        <v/>
      </c>
      <c r="D543" s="8">
        <f>QS.CONTEXT.ADD.CURVE(C543,"SOFR",$K$2:$K$7,$L$2:$L$7,,,"Actual360","LogLinear",TRUE)</f>
        <v/>
      </c>
      <c r="E543" s="8">
        <f>QS.INSTRUMENT.SWAP("swap.541",C543,H543,B543,"USD","SOFR",I543,J543,0,"Actual360","Simple","Annual","Annual","Annual")</f>
        <v/>
      </c>
      <c r="F543" s="8">
        <f>QS.TRADE.CREATE("trade.541",C543,E543,A543,"Receive")</f>
        <v/>
      </c>
      <c r="G543" s="5"/>
      <c r="H543" s="7" t="s">
        <v>1127</v>
      </c>
      <c r="I543" s="9">
        <v>1054100</v>
      </c>
      <c r="J543" s="10">
        <v>0.0391</v>
      </c>
    </row>
    <row r="544" spans="1:10">
      <c r="A544" s="7" t="s">
        <v>1115</v>
      </c>
      <c r="B544" s="7" t="s">
        <v>1128</v>
      </c>
      <c r="C544" s="8">
        <f>QS.CONTEXT.CREATE("market.542",A544,"USD","SOFR")</f>
        <v/>
      </c>
      <c r="D544" s="8">
        <f>QS.CONTEXT.ADD.CURVE(C544,"SOFR",$K$2:$K$7,$L$2:$L$7,,,"Actual360","LogLinear",TRUE)</f>
        <v/>
      </c>
      <c r="E544" s="8">
        <f>QS.INSTRUMENT.SWAP("swap.542",C544,H544,B544,"USD","SOFR",I544,J544,0,"Actual360","Simple","Annual","Annual","Annual")</f>
        <v/>
      </c>
      <c r="F544" s="8">
        <f>QS.TRADE.CREATE("trade.542",C544,E544,A544,"Receive")</f>
        <v/>
      </c>
      <c r="G544" s="5"/>
      <c r="H544" s="7" t="s">
        <v>1129</v>
      </c>
      <c r="I544" s="9">
        <v>1054200</v>
      </c>
      <c r="J544" s="10">
        <v>0.03920000000000001</v>
      </c>
    </row>
    <row r="545" spans="1:10">
      <c r="A545" s="7" t="s">
        <v>1117</v>
      </c>
      <c r="B545" s="7" t="s">
        <v>1130</v>
      </c>
      <c r="C545" s="8">
        <f>QS.CONTEXT.CREATE("market.543",A545,"USD","SOFR")</f>
        <v/>
      </c>
      <c r="D545" s="8">
        <f>QS.CONTEXT.ADD.CURVE(C545,"SOFR",$K$2:$K$7,$L$2:$L$7,,,"Actual360","LogLinear",TRUE)</f>
        <v/>
      </c>
      <c r="E545" s="8">
        <f>QS.INSTRUMENT.SWAP("swap.543",C545,H545,B545,"USD","SOFR",I545,J545,0,"Actual360","Simple","Annual","Annual","Annual")</f>
        <v/>
      </c>
      <c r="F545" s="8">
        <f>QS.TRADE.CREATE("trade.543",C545,E545,A545,"Receive")</f>
        <v/>
      </c>
      <c r="G545" s="5"/>
      <c r="H545" s="7" t="s">
        <v>1131</v>
      </c>
      <c r="I545" s="9">
        <v>1054300</v>
      </c>
      <c r="J545" s="10">
        <v>0.0393</v>
      </c>
    </row>
    <row r="546" spans="1:10">
      <c r="A546" s="7" t="s">
        <v>1119</v>
      </c>
      <c r="B546" s="7" t="s">
        <v>1132</v>
      </c>
      <c r="C546" s="8">
        <f>QS.CONTEXT.CREATE("market.544",A546,"USD","SOFR")</f>
        <v/>
      </c>
      <c r="D546" s="8">
        <f>QS.CONTEXT.ADD.CURVE(C546,"SOFR",$K$2:$K$7,$L$2:$L$7,,,"Actual360","LogLinear",TRUE)</f>
        <v/>
      </c>
      <c r="E546" s="8">
        <f>QS.INSTRUMENT.SWAP("swap.544",C546,H546,B546,"USD","SOFR",I546,J546,0,"Actual360","Simple","Annual","Annual","Annual")</f>
        <v/>
      </c>
      <c r="F546" s="8">
        <f>QS.TRADE.CREATE("trade.544",C546,E546,A546,"Receive")</f>
        <v/>
      </c>
      <c r="G546" s="5"/>
      <c r="H546" s="7" t="s">
        <v>1133</v>
      </c>
      <c r="I546" s="9">
        <v>1054400</v>
      </c>
      <c r="J546" s="10">
        <v>0.0394</v>
      </c>
    </row>
    <row r="547" spans="1:10">
      <c r="A547" s="7" t="s">
        <v>1121</v>
      </c>
      <c r="B547" s="7" t="s">
        <v>1134</v>
      </c>
      <c r="C547" s="8">
        <f>QS.CONTEXT.CREATE("market.545",A547,"USD","SOFR")</f>
        <v/>
      </c>
      <c r="D547" s="8">
        <f>QS.CONTEXT.ADD.CURVE(C547,"SOFR",$K$2:$K$7,$L$2:$L$7,,,"Actual360","LogLinear",TRUE)</f>
        <v/>
      </c>
      <c r="E547" s="8">
        <f>QS.INSTRUMENT.SWAP("swap.545",C547,H547,B547,"USD","SOFR",I547,J547,0,"Actual360","Simple","Annual","Annual","Annual")</f>
        <v/>
      </c>
      <c r="F547" s="8">
        <f>QS.TRADE.CREATE("trade.545",C547,E547,A547,"Receive")</f>
        <v/>
      </c>
      <c r="G547" s="5"/>
      <c r="H547" s="7" t="s">
        <v>1135</v>
      </c>
      <c r="I547" s="9">
        <v>1054500</v>
      </c>
      <c r="J547" s="10">
        <v>0.03950000000000001</v>
      </c>
    </row>
    <row r="548" spans="1:10">
      <c r="A548" s="7" t="s">
        <v>1123</v>
      </c>
      <c r="B548" s="7" t="s">
        <v>1136</v>
      </c>
      <c r="C548" s="8">
        <f>QS.CONTEXT.CREATE("market.546",A548,"USD","SOFR")</f>
        <v/>
      </c>
      <c r="D548" s="8">
        <f>QS.CONTEXT.ADD.CURVE(C548,"SOFR",$K$2:$K$7,$L$2:$L$7,,,"Actual360","LogLinear",TRUE)</f>
        <v/>
      </c>
      <c r="E548" s="8">
        <f>QS.INSTRUMENT.SWAP("swap.546",C548,H548,B548,"USD","SOFR",I548,J548,0,"Actual360","Simple","Annual","Annual","Annual")</f>
        <v/>
      </c>
      <c r="F548" s="8">
        <f>QS.TRADE.CREATE("trade.546",C548,E548,A548,"Receive")</f>
        <v/>
      </c>
      <c r="G548" s="5"/>
      <c r="H548" s="7" t="s">
        <v>1137</v>
      </c>
      <c r="I548" s="9">
        <v>1054600</v>
      </c>
      <c r="J548" s="10">
        <v>0.0396</v>
      </c>
    </row>
    <row r="549" spans="1:10">
      <c r="A549" s="7" t="s">
        <v>1125</v>
      </c>
      <c r="B549" s="7" t="s">
        <v>1138</v>
      </c>
      <c r="C549" s="8">
        <f>QS.CONTEXT.CREATE("market.547",A549,"USD","SOFR")</f>
        <v/>
      </c>
      <c r="D549" s="8">
        <f>QS.CONTEXT.ADD.CURVE(C549,"SOFR",$K$2:$K$7,$L$2:$L$7,,,"Actual360","LogLinear",TRUE)</f>
        <v/>
      </c>
      <c r="E549" s="8">
        <f>QS.INSTRUMENT.SWAP("swap.547",C549,H549,B549,"USD","SOFR",I549,J549,0,"Actual360","Simple","Annual","Annual","Annual")</f>
        <v/>
      </c>
      <c r="F549" s="8">
        <f>QS.TRADE.CREATE("trade.547",C549,E549,A549,"Receive")</f>
        <v/>
      </c>
      <c r="G549" s="5"/>
      <c r="H549" s="7" t="s">
        <v>1139</v>
      </c>
      <c r="I549" s="9">
        <v>1054700</v>
      </c>
      <c r="J549" s="10">
        <v>0.03970000000000001</v>
      </c>
    </row>
    <row r="550" spans="1:10">
      <c r="A550" s="7" t="s">
        <v>1127</v>
      </c>
      <c r="B550" s="7" t="s">
        <v>1140</v>
      </c>
      <c r="C550" s="8">
        <f>QS.CONTEXT.CREATE("market.548",A550,"USD","SOFR")</f>
        <v/>
      </c>
      <c r="D550" s="8">
        <f>QS.CONTEXT.ADD.CURVE(C550,"SOFR",$K$2:$K$7,$L$2:$L$7,,,"Actual360","LogLinear",TRUE)</f>
        <v/>
      </c>
      <c r="E550" s="8">
        <f>QS.INSTRUMENT.SWAP("swap.548",C550,H550,B550,"USD","SOFR",I550,J550,0,"Actual360","Simple","Annual","Annual","Annual")</f>
        <v/>
      </c>
      <c r="F550" s="8">
        <f>QS.TRADE.CREATE("trade.548",C550,E550,A550,"Receive")</f>
        <v/>
      </c>
      <c r="G550" s="5"/>
      <c r="H550" s="7" t="s">
        <v>1141</v>
      </c>
      <c r="I550" s="9">
        <v>1054800</v>
      </c>
      <c r="J550" s="10">
        <v>0.0398</v>
      </c>
    </row>
    <row r="551" spans="1:10">
      <c r="A551" s="7" t="s">
        <v>1129</v>
      </c>
      <c r="B551" s="7" t="s">
        <v>1142</v>
      </c>
      <c r="C551" s="8">
        <f>QS.CONTEXT.CREATE("market.549",A551,"USD","SOFR")</f>
        <v/>
      </c>
      <c r="D551" s="8">
        <f>QS.CONTEXT.ADD.CURVE(C551,"SOFR",$K$2:$K$7,$L$2:$L$7,,,"Actual360","LogLinear",TRUE)</f>
        <v/>
      </c>
      <c r="E551" s="8">
        <f>QS.INSTRUMENT.SWAP("swap.549",C551,H551,B551,"USD","SOFR",I551,J551,0,"Actual360","Simple","Annual","Annual","Annual")</f>
        <v/>
      </c>
      <c r="F551" s="8">
        <f>QS.TRADE.CREATE("trade.549",C551,E551,A551,"Receive")</f>
        <v/>
      </c>
      <c r="G551" s="5"/>
      <c r="H551" s="7" t="s">
        <v>1143</v>
      </c>
      <c r="I551" s="9">
        <v>1054900</v>
      </c>
      <c r="J551" s="10">
        <v>0.0399</v>
      </c>
    </row>
    <row r="552" spans="1:10">
      <c r="A552" s="7" t="s">
        <v>1131</v>
      </c>
      <c r="B552" s="7" t="s">
        <v>1144</v>
      </c>
      <c r="C552" s="8">
        <f>QS.CONTEXT.CREATE("market.550",A552,"USD","SOFR")</f>
        <v/>
      </c>
      <c r="D552" s="8">
        <f>QS.CONTEXT.ADD.CURVE(C552,"SOFR",$K$2:$K$7,$L$2:$L$7,,,"Actual360","LogLinear",TRUE)</f>
        <v/>
      </c>
      <c r="E552" s="8">
        <f>QS.INSTRUMENT.SWAP("swap.550",C552,H552,B552,"USD","SOFR",I552,J552,0,"Actual360","Simple","Annual","Annual","Annual")</f>
        <v/>
      </c>
      <c r="F552" s="8">
        <f>QS.TRADE.CREATE("trade.550",C552,E552,A552,"Receive")</f>
        <v/>
      </c>
      <c r="G552" s="5"/>
      <c r="H552" s="7" t="s">
        <v>1145</v>
      </c>
      <c r="I552" s="9">
        <v>1055000</v>
      </c>
      <c r="J552" s="10">
        <v>0.035</v>
      </c>
    </row>
    <row r="553" spans="1:10">
      <c r="A553" s="7" t="s">
        <v>1133</v>
      </c>
      <c r="B553" s="7" t="s">
        <v>1146</v>
      </c>
      <c r="C553" s="8">
        <f>QS.CONTEXT.CREATE("market.551",A553,"USD","SOFR")</f>
        <v/>
      </c>
      <c r="D553" s="8">
        <f>QS.CONTEXT.ADD.CURVE(C553,"SOFR",$K$2:$K$7,$L$2:$L$7,,,"Actual360","LogLinear",TRUE)</f>
        <v/>
      </c>
      <c r="E553" s="8">
        <f>QS.INSTRUMENT.SWAP("swap.551",C553,H553,B553,"USD","SOFR",I553,J553,0,"Actual360","Simple","Annual","Annual","Annual")</f>
        <v/>
      </c>
      <c r="F553" s="8">
        <f>QS.TRADE.CREATE("trade.551",C553,E553,A553,"Receive")</f>
        <v/>
      </c>
      <c r="G553" s="5"/>
      <c r="H553" s="7" t="s">
        <v>1147</v>
      </c>
      <c r="I553" s="9">
        <v>1055100</v>
      </c>
      <c r="J553" s="10">
        <v>0.03510000000000001</v>
      </c>
    </row>
    <row r="554" spans="1:10">
      <c r="A554" s="7" t="s">
        <v>1135</v>
      </c>
      <c r="B554" s="7" t="s">
        <v>1148</v>
      </c>
      <c r="C554" s="8">
        <f>QS.CONTEXT.CREATE("market.552",A554,"USD","SOFR")</f>
        <v/>
      </c>
      <c r="D554" s="8">
        <f>QS.CONTEXT.ADD.CURVE(C554,"SOFR",$K$2:$K$7,$L$2:$L$7,,,"Actual360","LogLinear",TRUE)</f>
        <v/>
      </c>
      <c r="E554" s="8">
        <f>QS.INSTRUMENT.SWAP("swap.552",C554,H554,B554,"USD","SOFR",I554,J554,0,"Actual360","Simple","Annual","Annual","Annual")</f>
        <v/>
      </c>
      <c r="F554" s="8">
        <f>QS.TRADE.CREATE("trade.552",C554,E554,A554,"Receive")</f>
        <v/>
      </c>
      <c r="G554" s="5"/>
      <c r="H554" s="7" t="s">
        <v>1149</v>
      </c>
      <c r="I554" s="9">
        <v>1055200</v>
      </c>
      <c r="J554" s="10">
        <v>0.0352</v>
      </c>
    </row>
    <row r="555" spans="1:10">
      <c r="A555" s="7" t="s">
        <v>1137</v>
      </c>
      <c r="B555" s="7" t="s">
        <v>1150</v>
      </c>
      <c r="C555" s="8">
        <f>QS.CONTEXT.CREATE("market.553",A555,"USD","SOFR")</f>
        <v/>
      </c>
      <c r="D555" s="8">
        <f>QS.CONTEXT.ADD.CURVE(C555,"SOFR",$K$2:$K$7,$L$2:$L$7,,,"Actual360","LogLinear",TRUE)</f>
        <v/>
      </c>
      <c r="E555" s="8">
        <f>QS.INSTRUMENT.SWAP("swap.553",C555,H555,B555,"USD","SOFR",I555,J555,0,"Actual360","Simple","Annual","Annual","Annual")</f>
        <v/>
      </c>
      <c r="F555" s="8">
        <f>QS.TRADE.CREATE("trade.553",C555,E555,A555,"Receive")</f>
        <v/>
      </c>
      <c r="G555" s="5"/>
      <c r="H555" s="7" t="s">
        <v>1151</v>
      </c>
      <c r="I555" s="9">
        <v>1055300</v>
      </c>
      <c r="J555" s="10">
        <v>0.0353</v>
      </c>
    </row>
    <row r="556" spans="1:10">
      <c r="A556" s="7" t="s">
        <v>1139</v>
      </c>
      <c r="B556" s="7" t="s">
        <v>1152</v>
      </c>
      <c r="C556" s="8">
        <f>QS.CONTEXT.CREATE("market.554",A556,"USD","SOFR")</f>
        <v/>
      </c>
      <c r="D556" s="8">
        <f>QS.CONTEXT.ADD.CURVE(C556,"SOFR",$K$2:$K$7,$L$2:$L$7,,,"Actual360","LogLinear",TRUE)</f>
        <v/>
      </c>
      <c r="E556" s="8">
        <f>QS.INSTRUMENT.SWAP("swap.554",C556,H556,B556,"USD","SOFR",I556,J556,0,"Actual360","Simple","Annual","Annual","Annual")</f>
        <v/>
      </c>
      <c r="F556" s="8">
        <f>QS.TRADE.CREATE("trade.554",C556,E556,A556,"Receive")</f>
        <v/>
      </c>
      <c r="G556" s="5"/>
      <c r="H556" s="7" t="s">
        <v>1153</v>
      </c>
      <c r="I556" s="9">
        <v>1055400</v>
      </c>
      <c r="J556" s="10">
        <v>0.0354</v>
      </c>
    </row>
    <row r="557" spans="1:10">
      <c r="A557" s="7" t="s">
        <v>1141</v>
      </c>
      <c r="B557" s="7" t="s">
        <v>1154</v>
      </c>
      <c r="C557" s="8">
        <f>QS.CONTEXT.CREATE("market.555",A557,"USD","SOFR")</f>
        <v/>
      </c>
      <c r="D557" s="8">
        <f>QS.CONTEXT.ADD.CURVE(C557,"SOFR",$K$2:$K$7,$L$2:$L$7,,,"Actual360","LogLinear",TRUE)</f>
        <v/>
      </c>
      <c r="E557" s="8">
        <f>QS.INSTRUMENT.SWAP("swap.555",C557,H557,B557,"USD","SOFR",I557,J557,0,"Actual360","Simple","Annual","Annual","Annual")</f>
        <v/>
      </c>
      <c r="F557" s="8">
        <f>QS.TRADE.CREATE("trade.555",C557,E557,A557,"Receive")</f>
        <v/>
      </c>
      <c r="G557" s="5"/>
      <c r="H557" s="7" t="s">
        <v>1155</v>
      </c>
      <c r="I557" s="9">
        <v>1055500</v>
      </c>
      <c r="J557" s="10">
        <v>0.0355</v>
      </c>
    </row>
    <row r="558" spans="1:10">
      <c r="A558" s="7" t="s">
        <v>1143</v>
      </c>
      <c r="B558" s="7" t="s">
        <v>1156</v>
      </c>
      <c r="C558" s="8">
        <f>QS.CONTEXT.CREATE("market.556",A558,"USD","SOFR")</f>
        <v/>
      </c>
      <c r="D558" s="8">
        <f>QS.CONTEXT.ADD.CURVE(C558,"SOFR",$K$2:$K$7,$L$2:$L$7,,,"Actual360","LogLinear",TRUE)</f>
        <v/>
      </c>
      <c r="E558" s="8">
        <f>QS.INSTRUMENT.SWAP("swap.556",C558,H558,B558,"USD","SOFR",I558,J558,0,"Actual360","Simple","Annual","Annual","Annual")</f>
        <v/>
      </c>
      <c r="F558" s="8">
        <f>QS.TRADE.CREATE("trade.556",C558,E558,A558,"Receive")</f>
        <v/>
      </c>
      <c r="G558" s="5"/>
      <c r="H558" s="7" t="s">
        <v>1157</v>
      </c>
      <c r="I558" s="9">
        <v>1055600</v>
      </c>
      <c r="J558" s="10">
        <v>0.03560000000000001</v>
      </c>
    </row>
    <row r="559" spans="1:10">
      <c r="A559" s="7" t="s">
        <v>1145</v>
      </c>
      <c r="B559" s="7" t="s">
        <v>1158</v>
      </c>
      <c r="C559" s="8">
        <f>QS.CONTEXT.CREATE("market.557",A559,"USD","SOFR")</f>
        <v/>
      </c>
      <c r="D559" s="8">
        <f>QS.CONTEXT.ADD.CURVE(C559,"SOFR",$K$2:$K$7,$L$2:$L$7,,,"Actual360","LogLinear",TRUE)</f>
        <v/>
      </c>
      <c r="E559" s="8">
        <f>QS.INSTRUMENT.SWAP("swap.557",C559,H559,B559,"USD","SOFR",I559,J559,0,"Actual360","Simple","Annual","Annual","Annual")</f>
        <v/>
      </c>
      <c r="F559" s="8">
        <f>QS.TRADE.CREATE("trade.557",C559,E559,A559,"Receive")</f>
        <v/>
      </c>
      <c r="G559" s="5"/>
      <c r="H559" s="7" t="s">
        <v>1159</v>
      </c>
      <c r="I559" s="9">
        <v>1055700</v>
      </c>
      <c r="J559" s="10">
        <v>0.0357</v>
      </c>
    </row>
    <row r="560" spans="1:10">
      <c r="A560" s="7" t="s">
        <v>1147</v>
      </c>
      <c r="B560" s="7" t="s">
        <v>1160</v>
      </c>
      <c r="C560" s="8">
        <f>QS.CONTEXT.CREATE("market.558",A560,"USD","SOFR")</f>
        <v/>
      </c>
      <c r="D560" s="8">
        <f>QS.CONTEXT.ADD.CURVE(C560,"SOFR",$K$2:$K$7,$L$2:$L$7,,,"Actual360","LogLinear",TRUE)</f>
        <v/>
      </c>
      <c r="E560" s="8">
        <f>QS.INSTRUMENT.SWAP("swap.558",C560,H560,B560,"USD","SOFR",I560,J560,0,"Actual360","Simple","Annual","Annual","Annual")</f>
        <v/>
      </c>
      <c r="F560" s="8">
        <f>QS.TRADE.CREATE("trade.558",C560,E560,A560,"Receive")</f>
        <v/>
      </c>
      <c r="G560" s="5"/>
      <c r="H560" s="7" t="s">
        <v>1161</v>
      </c>
      <c r="I560" s="9">
        <v>1055800</v>
      </c>
      <c r="J560" s="10">
        <v>0.03580000000000001</v>
      </c>
    </row>
    <row r="561" spans="1:10">
      <c r="A561" s="7" t="s">
        <v>1149</v>
      </c>
      <c r="B561" s="7" t="s">
        <v>1162</v>
      </c>
      <c r="C561" s="8">
        <f>QS.CONTEXT.CREATE("market.559",A561,"USD","SOFR")</f>
        <v/>
      </c>
      <c r="D561" s="8">
        <f>QS.CONTEXT.ADD.CURVE(C561,"SOFR",$K$2:$K$7,$L$2:$L$7,,,"Actual360","LogLinear",TRUE)</f>
        <v/>
      </c>
      <c r="E561" s="8">
        <f>QS.INSTRUMENT.SWAP("swap.559",C561,H561,B561,"USD","SOFR",I561,J561,0,"Actual360","Simple","Annual","Annual","Annual")</f>
        <v/>
      </c>
      <c r="F561" s="8">
        <f>QS.TRADE.CREATE("trade.559",C561,E561,A561,"Receive")</f>
        <v/>
      </c>
      <c r="G561" s="5"/>
      <c r="H561" s="7" t="s">
        <v>1163</v>
      </c>
      <c r="I561" s="9">
        <v>1055900</v>
      </c>
      <c r="J561" s="10">
        <v>0.0359</v>
      </c>
    </row>
    <row r="562" spans="1:10">
      <c r="A562" s="7" t="s">
        <v>1151</v>
      </c>
      <c r="B562" s="7" t="s">
        <v>1164</v>
      </c>
      <c r="C562" s="8">
        <f>QS.CONTEXT.CREATE("market.560",A562,"USD","SOFR")</f>
        <v/>
      </c>
      <c r="D562" s="8">
        <f>QS.CONTEXT.ADD.CURVE(C562,"SOFR",$K$2:$K$7,$L$2:$L$7,,,"Actual360","LogLinear",TRUE)</f>
        <v/>
      </c>
      <c r="E562" s="8">
        <f>QS.INSTRUMENT.SWAP("swap.560",C562,H562,B562,"USD","SOFR",I562,J562,0,"Actual360","Simple","Annual","Annual","Annual")</f>
        <v/>
      </c>
      <c r="F562" s="8">
        <f>QS.TRADE.CREATE("trade.560",C562,E562,A562,"Receive")</f>
        <v/>
      </c>
      <c r="G562" s="5"/>
      <c r="H562" s="7" t="s">
        <v>1165</v>
      </c>
      <c r="I562" s="9">
        <v>1056000</v>
      </c>
      <c r="J562" s="10">
        <v>0.036</v>
      </c>
    </row>
    <row r="563" spans="1:10">
      <c r="A563" s="7" t="s">
        <v>1153</v>
      </c>
      <c r="B563" s="7" t="s">
        <v>1166</v>
      </c>
      <c r="C563" s="8">
        <f>QS.CONTEXT.CREATE("market.561",A563,"USD","SOFR")</f>
        <v/>
      </c>
      <c r="D563" s="8">
        <f>QS.CONTEXT.ADD.CURVE(C563,"SOFR",$K$2:$K$7,$L$2:$L$7,,,"Actual360","LogLinear",TRUE)</f>
        <v/>
      </c>
      <c r="E563" s="8">
        <f>QS.INSTRUMENT.SWAP("swap.561",C563,H563,B563,"USD","SOFR",I563,J563,0,"Actual360","Simple","Annual","Annual","Annual")</f>
        <v/>
      </c>
      <c r="F563" s="8">
        <f>QS.TRADE.CREATE("trade.561",C563,E563,A563,"Receive")</f>
        <v/>
      </c>
      <c r="G563" s="5"/>
      <c r="H563" s="7" t="s">
        <v>1167</v>
      </c>
      <c r="I563" s="9">
        <v>1056100</v>
      </c>
      <c r="J563" s="10">
        <v>0.0361</v>
      </c>
    </row>
    <row r="564" spans="1:10">
      <c r="A564" s="7" t="s">
        <v>1155</v>
      </c>
      <c r="B564" s="7" t="s">
        <v>1168</v>
      </c>
      <c r="C564" s="8">
        <f>QS.CONTEXT.CREATE("market.562",A564,"USD","SOFR")</f>
        <v/>
      </c>
      <c r="D564" s="8">
        <f>QS.CONTEXT.ADD.CURVE(C564,"SOFR",$K$2:$K$7,$L$2:$L$7,,,"Actual360","LogLinear",TRUE)</f>
        <v/>
      </c>
      <c r="E564" s="8">
        <f>QS.INSTRUMENT.SWAP("swap.562",C564,H564,B564,"USD","SOFR",I564,J564,0,"Actual360","Simple","Annual","Annual","Annual")</f>
        <v/>
      </c>
      <c r="F564" s="8">
        <f>QS.TRADE.CREATE("trade.562",C564,E564,A564,"Receive")</f>
        <v/>
      </c>
      <c r="G564" s="5"/>
      <c r="H564" s="7" t="s">
        <v>1169</v>
      </c>
      <c r="I564" s="9">
        <v>1056200</v>
      </c>
      <c r="J564" s="10">
        <v>0.0362</v>
      </c>
    </row>
    <row r="565" spans="1:10">
      <c r="A565" s="7" t="s">
        <v>1157</v>
      </c>
      <c r="B565" s="7" t="s">
        <v>1170</v>
      </c>
      <c r="C565" s="8">
        <f>QS.CONTEXT.CREATE("market.563",A565,"USD","SOFR")</f>
        <v/>
      </c>
      <c r="D565" s="8">
        <f>QS.CONTEXT.ADD.CURVE(C565,"SOFR",$K$2:$K$7,$L$2:$L$7,,,"Actual360","LogLinear",TRUE)</f>
        <v/>
      </c>
      <c r="E565" s="8">
        <f>QS.INSTRUMENT.SWAP("swap.563",C565,H565,B565,"USD","SOFR",I565,J565,0,"Actual360","Simple","Annual","Annual","Annual")</f>
        <v/>
      </c>
      <c r="F565" s="8">
        <f>QS.TRADE.CREATE("trade.563",C565,E565,A565,"Receive")</f>
        <v/>
      </c>
      <c r="G565" s="5"/>
      <c r="H565" s="7" t="s">
        <v>1171</v>
      </c>
      <c r="I565" s="9">
        <v>1056300</v>
      </c>
      <c r="J565" s="10">
        <v>0.03630000000000001</v>
      </c>
    </row>
    <row r="566" spans="1:10">
      <c r="A566" s="7" t="s">
        <v>1159</v>
      </c>
      <c r="B566" s="7" t="s">
        <v>1172</v>
      </c>
      <c r="C566" s="8">
        <f>QS.CONTEXT.CREATE("market.564",A566,"USD","SOFR")</f>
        <v/>
      </c>
      <c r="D566" s="8">
        <f>QS.CONTEXT.ADD.CURVE(C566,"SOFR",$K$2:$K$7,$L$2:$L$7,,,"Actual360","LogLinear",TRUE)</f>
        <v/>
      </c>
      <c r="E566" s="8">
        <f>QS.INSTRUMENT.SWAP("swap.564",C566,H566,B566,"USD","SOFR",I566,J566,0,"Actual360","Simple","Annual","Annual","Annual")</f>
        <v/>
      </c>
      <c r="F566" s="8">
        <f>QS.TRADE.CREATE("trade.564",C566,E566,A566,"Receive")</f>
        <v/>
      </c>
      <c r="G566" s="5"/>
      <c r="H566" s="7" t="s">
        <v>1173</v>
      </c>
      <c r="I566" s="9">
        <v>1056400</v>
      </c>
      <c r="J566" s="10">
        <v>0.0364</v>
      </c>
    </row>
    <row r="567" spans="1:10">
      <c r="A567" s="7" t="s">
        <v>1161</v>
      </c>
      <c r="B567" s="7" t="s">
        <v>1174</v>
      </c>
      <c r="C567" s="8">
        <f>QS.CONTEXT.CREATE("market.565",A567,"USD","SOFR")</f>
        <v/>
      </c>
      <c r="D567" s="8">
        <f>QS.CONTEXT.ADD.CURVE(C567,"SOFR",$K$2:$K$7,$L$2:$L$7,,,"Actual360","LogLinear",TRUE)</f>
        <v/>
      </c>
      <c r="E567" s="8">
        <f>QS.INSTRUMENT.SWAP("swap.565",C567,H567,B567,"USD","SOFR",I567,J567,0,"Actual360","Simple","Annual","Annual","Annual")</f>
        <v/>
      </c>
      <c r="F567" s="8">
        <f>QS.TRADE.CREATE("trade.565",C567,E567,A567,"Receive")</f>
        <v/>
      </c>
      <c r="G567" s="5"/>
      <c r="H567" s="7" t="s">
        <v>1175</v>
      </c>
      <c r="I567" s="9">
        <v>1056500</v>
      </c>
      <c r="J567" s="10">
        <v>0.0365</v>
      </c>
    </row>
    <row r="568" spans="1:10">
      <c r="A568" s="7" t="s">
        <v>1163</v>
      </c>
      <c r="B568" s="7" t="s">
        <v>1176</v>
      </c>
      <c r="C568" s="8">
        <f>QS.CONTEXT.CREATE("market.566",A568,"USD","SOFR")</f>
        <v/>
      </c>
      <c r="D568" s="8">
        <f>QS.CONTEXT.ADD.CURVE(C568,"SOFR",$K$2:$K$7,$L$2:$L$7,,,"Actual360","LogLinear",TRUE)</f>
        <v/>
      </c>
      <c r="E568" s="8">
        <f>QS.INSTRUMENT.SWAP("swap.566",C568,H568,B568,"USD","SOFR",I568,J568,0,"Actual360","Simple","Annual","Annual","Annual")</f>
        <v/>
      </c>
      <c r="F568" s="8">
        <f>QS.TRADE.CREATE("trade.566",C568,E568,A568,"Receive")</f>
        <v/>
      </c>
      <c r="G568" s="5"/>
      <c r="H568" s="7" t="s">
        <v>1177</v>
      </c>
      <c r="I568" s="9">
        <v>1056600</v>
      </c>
      <c r="J568" s="10">
        <v>0.0366</v>
      </c>
    </row>
    <row r="569" spans="1:10">
      <c r="A569" s="7" t="s">
        <v>1165</v>
      </c>
      <c r="B569" s="7" t="s">
        <v>1178</v>
      </c>
      <c r="C569" s="8">
        <f>QS.CONTEXT.CREATE("market.567",A569,"USD","SOFR")</f>
        <v/>
      </c>
      <c r="D569" s="8">
        <f>QS.CONTEXT.ADD.CURVE(C569,"SOFR",$K$2:$K$7,$L$2:$L$7,,,"Actual360","LogLinear",TRUE)</f>
        <v/>
      </c>
      <c r="E569" s="8">
        <f>QS.INSTRUMENT.SWAP("swap.567",C569,H569,B569,"USD","SOFR",I569,J569,0,"Actual360","Simple","Annual","Annual","Annual")</f>
        <v/>
      </c>
      <c r="F569" s="8">
        <f>QS.TRADE.CREATE("trade.567",C569,E569,A569,"Receive")</f>
        <v/>
      </c>
      <c r="G569" s="5"/>
      <c r="H569" s="7" t="s">
        <v>1179</v>
      </c>
      <c r="I569" s="9">
        <v>1056700</v>
      </c>
      <c r="J569" s="10">
        <v>0.0367</v>
      </c>
    </row>
    <row r="570" spans="1:10">
      <c r="A570" s="7" t="s">
        <v>1167</v>
      </c>
      <c r="B570" s="7" t="s">
        <v>1180</v>
      </c>
      <c r="C570" s="8">
        <f>QS.CONTEXT.CREATE("market.568",A570,"USD","SOFR")</f>
        <v/>
      </c>
      <c r="D570" s="8">
        <f>QS.CONTEXT.ADD.CURVE(C570,"SOFR",$K$2:$K$7,$L$2:$L$7,,,"Actual360","LogLinear",TRUE)</f>
        <v/>
      </c>
      <c r="E570" s="8">
        <f>QS.INSTRUMENT.SWAP("swap.568",C570,H570,B570,"USD","SOFR",I570,J570,0,"Actual360","Simple","Annual","Annual","Annual")</f>
        <v/>
      </c>
      <c r="F570" s="8">
        <f>QS.TRADE.CREATE("trade.568",C570,E570,A570,"Receive")</f>
        <v/>
      </c>
      <c r="G570" s="5"/>
      <c r="H570" s="7" t="s">
        <v>1181</v>
      </c>
      <c r="I570" s="9">
        <v>1056800</v>
      </c>
      <c r="J570" s="10">
        <v>0.03680000000000001</v>
      </c>
    </row>
    <row r="571" spans="1:10">
      <c r="A571" s="7" t="s">
        <v>1169</v>
      </c>
      <c r="B571" s="7" t="s">
        <v>1182</v>
      </c>
      <c r="C571" s="8">
        <f>QS.CONTEXT.CREATE("market.569",A571,"USD","SOFR")</f>
        <v/>
      </c>
      <c r="D571" s="8">
        <f>QS.CONTEXT.ADD.CURVE(C571,"SOFR",$K$2:$K$7,$L$2:$L$7,,,"Actual360","LogLinear",TRUE)</f>
        <v/>
      </c>
      <c r="E571" s="8">
        <f>QS.INSTRUMENT.SWAP("swap.569",C571,H571,B571,"USD","SOFR",I571,J571,0,"Actual360","Simple","Annual","Annual","Annual")</f>
        <v/>
      </c>
      <c r="F571" s="8">
        <f>QS.TRADE.CREATE("trade.569",C571,E571,A571,"Receive")</f>
        <v/>
      </c>
      <c r="G571" s="5"/>
      <c r="H571" s="7" t="s">
        <v>1183</v>
      </c>
      <c r="I571" s="9">
        <v>1056900</v>
      </c>
      <c r="J571" s="10">
        <v>0.0369</v>
      </c>
    </row>
    <row r="572" spans="1:10">
      <c r="A572" s="7" t="s">
        <v>1171</v>
      </c>
      <c r="B572" s="7" t="s">
        <v>1184</v>
      </c>
      <c r="C572" s="8">
        <f>QS.CONTEXT.CREATE("market.570",A572,"USD","SOFR")</f>
        <v/>
      </c>
      <c r="D572" s="8">
        <f>QS.CONTEXT.ADD.CURVE(C572,"SOFR",$K$2:$K$7,$L$2:$L$7,,,"Actual360","LogLinear",TRUE)</f>
        <v/>
      </c>
      <c r="E572" s="8">
        <f>QS.INSTRUMENT.SWAP("swap.570",C572,H572,B572,"USD","SOFR",I572,J572,0,"Actual360","Simple","Annual","Annual","Annual")</f>
        <v/>
      </c>
      <c r="F572" s="8">
        <f>QS.TRADE.CREATE("trade.570",C572,E572,A572,"Receive")</f>
        <v/>
      </c>
      <c r="G572" s="5"/>
      <c r="H572" s="7" t="s">
        <v>1185</v>
      </c>
      <c r="I572" s="9">
        <v>1057000</v>
      </c>
      <c r="J572" s="10">
        <v>0.03700000000000001</v>
      </c>
    </row>
    <row r="573" spans="1:10">
      <c r="A573" s="7" t="s">
        <v>1173</v>
      </c>
      <c r="B573" s="7" t="s">
        <v>1186</v>
      </c>
      <c r="C573" s="8">
        <f>QS.CONTEXT.CREATE("market.571",A573,"USD","SOFR")</f>
        <v/>
      </c>
      <c r="D573" s="8">
        <f>QS.CONTEXT.ADD.CURVE(C573,"SOFR",$K$2:$K$7,$L$2:$L$7,,,"Actual360","LogLinear",TRUE)</f>
        <v/>
      </c>
      <c r="E573" s="8">
        <f>QS.INSTRUMENT.SWAP("swap.571",C573,H573,B573,"USD","SOFR",I573,J573,0,"Actual360","Simple","Annual","Annual","Annual")</f>
        <v/>
      </c>
      <c r="F573" s="8">
        <f>QS.TRADE.CREATE("trade.571",C573,E573,A573,"Receive")</f>
        <v/>
      </c>
      <c r="G573" s="5"/>
      <c r="H573" s="7" t="s">
        <v>1187</v>
      </c>
      <c r="I573" s="9">
        <v>1057100</v>
      </c>
      <c r="J573" s="10">
        <v>0.0371</v>
      </c>
    </row>
    <row r="574" spans="1:10">
      <c r="A574" s="7" t="s">
        <v>1175</v>
      </c>
      <c r="B574" s="7" t="s">
        <v>1188</v>
      </c>
      <c r="C574" s="8">
        <f>QS.CONTEXT.CREATE("market.572",A574,"USD","SOFR")</f>
        <v/>
      </c>
      <c r="D574" s="8">
        <f>QS.CONTEXT.ADD.CURVE(C574,"SOFR",$K$2:$K$7,$L$2:$L$7,,,"Actual360","LogLinear",TRUE)</f>
        <v/>
      </c>
      <c r="E574" s="8">
        <f>QS.INSTRUMENT.SWAP("swap.572",C574,H574,B574,"USD","SOFR",I574,J574,0,"Actual360","Simple","Annual","Annual","Annual")</f>
        <v/>
      </c>
      <c r="F574" s="8">
        <f>QS.TRADE.CREATE("trade.572",C574,E574,A574,"Receive")</f>
        <v/>
      </c>
      <c r="G574" s="5"/>
      <c r="H574" s="7" t="s">
        <v>1189</v>
      </c>
      <c r="I574" s="9">
        <v>1057200</v>
      </c>
      <c r="J574" s="10">
        <v>0.0372</v>
      </c>
    </row>
    <row r="575" spans="1:10">
      <c r="A575" s="7" t="s">
        <v>1177</v>
      </c>
      <c r="B575" s="7" t="s">
        <v>1190</v>
      </c>
      <c r="C575" s="8">
        <f>QS.CONTEXT.CREATE("market.573",A575,"USD","SOFR")</f>
        <v/>
      </c>
      <c r="D575" s="8">
        <f>QS.CONTEXT.ADD.CURVE(C575,"SOFR",$K$2:$K$7,$L$2:$L$7,,,"Actual360","LogLinear",TRUE)</f>
        <v/>
      </c>
      <c r="E575" s="8">
        <f>QS.INSTRUMENT.SWAP("swap.573",C575,H575,B575,"USD","SOFR",I575,J575,0,"Actual360","Simple","Annual","Annual","Annual")</f>
        <v/>
      </c>
      <c r="F575" s="8">
        <f>QS.TRADE.CREATE("trade.573",C575,E575,A575,"Receive")</f>
        <v/>
      </c>
      <c r="G575" s="5"/>
      <c r="H575" s="7" t="s">
        <v>1191</v>
      </c>
      <c r="I575" s="9">
        <v>1057300</v>
      </c>
      <c r="J575" s="10">
        <v>0.0373</v>
      </c>
    </row>
    <row r="576" spans="1:10">
      <c r="A576" s="7" t="s">
        <v>1179</v>
      </c>
      <c r="B576" s="7" t="s">
        <v>1192</v>
      </c>
      <c r="C576" s="8">
        <f>QS.CONTEXT.CREATE("market.574",A576,"USD","SOFR")</f>
        <v/>
      </c>
      <c r="D576" s="8">
        <f>QS.CONTEXT.ADD.CURVE(C576,"SOFR",$K$2:$K$7,$L$2:$L$7,,,"Actual360","LogLinear",TRUE)</f>
        <v/>
      </c>
      <c r="E576" s="8">
        <f>QS.INSTRUMENT.SWAP("swap.574",C576,H576,B576,"USD","SOFR",I576,J576,0,"Actual360","Simple","Annual","Annual","Annual")</f>
        <v/>
      </c>
      <c r="F576" s="8">
        <f>QS.TRADE.CREATE("trade.574",C576,E576,A576,"Receive")</f>
        <v/>
      </c>
      <c r="G576" s="5"/>
      <c r="H576" s="7" t="s">
        <v>1193</v>
      </c>
      <c r="I576" s="9">
        <v>1057400</v>
      </c>
      <c r="J576" s="10">
        <v>0.0374</v>
      </c>
    </row>
    <row r="577" spans="1:10">
      <c r="A577" s="7" t="s">
        <v>1181</v>
      </c>
      <c r="B577" s="7" t="s">
        <v>1194</v>
      </c>
      <c r="C577" s="8">
        <f>QS.CONTEXT.CREATE("market.575",A577,"USD","SOFR")</f>
        <v/>
      </c>
      <c r="D577" s="8">
        <f>QS.CONTEXT.ADD.CURVE(C577,"SOFR",$K$2:$K$7,$L$2:$L$7,,,"Actual360","LogLinear",TRUE)</f>
        <v/>
      </c>
      <c r="E577" s="8">
        <f>QS.INSTRUMENT.SWAP("swap.575",C577,H577,B577,"USD","SOFR",I577,J577,0,"Actual360","Simple","Annual","Annual","Annual")</f>
        <v/>
      </c>
      <c r="F577" s="8">
        <f>QS.TRADE.CREATE("trade.575",C577,E577,A577,"Receive")</f>
        <v/>
      </c>
      <c r="G577" s="5"/>
      <c r="H577" s="7" t="s">
        <v>1195</v>
      </c>
      <c r="I577" s="9">
        <v>1057500</v>
      </c>
      <c r="J577" s="10">
        <v>0.03750000000000001</v>
      </c>
    </row>
    <row r="578" spans="1:10">
      <c r="A578" s="7" t="s">
        <v>1183</v>
      </c>
      <c r="B578" s="7" t="s">
        <v>1196</v>
      </c>
      <c r="C578" s="8">
        <f>QS.CONTEXT.CREATE("market.576",A578,"USD","SOFR")</f>
        <v/>
      </c>
      <c r="D578" s="8">
        <f>QS.CONTEXT.ADD.CURVE(C578,"SOFR",$K$2:$K$7,$L$2:$L$7,,,"Actual360","LogLinear",TRUE)</f>
        <v/>
      </c>
      <c r="E578" s="8">
        <f>QS.INSTRUMENT.SWAP("swap.576",C578,H578,B578,"USD","SOFR",I578,J578,0,"Actual360","Simple","Annual","Annual","Annual")</f>
        <v/>
      </c>
      <c r="F578" s="8">
        <f>QS.TRADE.CREATE("trade.576",C578,E578,A578,"Receive")</f>
        <v/>
      </c>
      <c r="G578" s="5"/>
      <c r="H578" s="7" t="s">
        <v>1197</v>
      </c>
      <c r="I578" s="9">
        <v>1057600</v>
      </c>
      <c r="J578" s="10">
        <v>0.0376</v>
      </c>
    </row>
    <row r="579" spans="1:10">
      <c r="A579" s="7" t="s">
        <v>1185</v>
      </c>
      <c r="B579" s="7" t="s">
        <v>1198</v>
      </c>
      <c r="C579" s="8">
        <f>QS.CONTEXT.CREATE("market.577",A579,"USD","SOFR")</f>
        <v/>
      </c>
      <c r="D579" s="8">
        <f>QS.CONTEXT.ADD.CURVE(C579,"SOFR",$K$2:$K$7,$L$2:$L$7,,,"Actual360","LogLinear",TRUE)</f>
        <v/>
      </c>
      <c r="E579" s="8">
        <f>QS.INSTRUMENT.SWAP("swap.577",C579,H579,B579,"USD","SOFR",I579,J579,0,"Actual360","Simple","Annual","Annual","Annual")</f>
        <v/>
      </c>
      <c r="F579" s="8">
        <f>QS.TRADE.CREATE("trade.577",C579,E579,A579,"Receive")</f>
        <v/>
      </c>
      <c r="G579" s="5"/>
      <c r="H579" s="7" t="s">
        <v>1199</v>
      </c>
      <c r="I579" s="9">
        <v>1057700</v>
      </c>
      <c r="J579" s="10">
        <v>0.0377</v>
      </c>
    </row>
    <row r="580" spans="1:10">
      <c r="A580" s="7" t="s">
        <v>1187</v>
      </c>
      <c r="B580" s="7" t="s">
        <v>1200</v>
      </c>
      <c r="C580" s="8">
        <f>QS.CONTEXT.CREATE("market.578",A580,"USD","SOFR")</f>
        <v/>
      </c>
      <c r="D580" s="8">
        <f>QS.CONTEXT.ADD.CURVE(C580,"SOFR",$K$2:$K$7,$L$2:$L$7,,,"Actual360","LogLinear",TRUE)</f>
        <v/>
      </c>
      <c r="E580" s="8">
        <f>QS.INSTRUMENT.SWAP("swap.578",C580,H580,B580,"USD","SOFR",I580,J580,0,"Actual360","Simple","Annual","Annual","Annual")</f>
        <v/>
      </c>
      <c r="F580" s="8">
        <f>QS.TRADE.CREATE("trade.578",C580,E580,A580,"Receive")</f>
        <v/>
      </c>
      <c r="G580" s="5"/>
      <c r="H580" s="7" t="s">
        <v>1201</v>
      </c>
      <c r="I580" s="9">
        <v>1057800</v>
      </c>
      <c r="J580" s="10">
        <v>0.0378</v>
      </c>
    </row>
    <row r="581" spans="1:10">
      <c r="A581" s="7" t="s">
        <v>1189</v>
      </c>
      <c r="B581" s="7" t="s">
        <v>1202</v>
      </c>
      <c r="C581" s="8">
        <f>QS.CONTEXT.CREATE("market.579",A581,"USD","SOFR")</f>
        <v/>
      </c>
      <c r="D581" s="8">
        <f>QS.CONTEXT.ADD.CURVE(C581,"SOFR",$K$2:$K$7,$L$2:$L$7,,,"Actual360","LogLinear",TRUE)</f>
        <v/>
      </c>
      <c r="E581" s="8">
        <f>QS.INSTRUMENT.SWAP("swap.579",C581,H581,B581,"USD","SOFR",I581,J581,0,"Actual360","Simple","Annual","Annual","Annual")</f>
        <v/>
      </c>
      <c r="F581" s="8">
        <f>QS.TRADE.CREATE("trade.579",C581,E581,A581,"Receive")</f>
        <v/>
      </c>
      <c r="G581" s="5"/>
      <c r="H581" s="7" t="s">
        <v>1203</v>
      </c>
      <c r="I581" s="9">
        <v>1057900</v>
      </c>
      <c r="J581" s="10">
        <v>0.0379</v>
      </c>
    </row>
    <row r="582" spans="1:10">
      <c r="A582" s="7" t="s">
        <v>1191</v>
      </c>
      <c r="B582" s="7" t="s">
        <v>1204</v>
      </c>
      <c r="C582" s="8">
        <f>QS.CONTEXT.CREATE("market.580",A582,"USD","SOFR")</f>
        <v/>
      </c>
      <c r="D582" s="8">
        <f>QS.CONTEXT.ADD.CURVE(C582,"SOFR",$K$2:$K$7,$L$2:$L$7,,,"Actual360","LogLinear",TRUE)</f>
        <v/>
      </c>
      <c r="E582" s="8">
        <f>QS.INSTRUMENT.SWAP("swap.580",C582,H582,B582,"USD","SOFR",I582,J582,0,"Actual360","Simple","Annual","Annual","Annual")</f>
        <v/>
      </c>
      <c r="F582" s="8">
        <f>QS.TRADE.CREATE("trade.580",C582,E582,A582,"Receive")</f>
        <v/>
      </c>
      <c r="G582" s="5"/>
      <c r="H582" s="7" t="s">
        <v>1205</v>
      </c>
      <c r="I582" s="9">
        <v>1058000</v>
      </c>
      <c r="J582" s="10">
        <v>0.03800000000000001</v>
      </c>
    </row>
    <row r="583" spans="1:10">
      <c r="A583" s="7" t="s">
        <v>1193</v>
      </c>
      <c r="B583" s="7" t="s">
        <v>1206</v>
      </c>
      <c r="C583" s="8">
        <f>QS.CONTEXT.CREATE("market.581",A583,"USD","SOFR")</f>
        <v/>
      </c>
      <c r="D583" s="8">
        <f>QS.CONTEXT.ADD.CURVE(C583,"SOFR",$K$2:$K$7,$L$2:$L$7,,,"Actual360","LogLinear",TRUE)</f>
        <v/>
      </c>
      <c r="E583" s="8">
        <f>QS.INSTRUMENT.SWAP("swap.581",C583,H583,B583,"USD","SOFR",I583,J583,0,"Actual360","Simple","Annual","Annual","Annual")</f>
        <v/>
      </c>
      <c r="F583" s="8">
        <f>QS.TRADE.CREATE("trade.581",C583,E583,A583,"Receive")</f>
        <v/>
      </c>
      <c r="G583" s="5"/>
      <c r="H583" s="7" t="s">
        <v>1207</v>
      </c>
      <c r="I583" s="9">
        <v>1058100</v>
      </c>
      <c r="J583" s="10">
        <v>0.0381</v>
      </c>
    </row>
    <row r="584" spans="1:10">
      <c r="A584" s="7" t="s">
        <v>1195</v>
      </c>
      <c r="B584" s="7" t="s">
        <v>1208</v>
      </c>
      <c r="C584" s="8">
        <f>QS.CONTEXT.CREATE("market.582",A584,"USD","SOFR")</f>
        <v/>
      </c>
      <c r="D584" s="8">
        <f>QS.CONTEXT.ADD.CURVE(C584,"SOFR",$K$2:$K$7,$L$2:$L$7,,,"Actual360","LogLinear",TRUE)</f>
        <v/>
      </c>
      <c r="E584" s="8">
        <f>QS.INSTRUMENT.SWAP("swap.582",C584,H584,B584,"USD","SOFR",I584,J584,0,"Actual360","Simple","Annual","Annual","Annual")</f>
        <v/>
      </c>
      <c r="F584" s="8">
        <f>QS.TRADE.CREATE("trade.582",C584,E584,A584,"Receive")</f>
        <v/>
      </c>
      <c r="G584" s="5"/>
      <c r="H584" s="7" t="s">
        <v>1209</v>
      </c>
      <c r="I584" s="9">
        <v>1058200</v>
      </c>
      <c r="J584" s="10">
        <v>0.0382</v>
      </c>
    </row>
    <row r="585" spans="1:10">
      <c r="A585" s="7" t="s">
        <v>1197</v>
      </c>
      <c r="B585" s="7" t="s">
        <v>1210</v>
      </c>
      <c r="C585" s="8">
        <f>QS.CONTEXT.CREATE("market.583",A585,"USD","SOFR")</f>
        <v/>
      </c>
      <c r="D585" s="8">
        <f>QS.CONTEXT.ADD.CURVE(C585,"SOFR",$K$2:$K$7,$L$2:$L$7,,,"Actual360","LogLinear",TRUE)</f>
        <v/>
      </c>
      <c r="E585" s="8">
        <f>QS.INSTRUMENT.SWAP("swap.583",C585,H585,B585,"USD","SOFR",I585,J585,0,"Actual360","Simple","Annual","Annual","Annual")</f>
        <v/>
      </c>
      <c r="F585" s="8">
        <f>QS.TRADE.CREATE("trade.583",C585,E585,A585,"Receive")</f>
        <v/>
      </c>
      <c r="G585" s="5"/>
      <c r="H585" s="7" t="s">
        <v>1211</v>
      </c>
      <c r="I585" s="9">
        <v>1058300</v>
      </c>
      <c r="J585" s="10">
        <v>0.0383</v>
      </c>
    </row>
    <row r="586" spans="1:10">
      <c r="A586" s="7" t="s">
        <v>1199</v>
      </c>
      <c r="B586" s="7" t="s">
        <v>1212</v>
      </c>
      <c r="C586" s="8">
        <f>QS.CONTEXT.CREATE("market.584",A586,"USD","SOFR")</f>
        <v/>
      </c>
      <c r="D586" s="8">
        <f>QS.CONTEXT.ADD.CURVE(C586,"SOFR",$K$2:$K$7,$L$2:$L$7,,,"Actual360","LogLinear",TRUE)</f>
        <v/>
      </c>
      <c r="E586" s="8">
        <f>QS.INSTRUMENT.SWAP("swap.584",C586,H586,B586,"USD","SOFR",I586,J586,0,"Actual360","Simple","Annual","Annual","Annual")</f>
        <v/>
      </c>
      <c r="F586" s="8">
        <f>QS.TRADE.CREATE("trade.584",C586,E586,A586,"Receive")</f>
        <v/>
      </c>
      <c r="G586" s="5"/>
      <c r="H586" s="7" t="s">
        <v>1213</v>
      </c>
      <c r="I586" s="9">
        <v>1058400</v>
      </c>
      <c r="J586" s="10">
        <v>0.0384</v>
      </c>
    </row>
    <row r="587" spans="1:10">
      <c r="A587" s="7" t="s">
        <v>1201</v>
      </c>
      <c r="B587" s="7" t="s">
        <v>1214</v>
      </c>
      <c r="C587" s="8">
        <f>QS.CONTEXT.CREATE("market.585",A587,"USD","SOFR")</f>
        <v/>
      </c>
      <c r="D587" s="8">
        <f>QS.CONTEXT.ADD.CURVE(C587,"SOFR",$K$2:$K$7,$L$2:$L$7,,,"Actual360","LogLinear",TRUE)</f>
        <v/>
      </c>
      <c r="E587" s="8">
        <f>QS.INSTRUMENT.SWAP("swap.585",C587,H587,B587,"USD","SOFR",I587,J587,0,"Actual360","Simple","Annual","Annual","Annual")</f>
        <v/>
      </c>
      <c r="F587" s="8">
        <f>QS.TRADE.CREATE("trade.585",C587,E587,A587,"Receive")</f>
        <v/>
      </c>
      <c r="G587" s="5"/>
      <c r="H587" s="7" t="s">
        <v>1215</v>
      </c>
      <c r="I587" s="9">
        <v>1058500</v>
      </c>
      <c r="J587" s="10">
        <v>0.03850000000000001</v>
      </c>
    </row>
    <row r="588" spans="1:10">
      <c r="A588" s="7" t="s">
        <v>1203</v>
      </c>
      <c r="B588" s="7" t="s">
        <v>1216</v>
      </c>
      <c r="C588" s="8">
        <f>QS.CONTEXT.CREATE("market.586",A588,"USD","SOFR")</f>
        <v/>
      </c>
      <c r="D588" s="8">
        <f>QS.CONTEXT.ADD.CURVE(C588,"SOFR",$K$2:$K$7,$L$2:$L$7,,,"Actual360","LogLinear",TRUE)</f>
        <v/>
      </c>
      <c r="E588" s="8">
        <f>QS.INSTRUMENT.SWAP("swap.586",C588,H588,B588,"USD","SOFR",I588,J588,0,"Actual360","Simple","Annual","Annual","Annual")</f>
        <v/>
      </c>
      <c r="F588" s="8">
        <f>QS.TRADE.CREATE("trade.586",C588,E588,A588,"Receive")</f>
        <v/>
      </c>
      <c r="G588" s="5"/>
      <c r="H588" s="7" t="s">
        <v>1217</v>
      </c>
      <c r="I588" s="9">
        <v>1058600</v>
      </c>
      <c r="J588" s="10">
        <v>0.0386</v>
      </c>
    </row>
    <row r="589" spans="1:10">
      <c r="A589" s="7" t="s">
        <v>1205</v>
      </c>
      <c r="B589" s="7" t="s">
        <v>1218</v>
      </c>
      <c r="C589" s="8">
        <f>QS.CONTEXT.CREATE("market.587",A589,"USD","SOFR")</f>
        <v/>
      </c>
      <c r="D589" s="8">
        <f>QS.CONTEXT.ADD.CURVE(C589,"SOFR",$K$2:$K$7,$L$2:$L$7,,,"Actual360","LogLinear",TRUE)</f>
        <v/>
      </c>
      <c r="E589" s="8">
        <f>QS.INSTRUMENT.SWAP("swap.587",C589,H589,B589,"USD","SOFR",I589,J589,0,"Actual360","Simple","Annual","Annual","Annual")</f>
        <v/>
      </c>
      <c r="F589" s="8">
        <f>QS.TRADE.CREATE("trade.587",C589,E589,A589,"Receive")</f>
        <v/>
      </c>
      <c r="G589" s="5"/>
      <c r="H589" s="7" t="s">
        <v>1219</v>
      </c>
      <c r="I589" s="9">
        <v>1058700</v>
      </c>
      <c r="J589" s="10">
        <v>0.03870000000000001</v>
      </c>
    </row>
    <row r="590" spans="1:10">
      <c r="A590" s="7" t="s">
        <v>1207</v>
      </c>
      <c r="B590" s="7" t="s">
        <v>1220</v>
      </c>
      <c r="C590" s="8">
        <f>QS.CONTEXT.CREATE("market.588",A590,"USD","SOFR")</f>
        <v/>
      </c>
      <c r="D590" s="8">
        <f>QS.CONTEXT.ADD.CURVE(C590,"SOFR",$K$2:$K$7,$L$2:$L$7,,,"Actual360","LogLinear",TRUE)</f>
        <v/>
      </c>
      <c r="E590" s="8">
        <f>QS.INSTRUMENT.SWAP("swap.588",C590,H590,B590,"USD","SOFR",I590,J590,0,"Actual360","Simple","Annual","Annual","Annual")</f>
        <v/>
      </c>
      <c r="F590" s="8">
        <f>QS.TRADE.CREATE("trade.588",C590,E590,A590,"Receive")</f>
        <v/>
      </c>
      <c r="G590" s="5"/>
      <c r="H590" s="7" t="s">
        <v>1221</v>
      </c>
      <c r="I590" s="9">
        <v>1058800</v>
      </c>
      <c r="J590" s="10">
        <v>0.0388</v>
      </c>
    </row>
    <row r="591" spans="1:10">
      <c r="A591" s="7" t="s">
        <v>1209</v>
      </c>
      <c r="B591" s="7" t="s">
        <v>1222</v>
      </c>
      <c r="C591" s="8">
        <f>QS.CONTEXT.CREATE("market.589",A591,"USD","SOFR")</f>
        <v/>
      </c>
      <c r="D591" s="8">
        <f>QS.CONTEXT.ADD.CURVE(C591,"SOFR",$K$2:$K$7,$L$2:$L$7,,,"Actual360","LogLinear",TRUE)</f>
        <v/>
      </c>
      <c r="E591" s="8">
        <f>QS.INSTRUMENT.SWAP("swap.589",C591,H591,B591,"USD","SOFR",I591,J591,0,"Actual360","Simple","Annual","Annual","Annual")</f>
        <v/>
      </c>
      <c r="F591" s="8">
        <f>QS.TRADE.CREATE("trade.589",C591,E591,A591,"Receive")</f>
        <v/>
      </c>
      <c r="G591" s="5"/>
      <c r="H591" s="7" t="s">
        <v>1223</v>
      </c>
      <c r="I591" s="9">
        <v>1058900</v>
      </c>
      <c r="J591" s="10">
        <v>0.0389</v>
      </c>
    </row>
    <row r="592" spans="1:10">
      <c r="A592" s="7" t="s">
        <v>1211</v>
      </c>
      <c r="B592" s="7" t="s">
        <v>1224</v>
      </c>
      <c r="C592" s="8">
        <f>QS.CONTEXT.CREATE("market.590",A592,"USD","SOFR")</f>
        <v/>
      </c>
      <c r="D592" s="8">
        <f>QS.CONTEXT.ADD.CURVE(C592,"SOFR",$K$2:$K$7,$L$2:$L$7,,,"Actual360","LogLinear",TRUE)</f>
        <v/>
      </c>
      <c r="E592" s="8">
        <f>QS.INSTRUMENT.SWAP("swap.590",C592,H592,B592,"USD","SOFR",I592,J592,0,"Actual360","Simple","Annual","Annual","Annual")</f>
        <v/>
      </c>
      <c r="F592" s="8">
        <f>QS.TRADE.CREATE("trade.590",C592,E592,A592,"Receive")</f>
        <v/>
      </c>
      <c r="G592" s="5"/>
      <c r="H592" s="7" t="s">
        <v>1225</v>
      </c>
      <c r="I592" s="9">
        <v>1059000</v>
      </c>
      <c r="J592" s="10">
        <v>0.03900000000000001</v>
      </c>
    </row>
    <row r="593" spans="1:10">
      <c r="A593" s="7" t="s">
        <v>1213</v>
      </c>
      <c r="B593" s="7" t="s">
        <v>1226</v>
      </c>
      <c r="C593" s="8">
        <f>QS.CONTEXT.CREATE("market.591",A593,"USD","SOFR")</f>
        <v/>
      </c>
      <c r="D593" s="8">
        <f>QS.CONTEXT.ADD.CURVE(C593,"SOFR",$K$2:$K$7,$L$2:$L$7,,,"Actual360","LogLinear",TRUE)</f>
        <v/>
      </c>
      <c r="E593" s="8">
        <f>QS.INSTRUMENT.SWAP("swap.591",C593,H593,B593,"USD","SOFR",I593,J593,0,"Actual360","Simple","Annual","Annual","Annual")</f>
        <v/>
      </c>
      <c r="F593" s="8">
        <f>QS.TRADE.CREATE("trade.591",C593,E593,A593,"Receive")</f>
        <v/>
      </c>
      <c r="G593" s="5"/>
      <c r="H593" s="7" t="s">
        <v>1227</v>
      </c>
      <c r="I593" s="9">
        <v>1059100</v>
      </c>
      <c r="J593" s="10">
        <v>0.0391</v>
      </c>
    </row>
    <row r="594" spans="1:10">
      <c r="A594" s="7" t="s">
        <v>1215</v>
      </c>
      <c r="B594" s="7" t="s">
        <v>1228</v>
      </c>
      <c r="C594" s="8">
        <f>QS.CONTEXT.CREATE("market.592",A594,"USD","SOFR")</f>
        <v/>
      </c>
      <c r="D594" s="8">
        <f>QS.CONTEXT.ADD.CURVE(C594,"SOFR",$K$2:$K$7,$L$2:$L$7,,,"Actual360","LogLinear",TRUE)</f>
        <v/>
      </c>
      <c r="E594" s="8">
        <f>QS.INSTRUMENT.SWAP("swap.592",C594,H594,B594,"USD","SOFR",I594,J594,0,"Actual360","Simple","Annual","Annual","Annual")</f>
        <v/>
      </c>
      <c r="F594" s="8">
        <f>QS.TRADE.CREATE("trade.592",C594,E594,A594,"Receive")</f>
        <v/>
      </c>
      <c r="G594" s="5"/>
      <c r="H594" s="7" t="s">
        <v>1229</v>
      </c>
      <c r="I594" s="9">
        <v>1059200</v>
      </c>
      <c r="J594" s="10">
        <v>0.03920000000000001</v>
      </c>
    </row>
    <row r="595" spans="1:10">
      <c r="A595" s="7" t="s">
        <v>1217</v>
      </c>
      <c r="B595" s="7" t="s">
        <v>1230</v>
      </c>
      <c r="C595" s="8">
        <f>QS.CONTEXT.CREATE("market.593",A595,"USD","SOFR")</f>
        <v/>
      </c>
      <c r="D595" s="8">
        <f>QS.CONTEXT.ADD.CURVE(C595,"SOFR",$K$2:$K$7,$L$2:$L$7,,,"Actual360","LogLinear",TRUE)</f>
        <v/>
      </c>
      <c r="E595" s="8">
        <f>QS.INSTRUMENT.SWAP("swap.593",C595,H595,B595,"USD","SOFR",I595,J595,0,"Actual360","Simple","Annual","Annual","Annual")</f>
        <v/>
      </c>
      <c r="F595" s="8">
        <f>QS.TRADE.CREATE("trade.593",C595,E595,A595,"Receive")</f>
        <v/>
      </c>
      <c r="G595" s="5"/>
      <c r="H595" s="7" t="s">
        <v>1231</v>
      </c>
      <c r="I595" s="9">
        <v>1059300</v>
      </c>
      <c r="J595" s="10">
        <v>0.0393</v>
      </c>
    </row>
    <row r="596" spans="1:10">
      <c r="A596" s="7" t="s">
        <v>1219</v>
      </c>
      <c r="B596" s="7" t="s">
        <v>1232</v>
      </c>
      <c r="C596" s="8">
        <f>QS.CONTEXT.CREATE("market.594",A596,"USD","SOFR")</f>
        <v/>
      </c>
      <c r="D596" s="8">
        <f>QS.CONTEXT.ADD.CURVE(C596,"SOFR",$K$2:$K$7,$L$2:$L$7,,,"Actual360","LogLinear",TRUE)</f>
        <v/>
      </c>
      <c r="E596" s="8">
        <f>QS.INSTRUMENT.SWAP("swap.594",C596,H596,B596,"USD","SOFR",I596,J596,0,"Actual360","Simple","Annual","Annual","Annual")</f>
        <v/>
      </c>
      <c r="F596" s="8">
        <f>QS.TRADE.CREATE("trade.594",C596,E596,A596,"Receive")</f>
        <v/>
      </c>
      <c r="G596" s="5"/>
      <c r="H596" s="7" t="s">
        <v>1233</v>
      </c>
      <c r="I596" s="9">
        <v>1059400</v>
      </c>
      <c r="J596" s="10">
        <v>0.0394</v>
      </c>
    </row>
    <row r="597" spans="1:10">
      <c r="A597" s="7" t="s">
        <v>1221</v>
      </c>
      <c r="B597" s="7" t="s">
        <v>1234</v>
      </c>
      <c r="C597" s="8">
        <f>QS.CONTEXT.CREATE("market.595",A597,"USD","SOFR")</f>
        <v/>
      </c>
      <c r="D597" s="8">
        <f>QS.CONTEXT.ADD.CURVE(C597,"SOFR",$K$2:$K$7,$L$2:$L$7,,,"Actual360","LogLinear",TRUE)</f>
        <v/>
      </c>
      <c r="E597" s="8">
        <f>QS.INSTRUMENT.SWAP("swap.595",C597,H597,B597,"USD","SOFR",I597,J597,0,"Actual360","Simple","Annual","Annual","Annual")</f>
        <v/>
      </c>
      <c r="F597" s="8">
        <f>QS.TRADE.CREATE("trade.595",C597,E597,A597,"Receive")</f>
        <v/>
      </c>
      <c r="G597" s="5"/>
      <c r="H597" s="7" t="s">
        <v>1235</v>
      </c>
      <c r="I597" s="9">
        <v>1059500</v>
      </c>
      <c r="J597" s="10">
        <v>0.03950000000000001</v>
      </c>
    </row>
    <row r="598" spans="1:10">
      <c r="A598" s="7" t="s">
        <v>1223</v>
      </c>
      <c r="B598" s="7" t="s">
        <v>1236</v>
      </c>
      <c r="C598" s="8">
        <f>QS.CONTEXT.CREATE("market.596",A598,"USD","SOFR")</f>
        <v/>
      </c>
      <c r="D598" s="8">
        <f>QS.CONTEXT.ADD.CURVE(C598,"SOFR",$K$2:$K$7,$L$2:$L$7,,,"Actual360","LogLinear",TRUE)</f>
        <v/>
      </c>
      <c r="E598" s="8">
        <f>QS.INSTRUMENT.SWAP("swap.596",C598,H598,B598,"USD","SOFR",I598,J598,0,"Actual360","Simple","Annual","Annual","Annual")</f>
        <v/>
      </c>
      <c r="F598" s="8">
        <f>QS.TRADE.CREATE("trade.596",C598,E598,A598,"Receive")</f>
        <v/>
      </c>
      <c r="G598" s="5"/>
      <c r="H598" s="7" t="s">
        <v>1237</v>
      </c>
      <c r="I598" s="9">
        <v>1059600</v>
      </c>
      <c r="J598" s="10">
        <v>0.0396</v>
      </c>
    </row>
    <row r="599" spans="1:10">
      <c r="A599" s="7" t="s">
        <v>1225</v>
      </c>
      <c r="B599" s="7" t="s">
        <v>1238</v>
      </c>
      <c r="C599" s="8">
        <f>QS.CONTEXT.CREATE("market.597",A599,"USD","SOFR")</f>
        <v/>
      </c>
      <c r="D599" s="8">
        <f>QS.CONTEXT.ADD.CURVE(C599,"SOFR",$K$2:$K$7,$L$2:$L$7,,,"Actual360","LogLinear",TRUE)</f>
        <v/>
      </c>
      <c r="E599" s="8">
        <f>QS.INSTRUMENT.SWAP("swap.597",C599,H599,B599,"USD","SOFR",I599,J599,0,"Actual360","Simple","Annual","Annual","Annual")</f>
        <v/>
      </c>
      <c r="F599" s="8">
        <f>QS.TRADE.CREATE("trade.597",C599,E599,A599,"Receive")</f>
        <v/>
      </c>
      <c r="G599" s="5"/>
      <c r="H599" s="7" t="s">
        <v>1239</v>
      </c>
      <c r="I599" s="9">
        <v>1059700</v>
      </c>
      <c r="J599" s="10">
        <v>0.03970000000000001</v>
      </c>
    </row>
    <row r="600" spans="1:10">
      <c r="A600" s="7" t="s">
        <v>1227</v>
      </c>
      <c r="B600" s="7" t="s">
        <v>1240</v>
      </c>
      <c r="C600" s="8">
        <f>QS.CONTEXT.CREATE("market.598",A600,"USD","SOFR")</f>
        <v/>
      </c>
      <c r="D600" s="8">
        <f>QS.CONTEXT.ADD.CURVE(C600,"SOFR",$K$2:$K$7,$L$2:$L$7,,,"Actual360","LogLinear",TRUE)</f>
        <v/>
      </c>
      <c r="E600" s="8">
        <f>QS.INSTRUMENT.SWAP("swap.598",C600,H600,B600,"USD","SOFR",I600,J600,0,"Actual360","Simple","Annual","Annual","Annual")</f>
        <v/>
      </c>
      <c r="F600" s="8">
        <f>QS.TRADE.CREATE("trade.598",C600,E600,A600,"Receive")</f>
        <v/>
      </c>
      <c r="G600" s="5"/>
      <c r="H600" s="7" t="s">
        <v>1241</v>
      </c>
      <c r="I600" s="9">
        <v>1059800</v>
      </c>
      <c r="J600" s="10">
        <v>0.0398</v>
      </c>
    </row>
    <row r="601" spans="1:10">
      <c r="A601" s="7" t="s">
        <v>1229</v>
      </c>
      <c r="B601" s="7" t="s">
        <v>1242</v>
      </c>
      <c r="C601" s="8">
        <f>QS.CONTEXT.CREATE("market.599",A601,"USD","SOFR")</f>
        <v/>
      </c>
      <c r="D601" s="8">
        <f>QS.CONTEXT.ADD.CURVE(C601,"SOFR",$K$2:$K$7,$L$2:$L$7,,,"Actual360","LogLinear",TRUE)</f>
        <v/>
      </c>
      <c r="E601" s="8">
        <f>QS.INSTRUMENT.SWAP("swap.599",C601,H601,B601,"USD","SOFR",I601,J601,0,"Actual360","Simple","Annual","Annual","Annual")</f>
        <v/>
      </c>
      <c r="F601" s="8">
        <f>QS.TRADE.CREATE("trade.599",C601,E601,A601,"Receive")</f>
        <v/>
      </c>
      <c r="G601" s="5"/>
      <c r="H601" s="7" t="s">
        <v>1243</v>
      </c>
      <c r="I601" s="9">
        <v>1059900</v>
      </c>
      <c r="J601" s="10">
        <v>0.0399</v>
      </c>
    </row>
    <row r="602" spans="1:10">
      <c r="A602" s="7" t="s">
        <v>1231</v>
      </c>
      <c r="B602" s="7" t="s">
        <v>1244</v>
      </c>
      <c r="C602" s="8">
        <f>QS.CONTEXT.CREATE("market.600",A602,"USD","SOFR")</f>
        <v/>
      </c>
      <c r="D602" s="8">
        <f>QS.CONTEXT.ADD.CURVE(C602,"SOFR",$K$2:$K$7,$L$2:$L$7,,,"Actual360","LogLinear",TRUE)</f>
        <v/>
      </c>
      <c r="E602" s="8">
        <f>QS.INSTRUMENT.SWAP("swap.600",C602,H602,B602,"USD","SOFR",I602,J602,0,"Actual360","Simple","Annual","Annual","Annual")</f>
        <v/>
      </c>
      <c r="F602" s="8">
        <f>QS.TRADE.CREATE("trade.600",C602,E602,A602,"Receive")</f>
        <v/>
      </c>
      <c r="G602" s="5"/>
      <c r="H602" s="7" t="s">
        <v>1245</v>
      </c>
      <c r="I602" s="9">
        <v>1060000</v>
      </c>
      <c r="J602" s="10">
        <v>0.035</v>
      </c>
    </row>
    <row r="603" spans="1:10">
      <c r="A603" s="7" t="s">
        <v>1233</v>
      </c>
      <c r="B603" s="7" t="s">
        <v>1246</v>
      </c>
      <c r="C603" s="8">
        <f>QS.CONTEXT.CREATE("market.601",A603,"USD","SOFR")</f>
        <v/>
      </c>
      <c r="D603" s="8">
        <f>QS.CONTEXT.ADD.CURVE(C603,"SOFR",$K$2:$K$7,$L$2:$L$7,,,"Actual360","LogLinear",TRUE)</f>
        <v/>
      </c>
      <c r="E603" s="8">
        <f>QS.INSTRUMENT.SWAP("swap.601",C603,H603,B603,"USD","SOFR",I603,J603,0,"Actual360","Simple","Annual","Annual","Annual")</f>
        <v/>
      </c>
      <c r="F603" s="8">
        <f>QS.TRADE.CREATE("trade.601",C603,E603,A603,"Receive")</f>
        <v/>
      </c>
      <c r="G603" s="5"/>
      <c r="H603" s="7" t="s">
        <v>1247</v>
      </c>
      <c r="I603" s="9">
        <v>1060100</v>
      </c>
      <c r="J603" s="10">
        <v>0.03510000000000001</v>
      </c>
    </row>
    <row r="604" spans="1:10">
      <c r="A604" s="7" t="s">
        <v>1235</v>
      </c>
      <c r="B604" s="7" t="s">
        <v>1248</v>
      </c>
      <c r="C604" s="8">
        <f>QS.CONTEXT.CREATE("market.602",A604,"USD","SOFR")</f>
        <v/>
      </c>
      <c r="D604" s="8">
        <f>QS.CONTEXT.ADD.CURVE(C604,"SOFR",$K$2:$K$7,$L$2:$L$7,,,"Actual360","LogLinear",TRUE)</f>
        <v/>
      </c>
      <c r="E604" s="8">
        <f>QS.INSTRUMENT.SWAP("swap.602",C604,H604,B604,"USD","SOFR",I604,J604,0,"Actual360","Simple","Annual","Annual","Annual")</f>
        <v/>
      </c>
      <c r="F604" s="8">
        <f>QS.TRADE.CREATE("trade.602",C604,E604,A604,"Receive")</f>
        <v/>
      </c>
      <c r="G604" s="5"/>
      <c r="H604" s="7" t="s">
        <v>1249</v>
      </c>
      <c r="I604" s="9">
        <v>1060200</v>
      </c>
      <c r="J604" s="10">
        <v>0.0352</v>
      </c>
    </row>
    <row r="605" spans="1:10">
      <c r="A605" s="7" t="s">
        <v>1237</v>
      </c>
      <c r="B605" s="7" t="s">
        <v>1250</v>
      </c>
      <c r="C605" s="8">
        <f>QS.CONTEXT.CREATE("market.603",A605,"USD","SOFR")</f>
        <v/>
      </c>
      <c r="D605" s="8">
        <f>QS.CONTEXT.ADD.CURVE(C605,"SOFR",$K$2:$K$7,$L$2:$L$7,,,"Actual360","LogLinear",TRUE)</f>
        <v/>
      </c>
      <c r="E605" s="8">
        <f>QS.INSTRUMENT.SWAP("swap.603",C605,H605,B605,"USD","SOFR",I605,J605,0,"Actual360","Simple","Annual","Annual","Annual")</f>
        <v/>
      </c>
      <c r="F605" s="8">
        <f>QS.TRADE.CREATE("trade.603",C605,E605,A605,"Receive")</f>
        <v/>
      </c>
      <c r="G605" s="5"/>
      <c r="H605" s="7" t="s">
        <v>1251</v>
      </c>
      <c r="I605" s="9">
        <v>1060300</v>
      </c>
      <c r="J605" s="10">
        <v>0.0353</v>
      </c>
    </row>
    <row r="606" spans="1:10">
      <c r="A606" s="7" t="s">
        <v>1239</v>
      </c>
      <c r="B606" s="7" t="s">
        <v>1252</v>
      </c>
      <c r="C606" s="8">
        <f>QS.CONTEXT.CREATE("market.604",A606,"USD","SOFR")</f>
        <v/>
      </c>
      <c r="D606" s="8">
        <f>QS.CONTEXT.ADD.CURVE(C606,"SOFR",$K$2:$K$7,$L$2:$L$7,,,"Actual360","LogLinear",TRUE)</f>
        <v/>
      </c>
      <c r="E606" s="8">
        <f>QS.INSTRUMENT.SWAP("swap.604",C606,H606,B606,"USD","SOFR",I606,J606,0,"Actual360","Simple","Annual","Annual","Annual")</f>
        <v/>
      </c>
      <c r="F606" s="8">
        <f>QS.TRADE.CREATE("trade.604",C606,E606,A606,"Receive")</f>
        <v/>
      </c>
      <c r="G606" s="5"/>
      <c r="H606" s="7" t="s">
        <v>1253</v>
      </c>
      <c r="I606" s="9">
        <v>1060400</v>
      </c>
      <c r="J606" s="10">
        <v>0.0354</v>
      </c>
    </row>
    <row r="607" spans="1:10">
      <c r="A607" s="7" t="s">
        <v>1241</v>
      </c>
      <c r="B607" s="7" t="s">
        <v>1254</v>
      </c>
      <c r="C607" s="8">
        <f>QS.CONTEXT.CREATE("market.605",A607,"USD","SOFR")</f>
        <v/>
      </c>
      <c r="D607" s="8">
        <f>QS.CONTEXT.ADD.CURVE(C607,"SOFR",$K$2:$K$7,$L$2:$L$7,,,"Actual360","LogLinear",TRUE)</f>
        <v/>
      </c>
      <c r="E607" s="8">
        <f>QS.INSTRUMENT.SWAP("swap.605",C607,H607,B607,"USD","SOFR",I607,J607,0,"Actual360","Simple","Annual","Annual","Annual")</f>
        <v/>
      </c>
      <c r="F607" s="8">
        <f>QS.TRADE.CREATE("trade.605",C607,E607,A607,"Receive")</f>
        <v/>
      </c>
      <c r="G607" s="5"/>
      <c r="H607" s="7" t="s">
        <v>1255</v>
      </c>
      <c r="I607" s="9">
        <v>1060500</v>
      </c>
      <c r="J607" s="10">
        <v>0.0355</v>
      </c>
    </row>
    <row r="608" spans="1:10">
      <c r="A608" s="7" t="s">
        <v>1243</v>
      </c>
      <c r="B608" s="7" t="s">
        <v>1256</v>
      </c>
      <c r="C608" s="8">
        <f>QS.CONTEXT.CREATE("market.606",A608,"USD","SOFR")</f>
        <v/>
      </c>
      <c r="D608" s="8">
        <f>QS.CONTEXT.ADD.CURVE(C608,"SOFR",$K$2:$K$7,$L$2:$L$7,,,"Actual360","LogLinear",TRUE)</f>
        <v/>
      </c>
      <c r="E608" s="8">
        <f>QS.INSTRUMENT.SWAP("swap.606",C608,H608,B608,"USD","SOFR",I608,J608,0,"Actual360","Simple","Annual","Annual","Annual")</f>
        <v/>
      </c>
      <c r="F608" s="8">
        <f>QS.TRADE.CREATE("trade.606",C608,E608,A608,"Receive")</f>
        <v/>
      </c>
      <c r="G608" s="5"/>
      <c r="H608" s="7" t="s">
        <v>1257</v>
      </c>
      <c r="I608" s="9">
        <v>1060600</v>
      </c>
      <c r="J608" s="10">
        <v>0.03560000000000001</v>
      </c>
    </row>
    <row r="609" spans="1:10">
      <c r="A609" s="7" t="s">
        <v>1245</v>
      </c>
      <c r="B609" s="7" t="s">
        <v>1258</v>
      </c>
      <c r="C609" s="8">
        <f>QS.CONTEXT.CREATE("market.607",A609,"USD","SOFR")</f>
        <v/>
      </c>
      <c r="D609" s="8">
        <f>QS.CONTEXT.ADD.CURVE(C609,"SOFR",$K$2:$K$7,$L$2:$L$7,,,"Actual360","LogLinear",TRUE)</f>
        <v/>
      </c>
      <c r="E609" s="8">
        <f>QS.INSTRUMENT.SWAP("swap.607",C609,H609,B609,"USD","SOFR",I609,J609,0,"Actual360","Simple","Annual","Annual","Annual")</f>
        <v/>
      </c>
      <c r="F609" s="8">
        <f>QS.TRADE.CREATE("trade.607",C609,E609,A609,"Receive")</f>
        <v/>
      </c>
      <c r="G609" s="5"/>
      <c r="H609" s="7" t="s">
        <v>1259</v>
      </c>
      <c r="I609" s="9">
        <v>1060700</v>
      </c>
      <c r="J609" s="10">
        <v>0.0357</v>
      </c>
    </row>
    <row r="610" spans="1:10">
      <c r="A610" s="7" t="s">
        <v>1247</v>
      </c>
      <c r="B610" s="7" t="s">
        <v>1260</v>
      </c>
      <c r="C610" s="8">
        <f>QS.CONTEXT.CREATE("market.608",A610,"USD","SOFR")</f>
        <v/>
      </c>
      <c r="D610" s="8">
        <f>QS.CONTEXT.ADD.CURVE(C610,"SOFR",$K$2:$K$7,$L$2:$L$7,,,"Actual360","LogLinear",TRUE)</f>
        <v/>
      </c>
      <c r="E610" s="8">
        <f>QS.INSTRUMENT.SWAP("swap.608",C610,H610,B610,"USD","SOFR",I610,J610,0,"Actual360","Simple","Annual","Annual","Annual")</f>
        <v/>
      </c>
      <c r="F610" s="8">
        <f>QS.TRADE.CREATE("trade.608",C610,E610,A610,"Receive")</f>
        <v/>
      </c>
      <c r="G610" s="5"/>
      <c r="H610" s="7" t="s">
        <v>1261</v>
      </c>
      <c r="I610" s="9">
        <v>1060800</v>
      </c>
      <c r="J610" s="10">
        <v>0.03580000000000001</v>
      </c>
    </row>
    <row r="611" spans="1:10">
      <c r="A611" s="7" t="s">
        <v>1249</v>
      </c>
      <c r="B611" s="7" t="s">
        <v>1262</v>
      </c>
      <c r="C611" s="8">
        <f>QS.CONTEXT.CREATE("market.609",A611,"USD","SOFR")</f>
        <v/>
      </c>
      <c r="D611" s="8">
        <f>QS.CONTEXT.ADD.CURVE(C611,"SOFR",$K$2:$K$7,$L$2:$L$7,,,"Actual360","LogLinear",TRUE)</f>
        <v/>
      </c>
      <c r="E611" s="8">
        <f>QS.INSTRUMENT.SWAP("swap.609",C611,H611,B611,"USD","SOFR",I611,J611,0,"Actual360","Simple","Annual","Annual","Annual")</f>
        <v/>
      </c>
      <c r="F611" s="8">
        <f>QS.TRADE.CREATE("trade.609",C611,E611,A611,"Receive")</f>
        <v/>
      </c>
      <c r="G611" s="5"/>
      <c r="H611" s="7" t="s">
        <v>1263</v>
      </c>
      <c r="I611" s="9">
        <v>1060900</v>
      </c>
      <c r="J611" s="10">
        <v>0.0359</v>
      </c>
    </row>
    <row r="612" spans="1:10">
      <c r="A612" s="7" t="s">
        <v>1251</v>
      </c>
      <c r="B612" s="7" t="s">
        <v>1264</v>
      </c>
      <c r="C612" s="8">
        <f>QS.CONTEXT.CREATE("market.610",A612,"USD","SOFR")</f>
        <v/>
      </c>
      <c r="D612" s="8">
        <f>QS.CONTEXT.ADD.CURVE(C612,"SOFR",$K$2:$K$7,$L$2:$L$7,,,"Actual360","LogLinear",TRUE)</f>
        <v/>
      </c>
      <c r="E612" s="8">
        <f>QS.INSTRUMENT.SWAP("swap.610",C612,H612,B612,"USD","SOFR",I612,J612,0,"Actual360","Simple","Annual","Annual","Annual")</f>
        <v/>
      </c>
      <c r="F612" s="8">
        <f>QS.TRADE.CREATE("trade.610",C612,E612,A612,"Receive")</f>
        <v/>
      </c>
      <c r="G612" s="5"/>
      <c r="H612" s="7" t="s">
        <v>1265</v>
      </c>
      <c r="I612" s="9">
        <v>1061000</v>
      </c>
      <c r="J612" s="10">
        <v>0.036</v>
      </c>
    </row>
    <row r="613" spans="1:10">
      <c r="A613" s="7" t="s">
        <v>1253</v>
      </c>
      <c r="B613" s="7" t="s">
        <v>1266</v>
      </c>
      <c r="C613" s="8">
        <f>QS.CONTEXT.CREATE("market.611",A613,"USD","SOFR")</f>
        <v/>
      </c>
      <c r="D613" s="8">
        <f>QS.CONTEXT.ADD.CURVE(C613,"SOFR",$K$2:$K$7,$L$2:$L$7,,,"Actual360","LogLinear",TRUE)</f>
        <v/>
      </c>
      <c r="E613" s="8">
        <f>QS.INSTRUMENT.SWAP("swap.611",C613,H613,B613,"USD","SOFR",I613,J613,0,"Actual360","Simple","Annual","Annual","Annual")</f>
        <v/>
      </c>
      <c r="F613" s="8">
        <f>QS.TRADE.CREATE("trade.611",C613,E613,A613,"Receive")</f>
        <v/>
      </c>
      <c r="G613" s="5"/>
      <c r="H613" s="7" t="s">
        <v>1267</v>
      </c>
      <c r="I613" s="9">
        <v>1061100</v>
      </c>
      <c r="J613" s="10">
        <v>0.0361</v>
      </c>
    </row>
    <row r="614" spans="1:10">
      <c r="A614" s="7" t="s">
        <v>1255</v>
      </c>
      <c r="B614" s="7" t="s">
        <v>1268</v>
      </c>
      <c r="C614" s="8">
        <f>QS.CONTEXT.CREATE("market.612",A614,"USD","SOFR")</f>
        <v/>
      </c>
      <c r="D614" s="8">
        <f>QS.CONTEXT.ADD.CURVE(C614,"SOFR",$K$2:$K$7,$L$2:$L$7,,,"Actual360","LogLinear",TRUE)</f>
        <v/>
      </c>
      <c r="E614" s="8">
        <f>QS.INSTRUMENT.SWAP("swap.612",C614,H614,B614,"USD","SOFR",I614,J614,0,"Actual360","Simple","Annual","Annual","Annual")</f>
        <v/>
      </c>
      <c r="F614" s="8">
        <f>QS.TRADE.CREATE("trade.612",C614,E614,A614,"Receive")</f>
        <v/>
      </c>
      <c r="G614" s="5"/>
      <c r="H614" s="7" t="s">
        <v>1269</v>
      </c>
      <c r="I614" s="9">
        <v>1061200</v>
      </c>
      <c r="J614" s="10">
        <v>0.0362</v>
      </c>
    </row>
    <row r="615" spans="1:10">
      <c r="A615" s="7" t="s">
        <v>1257</v>
      </c>
      <c r="B615" s="7" t="s">
        <v>1270</v>
      </c>
      <c r="C615" s="8">
        <f>QS.CONTEXT.CREATE("market.613",A615,"USD","SOFR")</f>
        <v/>
      </c>
      <c r="D615" s="8">
        <f>QS.CONTEXT.ADD.CURVE(C615,"SOFR",$K$2:$K$7,$L$2:$L$7,,,"Actual360","LogLinear",TRUE)</f>
        <v/>
      </c>
      <c r="E615" s="8">
        <f>QS.INSTRUMENT.SWAP("swap.613",C615,H615,B615,"USD","SOFR",I615,J615,0,"Actual360","Simple","Annual","Annual","Annual")</f>
        <v/>
      </c>
      <c r="F615" s="8">
        <f>QS.TRADE.CREATE("trade.613",C615,E615,A615,"Receive")</f>
        <v/>
      </c>
      <c r="G615" s="5"/>
      <c r="H615" s="7" t="s">
        <v>1271</v>
      </c>
      <c r="I615" s="9">
        <v>1061300</v>
      </c>
      <c r="J615" s="10">
        <v>0.03630000000000001</v>
      </c>
    </row>
    <row r="616" spans="1:10">
      <c r="A616" s="7" t="s">
        <v>1259</v>
      </c>
      <c r="B616" s="7" t="s">
        <v>1272</v>
      </c>
      <c r="C616" s="8">
        <f>QS.CONTEXT.CREATE("market.614",A616,"USD","SOFR")</f>
        <v/>
      </c>
      <c r="D616" s="8">
        <f>QS.CONTEXT.ADD.CURVE(C616,"SOFR",$K$2:$K$7,$L$2:$L$7,,,"Actual360","LogLinear",TRUE)</f>
        <v/>
      </c>
      <c r="E616" s="8">
        <f>QS.INSTRUMENT.SWAP("swap.614",C616,H616,B616,"USD","SOFR",I616,J616,0,"Actual360","Simple","Annual","Annual","Annual")</f>
        <v/>
      </c>
      <c r="F616" s="8">
        <f>QS.TRADE.CREATE("trade.614",C616,E616,A616,"Receive")</f>
        <v/>
      </c>
      <c r="G616" s="5"/>
      <c r="H616" s="7" t="s">
        <v>1273</v>
      </c>
      <c r="I616" s="9">
        <v>1061400</v>
      </c>
      <c r="J616" s="10">
        <v>0.0364</v>
      </c>
    </row>
    <row r="617" spans="1:10">
      <c r="A617" s="7" t="s">
        <v>1261</v>
      </c>
      <c r="B617" s="7" t="s">
        <v>1274</v>
      </c>
      <c r="C617" s="8">
        <f>QS.CONTEXT.CREATE("market.615",A617,"USD","SOFR")</f>
        <v/>
      </c>
      <c r="D617" s="8">
        <f>QS.CONTEXT.ADD.CURVE(C617,"SOFR",$K$2:$K$7,$L$2:$L$7,,,"Actual360","LogLinear",TRUE)</f>
        <v/>
      </c>
      <c r="E617" s="8">
        <f>QS.INSTRUMENT.SWAP("swap.615",C617,H617,B617,"USD","SOFR",I617,J617,0,"Actual360","Simple","Annual","Annual","Annual")</f>
        <v/>
      </c>
      <c r="F617" s="8">
        <f>QS.TRADE.CREATE("trade.615",C617,E617,A617,"Receive")</f>
        <v/>
      </c>
      <c r="G617" s="5"/>
      <c r="H617" s="7" t="s">
        <v>1275</v>
      </c>
      <c r="I617" s="9">
        <v>1061500</v>
      </c>
      <c r="J617" s="10">
        <v>0.0365</v>
      </c>
    </row>
    <row r="618" spans="1:10">
      <c r="A618" s="7" t="s">
        <v>1263</v>
      </c>
      <c r="B618" s="7" t="s">
        <v>1276</v>
      </c>
      <c r="C618" s="8">
        <f>QS.CONTEXT.CREATE("market.616",A618,"USD","SOFR")</f>
        <v/>
      </c>
      <c r="D618" s="8">
        <f>QS.CONTEXT.ADD.CURVE(C618,"SOFR",$K$2:$K$7,$L$2:$L$7,,,"Actual360","LogLinear",TRUE)</f>
        <v/>
      </c>
      <c r="E618" s="8">
        <f>QS.INSTRUMENT.SWAP("swap.616",C618,H618,B618,"USD","SOFR",I618,J618,0,"Actual360","Simple","Annual","Annual","Annual")</f>
        <v/>
      </c>
      <c r="F618" s="8">
        <f>QS.TRADE.CREATE("trade.616",C618,E618,A618,"Receive")</f>
        <v/>
      </c>
      <c r="G618" s="5"/>
      <c r="H618" s="7" t="s">
        <v>1277</v>
      </c>
      <c r="I618" s="9">
        <v>1061600</v>
      </c>
      <c r="J618" s="10">
        <v>0.0366</v>
      </c>
    </row>
    <row r="619" spans="1:10">
      <c r="A619" s="7" t="s">
        <v>1265</v>
      </c>
      <c r="B619" s="7" t="s">
        <v>1278</v>
      </c>
      <c r="C619" s="8">
        <f>QS.CONTEXT.CREATE("market.617",A619,"USD","SOFR")</f>
        <v/>
      </c>
      <c r="D619" s="8">
        <f>QS.CONTEXT.ADD.CURVE(C619,"SOFR",$K$2:$K$7,$L$2:$L$7,,,"Actual360","LogLinear",TRUE)</f>
        <v/>
      </c>
      <c r="E619" s="8">
        <f>QS.INSTRUMENT.SWAP("swap.617",C619,H619,B619,"USD","SOFR",I619,J619,0,"Actual360","Simple","Annual","Annual","Annual")</f>
        <v/>
      </c>
      <c r="F619" s="8">
        <f>QS.TRADE.CREATE("trade.617",C619,E619,A619,"Receive")</f>
        <v/>
      </c>
      <c r="G619" s="5"/>
      <c r="H619" s="7" t="s">
        <v>1279</v>
      </c>
      <c r="I619" s="9">
        <v>1061700</v>
      </c>
      <c r="J619" s="10">
        <v>0.0367</v>
      </c>
    </row>
    <row r="620" spans="1:10">
      <c r="A620" s="7" t="s">
        <v>1267</v>
      </c>
      <c r="B620" s="7" t="s">
        <v>1280</v>
      </c>
      <c r="C620" s="8">
        <f>QS.CONTEXT.CREATE("market.618",A620,"USD","SOFR")</f>
        <v/>
      </c>
      <c r="D620" s="8">
        <f>QS.CONTEXT.ADD.CURVE(C620,"SOFR",$K$2:$K$7,$L$2:$L$7,,,"Actual360","LogLinear",TRUE)</f>
        <v/>
      </c>
      <c r="E620" s="8">
        <f>QS.INSTRUMENT.SWAP("swap.618",C620,H620,B620,"USD","SOFR",I620,J620,0,"Actual360","Simple","Annual","Annual","Annual")</f>
        <v/>
      </c>
      <c r="F620" s="8">
        <f>QS.TRADE.CREATE("trade.618",C620,E620,A620,"Receive")</f>
        <v/>
      </c>
      <c r="G620" s="5"/>
      <c r="H620" s="7" t="s">
        <v>1281</v>
      </c>
      <c r="I620" s="9">
        <v>1061800</v>
      </c>
      <c r="J620" s="10">
        <v>0.03680000000000001</v>
      </c>
    </row>
    <row r="621" spans="1:10">
      <c r="A621" s="7" t="s">
        <v>1269</v>
      </c>
      <c r="B621" s="7" t="s">
        <v>1282</v>
      </c>
      <c r="C621" s="8">
        <f>QS.CONTEXT.CREATE("market.619",A621,"USD","SOFR")</f>
        <v/>
      </c>
      <c r="D621" s="8">
        <f>QS.CONTEXT.ADD.CURVE(C621,"SOFR",$K$2:$K$7,$L$2:$L$7,,,"Actual360","LogLinear",TRUE)</f>
        <v/>
      </c>
      <c r="E621" s="8">
        <f>QS.INSTRUMENT.SWAP("swap.619",C621,H621,B621,"USD","SOFR",I621,J621,0,"Actual360","Simple","Annual","Annual","Annual")</f>
        <v/>
      </c>
      <c r="F621" s="8">
        <f>QS.TRADE.CREATE("trade.619",C621,E621,A621,"Receive")</f>
        <v/>
      </c>
      <c r="G621" s="5"/>
      <c r="H621" s="7" t="s">
        <v>1283</v>
      </c>
      <c r="I621" s="9">
        <v>1061900</v>
      </c>
      <c r="J621" s="10">
        <v>0.0369</v>
      </c>
    </row>
    <row r="622" spans="1:10">
      <c r="A622" s="7" t="s">
        <v>1271</v>
      </c>
      <c r="B622" s="7" t="s">
        <v>1284</v>
      </c>
      <c r="C622" s="8">
        <f>QS.CONTEXT.CREATE("market.620",A622,"USD","SOFR")</f>
        <v/>
      </c>
      <c r="D622" s="8">
        <f>QS.CONTEXT.ADD.CURVE(C622,"SOFR",$K$2:$K$7,$L$2:$L$7,,,"Actual360","LogLinear",TRUE)</f>
        <v/>
      </c>
      <c r="E622" s="8">
        <f>QS.INSTRUMENT.SWAP("swap.620",C622,H622,B622,"USD","SOFR",I622,J622,0,"Actual360","Simple","Annual","Annual","Annual")</f>
        <v/>
      </c>
      <c r="F622" s="8">
        <f>QS.TRADE.CREATE("trade.620",C622,E622,A622,"Receive")</f>
        <v/>
      </c>
      <c r="G622" s="5"/>
      <c r="H622" s="7" t="s">
        <v>1285</v>
      </c>
      <c r="I622" s="9">
        <v>1062000</v>
      </c>
      <c r="J622" s="10">
        <v>0.03700000000000001</v>
      </c>
    </row>
    <row r="623" spans="1:10">
      <c r="A623" s="7" t="s">
        <v>1273</v>
      </c>
      <c r="B623" s="7" t="s">
        <v>1286</v>
      </c>
      <c r="C623" s="8">
        <f>QS.CONTEXT.CREATE("market.621",A623,"USD","SOFR")</f>
        <v/>
      </c>
      <c r="D623" s="8">
        <f>QS.CONTEXT.ADD.CURVE(C623,"SOFR",$K$2:$K$7,$L$2:$L$7,,,"Actual360","LogLinear",TRUE)</f>
        <v/>
      </c>
      <c r="E623" s="8">
        <f>QS.INSTRUMENT.SWAP("swap.621",C623,H623,B623,"USD","SOFR",I623,J623,0,"Actual360","Simple","Annual","Annual","Annual")</f>
        <v/>
      </c>
      <c r="F623" s="8">
        <f>QS.TRADE.CREATE("trade.621",C623,E623,A623,"Receive")</f>
        <v/>
      </c>
      <c r="G623" s="5"/>
      <c r="H623" s="7" t="s">
        <v>1287</v>
      </c>
      <c r="I623" s="9">
        <v>1062100</v>
      </c>
      <c r="J623" s="10">
        <v>0.0371</v>
      </c>
    </row>
    <row r="624" spans="1:10">
      <c r="A624" s="7" t="s">
        <v>1275</v>
      </c>
      <c r="B624" s="7" t="s">
        <v>1288</v>
      </c>
      <c r="C624" s="8">
        <f>QS.CONTEXT.CREATE("market.622",A624,"USD","SOFR")</f>
        <v/>
      </c>
      <c r="D624" s="8">
        <f>QS.CONTEXT.ADD.CURVE(C624,"SOFR",$K$2:$K$7,$L$2:$L$7,,,"Actual360","LogLinear",TRUE)</f>
        <v/>
      </c>
      <c r="E624" s="8">
        <f>QS.INSTRUMENT.SWAP("swap.622",C624,H624,B624,"USD","SOFR",I624,J624,0,"Actual360","Simple","Annual","Annual","Annual")</f>
        <v/>
      </c>
      <c r="F624" s="8">
        <f>QS.TRADE.CREATE("trade.622",C624,E624,A624,"Receive")</f>
        <v/>
      </c>
      <c r="G624" s="5"/>
      <c r="H624" s="7" t="s">
        <v>1289</v>
      </c>
      <c r="I624" s="9">
        <v>1062200</v>
      </c>
      <c r="J624" s="10">
        <v>0.0372</v>
      </c>
    </row>
    <row r="625" spans="1:10">
      <c r="A625" s="7" t="s">
        <v>1277</v>
      </c>
      <c r="B625" s="7" t="s">
        <v>1290</v>
      </c>
      <c r="C625" s="8">
        <f>QS.CONTEXT.CREATE("market.623",A625,"USD","SOFR")</f>
        <v/>
      </c>
      <c r="D625" s="8">
        <f>QS.CONTEXT.ADD.CURVE(C625,"SOFR",$K$2:$K$7,$L$2:$L$7,,,"Actual360","LogLinear",TRUE)</f>
        <v/>
      </c>
      <c r="E625" s="8">
        <f>QS.INSTRUMENT.SWAP("swap.623",C625,H625,B625,"USD","SOFR",I625,J625,0,"Actual360","Simple","Annual","Annual","Annual")</f>
        <v/>
      </c>
      <c r="F625" s="8">
        <f>QS.TRADE.CREATE("trade.623",C625,E625,A625,"Receive")</f>
        <v/>
      </c>
      <c r="G625" s="5"/>
      <c r="H625" s="7" t="s">
        <v>1291</v>
      </c>
      <c r="I625" s="9">
        <v>1062300</v>
      </c>
      <c r="J625" s="10">
        <v>0.0373</v>
      </c>
    </row>
    <row r="626" spans="1:10">
      <c r="A626" s="7" t="s">
        <v>1279</v>
      </c>
      <c r="B626" s="7" t="s">
        <v>1292</v>
      </c>
      <c r="C626" s="8">
        <f>QS.CONTEXT.CREATE("market.624",A626,"USD","SOFR")</f>
        <v/>
      </c>
      <c r="D626" s="8">
        <f>QS.CONTEXT.ADD.CURVE(C626,"SOFR",$K$2:$K$7,$L$2:$L$7,,,"Actual360","LogLinear",TRUE)</f>
        <v/>
      </c>
      <c r="E626" s="8">
        <f>QS.INSTRUMENT.SWAP("swap.624",C626,H626,B626,"USD","SOFR",I626,J626,0,"Actual360","Simple","Annual","Annual","Annual")</f>
        <v/>
      </c>
      <c r="F626" s="8">
        <f>QS.TRADE.CREATE("trade.624",C626,E626,A626,"Receive")</f>
        <v/>
      </c>
      <c r="G626" s="5"/>
      <c r="H626" s="7" t="s">
        <v>1293</v>
      </c>
      <c r="I626" s="9">
        <v>1062400</v>
      </c>
      <c r="J626" s="10">
        <v>0.0374</v>
      </c>
    </row>
    <row r="627" spans="1:10">
      <c r="A627" s="7" t="s">
        <v>1281</v>
      </c>
      <c r="B627" s="7" t="s">
        <v>1294</v>
      </c>
      <c r="C627" s="8">
        <f>QS.CONTEXT.CREATE("market.625",A627,"USD","SOFR")</f>
        <v/>
      </c>
      <c r="D627" s="8">
        <f>QS.CONTEXT.ADD.CURVE(C627,"SOFR",$K$2:$K$7,$L$2:$L$7,,,"Actual360","LogLinear",TRUE)</f>
        <v/>
      </c>
      <c r="E627" s="8">
        <f>QS.INSTRUMENT.SWAP("swap.625",C627,H627,B627,"USD","SOFR",I627,J627,0,"Actual360","Simple","Annual","Annual","Annual")</f>
        <v/>
      </c>
      <c r="F627" s="8">
        <f>QS.TRADE.CREATE("trade.625",C627,E627,A627,"Receive")</f>
        <v/>
      </c>
      <c r="G627" s="5"/>
      <c r="H627" s="7" t="s">
        <v>1295</v>
      </c>
      <c r="I627" s="9">
        <v>1062500</v>
      </c>
      <c r="J627" s="10">
        <v>0.03750000000000001</v>
      </c>
    </row>
    <row r="628" spans="1:10">
      <c r="A628" s="7" t="s">
        <v>1283</v>
      </c>
      <c r="B628" s="7" t="s">
        <v>1296</v>
      </c>
      <c r="C628" s="8">
        <f>QS.CONTEXT.CREATE("market.626",A628,"USD","SOFR")</f>
        <v/>
      </c>
      <c r="D628" s="8">
        <f>QS.CONTEXT.ADD.CURVE(C628,"SOFR",$K$2:$K$7,$L$2:$L$7,,,"Actual360","LogLinear",TRUE)</f>
        <v/>
      </c>
      <c r="E628" s="8">
        <f>QS.INSTRUMENT.SWAP("swap.626",C628,H628,B628,"USD","SOFR",I628,J628,0,"Actual360","Simple","Annual","Annual","Annual")</f>
        <v/>
      </c>
      <c r="F628" s="8">
        <f>QS.TRADE.CREATE("trade.626",C628,E628,A628,"Receive")</f>
        <v/>
      </c>
      <c r="G628" s="5"/>
      <c r="H628" s="7" t="s">
        <v>1297</v>
      </c>
      <c r="I628" s="9">
        <v>1062600</v>
      </c>
      <c r="J628" s="10">
        <v>0.0376</v>
      </c>
    </row>
    <row r="629" spans="1:10">
      <c r="A629" s="7" t="s">
        <v>1285</v>
      </c>
      <c r="B629" s="7" t="s">
        <v>1298</v>
      </c>
      <c r="C629" s="8">
        <f>QS.CONTEXT.CREATE("market.627",A629,"USD","SOFR")</f>
        <v/>
      </c>
      <c r="D629" s="8">
        <f>QS.CONTEXT.ADD.CURVE(C629,"SOFR",$K$2:$K$7,$L$2:$L$7,,,"Actual360","LogLinear",TRUE)</f>
        <v/>
      </c>
      <c r="E629" s="8">
        <f>QS.INSTRUMENT.SWAP("swap.627",C629,H629,B629,"USD","SOFR",I629,J629,0,"Actual360","Simple","Annual","Annual","Annual")</f>
        <v/>
      </c>
      <c r="F629" s="8">
        <f>QS.TRADE.CREATE("trade.627",C629,E629,A629,"Receive")</f>
        <v/>
      </c>
      <c r="G629" s="5"/>
      <c r="H629" s="7" t="s">
        <v>1299</v>
      </c>
      <c r="I629" s="9">
        <v>1062700</v>
      </c>
      <c r="J629" s="10">
        <v>0.0377</v>
      </c>
    </row>
    <row r="630" spans="1:10">
      <c r="A630" s="7" t="s">
        <v>1287</v>
      </c>
      <c r="B630" s="7" t="s">
        <v>1300</v>
      </c>
      <c r="C630" s="8">
        <f>QS.CONTEXT.CREATE("market.628",A630,"USD","SOFR")</f>
        <v/>
      </c>
      <c r="D630" s="8">
        <f>QS.CONTEXT.ADD.CURVE(C630,"SOFR",$K$2:$K$7,$L$2:$L$7,,,"Actual360","LogLinear",TRUE)</f>
        <v/>
      </c>
      <c r="E630" s="8">
        <f>QS.INSTRUMENT.SWAP("swap.628",C630,H630,B630,"USD","SOFR",I630,J630,0,"Actual360","Simple","Annual","Annual","Annual")</f>
        <v/>
      </c>
      <c r="F630" s="8">
        <f>QS.TRADE.CREATE("trade.628",C630,E630,A630,"Receive")</f>
        <v/>
      </c>
      <c r="G630" s="5"/>
      <c r="H630" s="7" t="s">
        <v>1301</v>
      </c>
      <c r="I630" s="9">
        <v>1062800</v>
      </c>
      <c r="J630" s="10">
        <v>0.0378</v>
      </c>
    </row>
    <row r="631" spans="1:10">
      <c r="A631" s="7" t="s">
        <v>1289</v>
      </c>
      <c r="B631" s="7" t="s">
        <v>1302</v>
      </c>
      <c r="C631" s="8">
        <f>QS.CONTEXT.CREATE("market.629",A631,"USD","SOFR")</f>
        <v/>
      </c>
      <c r="D631" s="8">
        <f>QS.CONTEXT.ADD.CURVE(C631,"SOFR",$K$2:$K$7,$L$2:$L$7,,,"Actual360","LogLinear",TRUE)</f>
        <v/>
      </c>
      <c r="E631" s="8">
        <f>QS.INSTRUMENT.SWAP("swap.629",C631,H631,B631,"USD","SOFR",I631,J631,0,"Actual360","Simple","Annual","Annual","Annual")</f>
        <v/>
      </c>
      <c r="F631" s="8">
        <f>QS.TRADE.CREATE("trade.629",C631,E631,A631,"Receive")</f>
        <v/>
      </c>
      <c r="G631" s="5"/>
      <c r="H631" s="7" t="s">
        <v>1303</v>
      </c>
      <c r="I631" s="9">
        <v>1062900</v>
      </c>
      <c r="J631" s="10">
        <v>0.0379</v>
      </c>
    </row>
    <row r="632" spans="1:10">
      <c r="A632" s="7" t="s">
        <v>1291</v>
      </c>
      <c r="B632" s="7" t="s">
        <v>1304</v>
      </c>
      <c r="C632" s="8">
        <f>QS.CONTEXT.CREATE("market.630",A632,"USD","SOFR")</f>
        <v/>
      </c>
      <c r="D632" s="8">
        <f>QS.CONTEXT.ADD.CURVE(C632,"SOFR",$K$2:$K$7,$L$2:$L$7,,,"Actual360","LogLinear",TRUE)</f>
        <v/>
      </c>
      <c r="E632" s="8">
        <f>QS.INSTRUMENT.SWAP("swap.630",C632,H632,B632,"USD","SOFR",I632,J632,0,"Actual360","Simple","Annual","Annual","Annual")</f>
        <v/>
      </c>
      <c r="F632" s="8">
        <f>QS.TRADE.CREATE("trade.630",C632,E632,A632,"Receive")</f>
        <v/>
      </c>
      <c r="G632" s="5"/>
      <c r="H632" s="7" t="s">
        <v>1305</v>
      </c>
      <c r="I632" s="9">
        <v>1063000</v>
      </c>
      <c r="J632" s="10">
        <v>0.03800000000000001</v>
      </c>
    </row>
    <row r="633" spans="1:10">
      <c r="A633" s="7" t="s">
        <v>1293</v>
      </c>
      <c r="B633" s="7" t="s">
        <v>1306</v>
      </c>
      <c r="C633" s="8">
        <f>QS.CONTEXT.CREATE("market.631",A633,"USD","SOFR")</f>
        <v/>
      </c>
      <c r="D633" s="8">
        <f>QS.CONTEXT.ADD.CURVE(C633,"SOFR",$K$2:$K$7,$L$2:$L$7,,,"Actual360","LogLinear",TRUE)</f>
        <v/>
      </c>
      <c r="E633" s="8">
        <f>QS.INSTRUMENT.SWAP("swap.631",C633,H633,B633,"USD","SOFR",I633,J633,0,"Actual360","Simple","Annual","Annual","Annual")</f>
        <v/>
      </c>
      <c r="F633" s="8">
        <f>QS.TRADE.CREATE("trade.631",C633,E633,A633,"Receive")</f>
        <v/>
      </c>
      <c r="G633" s="5"/>
      <c r="H633" s="7" t="s">
        <v>1307</v>
      </c>
      <c r="I633" s="9">
        <v>1063100</v>
      </c>
      <c r="J633" s="10">
        <v>0.0381</v>
      </c>
    </row>
    <row r="634" spans="1:10">
      <c r="A634" s="7" t="s">
        <v>1295</v>
      </c>
      <c r="B634" s="7" t="s">
        <v>1308</v>
      </c>
      <c r="C634" s="8">
        <f>QS.CONTEXT.CREATE("market.632",A634,"USD","SOFR")</f>
        <v/>
      </c>
      <c r="D634" s="8">
        <f>QS.CONTEXT.ADD.CURVE(C634,"SOFR",$K$2:$K$7,$L$2:$L$7,,,"Actual360","LogLinear",TRUE)</f>
        <v/>
      </c>
      <c r="E634" s="8">
        <f>QS.INSTRUMENT.SWAP("swap.632",C634,H634,B634,"USD","SOFR",I634,J634,0,"Actual360","Simple","Annual","Annual","Annual")</f>
        <v/>
      </c>
      <c r="F634" s="8">
        <f>QS.TRADE.CREATE("trade.632",C634,E634,A634,"Receive")</f>
        <v/>
      </c>
      <c r="G634" s="5"/>
      <c r="H634" s="7" t="s">
        <v>1309</v>
      </c>
      <c r="I634" s="9">
        <v>1063200</v>
      </c>
      <c r="J634" s="10">
        <v>0.0382</v>
      </c>
    </row>
    <row r="635" spans="1:10">
      <c r="A635" s="7" t="s">
        <v>1297</v>
      </c>
      <c r="B635" s="7" t="s">
        <v>1310</v>
      </c>
      <c r="C635" s="8">
        <f>QS.CONTEXT.CREATE("market.633",A635,"USD","SOFR")</f>
        <v/>
      </c>
      <c r="D635" s="8">
        <f>QS.CONTEXT.ADD.CURVE(C635,"SOFR",$K$2:$K$7,$L$2:$L$7,,,"Actual360","LogLinear",TRUE)</f>
        <v/>
      </c>
      <c r="E635" s="8">
        <f>QS.INSTRUMENT.SWAP("swap.633",C635,H635,B635,"USD","SOFR",I635,J635,0,"Actual360","Simple","Annual","Annual","Annual")</f>
        <v/>
      </c>
      <c r="F635" s="8">
        <f>QS.TRADE.CREATE("trade.633",C635,E635,A635,"Receive")</f>
        <v/>
      </c>
      <c r="G635" s="5"/>
      <c r="H635" s="7" t="s">
        <v>1311</v>
      </c>
      <c r="I635" s="9">
        <v>1063300</v>
      </c>
      <c r="J635" s="10">
        <v>0.0383</v>
      </c>
    </row>
    <row r="636" spans="1:10">
      <c r="A636" s="7" t="s">
        <v>1299</v>
      </c>
      <c r="B636" s="7" t="s">
        <v>1312</v>
      </c>
      <c r="C636" s="8">
        <f>QS.CONTEXT.CREATE("market.634",A636,"USD","SOFR")</f>
        <v/>
      </c>
      <c r="D636" s="8">
        <f>QS.CONTEXT.ADD.CURVE(C636,"SOFR",$K$2:$K$7,$L$2:$L$7,,,"Actual360","LogLinear",TRUE)</f>
        <v/>
      </c>
      <c r="E636" s="8">
        <f>QS.INSTRUMENT.SWAP("swap.634",C636,H636,B636,"USD","SOFR",I636,J636,0,"Actual360","Simple","Annual","Annual","Annual")</f>
        <v/>
      </c>
      <c r="F636" s="8">
        <f>QS.TRADE.CREATE("trade.634",C636,E636,A636,"Receive")</f>
        <v/>
      </c>
      <c r="G636" s="5"/>
      <c r="H636" s="7" t="s">
        <v>1313</v>
      </c>
      <c r="I636" s="9">
        <v>1063400</v>
      </c>
      <c r="J636" s="10">
        <v>0.0384</v>
      </c>
    </row>
    <row r="637" spans="1:10">
      <c r="A637" s="7" t="s">
        <v>1301</v>
      </c>
      <c r="B637" s="7" t="s">
        <v>1314</v>
      </c>
      <c r="C637" s="8">
        <f>QS.CONTEXT.CREATE("market.635",A637,"USD","SOFR")</f>
        <v/>
      </c>
      <c r="D637" s="8">
        <f>QS.CONTEXT.ADD.CURVE(C637,"SOFR",$K$2:$K$7,$L$2:$L$7,,,"Actual360","LogLinear",TRUE)</f>
        <v/>
      </c>
      <c r="E637" s="8">
        <f>QS.INSTRUMENT.SWAP("swap.635",C637,H637,B637,"USD","SOFR",I637,J637,0,"Actual360","Simple","Annual","Annual","Annual")</f>
        <v/>
      </c>
      <c r="F637" s="8">
        <f>QS.TRADE.CREATE("trade.635",C637,E637,A637,"Receive")</f>
        <v/>
      </c>
      <c r="G637" s="5"/>
      <c r="H637" s="7" t="s">
        <v>1315</v>
      </c>
      <c r="I637" s="9">
        <v>1063500</v>
      </c>
      <c r="J637" s="10">
        <v>0.03850000000000001</v>
      </c>
    </row>
    <row r="638" spans="1:10">
      <c r="A638" s="7" t="s">
        <v>1303</v>
      </c>
      <c r="B638" s="7" t="s">
        <v>1316</v>
      </c>
      <c r="C638" s="8">
        <f>QS.CONTEXT.CREATE("market.636",A638,"USD","SOFR")</f>
        <v/>
      </c>
      <c r="D638" s="8">
        <f>QS.CONTEXT.ADD.CURVE(C638,"SOFR",$K$2:$K$7,$L$2:$L$7,,,"Actual360","LogLinear",TRUE)</f>
        <v/>
      </c>
      <c r="E638" s="8">
        <f>QS.INSTRUMENT.SWAP("swap.636",C638,H638,B638,"USD","SOFR",I638,J638,0,"Actual360","Simple","Annual","Annual","Annual")</f>
        <v/>
      </c>
      <c r="F638" s="8">
        <f>QS.TRADE.CREATE("trade.636",C638,E638,A638,"Receive")</f>
        <v/>
      </c>
      <c r="G638" s="5"/>
      <c r="H638" s="7" t="s">
        <v>1317</v>
      </c>
      <c r="I638" s="9">
        <v>1063600</v>
      </c>
      <c r="J638" s="10">
        <v>0.0386</v>
      </c>
    </row>
    <row r="639" spans="1:10">
      <c r="A639" s="7" t="s">
        <v>1305</v>
      </c>
      <c r="B639" s="7" t="s">
        <v>1318</v>
      </c>
      <c r="C639" s="8">
        <f>QS.CONTEXT.CREATE("market.637",A639,"USD","SOFR")</f>
        <v/>
      </c>
      <c r="D639" s="8">
        <f>QS.CONTEXT.ADD.CURVE(C639,"SOFR",$K$2:$K$7,$L$2:$L$7,,,"Actual360","LogLinear",TRUE)</f>
        <v/>
      </c>
      <c r="E639" s="8">
        <f>QS.INSTRUMENT.SWAP("swap.637",C639,H639,B639,"USD","SOFR",I639,J639,0,"Actual360","Simple","Annual","Annual","Annual")</f>
        <v/>
      </c>
      <c r="F639" s="8">
        <f>QS.TRADE.CREATE("trade.637",C639,E639,A639,"Receive")</f>
        <v/>
      </c>
      <c r="G639" s="5"/>
      <c r="H639" s="7" t="s">
        <v>1319</v>
      </c>
      <c r="I639" s="9">
        <v>1063700</v>
      </c>
      <c r="J639" s="10">
        <v>0.03870000000000001</v>
      </c>
    </row>
    <row r="640" spans="1:10">
      <c r="A640" s="7" t="s">
        <v>1307</v>
      </c>
      <c r="B640" s="7" t="s">
        <v>1320</v>
      </c>
      <c r="C640" s="8">
        <f>QS.CONTEXT.CREATE("market.638",A640,"USD","SOFR")</f>
        <v/>
      </c>
      <c r="D640" s="8">
        <f>QS.CONTEXT.ADD.CURVE(C640,"SOFR",$K$2:$K$7,$L$2:$L$7,,,"Actual360","LogLinear",TRUE)</f>
        <v/>
      </c>
      <c r="E640" s="8">
        <f>QS.INSTRUMENT.SWAP("swap.638",C640,H640,B640,"USD","SOFR",I640,J640,0,"Actual360","Simple","Annual","Annual","Annual")</f>
        <v/>
      </c>
      <c r="F640" s="8">
        <f>QS.TRADE.CREATE("trade.638",C640,E640,A640,"Receive")</f>
        <v/>
      </c>
      <c r="G640" s="5"/>
      <c r="H640" s="7" t="s">
        <v>1321</v>
      </c>
      <c r="I640" s="9">
        <v>1063800</v>
      </c>
      <c r="J640" s="10">
        <v>0.0388</v>
      </c>
    </row>
    <row r="641" spans="1:10">
      <c r="A641" s="7" t="s">
        <v>1309</v>
      </c>
      <c r="B641" s="7" t="s">
        <v>1322</v>
      </c>
      <c r="C641" s="8">
        <f>QS.CONTEXT.CREATE("market.639",A641,"USD","SOFR")</f>
        <v/>
      </c>
      <c r="D641" s="8">
        <f>QS.CONTEXT.ADD.CURVE(C641,"SOFR",$K$2:$K$7,$L$2:$L$7,,,"Actual360","LogLinear",TRUE)</f>
        <v/>
      </c>
      <c r="E641" s="8">
        <f>QS.INSTRUMENT.SWAP("swap.639",C641,H641,B641,"USD","SOFR",I641,J641,0,"Actual360","Simple","Annual","Annual","Annual")</f>
        <v/>
      </c>
      <c r="F641" s="8">
        <f>QS.TRADE.CREATE("trade.639",C641,E641,A641,"Receive")</f>
        <v/>
      </c>
      <c r="G641" s="5"/>
      <c r="H641" s="7" t="s">
        <v>1323</v>
      </c>
      <c r="I641" s="9">
        <v>1063900</v>
      </c>
      <c r="J641" s="10">
        <v>0.0389</v>
      </c>
    </row>
    <row r="642" spans="1:10">
      <c r="A642" s="7" t="s">
        <v>1311</v>
      </c>
      <c r="B642" s="7" t="s">
        <v>1324</v>
      </c>
      <c r="C642" s="8">
        <f>QS.CONTEXT.CREATE("market.640",A642,"USD","SOFR")</f>
        <v/>
      </c>
      <c r="D642" s="8">
        <f>QS.CONTEXT.ADD.CURVE(C642,"SOFR",$K$2:$K$7,$L$2:$L$7,,,"Actual360","LogLinear",TRUE)</f>
        <v/>
      </c>
      <c r="E642" s="8">
        <f>QS.INSTRUMENT.SWAP("swap.640",C642,H642,B642,"USD","SOFR",I642,J642,0,"Actual360","Simple","Annual","Annual","Annual")</f>
        <v/>
      </c>
      <c r="F642" s="8">
        <f>QS.TRADE.CREATE("trade.640",C642,E642,A642,"Receive")</f>
        <v/>
      </c>
      <c r="G642" s="5"/>
      <c r="H642" s="7" t="s">
        <v>1325</v>
      </c>
      <c r="I642" s="9">
        <v>1064000</v>
      </c>
      <c r="J642" s="10">
        <v>0.03900000000000001</v>
      </c>
    </row>
    <row r="643" spans="1:10">
      <c r="A643" s="7" t="s">
        <v>1313</v>
      </c>
      <c r="B643" s="7" t="s">
        <v>1326</v>
      </c>
      <c r="C643" s="8">
        <f>QS.CONTEXT.CREATE("market.641",A643,"USD","SOFR")</f>
        <v/>
      </c>
      <c r="D643" s="8">
        <f>QS.CONTEXT.ADD.CURVE(C643,"SOFR",$K$2:$K$7,$L$2:$L$7,,,"Actual360","LogLinear",TRUE)</f>
        <v/>
      </c>
      <c r="E643" s="8">
        <f>QS.INSTRUMENT.SWAP("swap.641",C643,H643,B643,"USD","SOFR",I643,J643,0,"Actual360","Simple","Annual","Annual","Annual")</f>
        <v/>
      </c>
      <c r="F643" s="8">
        <f>QS.TRADE.CREATE("trade.641",C643,E643,A643,"Receive")</f>
        <v/>
      </c>
      <c r="G643" s="5"/>
      <c r="H643" s="7" t="s">
        <v>1327</v>
      </c>
      <c r="I643" s="9">
        <v>1064100</v>
      </c>
      <c r="J643" s="10">
        <v>0.0391</v>
      </c>
    </row>
    <row r="644" spans="1:10">
      <c r="A644" s="7" t="s">
        <v>1315</v>
      </c>
      <c r="B644" s="7" t="s">
        <v>1328</v>
      </c>
      <c r="C644" s="8">
        <f>QS.CONTEXT.CREATE("market.642",A644,"USD","SOFR")</f>
        <v/>
      </c>
      <c r="D644" s="8">
        <f>QS.CONTEXT.ADD.CURVE(C644,"SOFR",$K$2:$K$7,$L$2:$L$7,,,"Actual360","LogLinear",TRUE)</f>
        <v/>
      </c>
      <c r="E644" s="8">
        <f>QS.INSTRUMENT.SWAP("swap.642",C644,H644,B644,"USD","SOFR",I644,J644,0,"Actual360","Simple","Annual","Annual","Annual")</f>
        <v/>
      </c>
      <c r="F644" s="8">
        <f>QS.TRADE.CREATE("trade.642",C644,E644,A644,"Receive")</f>
        <v/>
      </c>
      <c r="G644" s="5"/>
      <c r="H644" s="7" t="s">
        <v>1329</v>
      </c>
      <c r="I644" s="9">
        <v>1064200</v>
      </c>
      <c r="J644" s="10">
        <v>0.03920000000000001</v>
      </c>
    </row>
    <row r="645" spans="1:10">
      <c r="A645" s="7" t="s">
        <v>1317</v>
      </c>
      <c r="B645" s="7" t="s">
        <v>1330</v>
      </c>
      <c r="C645" s="8">
        <f>QS.CONTEXT.CREATE("market.643",A645,"USD","SOFR")</f>
        <v/>
      </c>
      <c r="D645" s="8">
        <f>QS.CONTEXT.ADD.CURVE(C645,"SOFR",$K$2:$K$7,$L$2:$L$7,,,"Actual360","LogLinear",TRUE)</f>
        <v/>
      </c>
      <c r="E645" s="8">
        <f>QS.INSTRUMENT.SWAP("swap.643",C645,H645,B645,"USD","SOFR",I645,J645,0,"Actual360","Simple","Annual","Annual","Annual")</f>
        <v/>
      </c>
      <c r="F645" s="8">
        <f>QS.TRADE.CREATE("trade.643",C645,E645,A645,"Receive")</f>
        <v/>
      </c>
      <c r="G645" s="5"/>
      <c r="H645" s="7" t="s">
        <v>1331</v>
      </c>
      <c r="I645" s="9">
        <v>1064300</v>
      </c>
      <c r="J645" s="10">
        <v>0.0393</v>
      </c>
    </row>
    <row r="646" spans="1:10">
      <c r="A646" s="7" t="s">
        <v>1319</v>
      </c>
      <c r="B646" s="7" t="s">
        <v>1332</v>
      </c>
      <c r="C646" s="8">
        <f>QS.CONTEXT.CREATE("market.644",A646,"USD","SOFR")</f>
        <v/>
      </c>
      <c r="D646" s="8">
        <f>QS.CONTEXT.ADD.CURVE(C646,"SOFR",$K$2:$K$7,$L$2:$L$7,,,"Actual360","LogLinear",TRUE)</f>
        <v/>
      </c>
      <c r="E646" s="8">
        <f>QS.INSTRUMENT.SWAP("swap.644",C646,H646,B646,"USD","SOFR",I646,J646,0,"Actual360","Simple","Annual","Annual","Annual")</f>
        <v/>
      </c>
      <c r="F646" s="8">
        <f>QS.TRADE.CREATE("trade.644",C646,E646,A646,"Receive")</f>
        <v/>
      </c>
      <c r="G646" s="5"/>
      <c r="H646" s="7" t="s">
        <v>1333</v>
      </c>
      <c r="I646" s="9">
        <v>1064400</v>
      </c>
      <c r="J646" s="10">
        <v>0.0394</v>
      </c>
    </row>
    <row r="647" spans="1:10">
      <c r="A647" s="7" t="s">
        <v>1321</v>
      </c>
      <c r="B647" s="7" t="s">
        <v>1334</v>
      </c>
      <c r="C647" s="8">
        <f>QS.CONTEXT.CREATE("market.645",A647,"USD","SOFR")</f>
        <v/>
      </c>
      <c r="D647" s="8">
        <f>QS.CONTEXT.ADD.CURVE(C647,"SOFR",$K$2:$K$7,$L$2:$L$7,,,"Actual360","LogLinear",TRUE)</f>
        <v/>
      </c>
      <c r="E647" s="8">
        <f>QS.INSTRUMENT.SWAP("swap.645",C647,H647,B647,"USD","SOFR",I647,J647,0,"Actual360","Simple","Annual","Annual","Annual")</f>
        <v/>
      </c>
      <c r="F647" s="8">
        <f>QS.TRADE.CREATE("trade.645",C647,E647,A647,"Receive")</f>
        <v/>
      </c>
      <c r="G647" s="5"/>
      <c r="H647" s="7" t="s">
        <v>1335</v>
      </c>
      <c r="I647" s="9">
        <v>1064500</v>
      </c>
      <c r="J647" s="10">
        <v>0.03950000000000001</v>
      </c>
    </row>
    <row r="648" spans="1:10">
      <c r="A648" s="7" t="s">
        <v>1323</v>
      </c>
      <c r="B648" s="7" t="s">
        <v>1336</v>
      </c>
      <c r="C648" s="8">
        <f>QS.CONTEXT.CREATE("market.646",A648,"USD","SOFR")</f>
        <v/>
      </c>
      <c r="D648" s="8">
        <f>QS.CONTEXT.ADD.CURVE(C648,"SOFR",$K$2:$K$7,$L$2:$L$7,,,"Actual360","LogLinear",TRUE)</f>
        <v/>
      </c>
      <c r="E648" s="8">
        <f>QS.INSTRUMENT.SWAP("swap.646",C648,H648,B648,"USD","SOFR",I648,J648,0,"Actual360","Simple","Annual","Annual","Annual")</f>
        <v/>
      </c>
      <c r="F648" s="8">
        <f>QS.TRADE.CREATE("trade.646",C648,E648,A648,"Receive")</f>
        <v/>
      </c>
      <c r="G648" s="5"/>
      <c r="H648" s="7" t="s">
        <v>1337</v>
      </c>
      <c r="I648" s="9">
        <v>1064600</v>
      </c>
      <c r="J648" s="10">
        <v>0.0396</v>
      </c>
    </row>
    <row r="649" spans="1:10">
      <c r="A649" s="7" t="s">
        <v>1325</v>
      </c>
      <c r="B649" s="7" t="s">
        <v>1338</v>
      </c>
      <c r="C649" s="8">
        <f>QS.CONTEXT.CREATE("market.647",A649,"USD","SOFR")</f>
        <v/>
      </c>
      <c r="D649" s="8">
        <f>QS.CONTEXT.ADD.CURVE(C649,"SOFR",$K$2:$K$7,$L$2:$L$7,,,"Actual360","LogLinear",TRUE)</f>
        <v/>
      </c>
      <c r="E649" s="8">
        <f>QS.INSTRUMENT.SWAP("swap.647",C649,H649,B649,"USD","SOFR",I649,J649,0,"Actual360","Simple","Annual","Annual","Annual")</f>
        <v/>
      </c>
      <c r="F649" s="8">
        <f>QS.TRADE.CREATE("trade.647",C649,E649,A649,"Receive")</f>
        <v/>
      </c>
      <c r="G649" s="5"/>
      <c r="H649" s="7" t="s">
        <v>1339</v>
      </c>
      <c r="I649" s="9">
        <v>1064700</v>
      </c>
      <c r="J649" s="10">
        <v>0.03970000000000001</v>
      </c>
    </row>
    <row r="650" spans="1:10">
      <c r="A650" s="7" t="s">
        <v>1327</v>
      </c>
      <c r="B650" s="7" t="s">
        <v>1340</v>
      </c>
      <c r="C650" s="8">
        <f>QS.CONTEXT.CREATE("market.648",A650,"USD","SOFR")</f>
        <v/>
      </c>
      <c r="D650" s="8">
        <f>QS.CONTEXT.ADD.CURVE(C650,"SOFR",$K$2:$K$7,$L$2:$L$7,,,"Actual360","LogLinear",TRUE)</f>
        <v/>
      </c>
      <c r="E650" s="8">
        <f>QS.INSTRUMENT.SWAP("swap.648",C650,H650,B650,"USD","SOFR",I650,J650,0,"Actual360","Simple","Annual","Annual","Annual")</f>
        <v/>
      </c>
      <c r="F650" s="8">
        <f>QS.TRADE.CREATE("trade.648",C650,E650,A650,"Receive")</f>
        <v/>
      </c>
      <c r="G650" s="5"/>
      <c r="H650" s="7" t="s">
        <v>1341</v>
      </c>
      <c r="I650" s="9">
        <v>1064800</v>
      </c>
      <c r="J650" s="10">
        <v>0.0398</v>
      </c>
    </row>
    <row r="651" spans="1:10">
      <c r="A651" s="7" t="s">
        <v>1329</v>
      </c>
      <c r="B651" s="7" t="s">
        <v>1342</v>
      </c>
      <c r="C651" s="8">
        <f>QS.CONTEXT.CREATE("market.649",A651,"USD","SOFR")</f>
        <v/>
      </c>
      <c r="D651" s="8">
        <f>QS.CONTEXT.ADD.CURVE(C651,"SOFR",$K$2:$K$7,$L$2:$L$7,,,"Actual360","LogLinear",TRUE)</f>
        <v/>
      </c>
      <c r="E651" s="8">
        <f>QS.INSTRUMENT.SWAP("swap.649",C651,H651,B651,"USD","SOFR",I651,J651,0,"Actual360","Simple","Annual","Annual","Annual")</f>
        <v/>
      </c>
      <c r="F651" s="8">
        <f>QS.TRADE.CREATE("trade.649",C651,E651,A651,"Receive")</f>
        <v/>
      </c>
      <c r="G651" s="5"/>
      <c r="H651" s="7" t="s">
        <v>1343</v>
      </c>
      <c r="I651" s="9">
        <v>1064900</v>
      </c>
      <c r="J651" s="10">
        <v>0.0399</v>
      </c>
    </row>
    <row r="652" spans="1:10">
      <c r="A652" s="7" t="s">
        <v>1331</v>
      </c>
      <c r="B652" s="7" t="s">
        <v>1344</v>
      </c>
      <c r="C652" s="8">
        <f>QS.CONTEXT.CREATE("market.650",A652,"USD","SOFR")</f>
        <v/>
      </c>
      <c r="D652" s="8">
        <f>QS.CONTEXT.ADD.CURVE(C652,"SOFR",$K$2:$K$7,$L$2:$L$7,,,"Actual360","LogLinear",TRUE)</f>
        <v/>
      </c>
      <c r="E652" s="8">
        <f>QS.INSTRUMENT.SWAP("swap.650",C652,H652,B652,"USD","SOFR",I652,J652,0,"Actual360","Simple","Annual","Annual","Annual")</f>
        <v/>
      </c>
      <c r="F652" s="8">
        <f>QS.TRADE.CREATE("trade.650",C652,E652,A652,"Receive")</f>
        <v/>
      </c>
      <c r="G652" s="5"/>
      <c r="H652" s="7" t="s">
        <v>1345</v>
      </c>
      <c r="I652" s="9">
        <v>1065000</v>
      </c>
      <c r="J652" s="10">
        <v>0.035</v>
      </c>
    </row>
    <row r="653" spans="1:10">
      <c r="A653" s="7" t="s">
        <v>1333</v>
      </c>
      <c r="B653" s="7" t="s">
        <v>1346</v>
      </c>
      <c r="C653" s="8">
        <f>QS.CONTEXT.CREATE("market.651",A653,"USD","SOFR")</f>
        <v/>
      </c>
      <c r="D653" s="8">
        <f>QS.CONTEXT.ADD.CURVE(C653,"SOFR",$K$2:$K$7,$L$2:$L$7,,,"Actual360","LogLinear",TRUE)</f>
        <v/>
      </c>
      <c r="E653" s="8">
        <f>QS.INSTRUMENT.SWAP("swap.651",C653,H653,B653,"USD","SOFR",I653,J653,0,"Actual360","Simple","Annual","Annual","Annual")</f>
        <v/>
      </c>
      <c r="F653" s="8">
        <f>QS.TRADE.CREATE("trade.651",C653,E653,A653,"Receive")</f>
        <v/>
      </c>
      <c r="G653" s="5"/>
      <c r="H653" s="7" t="s">
        <v>1347</v>
      </c>
      <c r="I653" s="9">
        <v>1065100</v>
      </c>
      <c r="J653" s="10">
        <v>0.03510000000000001</v>
      </c>
    </row>
    <row r="654" spans="1:10">
      <c r="A654" s="7" t="s">
        <v>1335</v>
      </c>
      <c r="B654" s="7" t="s">
        <v>1348</v>
      </c>
      <c r="C654" s="8">
        <f>QS.CONTEXT.CREATE("market.652",A654,"USD","SOFR")</f>
        <v/>
      </c>
      <c r="D654" s="8">
        <f>QS.CONTEXT.ADD.CURVE(C654,"SOFR",$K$2:$K$7,$L$2:$L$7,,,"Actual360","LogLinear",TRUE)</f>
        <v/>
      </c>
      <c r="E654" s="8">
        <f>QS.INSTRUMENT.SWAP("swap.652",C654,H654,B654,"USD","SOFR",I654,J654,0,"Actual360","Simple","Annual","Annual","Annual")</f>
        <v/>
      </c>
      <c r="F654" s="8">
        <f>QS.TRADE.CREATE("trade.652",C654,E654,A654,"Receive")</f>
        <v/>
      </c>
      <c r="G654" s="5"/>
      <c r="H654" s="7" t="s">
        <v>1349</v>
      </c>
      <c r="I654" s="9">
        <v>1065200</v>
      </c>
      <c r="J654" s="10">
        <v>0.0352</v>
      </c>
    </row>
    <row r="655" spans="1:10">
      <c r="A655" s="7" t="s">
        <v>1337</v>
      </c>
      <c r="B655" s="7" t="s">
        <v>1350</v>
      </c>
      <c r="C655" s="8">
        <f>QS.CONTEXT.CREATE("market.653",A655,"USD","SOFR")</f>
        <v/>
      </c>
      <c r="D655" s="8">
        <f>QS.CONTEXT.ADD.CURVE(C655,"SOFR",$K$2:$K$7,$L$2:$L$7,,,"Actual360","LogLinear",TRUE)</f>
        <v/>
      </c>
      <c r="E655" s="8">
        <f>QS.INSTRUMENT.SWAP("swap.653",C655,H655,B655,"USD","SOFR",I655,J655,0,"Actual360","Simple","Annual","Annual","Annual")</f>
        <v/>
      </c>
      <c r="F655" s="8">
        <f>QS.TRADE.CREATE("trade.653",C655,E655,A655,"Receive")</f>
        <v/>
      </c>
      <c r="G655" s="5"/>
      <c r="H655" s="7" t="s">
        <v>1351</v>
      </c>
      <c r="I655" s="9">
        <v>1065300</v>
      </c>
      <c r="J655" s="10">
        <v>0.0353</v>
      </c>
    </row>
    <row r="656" spans="1:10">
      <c r="A656" s="7" t="s">
        <v>1339</v>
      </c>
      <c r="B656" s="7" t="s">
        <v>1352</v>
      </c>
      <c r="C656" s="8">
        <f>QS.CONTEXT.CREATE("market.654",A656,"USD","SOFR")</f>
        <v/>
      </c>
      <c r="D656" s="8">
        <f>QS.CONTEXT.ADD.CURVE(C656,"SOFR",$K$2:$K$7,$L$2:$L$7,,,"Actual360","LogLinear",TRUE)</f>
        <v/>
      </c>
      <c r="E656" s="8">
        <f>QS.INSTRUMENT.SWAP("swap.654",C656,H656,B656,"USD","SOFR",I656,J656,0,"Actual360","Simple","Annual","Annual","Annual")</f>
        <v/>
      </c>
      <c r="F656" s="8">
        <f>QS.TRADE.CREATE("trade.654",C656,E656,A656,"Receive")</f>
        <v/>
      </c>
      <c r="G656" s="5"/>
      <c r="H656" s="7" t="s">
        <v>1353</v>
      </c>
      <c r="I656" s="9">
        <v>1065400</v>
      </c>
      <c r="J656" s="10">
        <v>0.0354</v>
      </c>
    </row>
    <row r="657" spans="1:10">
      <c r="A657" s="7" t="s">
        <v>1341</v>
      </c>
      <c r="B657" s="7" t="s">
        <v>1354</v>
      </c>
      <c r="C657" s="8">
        <f>QS.CONTEXT.CREATE("market.655",A657,"USD","SOFR")</f>
        <v/>
      </c>
      <c r="D657" s="8">
        <f>QS.CONTEXT.ADD.CURVE(C657,"SOFR",$K$2:$K$7,$L$2:$L$7,,,"Actual360","LogLinear",TRUE)</f>
        <v/>
      </c>
      <c r="E657" s="8">
        <f>QS.INSTRUMENT.SWAP("swap.655",C657,H657,B657,"USD","SOFR",I657,J657,0,"Actual360","Simple","Annual","Annual","Annual")</f>
        <v/>
      </c>
      <c r="F657" s="8">
        <f>QS.TRADE.CREATE("trade.655",C657,E657,A657,"Receive")</f>
        <v/>
      </c>
      <c r="G657" s="5"/>
      <c r="H657" s="7" t="s">
        <v>1355</v>
      </c>
      <c r="I657" s="9">
        <v>1065500</v>
      </c>
      <c r="J657" s="10">
        <v>0.0355</v>
      </c>
    </row>
    <row r="658" spans="1:10">
      <c r="A658" s="7" t="s">
        <v>1343</v>
      </c>
      <c r="B658" s="7" t="s">
        <v>1356</v>
      </c>
      <c r="C658" s="8">
        <f>QS.CONTEXT.CREATE("market.656",A658,"USD","SOFR")</f>
        <v/>
      </c>
      <c r="D658" s="8">
        <f>QS.CONTEXT.ADD.CURVE(C658,"SOFR",$K$2:$K$7,$L$2:$L$7,,,"Actual360","LogLinear",TRUE)</f>
        <v/>
      </c>
      <c r="E658" s="8">
        <f>QS.INSTRUMENT.SWAP("swap.656",C658,H658,B658,"USD","SOFR",I658,J658,0,"Actual360","Simple","Annual","Annual","Annual")</f>
        <v/>
      </c>
      <c r="F658" s="8">
        <f>QS.TRADE.CREATE("trade.656",C658,E658,A658,"Receive")</f>
        <v/>
      </c>
      <c r="G658" s="5"/>
      <c r="H658" s="7" t="s">
        <v>1357</v>
      </c>
      <c r="I658" s="9">
        <v>1065600</v>
      </c>
      <c r="J658" s="10">
        <v>0.03560000000000001</v>
      </c>
    </row>
    <row r="659" spans="1:10">
      <c r="A659" s="7" t="s">
        <v>1345</v>
      </c>
      <c r="B659" s="7" t="s">
        <v>1358</v>
      </c>
      <c r="C659" s="8">
        <f>QS.CONTEXT.CREATE("market.657",A659,"USD","SOFR")</f>
        <v/>
      </c>
      <c r="D659" s="8">
        <f>QS.CONTEXT.ADD.CURVE(C659,"SOFR",$K$2:$K$7,$L$2:$L$7,,,"Actual360","LogLinear",TRUE)</f>
        <v/>
      </c>
      <c r="E659" s="8">
        <f>QS.INSTRUMENT.SWAP("swap.657",C659,H659,B659,"USD","SOFR",I659,J659,0,"Actual360","Simple","Annual","Annual","Annual")</f>
        <v/>
      </c>
      <c r="F659" s="8">
        <f>QS.TRADE.CREATE("trade.657",C659,E659,A659,"Receive")</f>
        <v/>
      </c>
      <c r="G659" s="5"/>
      <c r="H659" s="7" t="s">
        <v>1359</v>
      </c>
      <c r="I659" s="9">
        <v>1065700</v>
      </c>
      <c r="J659" s="10">
        <v>0.0357</v>
      </c>
    </row>
    <row r="660" spans="1:10">
      <c r="A660" s="7" t="s">
        <v>1347</v>
      </c>
      <c r="B660" s="7" t="s">
        <v>1360</v>
      </c>
      <c r="C660" s="8">
        <f>QS.CONTEXT.CREATE("market.658",A660,"USD","SOFR")</f>
        <v/>
      </c>
      <c r="D660" s="8">
        <f>QS.CONTEXT.ADD.CURVE(C660,"SOFR",$K$2:$K$7,$L$2:$L$7,,,"Actual360","LogLinear",TRUE)</f>
        <v/>
      </c>
      <c r="E660" s="8">
        <f>QS.INSTRUMENT.SWAP("swap.658",C660,H660,B660,"USD","SOFR",I660,J660,0,"Actual360","Simple","Annual","Annual","Annual")</f>
        <v/>
      </c>
      <c r="F660" s="8">
        <f>QS.TRADE.CREATE("trade.658",C660,E660,A660,"Receive")</f>
        <v/>
      </c>
      <c r="G660" s="5"/>
      <c r="H660" s="7" t="s">
        <v>1361</v>
      </c>
      <c r="I660" s="9">
        <v>1065800</v>
      </c>
      <c r="J660" s="10">
        <v>0.03580000000000001</v>
      </c>
    </row>
    <row r="661" spans="1:10">
      <c r="A661" s="7" t="s">
        <v>1349</v>
      </c>
      <c r="B661" s="7" t="s">
        <v>1362</v>
      </c>
      <c r="C661" s="8">
        <f>QS.CONTEXT.CREATE("market.659",A661,"USD","SOFR")</f>
        <v/>
      </c>
      <c r="D661" s="8">
        <f>QS.CONTEXT.ADD.CURVE(C661,"SOFR",$K$2:$K$7,$L$2:$L$7,,,"Actual360","LogLinear",TRUE)</f>
        <v/>
      </c>
      <c r="E661" s="8">
        <f>QS.INSTRUMENT.SWAP("swap.659",C661,H661,B661,"USD","SOFR",I661,J661,0,"Actual360","Simple","Annual","Annual","Annual")</f>
        <v/>
      </c>
      <c r="F661" s="8">
        <f>QS.TRADE.CREATE("trade.659",C661,E661,A661,"Receive")</f>
        <v/>
      </c>
      <c r="G661" s="5"/>
      <c r="H661" s="7" t="s">
        <v>1363</v>
      </c>
      <c r="I661" s="9">
        <v>1065900</v>
      </c>
      <c r="J661" s="10">
        <v>0.0359</v>
      </c>
    </row>
    <row r="662" spans="1:10">
      <c r="A662" s="7" t="s">
        <v>1351</v>
      </c>
      <c r="B662" s="7" t="s">
        <v>1364</v>
      </c>
      <c r="C662" s="8">
        <f>QS.CONTEXT.CREATE("market.660",A662,"USD","SOFR")</f>
        <v/>
      </c>
      <c r="D662" s="8">
        <f>QS.CONTEXT.ADD.CURVE(C662,"SOFR",$K$2:$K$7,$L$2:$L$7,,,"Actual360","LogLinear",TRUE)</f>
        <v/>
      </c>
      <c r="E662" s="8">
        <f>QS.INSTRUMENT.SWAP("swap.660",C662,H662,B662,"USD","SOFR",I662,J662,0,"Actual360","Simple","Annual","Annual","Annual")</f>
        <v/>
      </c>
      <c r="F662" s="8">
        <f>QS.TRADE.CREATE("trade.660",C662,E662,A662,"Receive")</f>
        <v/>
      </c>
      <c r="G662" s="5"/>
      <c r="H662" s="7" t="s">
        <v>1365</v>
      </c>
      <c r="I662" s="9">
        <v>1066000</v>
      </c>
      <c r="J662" s="10">
        <v>0.036</v>
      </c>
    </row>
    <row r="663" spans="1:10">
      <c r="A663" s="7" t="s">
        <v>1353</v>
      </c>
      <c r="B663" s="7" t="s">
        <v>1366</v>
      </c>
      <c r="C663" s="8">
        <f>QS.CONTEXT.CREATE("market.661",A663,"USD","SOFR")</f>
        <v/>
      </c>
      <c r="D663" s="8">
        <f>QS.CONTEXT.ADD.CURVE(C663,"SOFR",$K$2:$K$7,$L$2:$L$7,,,"Actual360","LogLinear",TRUE)</f>
        <v/>
      </c>
      <c r="E663" s="8">
        <f>QS.INSTRUMENT.SWAP("swap.661",C663,H663,B663,"USD","SOFR",I663,J663,0,"Actual360","Simple","Annual","Annual","Annual")</f>
        <v/>
      </c>
      <c r="F663" s="8">
        <f>QS.TRADE.CREATE("trade.661",C663,E663,A663,"Receive")</f>
        <v/>
      </c>
      <c r="G663" s="5"/>
      <c r="H663" s="7" t="s">
        <v>1367</v>
      </c>
      <c r="I663" s="9">
        <v>1066100</v>
      </c>
      <c r="J663" s="10">
        <v>0.0361</v>
      </c>
    </row>
    <row r="664" spans="1:10">
      <c r="A664" s="7" t="s">
        <v>1355</v>
      </c>
      <c r="B664" s="7" t="s">
        <v>1368</v>
      </c>
      <c r="C664" s="8">
        <f>QS.CONTEXT.CREATE("market.662",A664,"USD","SOFR")</f>
        <v/>
      </c>
      <c r="D664" s="8">
        <f>QS.CONTEXT.ADD.CURVE(C664,"SOFR",$K$2:$K$7,$L$2:$L$7,,,"Actual360","LogLinear",TRUE)</f>
        <v/>
      </c>
      <c r="E664" s="8">
        <f>QS.INSTRUMENT.SWAP("swap.662",C664,H664,B664,"USD","SOFR",I664,J664,0,"Actual360","Simple","Annual","Annual","Annual")</f>
        <v/>
      </c>
      <c r="F664" s="8">
        <f>QS.TRADE.CREATE("trade.662",C664,E664,A664,"Receive")</f>
        <v/>
      </c>
      <c r="G664" s="5"/>
      <c r="H664" s="7" t="s">
        <v>1369</v>
      </c>
      <c r="I664" s="9">
        <v>1066200</v>
      </c>
      <c r="J664" s="10">
        <v>0.0362</v>
      </c>
    </row>
    <row r="665" spans="1:10">
      <c r="A665" s="7" t="s">
        <v>1357</v>
      </c>
      <c r="B665" s="7" t="s">
        <v>1370</v>
      </c>
      <c r="C665" s="8">
        <f>QS.CONTEXT.CREATE("market.663",A665,"USD","SOFR")</f>
        <v/>
      </c>
      <c r="D665" s="8">
        <f>QS.CONTEXT.ADD.CURVE(C665,"SOFR",$K$2:$K$7,$L$2:$L$7,,,"Actual360","LogLinear",TRUE)</f>
        <v/>
      </c>
      <c r="E665" s="8">
        <f>QS.INSTRUMENT.SWAP("swap.663",C665,H665,B665,"USD","SOFR",I665,J665,0,"Actual360","Simple","Annual","Annual","Annual")</f>
        <v/>
      </c>
      <c r="F665" s="8">
        <f>QS.TRADE.CREATE("trade.663",C665,E665,A665,"Receive")</f>
        <v/>
      </c>
      <c r="G665" s="5"/>
      <c r="H665" s="7" t="s">
        <v>1371</v>
      </c>
      <c r="I665" s="9">
        <v>1066300</v>
      </c>
      <c r="J665" s="10">
        <v>0.03630000000000001</v>
      </c>
    </row>
    <row r="666" spans="1:10">
      <c r="A666" s="7" t="s">
        <v>1359</v>
      </c>
      <c r="B666" s="7" t="s">
        <v>1372</v>
      </c>
      <c r="C666" s="8">
        <f>QS.CONTEXT.CREATE("market.664",A666,"USD","SOFR")</f>
        <v/>
      </c>
      <c r="D666" s="8">
        <f>QS.CONTEXT.ADD.CURVE(C666,"SOFR",$K$2:$K$7,$L$2:$L$7,,,"Actual360","LogLinear",TRUE)</f>
        <v/>
      </c>
      <c r="E666" s="8">
        <f>QS.INSTRUMENT.SWAP("swap.664",C666,H666,B666,"USD","SOFR",I666,J666,0,"Actual360","Simple","Annual","Annual","Annual")</f>
        <v/>
      </c>
      <c r="F666" s="8">
        <f>QS.TRADE.CREATE("trade.664",C666,E666,A666,"Receive")</f>
        <v/>
      </c>
      <c r="G666" s="5"/>
      <c r="H666" s="7" t="s">
        <v>1373</v>
      </c>
      <c r="I666" s="9">
        <v>1066400</v>
      </c>
      <c r="J666" s="10">
        <v>0.0364</v>
      </c>
    </row>
    <row r="667" spans="1:10">
      <c r="A667" s="7" t="s">
        <v>1361</v>
      </c>
      <c r="B667" s="7" t="s">
        <v>1374</v>
      </c>
      <c r="C667" s="8">
        <f>QS.CONTEXT.CREATE("market.665",A667,"USD","SOFR")</f>
        <v/>
      </c>
      <c r="D667" s="8">
        <f>QS.CONTEXT.ADD.CURVE(C667,"SOFR",$K$2:$K$7,$L$2:$L$7,,,"Actual360","LogLinear",TRUE)</f>
        <v/>
      </c>
      <c r="E667" s="8">
        <f>QS.INSTRUMENT.SWAP("swap.665",C667,H667,B667,"USD","SOFR",I667,J667,0,"Actual360","Simple","Annual","Annual","Annual")</f>
        <v/>
      </c>
      <c r="F667" s="8">
        <f>QS.TRADE.CREATE("trade.665",C667,E667,A667,"Receive")</f>
        <v/>
      </c>
      <c r="G667" s="5"/>
      <c r="H667" s="7" t="s">
        <v>1375</v>
      </c>
      <c r="I667" s="9">
        <v>1066500</v>
      </c>
      <c r="J667" s="10">
        <v>0.0365</v>
      </c>
    </row>
    <row r="668" spans="1:10">
      <c r="A668" s="7" t="s">
        <v>1363</v>
      </c>
      <c r="B668" s="7" t="s">
        <v>1376</v>
      </c>
      <c r="C668" s="8">
        <f>QS.CONTEXT.CREATE("market.666",A668,"USD","SOFR")</f>
        <v/>
      </c>
      <c r="D668" s="8">
        <f>QS.CONTEXT.ADD.CURVE(C668,"SOFR",$K$2:$K$7,$L$2:$L$7,,,"Actual360","LogLinear",TRUE)</f>
        <v/>
      </c>
      <c r="E668" s="8">
        <f>QS.INSTRUMENT.SWAP("swap.666",C668,H668,B668,"USD","SOFR",I668,J668,0,"Actual360","Simple","Annual","Annual","Annual")</f>
        <v/>
      </c>
      <c r="F668" s="8">
        <f>QS.TRADE.CREATE("trade.666",C668,E668,A668,"Receive")</f>
        <v/>
      </c>
      <c r="G668" s="5"/>
      <c r="H668" s="7" t="s">
        <v>1377</v>
      </c>
      <c r="I668" s="9">
        <v>1066600</v>
      </c>
      <c r="J668" s="10">
        <v>0.0366</v>
      </c>
    </row>
    <row r="669" spans="1:10">
      <c r="A669" s="7" t="s">
        <v>1365</v>
      </c>
      <c r="B669" s="7" t="s">
        <v>1378</v>
      </c>
      <c r="C669" s="8">
        <f>QS.CONTEXT.CREATE("market.667",A669,"USD","SOFR")</f>
        <v/>
      </c>
      <c r="D669" s="8">
        <f>QS.CONTEXT.ADD.CURVE(C669,"SOFR",$K$2:$K$7,$L$2:$L$7,,,"Actual360","LogLinear",TRUE)</f>
        <v/>
      </c>
      <c r="E669" s="8">
        <f>QS.INSTRUMENT.SWAP("swap.667",C669,H669,B669,"USD","SOFR",I669,J669,0,"Actual360","Simple","Annual","Annual","Annual")</f>
        <v/>
      </c>
      <c r="F669" s="8">
        <f>QS.TRADE.CREATE("trade.667",C669,E669,A669,"Receive")</f>
        <v/>
      </c>
      <c r="G669" s="5"/>
      <c r="H669" s="7" t="s">
        <v>1379</v>
      </c>
      <c r="I669" s="9">
        <v>1066700</v>
      </c>
      <c r="J669" s="10">
        <v>0.0367</v>
      </c>
    </row>
    <row r="670" spans="1:10">
      <c r="A670" s="7" t="s">
        <v>1367</v>
      </c>
      <c r="B670" s="7" t="s">
        <v>1380</v>
      </c>
      <c r="C670" s="8">
        <f>QS.CONTEXT.CREATE("market.668",A670,"USD","SOFR")</f>
        <v/>
      </c>
      <c r="D670" s="8">
        <f>QS.CONTEXT.ADD.CURVE(C670,"SOFR",$K$2:$K$7,$L$2:$L$7,,,"Actual360","LogLinear",TRUE)</f>
        <v/>
      </c>
      <c r="E670" s="8">
        <f>QS.INSTRUMENT.SWAP("swap.668",C670,H670,B670,"USD","SOFR",I670,J670,0,"Actual360","Simple","Annual","Annual","Annual")</f>
        <v/>
      </c>
      <c r="F670" s="8">
        <f>QS.TRADE.CREATE("trade.668",C670,E670,A670,"Receive")</f>
        <v/>
      </c>
      <c r="G670" s="5"/>
      <c r="H670" s="7" t="s">
        <v>1381</v>
      </c>
      <c r="I670" s="9">
        <v>1066800</v>
      </c>
      <c r="J670" s="10">
        <v>0.03680000000000001</v>
      </c>
    </row>
    <row r="671" spans="1:10">
      <c r="A671" s="7" t="s">
        <v>1369</v>
      </c>
      <c r="B671" s="7" t="s">
        <v>1382</v>
      </c>
      <c r="C671" s="8">
        <f>QS.CONTEXT.CREATE("market.669",A671,"USD","SOFR")</f>
        <v/>
      </c>
      <c r="D671" s="8">
        <f>QS.CONTEXT.ADD.CURVE(C671,"SOFR",$K$2:$K$7,$L$2:$L$7,,,"Actual360","LogLinear",TRUE)</f>
        <v/>
      </c>
      <c r="E671" s="8">
        <f>QS.INSTRUMENT.SWAP("swap.669",C671,H671,B671,"USD","SOFR",I671,J671,0,"Actual360","Simple","Annual","Annual","Annual")</f>
        <v/>
      </c>
      <c r="F671" s="8">
        <f>QS.TRADE.CREATE("trade.669",C671,E671,A671,"Receive")</f>
        <v/>
      </c>
      <c r="G671" s="5"/>
      <c r="H671" s="7" t="s">
        <v>1383</v>
      </c>
      <c r="I671" s="9">
        <v>1066900</v>
      </c>
      <c r="J671" s="10">
        <v>0.0369</v>
      </c>
    </row>
    <row r="672" spans="1:10">
      <c r="A672" s="7" t="s">
        <v>1371</v>
      </c>
      <c r="B672" s="7" t="s">
        <v>1384</v>
      </c>
      <c r="C672" s="8">
        <f>QS.CONTEXT.CREATE("market.670",A672,"USD","SOFR")</f>
        <v/>
      </c>
      <c r="D672" s="8">
        <f>QS.CONTEXT.ADD.CURVE(C672,"SOFR",$K$2:$K$7,$L$2:$L$7,,,"Actual360","LogLinear",TRUE)</f>
        <v/>
      </c>
      <c r="E672" s="8">
        <f>QS.INSTRUMENT.SWAP("swap.670",C672,H672,B672,"USD","SOFR",I672,J672,0,"Actual360","Simple","Annual","Annual","Annual")</f>
        <v/>
      </c>
      <c r="F672" s="8">
        <f>QS.TRADE.CREATE("trade.670",C672,E672,A672,"Receive")</f>
        <v/>
      </c>
      <c r="G672" s="5"/>
      <c r="H672" s="7" t="s">
        <v>1385</v>
      </c>
      <c r="I672" s="9">
        <v>1067000</v>
      </c>
      <c r="J672" s="10">
        <v>0.03700000000000001</v>
      </c>
    </row>
    <row r="673" spans="1:10">
      <c r="A673" s="7" t="s">
        <v>1373</v>
      </c>
      <c r="B673" s="7" t="s">
        <v>1386</v>
      </c>
      <c r="C673" s="8">
        <f>QS.CONTEXT.CREATE("market.671",A673,"USD","SOFR")</f>
        <v/>
      </c>
      <c r="D673" s="8">
        <f>QS.CONTEXT.ADD.CURVE(C673,"SOFR",$K$2:$K$7,$L$2:$L$7,,,"Actual360","LogLinear",TRUE)</f>
        <v/>
      </c>
      <c r="E673" s="8">
        <f>QS.INSTRUMENT.SWAP("swap.671",C673,H673,B673,"USD","SOFR",I673,J673,0,"Actual360","Simple","Annual","Annual","Annual")</f>
        <v/>
      </c>
      <c r="F673" s="8">
        <f>QS.TRADE.CREATE("trade.671",C673,E673,A673,"Receive")</f>
        <v/>
      </c>
      <c r="G673" s="5"/>
      <c r="H673" s="7" t="s">
        <v>1387</v>
      </c>
      <c r="I673" s="9">
        <v>1067100</v>
      </c>
      <c r="J673" s="10">
        <v>0.0371</v>
      </c>
    </row>
    <row r="674" spans="1:10">
      <c r="A674" s="7" t="s">
        <v>1375</v>
      </c>
      <c r="B674" s="7" t="s">
        <v>1388</v>
      </c>
      <c r="C674" s="8">
        <f>QS.CONTEXT.CREATE("market.672",A674,"USD","SOFR")</f>
        <v/>
      </c>
      <c r="D674" s="8">
        <f>QS.CONTEXT.ADD.CURVE(C674,"SOFR",$K$2:$K$7,$L$2:$L$7,,,"Actual360","LogLinear",TRUE)</f>
        <v/>
      </c>
      <c r="E674" s="8">
        <f>QS.INSTRUMENT.SWAP("swap.672",C674,H674,B674,"USD","SOFR",I674,J674,0,"Actual360","Simple","Annual","Annual","Annual")</f>
        <v/>
      </c>
      <c r="F674" s="8">
        <f>QS.TRADE.CREATE("trade.672",C674,E674,A674,"Receive")</f>
        <v/>
      </c>
      <c r="G674" s="5"/>
      <c r="H674" s="7" t="s">
        <v>1389</v>
      </c>
      <c r="I674" s="9">
        <v>1067200</v>
      </c>
      <c r="J674" s="10">
        <v>0.0372</v>
      </c>
    </row>
    <row r="675" spans="1:10">
      <c r="A675" s="7" t="s">
        <v>1377</v>
      </c>
      <c r="B675" s="7" t="s">
        <v>1390</v>
      </c>
      <c r="C675" s="8">
        <f>QS.CONTEXT.CREATE("market.673",A675,"USD","SOFR")</f>
        <v/>
      </c>
      <c r="D675" s="8">
        <f>QS.CONTEXT.ADD.CURVE(C675,"SOFR",$K$2:$K$7,$L$2:$L$7,,,"Actual360","LogLinear",TRUE)</f>
        <v/>
      </c>
      <c r="E675" s="8">
        <f>QS.INSTRUMENT.SWAP("swap.673",C675,H675,B675,"USD","SOFR",I675,J675,0,"Actual360","Simple","Annual","Annual","Annual")</f>
        <v/>
      </c>
      <c r="F675" s="8">
        <f>QS.TRADE.CREATE("trade.673",C675,E675,A675,"Receive")</f>
        <v/>
      </c>
      <c r="G675" s="5"/>
      <c r="H675" s="7" t="s">
        <v>1391</v>
      </c>
      <c r="I675" s="9">
        <v>1067300</v>
      </c>
      <c r="J675" s="10">
        <v>0.0373</v>
      </c>
    </row>
    <row r="676" spans="1:10">
      <c r="A676" s="7" t="s">
        <v>1379</v>
      </c>
      <c r="B676" s="7" t="s">
        <v>1392</v>
      </c>
      <c r="C676" s="8">
        <f>QS.CONTEXT.CREATE("market.674",A676,"USD","SOFR")</f>
        <v/>
      </c>
      <c r="D676" s="8">
        <f>QS.CONTEXT.ADD.CURVE(C676,"SOFR",$K$2:$K$7,$L$2:$L$7,,,"Actual360","LogLinear",TRUE)</f>
        <v/>
      </c>
      <c r="E676" s="8">
        <f>QS.INSTRUMENT.SWAP("swap.674",C676,H676,B676,"USD","SOFR",I676,J676,0,"Actual360","Simple","Annual","Annual","Annual")</f>
        <v/>
      </c>
      <c r="F676" s="8">
        <f>QS.TRADE.CREATE("trade.674",C676,E676,A676,"Receive")</f>
        <v/>
      </c>
      <c r="G676" s="5"/>
      <c r="H676" s="7" t="s">
        <v>1393</v>
      </c>
      <c r="I676" s="9">
        <v>1067400</v>
      </c>
      <c r="J676" s="10">
        <v>0.0374</v>
      </c>
    </row>
    <row r="677" spans="1:10">
      <c r="A677" s="7" t="s">
        <v>1381</v>
      </c>
      <c r="B677" s="7" t="s">
        <v>1394</v>
      </c>
      <c r="C677" s="8">
        <f>QS.CONTEXT.CREATE("market.675",A677,"USD","SOFR")</f>
        <v/>
      </c>
      <c r="D677" s="8">
        <f>QS.CONTEXT.ADD.CURVE(C677,"SOFR",$K$2:$K$7,$L$2:$L$7,,,"Actual360","LogLinear",TRUE)</f>
        <v/>
      </c>
      <c r="E677" s="8">
        <f>QS.INSTRUMENT.SWAP("swap.675",C677,H677,B677,"USD","SOFR",I677,J677,0,"Actual360","Simple","Annual","Annual","Annual")</f>
        <v/>
      </c>
      <c r="F677" s="8">
        <f>QS.TRADE.CREATE("trade.675",C677,E677,A677,"Receive")</f>
        <v/>
      </c>
      <c r="G677" s="5"/>
      <c r="H677" s="7" t="s">
        <v>1395</v>
      </c>
      <c r="I677" s="9">
        <v>1067500</v>
      </c>
      <c r="J677" s="10">
        <v>0.03750000000000001</v>
      </c>
    </row>
    <row r="678" spans="1:10">
      <c r="A678" s="7" t="s">
        <v>1383</v>
      </c>
      <c r="B678" s="7" t="s">
        <v>1396</v>
      </c>
      <c r="C678" s="8">
        <f>QS.CONTEXT.CREATE("market.676",A678,"USD","SOFR")</f>
        <v/>
      </c>
      <c r="D678" s="8">
        <f>QS.CONTEXT.ADD.CURVE(C678,"SOFR",$K$2:$K$7,$L$2:$L$7,,,"Actual360","LogLinear",TRUE)</f>
        <v/>
      </c>
      <c r="E678" s="8">
        <f>QS.INSTRUMENT.SWAP("swap.676",C678,H678,B678,"USD","SOFR",I678,J678,0,"Actual360","Simple","Annual","Annual","Annual")</f>
        <v/>
      </c>
      <c r="F678" s="8">
        <f>QS.TRADE.CREATE("trade.676",C678,E678,A678,"Receive")</f>
        <v/>
      </c>
      <c r="G678" s="5"/>
      <c r="H678" s="7" t="s">
        <v>1397</v>
      </c>
      <c r="I678" s="9">
        <v>1067600</v>
      </c>
      <c r="J678" s="10">
        <v>0.0376</v>
      </c>
    </row>
    <row r="679" spans="1:10">
      <c r="A679" s="7" t="s">
        <v>1385</v>
      </c>
      <c r="B679" s="7" t="s">
        <v>1398</v>
      </c>
      <c r="C679" s="8">
        <f>QS.CONTEXT.CREATE("market.677",A679,"USD","SOFR")</f>
        <v/>
      </c>
      <c r="D679" s="8">
        <f>QS.CONTEXT.ADD.CURVE(C679,"SOFR",$K$2:$K$7,$L$2:$L$7,,,"Actual360","LogLinear",TRUE)</f>
        <v/>
      </c>
      <c r="E679" s="8">
        <f>QS.INSTRUMENT.SWAP("swap.677",C679,H679,B679,"USD","SOFR",I679,J679,0,"Actual360","Simple","Annual","Annual","Annual")</f>
        <v/>
      </c>
      <c r="F679" s="8">
        <f>QS.TRADE.CREATE("trade.677",C679,E679,A679,"Receive")</f>
        <v/>
      </c>
      <c r="G679" s="5"/>
      <c r="H679" s="7" t="s">
        <v>1399</v>
      </c>
      <c r="I679" s="9">
        <v>1067700</v>
      </c>
      <c r="J679" s="10">
        <v>0.0377</v>
      </c>
    </row>
    <row r="680" spans="1:10">
      <c r="A680" s="7" t="s">
        <v>1387</v>
      </c>
      <c r="B680" s="7" t="s">
        <v>1400</v>
      </c>
      <c r="C680" s="8">
        <f>QS.CONTEXT.CREATE("market.678",A680,"USD","SOFR")</f>
        <v/>
      </c>
      <c r="D680" s="8">
        <f>QS.CONTEXT.ADD.CURVE(C680,"SOFR",$K$2:$K$7,$L$2:$L$7,,,"Actual360","LogLinear",TRUE)</f>
        <v/>
      </c>
      <c r="E680" s="8">
        <f>QS.INSTRUMENT.SWAP("swap.678",C680,H680,B680,"USD","SOFR",I680,J680,0,"Actual360","Simple","Annual","Annual","Annual")</f>
        <v/>
      </c>
      <c r="F680" s="8">
        <f>QS.TRADE.CREATE("trade.678",C680,E680,A680,"Receive")</f>
        <v/>
      </c>
      <c r="G680" s="5"/>
      <c r="H680" s="7" t="s">
        <v>1401</v>
      </c>
      <c r="I680" s="9">
        <v>1067800</v>
      </c>
      <c r="J680" s="10">
        <v>0.0378</v>
      </c>
    </row>
    <row r="681" spans="1:10">
      <c r="A681" s="7" t="s">
        <v>1389</v>
      </c>
      <c r="B681" s="7" t="s">
        <v>1402</v>
      </c>
      <c r="C681" s="8">
        <f>QS.CONTEXT.CREATE("market.679",A681,"USD","SOFR")</f>
        <v/>
      </c>
      <c r="D681" s="8">
        <f>QS.CONTEXT.ADD.CURVE(C681,"SOFR",$K$2:$K$7,$L$2:$L$7,,,"Actual360","LogLinear",TRUE)</f>
        <v/>
      </c>
      <c r="E681" s="8">
        <f>QS.INSTRUMENT.SWAP("swap.679",C681,H681,B681,"USD","SOFR",I681,J681,0,"Actual360","Simple","Annual","Annual","Annual")</f>
        <v/>
      </c>
      <c r="F681" s="8">
        <f>QS.TRADE.CREATE("trade.679",C681,E681,A681,"Receive")</f>
        <v/>
      </c>
      <c r="G681" s="5"/>
      <c r="H681" s="7" t="s">
        <v>1403</v>
      </c>
      <c r="I681" s="9">
        <v>1067900</v>
      </c>
      <c r="J681" s="10">
        <v>0.0379</v>
      </c>
    </row>
    <row r="682" spans="1:10">
      <c r="A682" s="7" t="s">
        <v>1391</v>
      </c>
      <c r="B682" s="7" t="s">
        <v>1404</v>
      </c>
      <c r="C682" s="8">
        <f>QS.CONTEXT.CREATE("market.680",A682,"USD","SOFR")</f>
        <v/>
      </c>
      <c r="D682" s="8">
        <f>QS.CONTEXT.ADD.CURVE(C682,"SOFR",$K$2:$K$7,$L$2:$L$7,,,"Actual360","LogLinear",TRUE)</f>
        <v/>
      </c>
      <c r="E682" s="8">
        <f>QS.INSTRUMENT.SWAP("swap.680",C682,H682,B682,"USD","SOFR",I682,J682,0,"Actual360","Simple","Annual","Annual","Annual")</f>
        <v/>
      </c>
      <c r="F682" s="8">
        <f>QS.TRADE.CREATE("trade.680",C682,E682,A682,"Receive")</f>
        <v/>
      </c>
      <c r="G682" s="5"/>
      <c r="H682" s="7" t="s">
        <v>1405</v>
      </c>
      <c r="I682" s="9">
        <v>1068000</v>
      </c>
      <c r="J682" s="10">
        <v>0.03800000000000001</v>
      </c>
    </row>
    <row r="683" spans="1:10">
      <c r="A683" s="7" t="s">
        <v>1393</v>
      </c>
      <c r="B683" s="7" t="s">
        <v>1406</v>
      </c>
      <c r="C683" s="8">
        <f>QS.CONTEXT.CREATE("market.681",A683,"USD","SOFR")</f>
        <v/>
      </c>
      <c r="D683" s="8">
        <f>QS.CONTEXT.ADD.CURVE(C683,"SOFR",$K$2:$K$7,$L$2:$L$7,,,"Actual360","LogLinear",TRUE)</f>
        <v/>
      </c>
      <c r="E683" s="8">
        <f>QS.INSTRUMENT.SWAP("swap.681",C683,H683,B683,"USD","SOFR",I683,J683,0,"Actual360","Simple","Annual","Annual","Annual")</f>
        <v/>
      </c>
      <c r="F683" s="8">
        <f>QS.TRADE.CREATE("trade.681",C683,E683,A683,"Receive")</f>
        <v/>
      </c>
      <c r="G683" s="5"/>
      <c r="H683" s="7" t="s">
        <v>1407</v>
      </c>
      <c r="I683" s="9">
        <v>1068100</v>
      </c>
      <c r="J683" s="10">
        <v>0.0381</v>
      </c>
    </row>
    <row r="684" spans="1:10">
      <c r="A684" s="7" t="s">
        <v>1395</v>
      </c>
      <c r="B684" s="7" t="s">
        <v>1408</v>
      </c>
      <c r="C684" s="8">
        <f>QS.CONTEXT.CREATE("market.682",A684,"USD","SOFR")</f>
        <v/>
      </c>
      <c r="D684" s="8">
        <f>QS.CONTEXT.ADD.CURVE(C684,"SOFR",$K$2:$K$7,$L$2:$L$7,,,"Actual360","LogLinear",TRUE)</f>
        <v/>
      </c>
      <c r="E684" s="8">
        <f>QS.INSTRUMENT.SWAP("swap.682",C684,H684,B684,"USD","SOFR",I684,J684,0,"Actual360","Simple","Annual","Annual","Annual")</f>
        <v/>
      </c>
      <c r="F684" s="8">
        <f>QS.TRADE.CREATE("trade.682",C684,E684,A684,"Receive")</f>
        <v/>
      </c>
      <c r="G684" s="5"/>
      <c r="H684" s="7" t="s">
        <v>1409</v>
      </c>
      <c r="I684" s="9">
        <v>1068200</v>
      </c>
      <c r="J684" s="10">
        <v>0.0382</v>
      </c>
    </row>
    <row r="685" spans="1:10">
      <c r="A685" s="7" t="s">
        <v>1397</v>
      </c>
      <c r="B685" s="7" t="s">
        <v>1410</v>
      </c>
      <c r="C685" s="8">
        <f>QS.CONTEXT.CREATE("market.683",A685,"USD","SOFR")</f>
        <v/>
      </c>
      <c r="D685" s="8">
        <f>QS.CONTEXT.ADD.CURVE(C685,"SOFR",$K$2:$K$7,$L$2:$L$7,,,"Actual360","LogLinear",TRUE)</f>
        <v/>
      </c>
      <c r="E685" s="8">
        <f>QS.INSTRUMENT.SWAP("swap.683",C685,H685,B685,"USD","SOFR",I685,J685,0,"Actual360","Simple","Annual","Annual","Annual")</f>
        <v/>
      </c>
      <c r="F685" s="8">
        <f>QS.TRADE.CREATE("trade.683",C685,E685,A685,"Receive")</f>
        <v/>
      </c>
      <c r="G685" s="5"/>
      <c r="H685" s="7" t="s">
        <v>1411</v>
      </c>
      <c r="I685" s="9">
        <v>1068300</v>
      </c>
      <c r="J685" s="10">
        <v>0.0383</v>
      </c>
    </row>
    <row r="686" spans="1:10">
      <c r="A686" s="7" t="s">
        <v>1399</v>
      </c>
      <c r="B686" s="7" t="s">
        <v>1412</v>
      </c>
      <c r="C686" s="8">
        <f>QS.CONTEXT.CREATE("market.684",A686,"USD","SOFR")</f>
        <v/>
      </c>
      <c r="D686" s="8">
        <f>QS.CONTEXT.ADD.CURVE(C686,"SOFR",$K$2:$K$7,$L$2:$L$7,,,"Actual360","LogLinear",TRUE)</f>
        <v/>
      </c>
      <c r="E686" s="8">
        <f>QS.INSTRUMENT.SWAP("swap.684",C686,H686,B686,"USD","SOFR",I686,J686,0,"Actual360","Simple","Annual","Annual","Annual")</f>
        <v/>
      </c>
      <c r="F686" s="8">
        <f>QS.TRADE.CREATE("trade.684",C686,E686,A686,"Receive")</f>
        <v/>
      </c>
      <c r="G686" s="5"/>
      <c r="H686" s="7" t="s">
        <v>1413</v>
      </c>
      <c r="I686" s="9">
        <v>1068400</v>
      </c>
      <c r="J686" s="10">
        <v>0.0384</v>
      </c>
    </row>
    <row r="687" spans="1:10">
      <c r="A687" s="7" t="s">
        <v>1401</v>
      </c>
      <c r="B687" s="7" t="s">
        <v>1414</v>
      </c>
      <c r="C687" s="8">
        <f>QS.CONTEXT.CREATE("market.685",A687,"USD","SOFR")</f>
        <v/>
      </c>
      <c r="D687" s="8">
        <f>QS.CONTEXT.ADD.CURVE(C687,"SOFR",$K$2:$K$7,$L$2:$L$7,,,"Actual360","LogLinear",TRUE)</f>
        <v/>
      </c>
      <c r="E687" s="8">
        <f>QS.INSTRUMENT.SWAP("swap.685",C687,H687,B687,"USD","SOFR",I687,J687,0,"Actual360","Simple","Annual","Annual","Annual")</f>
        <v/>
      </c>
      <c r="F687" s="8">
        <f>QS.TRADE.CREATE("trade.685",C687,E687,A687,"Receive")</f>
        <v/>
      </c>
      <c r="G687" s="5"/>
      <c r="H687" s="7" t="s">
        <v>1415</v>
      </c>
      <c r="I687" s="9">
        <v>1068500</v>
      </c>
      <c r="J687" s="10">
        <v>0.03850000000000001</v>
      </c>
    </row>
    <row r="688" spans="1:10">
      <c r="A688" s="7" t="s">
        <v>1403</v>
      </c>
      <c r="B688" s="7" t="s">
        <v>1416</v>
      </c>
      <c r="C688" s="8">
        <f>QS.CONTEXT.CREATE("market.686",A688,"USD","SOFR")</f>
        <v/>
      </c>
      <c r="D688" s="8">
        <f>QS.CONTEXT.ADD.CURVE(C688,"SOFR",$K$2:$K$7,$L$2:$L$7,,,"Actual360","LogLinear",TRUE)</f>
        <v/>
      </c>
      <c r="E688" s="8">
        <f>QS.INSTRUMENT.SWAP("swap.686",C688,H688,B688,"USD","SOFR",I688,J688,0,"Actual360","Simple","Annual","Annual","Annual")</f>
        <v/>
      </c>
      <c r="F688" s="8">
        <f>QS.TRADE.CREATE("trade.686",C688,E688,A688,"Receive")</f>
        <v/>
      </c>
      <c r="G688" s="5"/>
      <c r="H688" s="7" t="s">
        <v>1417</v>
      </c>
      <c r="I688" s="9">
        <v>1068600</v>
      </c>
      <c r="J688" s="10">
        <v>0.0386</v>
      </c>
    </row>
    <row r="689" spans="1:10">
      <c r="A689" s="7" t="s">
        <v>1405</v>
      </c>
      <c r="B689" s="7" t="s">
        <v>1418</v>
      </c>
      <c r="C689" s="8">
        <f>QS.CONTEXT.CREATE("market.687",A689,"USD","SOFR")</f>
        <v/>
      </c>
      <c r="D689" s="8">
        <f>QS.CONTEXT.ADD.CURVE(C689,"SOFR",$K$2:$K$7,$L$2:$L$7,,,"Actual360","LogLinear",TRUE)</f>
        <v/>
      </c>
      <c r="E689" s="8">
        <f>QS.INSTRUMENT.SWAP("swap.687",C689,H689,B689,"USD","SOFR",I689,J689,0,"Actual360","Simple","Annual","Annual","Annual")</f>
        <v/>
      </c>
      <c r="F689" s="8">
        <f>QS.TRADE.CREATE("trade.687",C689,E689,A689,"Receive")</f>
        <v/>
      </c>
      <c r="G689" s="5"/>
      <c r="H689" s="7" t="s">
        <v>1419</v>
      </c>
      <c r="I689" s="9">
        <v>1068700</v>
      </c>
      <c r="J689" s="10">
        <v>0.03870000000000001</v>
      </c>
    </row>
    <row r="690" spans="1:10">
      <c r="A690" s="7" t="s">
        <v>1407</v>
      </c>
      <c r="B690" s="7" t="s">
        <v>1420</v>
      </c>
      <c r="C690" s="8">
        <f>QS.CONTEXT.CREATE("market.688",A690,"USD","SOFR")</f>
        <v/>
      </c>
      <c r="D690" s="8">
        <f>QS.CONTEXT.ADD.CURVE(C690,"SOFR",$K$2:$K$7,$L$2:$L$7,,,"Actual360","LogLinear",TRUE)</f>
        <v/>
      </c>
      <c r="E690" s="8">
        <f>QS.INSTRUMENT.SWAP("swap.688",C690,H690,B690,"USD","SOFR",I690,J690,0,"Actual360","Simple","Annual","Annual","Annual")</f>
        <v/>
      </c>
      <c r="F690" s="8">
        <f>QS.TRADE.CREATE("trade.688",C690,E690,A690,"Receive")</f>
        <v/>
      </c>
      <c r="G690" s="5"/>
      <c r="H690" s="7" t="s">
        <v>1421</v>
      </c>
      <c r="I690" s="9">
        <v>1068800</v>
      </c>
      <c r="J690" s="10">
        <v>0.0388</v>
      </c>
    </row>
    <row r="691" spans="1:10">
      <c r="A691" s="7" t="s">
        <v>1409</v>
      </c>
      <c r="B691" s="7" t="s">
        <v>1422</v>
      </c>
      <c r="C691" s="8">
        <f>QS.CONTEXT.CREATE("market.689",A691,"USD","SOFR")</f>
        <v/>
      </c>
      <c r="D691" s="8">
        <f>QS.CONTEXT.ADD.CURVE(C691,"SOFR",$K$2:$K$7,$L$2:$L$7,,,"Actual360","LogLinear",TRUE)</f>
        <v/>
      </c>
      <c r="E691" s="8">
        <f>QS.INSTRUMENT.SWAP("swap.689",C691,H691,B691,"USD","SOFR",I691,J691,0,"Actual360","Simple","Annual","Annual","Annual")</f>
        <v/>
      </c>
      <c r="F691" s="8">
        <f>QS.TRADE.CREATE("trade.689",C691,E691,A691,"Receive")</f>
        <v/>
      </c>
      <c r="G691" s="5"/>
      <c r="H691" s="7" t="s">
        <v>1423</v>
      </c>
      <c r="I691" s="9">
        <v>1068900</v>
      </c>
      <c r="J691" s="10">
        <v>0.0389</v>
      </c>
    </row>
    <row r="692" spans="1:10">
      <c r="A692" s="7" t="s">
        <v>1411</v>
      </c>
      <c r="B692" s="7" t="s">
        <v>1424</v>
      </c>
      <c r="C692" s="8">
        <f>QS.CONTEXT.CREATE("market.690",A692,"USD","SOFR")</f>
        <v/>
      </c>
      <c r="D692" s="8">
        <f>QS.CONTEXT.ADD.CURVE(C692,"SOFR",$K$2:$K$7,$L$2:$L$7,,,"Actual360","LogLinear",TRUE)</f>
        <v/>
      </c>
      <c r="E692" s="8">
        <f>QS.INSTRUMENT.SWAP("swap.690",C692,H692,B692,"USD","SOFR",I692,J692,0,"Actual360","Simple","Annual","Annual","Annual")</f>
        <v/>
      </c>
      <c r="F692" s="8">
        <f>QS.TRADE.CREATE("trade.690",C692,E692,A692,"Receive")</f>
        <v/>
      </c>
      <c r="G692" s="5"/>
      <c r="H692" s="7" t="s">
        <v>1425</v>
      </c>
      <c r="I692" s="9">
        <v>1069000</v>
      </c>
      <c r="J692" s="10">
        <v>0.03900000000000001</v>
      </c>
    </row>
    <row r="693" spans="1:10">
      <c r="A693" s="7" t="s">
        <v>1413</v>
      </c>
      <c r="B693" s="7" t="s">
        <v>1426</v>
      </c>
      <c r="C693" s="8">
        <f>QS.CONTEXT.CREATE("market.691",A693,"USD","SOFR")</f>
        <v/>
      </c>
      <c r="D693" s="8">
        <f>QS.CONTEXT.ADD.CURVE(C693,"SOFR",$K$2:$K$7,$L$2:$L$7,,,"Actual360","LogLinear",TRUE)</f>
        <v/>
      </c>
      <c r="E693" s="8">
        <f>QS.INSTRUMENT.SWAP("swap.691",C693,H693,B693,"USD","SOFR",I693,J693,0,"Actual360","Simple","Annual","Annual","Annual")</f>
        <v/>
      </c>
      <c r="F693" s="8">
        <f>QS.TRADE.CREATE("trade.691",C693,E693,A693,"Receive")</f>
        <v/>
      </c>
      <c r="G693" s="5"/>
      <c r="H693" s="7" t="s">
        <v>1427</v>
      </c>
      <c r="I693" s="9">
        <v>1069100</v>
      </c>
      <c r="J693" s="10">
        <v>0.0391</v>
      </c>
    </row>
    <row r="694" spans="1:10">
      <c r="A694" s="7" t="s">
        <v>1415</v>
      </c>
      <c r="B694" s="7" t="s">
        <v>1428</v>
      </c>
      <c r="C694" s="8">
        <f>QS.CONTEXT.CREATE("market.692",A694,"USD","SOFR")</f>
        <v/>
      </c>
      <c r="D694" s="8">
        <f>QS.CONTEXT.ADD.CURVE(C694,"SOFR",$K$2:$K$7,$L$2:$L$7,,,"Actual360","LogLinear",TRUE)</f>
        <v/>
      </c>
      <c r="E694" s="8">
        <f>QS.INSTRUMENT.SWAP("swap.692",C694,H694,B694,"USD","SOFR",I694,J694,0,"Actual360","Simple","Annual","Annual","Annual")</f>
        <v/>
      </c>
      <c r="F694" s="8">
        <f>QS.TRADE.CREATE("trade.692",C694,E694,A694,"Receive")</f>
        <v/>
      </c>
      <c r="G694" s="5"/>
      <c r="H694" s="7" t="s">
        <v>1429</v>
      </c>
      <c r="I694" s="9">
        <v>1069200</v>
      </c>
      <c r="J694" s="10">
        <v>0.03920000000000001</v>
      </c>
    </row>
    <row r="695" spans="1:10">
      <c r="A695" s="7" t="s">
        <v>1417</v>
      </c>
      <c r="B695" s="7" t="s">
        <v>1430</v>
      </c>
      <c r="C695" s="8">
        <f>QS.CONTEXT.CREATE("market.693",A695,"USD","SOFR")</f>
        <v/>
      </c>
      <c r="D695" s="8">
        <f>QS.CONTEXT.ADD.CURVE(C695,"SOFR",$K$2:$K$7,$L$2:$L$7,,,"Actual360","LogLinear",TRUE)</f>
        <v/>
      </c>
      <c r="E695" s="8">
        <f>QS.INSTRUMENT.SWAP("swap.693",C695,H695,B695,"USD","SOFR",I695,J695,0,"Actual360","Simple","Annual","Annual","Annual")</f>
        <v/>
      </c>
      <c r="F695" s="8">
        <f>QS.TRADE.CREATE("trade.693",C695,E695,A695,"Receive")</f>
        <v/>
      </c>
      <c r="G695" s="5"/>
      <c r="H695" s="7" t="s">
        <v>1431</v>
      </c>
      <c r="I695" s="9">
        <v>1069300</v>
      </c>
      <c r="J695" s="10">
        <v>0.0393</v>
      </c>
    </row>
    <row r="696" spans="1:10">
      <c r="A696" s="7" t="s">
        <v>1419</v>
      </c>
      <c r="B696" s="7" t="s">
        <v>1432</v>
      </c>
      <c r="C696" s="8">
        <f>QS.CONTEXT.CREATE("market.694",A696,"USD","SOFR")</f>
        <v/>
      </c>
      <c r="D696" s="8">
        <f>QS.CONTEXT.ADD.CURVE(C696,"SOFR",$K$2:$K$7,$L$2:$L$7,,,"Actual360","LogLinear",TRUE)</f>
        <v/>
      </c>
      <c r="E696" s="8">
        <f>QS.INSTRUMENT.SWAP("swap.694",C696,H696,B696,"USD","SOFR",I696,J696,0,"Actual360","Simple","Annual","Annual","Annual")</f>
        <v/>
      </c>
      <c r="F696" s="8">
        <f>QS.TRADE.CREATE("trade.694",C696,E696,A696,"Receive")</f>
        <v/>
      </c>
      <c r="G696" s="5"/>
      <c r="H696" s="7" t="s">
        <v>1433</v>
      </c>
      <c r="I696" s="9">
        <v>1069400</v>
      </c>
      <c r="J696" s="10">
        <v>0.0394</v>
      </c>
    </row>
    <row r="697" spans="1:10">
      <c r="A697" s="7" t="s">
        <v>1421</v>
      </c>
      <c r="B697" s="7" t="s">
        <v>1434</v>
      </c>
      <c r="C697" s="8">
        <f>QS.CONTEXT.CREATE("market.695",A697,"USD","SOFR")</f>
        <v/>
      </c>
      <c r="D697" s="8">
        <f>QS.CONTEXT.ADD.CURVE(C697,"SOFR",$K$2:$K$7,$L$2:$L$7,,,"Actual360","LogLinear",TRUE)</f>
        <v/>
      </c>
      <c r="E697" s="8">
        <f>QS.INSTRUMENT.SWAP("swap.695",C697,H697,B697,"USD","SOFR",I697,J697,0,"Actual360","Simple","Annual","Annual","Annual")</f>
        <v/>
      </c>
      <c r="F697" s="8">
        <f>QS.TRADE.CREATE("trade.695",C697,E697,A697,"Receive")</f>
        <v/>
      </c>
      <c r="G697" s="5"/>
      <c r="H697" s="7" t="s">
        <v>1435</v>
      </c>
      <c r="I697" s="9">
        <v>1069500</v>
      </c>
      <c r="J697" s="10">
        <v>0.03950000000000001</v>
      </c>
    </row>
    <row r="698" spans="1:10">
      <c r="A698" s="7" t="s">
        <v>1423</v>
      </c>
      <c r="B698" s="7" t="s">
        <v>1436</v>
      </c>
      <c r="C698" s="8">
        <f>QS.CONTEXT.CREATE("market.696",A698,"USD","SOFR")</f>
        <v/>
      </c>
      <c r="D698" s="8">
        <f>QS.CONTEXT.ADD.CURVE(C698,"SOFR",$K$2:$K$7,$L$2:$L$7,,,"Actual360","LogLinear",TRUE)</f>
        <v/>
      </c>
      <c r="E698" s="8">
        <f>QS.INSTRUMENT.SWAP("swap.696",C698,H698,B698,"USD","SOFR",I698,J698,0,"Actual360","Simple","Annual","Annual","Annual")</f>
        <v/>
      </c>
      <c r="F698" s="8">
        <f>QS.TRADE.CREATE("trade.696",C698,E698,A698,"Receive")</f>
        <v/>
      </c>
      <c r="G698" s="5"/>
      <c r="H698" s="7" t="s">
        <v>1437</v>
      </c>
      <c r="I698" s="9">
        <v>1069600</v>
      </c>
      <c r="J698" s="10">
        <v>0.0396</v>
      </c>
    </row>
    <row r="699" spans="1:10">
      <c r="A699" s="7" t="s">
        <v>1425</v>
      </c>
      <c r="B699" s="7" t="s">
        <v>1438</v>
      </c>
      <c r="C699" s="8">
        <f>QS.CONTEXT.CREATE("market.697",A699,"USD","SOFR")</f>
        <v/>
      </c>
      <c r="D699" s="8">
        <f>QS.CONTEXT.ADD.CURVE(C699,"SOFR",$K$2:$K$7,$L$2:$L$7,,,"Actual360","LogLinear",TRUE)</f>
        <v/>
      </c>
      <c r="E699" s="8">
        <f>QS.INSTRUMENT.SWAP("swap.697",C699,H699,B699,"USD","SOFR",I699,J699,0,"Actual360","Simple","Annual","Annual","Annual")</f>
        <v/>
      </c>
      <c r="F699" s="8">
        <f>QS.TRADE.CREATE("trade.697",C699,E699,A699,"Receive")</f>
        <v/>
      </c>
      <c r="G699" s="5"/>
      <c r="H699" s="7" t="s">
        <v>1439</v>
      </c>
      <c r="I699" s="9">
        <v>1069700</v>
      </c>
      <c r="J699" s="10">
        <v>0.03970000000000001</v>
      </c>
    </row>
    <row r="700" spans="1:10">
      <c r="A700" s="7" t="s">
        <v>1427</v>
      </c>
      <c r="B700" s="7" t="s">
        <v>1440</v>
      </c>
      <c r="C700" s="8">
        <f>QS.CONTEXT.CREATE("market.698",A700,"USD","SOFR")</f>
        <v/>
      </c>
      <c r="D700" s="8">
        <f>QS.CONTEXT.ADD.CURVE(C700,"SOFR",$K$2:$K$7,$L$2:$L$7,,,"Actual360","LogLinear",TRUE)</f>
        <v/>
      </c>
      <c r="E700" s="8">
        <f>QS.INSTRUMENT.SWAP("swap.698",C700,H700,B700,"USD","SOFR",I700,J700,0,"Actual360","Simple","Annual","Annual","Annual")</f>
        <v/>
      </c>
      <c r="F700" s="8">
        <f>QS.TRADE.CREATE("trade.698",C700,E700,A700,"Receive")</f>
        <v/>
      </c>
      <c r="G700" s="5"/>
      <c r="H700" s="7" t="s">
        <v>1441</v>
      </c>
      <c r="I700" s="9">
        <v>1069800</v>
      </c>
      <c r="J700" s="10">
        <v>0.0398</v>
      </c>
    </row>
    <row r="701" spans="1:10">
      <c r="A701" s="7" t="s">
        <v>1429</v>
      </c>
      <c r="B701" s="7" t="s">
        <v>1442</v>
      </c>
      <c r="C701" s="8">
        <f>QS.CONTEXT.CREATE("market.699",A701,"USD","SOFR")</f>
        <v/>
      </c>
      <c r="D701" s="8">
        <f>QS.CONTEXT.ADD.CURVE(C701,"SOFR",$K$2:$K$7,$L$2:$L$7,,,"Actual360","LogLinear",TRUE)</f>
        <v/>
      </c>
      <c r="E701" s="8">
        <f>QS.INSTRUMENT.SWAP("swap.699",C701,H701,B701,"USD","SOFR",I701,J701,0,"Actual360","Simple","Annual","Annual","Annual")</f>
        <v/>
      </c>
      <c r="F701" s="8">
        <f>QS.TRADE.CREATE("trade.699",C701,E701,A701,"Receive")</f>
        <v/>
      </c>
      <c r="G701" s="5"/>
      <c r="H701" s="7" t="s">
        <v>1443</v>
      </c>
      <c r="I701" s="9">
        <v>1069900</v>
      </c>
      <c r="J701" s="10">
        <v>0.0399</v>
      </c>
    </row>
    <row r="702" spans="1:10">
      <c r="A702" s="7" t="s">
        <v>1431</v>
      </c>
      <c r="B702" s="7" t="s">
        <v>1444</v>
      </c>
      <c r="C702" s="8">
        <f>QS.CONTEXT.CREATE("market.700",A702,"USD","SOFR")</f>
        <v/>
      </c>
      <c r="D702" s="8">
        <f>QS.CONTEXT.ADD.CURVE(C702,"SOFR",$K$2:$K$7,$L$2:$L$7,,,"Actual360","LogLinear",TRUE)</f>
        <v/>
      </c>
      <c r="E702" s="8">
        <f>QS.INSTRUMENT.SWAP("swap.700",C702,H702,B702,"USD","SOFR",I702,J702,0,"Actual360","Simple","Annual","Annual","Annual")</f>
        <v/>
      </c>
      <c r="F702" s="8">
        <f>QS.TRADE.CREATE("trade.700",C702,E702,A702,"Receive")</f>
        <v/>
      </c>
      <c r="G702" s="5"/>
      <c r="H702" s="7" t="s">
        <v>1445</v>
      </c>
      <c r="I702" s="9">
        <v>1070000</v>
      </c>
      <c r="J702" s="10">
        <v>0.035</v>
      </c>
    </row>
    <row r="703" spans="1:10">
      <c r="A703" s="7" t="s">
        <v>1433</v>
      </c>
      <c r="B703" s="7" t="s">
        <v>1446</v>
      </c>
      <c r="C703" s="8">
        <f>QS.CONTEXT.CREATE("market.701",A703,"USD","SOFR")</f>
        <v/>
      </c>
      <c r="D703" s="8">
        <f>QS.CONTEXT.ADD.CURVE(C703,"SOFR",$K$2:$K$7,$L$2:$L$7,,,"Actual360","LogLinear",TRUE)</f>
        <v/>
      </c>
      <c r="E703" s="8">
        <f>QS.INSTRUMENT.SWAP("swap.701",C703,H703,B703,"USD","SOFR",I703,J703,0,"Actual360","Simple","Annual","Annual","Annual")</f>
        <v/>
      </c>
      <c r="F703" s="8">
        <f>QS.TRADE.CREATE("trade.701",C703,E703,A703,"Receive")</f>
        <v/>
      </c>
      <c r="G703" s="5"/>
      <c r="H703" s="7" t="s">
        <v>1447</v>
      </c>
      <c r="I703" s="9">
        <v>1070100</v>
      </c>
      <c r="J703" s="10">
        <v>0.03510000000000001</v>
      </c>
    </row>
    <row r="704" spans="1:10">
      <c r="A704" s="7" t="s">
        <v>1435</v>
      </c>
      <c r="B704" s="7" t="s">
        <v>1448</v>
      </c>
      <c r="C704" s="8">
        <f>QS.CONTEXT.CREATE("market.702",A704,"USD","SOFR")</f>
        <v/>
      </c>
      <c r="D704" s="8">
        <f>QS.CONTEXT.ADD.CURVE(C704,"SOFR",$K$2:$K$7,$L$2:$L$7,,,"Actual360","LogLinear",TRUE)</f>
        <v/>
      </c>
      <c r="E704" s="8">
        <f>QS.INSTRUMENT.SWAP("swap.702",C704,H704,B704,"USD","SOFR",I704,J704,0,"Actual360","Simple","Annual","Annual","Annual")</f>
        <v/>
      </c>
      <c r="F704" s="8">
        <f>QS.TRADE.CREATE("trade.702",C704,E704,A704,"Receive")</f>
        <v/>
      </c>
      <c r="G704" s="5"/>
      <c r="H704" s="7" t="s">
        <v>1449</v>
      </c>
      <c r="I704" s="9">
        <v>1070200</v>
      </c>
      <c r="J704" s="10">
        <v>0.0352</v>
      </c>
    </row>
    <row r="705" spans="1:10">
      <c r="A705" s="7" t="s">
        <v>1437</v>
      </c>
      <c r="B705" s="7" t="s">
        <v>1450</v>
      </c>
      <c r="C705" s="8">
        <f>QS.CONTEXT.CREATE("market.703",A705,"USD","SOFR")</f>
        <v/>
      </c>
      <c r="D705" s="8">
        <f>QS.CONTEXT.ADD.CURVE(C705,"SOFR",$K$2:$K$7,$L$2:$L$7,,,"Actual360","LogLinear",TRUE)</f>
        <v/>
      </c>
      <c r="E705" s="8">
        <f>QS.INSTRUMENT.SWAP("swap.703",C705,H705,B705,"USD","SOFR",I705,J705,0,"Actual360","Simple","Annual","Annual","Annual")</f>
        <v/>
      </c>
      <c r="F705" s="8">
        <f>QS.TRADE.CREATE("trade.703",C705,E705,A705,"Receive")</f>
        <v/>
      </c>
      <c r="G705" s="5"/>
      <c r="H705" s="7" t="s">
        <v>1451</v>
      </c>
      <c r="I705" s="9">
        <v>1070300</v>
      </c>
      <c r="J705" s="10">
        <v>0.0353</v>
      </c>
    </row>
    <row r="706" spans="1:10">
      <c r="A706" s="7" t="s">
        <v>1439</v>
      </c>
      <c r="B706" s="7" t="s">
        <v>1452</v>
      </c>
      <c r="C706" s="8">
        <f>QS.CONTEXT.CREATE("market.704",A706,"USD","SOFR")</f>
        <v/>
      </c>
      <c r="D706" s="8">
        <f>QS.CONTEXT.ADD.CURVE(C706,"SOFR",$K$2:$K$7,$L$2:$L$7,,,"Actual360","LogLinear",TRUE)</f>
        <v/>
      </c>
      <c r="E706" s="8">
        <f>QS.INSTRUMENT.SWAP("swap.704",C706,H706,B706,"USD","SOFR",I706,J706,0,"Actual360","Simple","Annual","Annual","Annual")</f>
        <v/>
      </c>
      <c r="F706" s="8">
        <f>QS.TRADE.CREATE("trade.704",C706,E706,A706,"Receive")</f>
        <v/>
      </c>
      <c r="G706" s="5"/>
      <c r="H706" s="7" t="s">
        <v>1453</v>
      </c>
      <c r="I706" s="9">
        <v>1070400</v>
      </c>
      <c r="J706" s="10">
        <v>0.0354</v>
      </c>
    </row>
    <row r="707" spans="1:10">
      <c r="A707" s="7" t="s">
        <v>1441</v>
      </c>
      <c r="B707" s="7" t="s">
        <v>1454</v>
      </c>
      <c r="C707" s="8">
        <f>QS.CONTEXT.CREATE("market.705",A707,"USD","SOFR")</f>
        <v/>
      </c>
      <c r="D707" s="8">
        <f>QS.CONTEXT.ADD.CURVE(C707,"SOFR",$K$2:$K$7,$L$2:$L$7,,,"Actual360","LogLinear",TRUE)</f>
        <v/>
      </c>
      <c r="E707" s="8">
        <f>QS.INSTRUMENT.SWAP("swap.705",C707,H707,B707,"USD","SOFR",I707,J707,0,"Actual360","Simple","Annual","Annual","Annual")</f>
        <v/>
      </c>
      <c r="F707" s="8">
        <f>QS.TRADE.CREATE("trade.705",C707,E707,A707,"Receive")</f>
        <v/>
      </c>
      <c r="G707" s="5"/>
      <c r="H707" s="7" t="s">
        <v>1455</v>
      </c>
      <c r="I707" s="9">
        <v>1070500</v>
      </c>
      <c r="J707" s="10">
        <v>0.0355</v>
      </c>
    </row>
    <row r="708" spans="1:10">
      <c r="A708" s="7" t="s">
        <v>1443</v>
      </c>
      <c r="B708" s="7" t="s">
        <v>1456</v>
      </c>
      <c r="C708" s="8">
        <f>QS.CONTEXT.CREATE("market.706",A708,"USD","SOFR")</f>
        <v/>
      </c>
      <c r="D708" s="8">
        <f>QS.CONTEXT.ADD.CURVE(C708,"SOFR",$K$2:$K$7,$L$2:$L$7,,,"Actual360","LogLinear",TRUE)</f>
        <v/>
      </c>
      <c r="E708" s="8">
        <f>QS.INSTRUMENT.SWAP("swap.706",C708,H708,B708,"USD","SOFR",I708,J708,0,"Actual360","Simple","Annual","Annual","Annual")</f>
        <v/>
      </c>
      <c r="F708" s="8">
        <f>QS.TRADE.CREATE("trade.706",C708,E708,A708,"Receive")</f>
        <v/>
      </c>
      <c r="G708" s="5"/>
      <c r="H708" s="7" t="s">
        <v>1457</v>
      </c>
      <c r="I708" s="9">
        <v>1070600</v>
      </c>
      <c r="J708" s="10">
        <v>0.03560000000000001</v>
      </c>
    </row>
    <row r="709" spans="1:10">
      <c r="A709" s="7" t="s">
        <v>1445</v>
      </c>
      <c r="B709" s="7" t="s">
        <v>1458</v>
      </c>
      <c r="C709" s="8">
        <f>QS.CONTEXT.CREATE("market.707",A709,"USD","SOFR")</f>
        <v/>
      </c>
      <c r="D709" s="8">
        <f>QS.CONTEXT.ADD.CURVE(C709,"SOFR",$K$2:$K$7,$L$2:$L$7,,,"Actual360","LogLinear",TRUE)</f>
        <v/>
      </c>
      <c r="E709" s="8">
        <f>QS.INSTRUMENT.SWAP("swap.707",C709,H709,B709,"USD","SOFR",I709,J709,0,"Actual360","Simple","Annual","Annual","Annual")</f>
        <v/>
      </c>
      <c r="F709" s="8">
        <f>QS.TRADE.CREATE("trade.707",C709,E709,A709,"Receive")</f>
        <v/>
      </c>
      <c r="G709" s="5"/>
      <c r="H709" s="7" t="s">
        <v>1459</v>
      </c>
      <c r="I709" s="9">
        <v>1070700</v>
      </c>
      <c r="J709" s="10">
        <v>0.0357</v>
      </c>
    </row>
    <row r="710" spans="1:10">
      <c r="A710" s="7" t="s">
        <v>1447</v>
      </c>
      <c r="B710" s="7" t="s">
        <v>1460</v>
      </c>
      <c r="C710" s="8">
        <f>QS.CONTEXT.CREATE("market.708",A710,"USD","SOFR")</f>
        <v/>
      </c>
      <c r="D710" s="8">
        <f>QS.CONTEXT.ADD.CURVE(C710,"SOFR",$K$2:$K$7,$L$2:$L$7,,,"Actual360","LogLinear",TRUE)</f>
        <v/>
      </c>
      <c r="E710" s="8">
        <f>QS.INSTRUMENT.SWAP("swap.708",C710,H710,B710,"USD","SOFR",I710,J710,0,"Actual360","Simple","Annual","Annual","Annual")</f>
        <v/>
      </c>
      <c r="F710" s="8">
        <f>QS.TRADE.CREATE("trade.708",C710,E710,A710,"Receive")</f>
        <v/>
      </c>
      <c r="G710" s="5"/>
      <c r="H710" s="7" t="s">
        <v>1461</v>
      </c>
      <c r="I710" s="9">
        <v>1070800</v>
      </c>
      <c r="J710" s="10">
        <v>0.03580000000000001</v>
      </c>
    </row>
    <row r="711" spans="1:10">
      <c r="A711" s="7" t="s">
        <v>1449</v>
      </c>
      <c r="B711" s="7" t="s">
        <v>1462</v>
      </c>
      <c r="C711" s="8">
        <f>QS.CONTEXT.CREATE("market.709",A711,"USD","SOFR")</f>
        <v/>
      </c>
      <c r="D711" s="8">
        <f>QS.CONTEXT.ADD.CURVE(C711,"SOFR",$K$2:$K$7,$L$2:$L$7,,,"Actual360","LogLinear",TRUE)</f>
        <v/>
      </c>
      <c r="E711" s="8">
        <f>QS.INSTRUMENT.SWAP("swap.709",C711,H711,B711,"USD","SOFR",I711,J711,0,"Actual360","Simple","Annual","Annual","Annual")</f>
        <v/>
      </c>
      <c r="F711" s="8">
        <f>QS.TRADE.CREATE("trade.709",C711,E711,A711,"Receive")</f>
        <v/>
      </c>
      <c r="G711" s="5"/>
      <c r="H711" s="7" t="s">
        <v>1463</v>
      </c>
      <c r="I711" s="9">
        <v>1070900</v>
      </c>
      <c r="J711" s="10">
        <v>0.0359</v>
      </c>
    </row>
    <row r="712" spans="1:10">
      <c r="A712" s="7" t="s">
        <v>1451</v>
      </c>
      <c r="B712" s="7" t="s">
        <v>1464</v>
      </c>
      <c r="C712" s="8">
        <f>QS.CONTEXT.CREATE("market.710",A712,"USD","SOFR")</f>
        <v/>
      </c>
      <c r="D712" s="8">
        <f>QS.CONTEXT.ADD.CURVE(C712,"SOFR",$K$2:$K$7,$L$2:$L$7,,,"Actual360","LogLinear",TRUE)</f>
        <v/>
      </c>
      <c r="E712" s="8">
        <f>QS.INSTRUMENT.SWAP("swap.710",C712,H712,B712,"USD","SOFR",I712,J712,0,"Actual360","Simple","Annual","Annual","Annual")</f>
        <v/>
      </c>
      <c r="F712" s="8">
        <f>QS.TRADE.CREATE("trade.710",C712,E712,A712,"Receive")</f>
        <v/>
      </c>
      <c r="G712" s="5"/>
      <c r="H712" s="7" t="s">
        <v>1465</v>
      </c>
      <c r="I712" s="9">
        <v>1071000</v>
      </c>
      <c r="J712" s="10">
        <v>0.036</v>
      </c>
    </row>
    <row r="713" spans="1:10">
      <c r="A713" s="7" t="s">
        <v>1453</v>
      </c>
      <c r="B713" s="7" t="s">
        <v>1466</v>
      </c>
      <c r="C713" s="8">
        <f>QS.CONTEXT.CREATE("market.711",A713,"USD","SOFR")</f>
        <v/>
      </c>
      <c r="D713" s="8">
        <f>QS.CONTEXT.ADD.CURVE(C713,"SOFR",$K$2:$K$7,$L$2:$L$7,,,"Actual360","LogLinear",TRUE)</f>
        <v/>
      </c>
      <c r="E713" s="8">
        <f>QS.INSTRUMENT.SWAP("swap.711",C713,H713,B713,"USD","SOFR",I713,J713,0,"Actual360","Simple","Annual","Annual","Annual")</f>
        <v/>
      </c>
      <c r="F713" s="8">
        <f>QS.TRADE.CREATE("trade.711",C713,E713,A713,"Receive")</f>
        <v/>
      </c>
      <c r="G713" s="5"/>
      <c r="H713" s="7" t="s">
        <v>1467</v>
      </c>
      <c r="I713" s="9">
        <v>1071100</v>
      </c>
      <c r="J713" s="10">
        <v>0.0361</v>
      </c>
    </row>
    <row r="714" spans="1:10">
      <c r="A714" s="7" t="s">
        <v>1455</v>
      </c>
      <c r="B714" s="7" t="s">
        <v>1468</v>
      </c>
      <c r="C714" s="8">
        <f>QS.CONTEXT.CREATE("market.712",A714,"USD","SOFR")</f>
        <v/>
      </c>
      <c r="D714" s="8">
        <f>QS.CONTEXT.ADD.CURVE(C714,"SOFR",$K$2:$K$7,$L$2:$L$7,,,"Actual360","LogLinear",TRUE)</f>
        <v/>
      </c>
      <c r="E714" s="8">
        <f>QS.INSTRUMENT.SWAP("swap.712",C714,H714,B714,"USD","SOFR",I714,J714,0,"Actual360","Simple","Annual","Annual","Annual")</f>
        <v/>
      </c>
      <c r="F714" s="8">
        <f>QS.TRADE.CREATE("trade.712",C714,E714,A714,"Receive")</f>
        <v/>
      </c>
      <c r="G714" s="5"/>
      <c r="H714" s="7" t="s">
        <v>1469</v>
      </c>
      <c r="I714" s="9">
        <v>1071200</v>
      </c>
      <c r="J714" s="10">
        <v>0.0362</v>
      </c>
    </row>
    <row r="715" spans="1:10">
      <c r="A715" s="7" t="s">
        <v>1457</v>
      </c>
      <c r="B715" s="7" t="s">
        <v>1470</v>
      </c>
      <c r="C715" s="8">
        <f>QS.CONTEXT.CREATE("market.713",A715,"USD","SOFR")</f>
        <v/>
      </c>
      <c r="D715" s="8">
        <f>QS.CONTEXT.ADD.CURVE(C715,"SOFR",$K$2:$K$7,$L$2:$L$7,,,"Actual360","LogLinear",TRUE)</f>
        <v/>
      </c>
      <c r="E715" s="8">
        <f>QS.INSTRUMENT.SWAP("swap.713",C715,H715,B715,"USD","SOFR",I715,J715,0,"Actual360","Simple","Annual","Annual","Annual")</f>
        <v/>
      </c>
      <c r="F715" s="8">
        <f>QS.TRADE.CREATE("trade.713",C715,E715,A715,"Receive")</f>
        <v/>
      </c>
      <c r="G715" s="5"/>
      <c r="H715" s="7" t="s">
        <v>1471</v>
      </c>
      <c r="I715" s="9">
        <v>1071300</v>
      </c>
      <c r="J715" s="10">
        <v>0.03630000000000001</v>
      </c>
    </row>
    <row r="716" spans="1:10">
      <c r="A716" s="7" t="s">
        <v>1459</v>
      </c>
      <c r="B716" s="7" t="s">
        <v>1472</v>
      </c>
      <c r="C716" s="8">
        <f>QS.CONTEXT.CREATE("market.714",A716,"USD","SOFR")</f>
        <v/>
      </c>
      <c r="D716" s="8">
        <f>QS.CONTEXT.ADD.CURVE(C716,"SOFR",$K$2:$K$7,$L$2:$L$7,,,"Actual360","LogLinear",TRUE)</f>
        <v/>
      </c>
      <c r="E716" s="8">
        <f>QS.INSTRUMENT.SWAP("swap.714",C716,H716,B716,"USD","SOFR",I716,J716,0,"Actual360","Simple","Annual","Annual","Annual")</f>
        <v/>
      </c>
      <c r="F716" s="8">
        <f>QS.TRADE.CREATE("trade.714",C716,E716,A716,"Receive")</f>
        <v/>
      </c>
      <c r="G716" s="5"/>
      <c r="H716" s="7" t="s">
        <v>1473</v>
      </c>
      <c r="I716" s="9">
        <v>1071400</v>
      </c>
      <c r="J716" s="10">
        <v>0.0364</v>
      </c>
    </row>
    <row r="717" spans="1:10">
      <c r="A717" s="7" t="s">
        <v>1461</v>
      </c>
      <c r="B717" s="7" t="s">
        <v>1474</v>
      </c>
      <c r="C717" s="8">
        <f>QS.CONTEXT.CREATE("market.715",A717,"USD","SOFR")</f>
        <v/>
      </c>
      <c r="D717" s="8">
        <f>QS.CONTEXT.ADD.CURVE(C717,"SOFR",$K$2:$K$7,$L$2:$L$7,,,"Actual360","LogLinear",TRUE)</f>
        <v/>
      </c>
      <c r="E717" s="8">
        <f>QS.INSTRUMENT.SWAP("swap.715",C717,H717,B717,"USD","SOFR",I717,J717,0,"Actual360","Simple","Annual","Annual","Annual")</f>
        <v/>
      </c>
      <c r="F717" s="8">
        <f>QS.TRADE.CREATE("trade.715",C717,E717,A717,"Receive")</f>
        <v/>
      </c>
      <c r="G717" s="5"/>
      <c r="H717" s="7" t="s">
        <v>1475</v>
      </c>
      <c r="I717" s="9">
        <v>1071500</v>
      </c>
      <c r="J717" s="10">
        <v>0.0365</v>
      </c>
    </row>
    <row r="718" spans="1:10">
      <c r="A718" s="7" t="s">
        <v>1463</v>
      </c>
      <c r="B718" s="7" t="s">
        <v>1476</v>
      </c>
      <c r="C718" s="8">
        <f>QS.CONTEXT.CREATE("market.716",A718,"USD","SOFR")</f>
        <v/>
      </c>
      <c r="D718" s="8">
        <f>QS.CONTEXT.ADD.CURVE(C718,"SOFR",$K$2:$K$7,$L$2:$L$7,,,"Actual360","LogLinear",TRUE)</f>
        <v/>
      </c>
      <c r="E718" s="8">
        <f>QS.INSTRUMENT.SWAP("swap.716",C718,H718,B718,"USD","SOFR",I718,J718,0,"Actual360","Simple","Annual","Annual","Annual")</f>
        <v/>
      </c>
      <c r="F718" s="8">
        <f>QS.TRADE.CREATE("trade.716",C718,E718,A718,"Receive")</f>
        <v/>
      </c>
      <c r="G718" s="5"/>
      <c r="H718" s="7" t="s">
        <v>1477</v>
      </c>
      <c r="I718" s="9">
        <v>1071600</v>
      </c>
      <c r="J718" s="10">
        <v>0.0366</v>
      </c>
    </row>
    <row r="719" spans="1:10">
      <c r="A719" s="7" t="s">
        <v>1465</v>
      </c>
      <c r="B719" s="7" t="s">
        <v>1478</v>
      </c>
      <c r="C719" s="8">
        <f>QS.CONTEXT.CREATE("market.717",A719,"USD","SOFR")</f>
        <v/>
      </c>
      <c r="D719" s="8">
        <f>QS.CONTEXT.ADD.CURVE(C719,"SOFR",$K$2:$K$7,$L$2:$L$7,,,"Actual360","LogLinear",TRUE)</f>
        <v/>
      </c>
      <c r="E719" s="8">
        <f>QS.INSTRUMENT.SWAP("swap.717",C719,H719,B719,"USD","SOFR",I719,J719,0,"Actual360","Simple","Annual","Annual","Annual")</f>
        <v/>
      </c>
      <c r="F719" s="8">
        <f>QS.TRADE.CREATE("trade.717",C719,E719,A719,"Receive")</f>
        <v/>
      </c>
      <c r="G719" s="5"/>
      <c r="H719" s="7" t="s">
        <v>1479</v>
      </c>
      <c r="I719" s="9">
        <v>1071700</v>
      </c>
      <c r="J719" s="10">
        <v>0.0367</v>
      </c>
    </row>
    <row r="720" spans="1:10">
      <c r="A720" s="7" t="s">
        <v>1467</v>
      </c>
      <c r="B720" s="7" t="s">
        <v>1480</v>
      </c>
      <c r="C720" s="8">
        <f>QS.CONTEXT.CREATE("market.718",A720,"USD","SOFR")</f>
        <v/>
      </c>
      <c r="D720" s="8">
        <f>QS.CONTEXT.ADD.CURVE(C720,"SOFR",$K$2:$K$7,$L$2:$L$7,,,"Actual360","LogLinear",TRUE)</f>
        <v/>
      </c>
      <c r="E720" s="8">
        <f>QS.INSTRUMENT.SWAP("swap.718",C720,H720,B720,"USD","SOFR",I720,J720,0,"Actual360","Simple","Annual","Annual","Annual")</f>
        <v/>
      </c>
      <c r="F720" s="8">
        <f>QS.TRADE.CREATE("trade.718",C720,E720,A720,"Receive")</f>
        <v/>
      </c>
      <c r="G720" s="5"/>
      <c r="H720" s="7" t="s">
        <v>1481</v>
      </c>
      <c r="I720" s="9">
        <v>1071800</v>
      </c>
      <c r="J720" s="10">
        <v>0.03680000000000001</v>
      </c>
    </row>
    <row r="721" spans="1:10">
      <c r="A721" s="7" t="s">
        <v>1469</v>
      </c>
      <c r="B721" s="7" t="s">
        <v>1482</v>
      </c>
      <c r="C721" s="8">
        <f>QS.CONTEXT.CREATE("market.719",A721,"USD","SOFR")</f>
        <v/>
      </c>
      <c r="D721" s="8">
        <f>QS.CONTEXT.ADD.CURVE(C721,"SOFR",$K$2:$K$7,$L$2:$L$7,,,"Actual360","LogLinear",TRUE)</f>
        <v/>
      </c>
      <c r="E721" s="8">
        <f>QS.INSTRUMENT.SWAP("swap.719",C721,H721,B721,"USD","SOFR",I721,J721,0,"Actual360","Simple","Annual","Annual","Annual")</f>
        <v/>
      </c>
      <c r="F721" s="8">
        <f>QS.TRADE.CREATE("trade.719",C721,E721,A721,"Receive")</f>
        <v/>
      </c>
      <c r="G721" s="5"/>
      <c r="H721" s="7" t="s">
        <v>1483</v>
      </c>
      <c r="I721" s="9">
        <v>1071900</v>
      </c>
      <c r="J721" s="10">
        <v>0.0369</v>
      </c>
    </row>
    <row r="722" spans="1:10">
      <c r="A722" s="7" t="s">
        <v>1471</v>
      </c>
      <c r="B722" s="7" t="s">
        <v>1484</v>
      </c>
      <c r="C722" s="8">
        <f>QS.CONTEXT.CREATE("market.720",A722,"USD","SOFR")</f>
        <v/>
      </c>
      <c r="D722" s="8">
        <f>QS.CONTEXT.ADD.CURVE(C722,"SOFR",$K$2:$K$7,$L$2:$L$7,,,"Actual360","LogLinear",TRUE)</f>
        <v/>
      </c>
      <c r="E722" s="8">
        <f>QS.INSTRUMENT.SWAP("swap.720",C722,H722,B722,"USD","SOFR",I722,J722,0,"Actual360","Simple","Annual","Annual","Annual")</f>
        <v/>
      </c>
      <c r="F722" s="8">
        <f>QS.TRADE.CREATE("trade.720",C722,E722,A722,"Receive")</f>
        <v/>
      </c>
      <c r="G722" s="5"/>
      <c r="H722" s="7" t="s">
        <v>1485</v>
      </c>
      <c r="I722" s="9">
        <v>1072000</v>
      </c>
      <c r="J722" s="10">
        <v>0.03700000000000001</v>
      </c>
    </row>
    <row r="723" spans="1:10">
      <c r="A723" s="7" t="s">
        <v>1473</v>
      </c>
      <c r="B723" s="7" t="s">
        <v>1486</v>
      </c>
      <c r="C723" s="8">
        <f>QS.CONTEXT.CREATE("market.721",A723,"USD","SOFR")</f>
        <v/>
      </c>
      <c r="D723" s="8">
        <f>QS.CONTEXT.ADD.CURVE(C723,"SOFR",$K$2:$K$7,$L$2:$L$7,,,"Actual360","LogLinear",TRUE)</f>
        <v/>
      </c>
      <c r="E723" s="8">
        <f>QS.INSTRUMENT.SWAP("swap.721",C723,H723,B723,"USD","SOFR",I723,J723,0,"Actual360","Simple","Annual","Annual","Annual")</f>
        <v/>
      </c>
      <c r="F723" s="8">
        <f>QS.TRADE.CREATE("trade.721",C723,E723,A723,"Receive")</f>
        <v/>
      </c>
      <c r="G723" s="5"/>
      <c r="H723" s="7" t="s">
        <v>1487</v>
      </c>
      <c r="I723" s="9">
        <v>1072100</v>
      </c>
      <c r="J723" s="10">
        <v>0.0371</v>
      </c>
    </row>
    <row r="724" spans="1:10">
      <c r="A724" s="7" t="s">
        <v>1475</v>
      </c>
      <c r="B724" s="7" t="s">
        <v>1488</v>
      </c>
      <c r="C724" s="8">
        <f>QS.CONTEXT.CREATE("market.722",A724,"USD","SOFR")</f>
        <v/>
      </c>
      <c r="D724" s="8">
        <f>QS.CONTEXT.ADD.CURVE(C724,"SOFR",$K$2:$K$7,$L$2:$L$7,,,"Actual360","LogLinear",TRUE)</f>
        <v/>
      </c>
      <c r="E724" s="8">
        <f>QS.INSTRUMENT.SWAP("swap.722",C724,H724,B724,"USD","SOFR",I724,J724,0,"Actual360","Simple","Annual","Annual","Annual")</f>
        <v/>
      </c>
      <c r="F724" s="8">
        <f>QS.TRADE.CREATE("trade.722",C724,E724,A724,"Receive")</f>
        <v/>
      </c>
      <c r="G724" s="5"/>
      <c r="H724" s="7" t="s">
        <v>1489</v>
      </c>
      <c r="I724" s="9">
        <v>1072200</v>
      </c>
      <c r="J724" s="10">
        <v>0.0372</v>
      </c>
    </row>
    <row r="725" spans="1:10">
      <c r="A725" s="7" t="s">
        <v>1477</v>
      </c>
      <c r="B725" s="7" t="s">
        <v>1490</v>
      </c>
      <c r="C725" s="8">
        <f>QS.CONTEXT.CREATE("market.723",A725,"USD","SOFR")</f>
        <v/>
      </c>
      <c r="D725" s="8">
        <f>QS.CONTEXT.ADD.CURVE(C725,"SOFR",$K$2:$K$7,$L$2:$L$7,,,"Actual360","LogLinear",TRUE)</f>
        <v/>
      </c>
      <c r="E725" s="8">
        <f>QS.INSTRUMENT.SWAP("swap.723",C725,H725,B725,"USD","SOFR",I725,J725,0,"Actual360","Simple","Annual","Annual","Annual")</f>
        <v/>
      </c>
      <c r="F725" s="8">
        <f>QS.TRADE.CREATE("trade.723",C725,E725,A725,"Receive")</f>
        <v/>
      </c>
      <c r="G725" s="5"/>
      <c r="H725" s="7" t="s">
        <v>1491</v>
      </c>
      <c r="I725" s="9">
        <v>1072300</v>
      </c>
      <c r="J725" s="10">
        <v>0.0373</v>
      </c>
    </row>
    <row r="726" spans="1:10">
      <c r="A726" s="7" t="s">
        <v>1479</v>
      </c>
      <c r="B726" s="7" t="s">
        <v>1492</v>
      </c>
      <c r="C726" s="8">
        <f>QS.CONTEXT.CREATE("market.724",A726,"USD","SOFR")</f>
        <v/>
      </c>
      <c r="D726" s="8">
        <f>QS.CONTEXT.ADD.CURVE(C726,"SOFR",$K$2:$K$7,$L$2:$L$7,,,"Actual360","LogLinear",TRUE)</f>
        <v/>
      </c>
      <c r="E726" s="8">
        <f>QS.INSTRUMENT.SWAP("swap.724",C726,H726,B726,"USD","SOFR",I726,J726,0,"Actual360","Simple","Annual","Annual","Annual")</f>
        <v/>
      </c>
      <c r="F726" s="8">
        <f>QS.TRADE.CREATE("trade.724",C726,E726,A726,"Receive")</f>
        <v/>
      </c>
      <c r="G726" s="5"/>
      <c r="H726" s="7" t="s">
        <v>1493</v>
      </c>
      <c r="I726" s="9">
        <v>1072400</v>
      </c>
      <c r="J726" s="10">
        <v>0.0374</v>
      </c>
    </row>
    <row r="727" spans="1:10">
      <c r="A727" s="7" t="s">
        <v>1481</v>
      </c>
      <c r="B727" s="7" t="s">
        <v>1494</v>
      </c>
      <c r="C727" s="8">
        <f>QS.CONTEXT.CREATE("market.725",A727,"USD","SOFR")</f>
        <v/>
      </c>
      <c r="D727" s="8">
        <f>QS.CONTEXT.ADD.CURVE(C727,"SOFR",$K$2:$K$7,$L$2:$L$7,,,"Actual360","LogLinear",TRUE)</f>
        <v/>
      </c>
      <c r="E727" s="8">
        <f>QS.INSTRUMENT.SWAP("swap.725",C727,H727,B727,"USD","SOFR",I727,J727,0,"Actual360","Simple","Annual","Annual","Annual")</f>
        <v/>
      </c>
      <c r="F727" s="8">
        <f>QS.TRADE.CREATE("trade.725",C727,E727,A727,"Receive")</f>
        <v/>
      </c>
      <c r="G727" s="5"/>
      <c r="H727" s="7" t="s">
        <v>1495</v>
      </c>
      <c r="I727" s="9">
        <v>1072500</v>
      </c>
      <c r="J727" s="10">
        <v>0.03750000000000001</v>
      </c>
    </row>
    <row r="728" spans="1:10">
      <c r="A728" s="7" t="s">
        <v>1483</v>
      </c>
      <c r="B728" s="7" t="s">
        <v>1496</v>
      </c>
      <c r="C728" s="8">
        <f>QS.CONTEXT.CREATE("market.726",A728,"USD","SOFR")</f>
        <v/>
      </c>
      <c r="D728" s="8">
        <f>QS.CONTEXT.ADD.CURVE(C728,"SOFR",$K$2:$K$7,$L$2:$L$7,,,"Actual360","LogLinear",TRUE)</f>
        <v/>
      </c>
      <c r="E728" s="8">
        <f>QS.INSTRUMENT.SWAP("swap.726",C728,H728,B728,"USD","SOFR",I728,J728,0,"Actual360","Simple","Annual","Annual","Annual")</f>
        <v/>
      </c>
      <c r="F728" s="8">
        <f>QS.TRADE.CREATE("trade.726",C728,E728,A728,"Receive")</f>
        <v/>
      </c>
      <c r="G728" s="5"/>
      <c r="H728" s="7" t="s">
        <v>1497</v>
      </c>
      <c r="I728" s="9">
        <v>1072600</v>
      </c>
      <c r="J728" s="10">
        <v>0.0376</v>
      </c>
    </row>
    <row r="729" spans="1:10">
      <c r="A729" s="7" t="s">
        <v>1485</v>
      </c>
      <c r="B729" s="7" t="s">
        <v>1498</v>
      </c>
      <c r="C729" s="8">
        <f>QS.CONTEXT.CREATE("market.727",A729,"USD","SOFR")</f>
        <v/>
      </c>
      <c r="D729" s="8">
        <f>QS.CONTEXT.ADD.CURVE(C729,"SOFR",$K$2:$K$7,$L$2:$L$7,,,"Actual360","LogLinear",TRUE)</f>
        <v/>
      </c>
      <c r="E729" s="8">
        <f>QS.INSTRUMENT.SWAP("swap.727",C729,H729,B729,"USD","SOFR",I729,J729,0,"Actual360","Simple","Annual","Annual","Annual")</f>
        <v/>
      </c>
      <c r="F729" s="8">
        <f>QS.TRADE.CREATE("trade.727",C729,E729,A729,"Receive")</f>
        <v/>
      </c>
      <c r="G729" s="5"/>
      <c r="H729" s="7" t="s">
        <v>1499</v>
      </c>
      <c r="I729" s="9">
        <v>1072700</v>
      </c>
      <c r="J729" s="10">
        <v>0.0377</v>
      </c>
    </row>
    <row r="730" spans="1:10">
      <c r="A730" s="7" t="s">
        <v>1487</v>
      </c>
      <c r="B730" s="7" t="s">
        <v>1500</v>
      </c>
      <c r="C730" s="8">
        <f>QS.CONTEXT.CREATE("market.728",A730,"USD","SOFR")</f>
        <v/>
      </c>
      <c r="D730" s="8">
        <f>QS.CONTEXT.ADD.CURVE(C730,"SOFR",$K$2:$K$7,$L$2:$L$7,,,"Actual360","LogLinear",TRUE)</f>
        <v/>
      </c>
      <c r="E730" s="8">
        <f>QS.INSTRUMENT.SWAP("swap.728",C730,H730,B730,"USD","SOFR",I730,J730,0,"Actual360","Simple","Annual","Annual","Annual")</f>
        <v/>
      </c>
      <c r="F730" s="8">
        <f>QS.TRADE.CREATE("trade.728",C730,E730,A730,"Receive")</f>
        <v/>
      </c>
      <c r="G730" s="5"/>
      <c r="H730" s="7" t="s">
        <v>1501</v>
      </c>
      <c r="I730" s="9">
        <v>1072800</v>
      </c>
      <c r="J730" s="10">
        <v>0.0378</v>
      </c>
    </row>
    <row r="731" spans="1:10">
      <c r="A731" s="7" t="s">
        <v>1489</v>
      </c>
      <c r="B731" s="7" t="s">
        <v>1502</v>
      </c>
      <c r="C731" s="8">
        <f>QS.CONTEXT.CREATE("market.729",A731,"USD","SOFR")</f>
        <v/>
      </c>
      <c r="D731" s="8">
        <f>QS.CONTEXT.ADD.CURVE(C731,"SOFR",$K$2:$K$7,$L$2:$L$7,,,"Actual360","LogLinear",TRUE)</f>
        <v/>
      </c>
      <c r="E731" s="8">
        <f>QS.INSTRUMENT.SWAP("swap.729",C731,H731,B731,"USD","SOFR",I731,J731,0,"Actual360","Simple","Annual","Annual","Annual")</f>
        <v/>
      </c>
      <c r="F731" s="8">
        <f>QS.TRADE.CREATE("trade.729",C731,E731,A731,"Receive")</f>
        <v/>
      </c>
      <c r="G731" s="5"/>
      <c r="H731" s="7" t="s">
        <v>1503</v>
      </c>
      <c r="I731" s="9">
        <v>1072900</v>
      </c>
      <c r="J731" s="10">
        <v>0.0379</v>
      </c>
    </row>
    <row r="732" spans="1:10">
      <c r="A732" s="7" t="s">
        <v>1491</v>
      </c>
      <c r="B732" s="7" t="s">
        <v>1504</v>
      </c>
      <c r="C732" s="8">
        <f>QS.CONTEXT.CREATE("market.730",A732,"USD","SOFR")</f>
        <v/>
      </c>
      <c r="D732" s="8">
        <f>QS.CONTEXT.ADD.CURVE(C732,"SOFR",$K$2:$K$7,$L$2:$L$7,,,"Actual360","LogLinear",TRUE)</f>
        <v/>
      </c>
      <c r="E732" s="8">
        <f>QS.INSTRUMENT.SWAP("swap.730",C732,H732,B732,"USD","SOFR",I732,J732,0,"Actual360","Simple","Annual","Annual","Annual")</f>
        <v/>
      </c>
      <c r="F732" s="8">
        <f>QS.TRADE.CREATE("trade.730",C732,E732,A732,"Receive")</f>
        <v/>
      </c>
      <c r="G732" s="5"/>
      <c r="H732" s="7" t="s">
        <v>1505</v>
      </c>
      <c r="I732" s="9">
        <v>1073000</v>
      </c>
      <c r="J732" s="10">
        <v>0.03800000000000001</v>
      </c>
    </row>
    <row r="733" spans="1:10">
      <c r="A733" s="7" t="s">
        <v>1493</v>
      </c>
      <c r="B733" s="7" t="s">
        <v>1506</v>
      </c>
      <c r="C733" s="8">
        <f>QS.CONTEXT.CREATE("market.731",A733,"USD","SOFR")</f>
        <v/>
      </c>
      <c r="D733" s="8">
        <f>QS.CONTEXT.ADD.CURVE(C733,"SOFR",$K$2:$K$7,$L$2:$L$7,,,"Actual360","LogLinear",TRUE)</f>
        <v/>
      </c>
      <c r="E733" s="8">
        <f>QS.INSTRUMENT.SWAP("swap.731",C733,H733,B733,"USD","SOFR",I733,J733,0,"Actual360","Simple","Annual","Annual","Annual")</f>
        <v/>
      </c>
      <c r="F733" s="8">
        <f>QS.TRADE.CREATE("trade.731",C733,E733,A733,"Receive")</f>
        <v/>
      </c>
      <c r="G733" s="5"/>
      <c r="H733" s="7" t="s">
        <v>1507</v>
      </c>
      <c r="I733" s="9">
        <v>1073100</v>
      </c>
      <c r="J733" s="10">
        <v>0.0381</v>
      </c>
    </row>
    <row r="734" spans="1:10">
      <c r="A734" s="7" t="s">
        <v>1495</v>
      </c>
      <c r="B734" s="7" t="s">
        <v>1508</v>
      </c>
      <c r="C734" s="8">
        <f>QS.CONTEXT.CREATE("market.732",A734,"USD","SOFR")</f>
        <v/>
      </c>
      <c r="D734" s="8">
        <f>QS.CONTEXT.ADD.CURVE(C734,"SOFR",$K$2:$K$7,$L$2:$L$7,,,"Actual360","LogLinear",TRUE)</f>
        <v/>
      </c>
      <c r="E734" s="8">
        <f>QS.INSTRUMENT.SWAP("swap.732",C734,H734,B734,"USD","SOFR",I734,J734,0,"Actual360","Simple","Annual","Annual","Annual")</f>
        <v/>
      </c>
      <c r="F734" s="8">
        <f>QS.TRADE.CREATE("trade.732",C734,E734,A734,"Receive")</f>
        <v/>
      </c>
      <c r="G734" s="5"/>
      <c r="H734" s="7" t="s">
        <v>1509</v>
      </c>
      <c r="I734" s="9">
        <v>1073200</v>
      </c>
      <c r="J734" s="10">
        <v>0.0382</v>
      </c>
    </row>
    <row r="735" spans="1:10">
      <c r="A735" s="7" t="s">
        <v>1497</v>
      </c>
      <c r="B735" s="7" t="s">
        <v>1510</v>
      </c>
      <c r="C735" s="8">
        <f>QS.CONTEXT.CREATE("market.733",A735,"USD","SOFR")</f>
        <v/>
      </c>
      <c r="D735" s="8">
        <f>QS.CONTEXT.ADD.CURVE(C735,"SOFR",$K$2:$K$7,$L$2:$L$7,,,"Actual360","LogLinear",TRUE)</f>
        <v/>
      </c>
      <c r="E735" s="8">
        <f>QS.INSTRUMENT.SWAP("swap.733",C735,H735,B735,"USD","SOFR",I735,J735,0,"Actual360","Simple","Annual","Annual","Annual")</f>
        <v/>
      </c>
      <c r="F735" s="8">
        <f>QS.TRADE.CREATE("trade.733",C735,E735,A735,"Receive")</f>
        <v/>
      </c>
      <c r="G735" s="5"/>
      <c r="H735" s="7" t="s">
        <v>1511</v>
      </c>
      <c r="I735" s="9">
        <v>1073300</v>
      </c>
      <c r="J735" s="10">
        <v>0.0383</v>
      </c>
    </row>
    <row r="736" spans="1:10">
      <c r="A736" s="7" t="s">
        <v>1499</v>
      </c>
      <c r="B736" s="7" t="s">
        <v>1512</v>
      </c>
      <c r="C736" s="8">
        <f>QS.CONTEXT.CREATE("market.734",A736,"USD","SOFR")</f>
        <v/>
      </c>
      <c r="D736" s="8">
        <f>QS.CONTEXT.ADD.CURVE(C736,"SOFR",$K$2:$K$7,$L$2:$L$7,,,"Actual360","LogLinear",TRUE)</f>
        <v/>
      </c>
      <c r="E736" s="8">
        <f>QS.INSTRUMENT.SWAP("swap.734",C736,H736,B736,"USD","SOFR",I736,J736,0,"Actual360","Simple","Annual","Annual","Annual")</f>
        <v/>
      </c>
      <c r="F736" s="8">
        <f>QS.TRADE.CREATE("trade.734",C736,E736,A736,"Receive")</f>
        <v/>
      </c>
      <c r="G736" s="5"/>
      <c r="H736" s="7" t="s">
        <v>1513</v>
      </c>
      <c r="I736" s="9">
        <v>1073400</v>
      </c>
      <c r="J736" s="10">
        <v>0.0384</v>
      </c>
    </row>
    <row r="737" spans="1:10">
      <c r="A737" s="7" t="s">
        <v>1501</v>
      </c>
      <c r="B737" s="7" t="s">
        <v>1514</v>
      </c>
      <c r="C737" s="8">
        <f>QS.CONTEXT.CREATE("market.735",A737,"USD","SOFR")</f>
        <v/>
      </c>
      <c r="D737" s="8">
        <f>QS.CONTEXT.ADD.CURVE(C737,"SOFR",$K$2:$K$7,$L$2:$L$7,,,"Actual360","LogLinear",TRUE)</f>
        <v/>
      </c>
      <c r="E737" s="8">
        <f>QS.INSTRUMENT.SWAP("swap.735",C737,H737,B737,"USD","SOFR",I737,J737,0,"Actual360","Simple","Annual","Annual","Annual")</f>
        <v/>
      </c>
      <c r="F737" s="8">
        <f>QS.TRADE.CREATE("trade.735",C737,E737,A737,"Receive")</f>
        <v/>
      </c>
      <c r="G737" s="5"/>
      <c r="H737" s="7" t="s">
        <v>1515</v>
      </c>
      <c r="I737" s="9">
        <v>1073500</v>
      </c>
      <c r="J737" s="10">
        <v>0.03850000000000001</v>
      </c>
    </row>
    <row r="738" spans="1:10">
      <c r="A738" s="7" t="s">
        <v>1503</v>
      </c>
      <c r="B738" s="7" t="s">
        <v>1516</v>
      </c>
      <c r="C738" s="8">
        <f>QS.CONTEXT.CREATE("market.736",A738,"USD","SOFR")</f>
        <v/>
      </c>
      <c r="D738" s="8">
        <f>QS.CONTEXT.ADD.CURVE(C738,"SOFR",$K$2:$K$7,$L$2:$L$7,,,"Actual360","LogLinear",TRUE)</f>
        <v/>
      </c>
      <c r="E738" s="8">
        <f>QS.INSTRUMENT.SWAP("swap.736",C738,H738,B738,"USD","SOFR",I738,J738,0,"Actual360","Simple","Annual","Annual","Annual")</f>
        <v/>
      </c>
      <c r="F738" s="8">
        <f>QS.TRADE.CREATE("trade.736",C738,E738,A738,"Receive")</f>
        <v/>
      </c>
      <c r="G738" s="5"/>
      <c r="H738" s="7" t="s">
        <v>1517</v>
      </c>
      <c r="I738" s="9">
        <v>1073600</v>
      </c>
      <c r="J738" s="10">
        <v>0.0386</v>
      </c>
    </row>
    <row r="739" spans="1:10">
      <c r="A739" s="7" t="s">
        <v>1505</v>
      </c>
      <c r="B739" s="7" t="s">
        <v>1518</v>
      </c>
      <c r="C739" s="8">
        <f>QS.CONTEXT.CREATE("market.737",A739,"USD","SOFR")</f>
        <v/>
      </c>
      <c r="D739" s="8">
        <f>QS.CONTEXT.ADD.CURVE(C739,"SOFR",$K$2:$K$7,$L$2:$L$7,,,"Actual360","LogLinear",TRUE)</f>
        <v/>
      </c>
      <c r="E739" s="8">
        <f>QS.INSTRUMENT.SWAP("swap.737",C739,H739,B739,"USD","SOFR",I739,J739,0,"Actual360","Simple","Annual","Annual","Annual")</f>
        <v/>
      </c>
      <c r="F739" s="8">
        <f>QS.TRADE.CREATE("trade.737",C739,E739,A739,"Receive")</f>
        <v/>
      </c>
      <c r="G739" s="5"/>
      <c r="H739" s="7" t="s">
        <v>1519</v>
      </c>
      <c r="I739" s="9">
        <v>1073700</v>
      </c>
      <c r="J739" s="10">
        <v>0.03870000000000001</v>
      </c>
    </row>
    <row r="740" spans="1:10">
      <c r="A740" s="7" t="s">
        <v>1507</v>
      </c>
      <c r="B740" s="7" t="s">
        <v>1520</v>
      </c>
      <c r="C740" s="8">
        <f>QS.CONTEXT.CREATE("market.738",A740,"USD","SOFR")</f>
        <v/>
      </c>
      <c r="D740" s="8">
        <f>QS.CONTEXT.ADD.CURVE(C740,"SOFR",$K$2:$K$7,$L$2:$L$7,,,"Actual360","LogLinear",TRUE)</f>
        <v/>
      </c>
      <c r="E740" s="8">
        <f>QS.INSTRUMENT.SWAP("swap.738",C740,H740,B740,"USD","SOFR",I740,J740,0,"Actual360","Simple","Annual","Annual","Annual")</f>
        <v/>
      </c>
      <c r="F740" s="8">
        <f>QS.TRADE.CREATE("trade.738",C740,E740,A740,"Receive")</f>
        <v/>
      </c>
      <c r="G740" s="5"/>
      <c r="H740" s="7" t="s">
        <v>1521</v>
      </c>
      <c r="I740" s="9">
        <v>1073800</v>
      </c>
      <c r="J740" s="10">
        <v>0.0388</v>
      </c>
    </row>
    <row r="741" spans="1:10">
      <c r="A741" s="7" t="s">
        <v>1509</v>
      </c>
      <c r="B741" s="7" t="s">
        <v>1522</v>
      </c>
      <c r="C741" s="8">
        <f>QS.CONTEXT.CREATE("market.739",A741,"USD","SOFR")</f>
        <v/>
      </c>
      <c r="D741" s="8">
        <f>QS.CONTEXT.ADD.CURVE(C741,"SOFR",$K$2:$K$7,$L$2:$L$7,,,"Actual360","LogLinear",TRUE)</f>
        <v/>
      </c>
      <c r="E741" s="8">
        <f>QS.INSTRUMENT.SWAP("swap.739",C741,H741,B741,"USD","SOFR",I741,J741,0,"Actual360","Simple","Annual","Annual","Annual")</f>
        <v/>
      </c>
      <c r="F741" s="8">
        <f>QS.TRADE.CREATE("trade.739",C741,E741,A741,"Receive")</f>
        <v/>
      </c>
      <c r="G741" s="5"/>
      <c r="H741" s="7" t="s">
        <v>1523</v>
      </c>
      <c r="I741" s="9">
        <v>1073900</v>
      </c>
      <c r="J741" s="10">
        <v>0.0389</v>
      </c>
    </row>
    <row r="742" spans="1:10">
      <c r="A742" s="7" t="s">
        <v>1511</v>
      </c>
      <c r="B742" s="7" t="s">
        <v>1524</v>
      </c>
      <c r="C742" s="8">
        <f>QS.CONTEXT.CREATE("market.740",A742,"USD","SOFR")</f>
        <v/>
      </c>
      <c r="D742" s="8">
        <f>QS.CONTEXT.ADD.CURVE(C742,"SOFR",$K$2:$K$7,$L$2:$L$7,,,"Actual360","LogLinear",TRUE)</f>
        <v/>
      </c>
      <c r="E742" s="8">
        <f>QS.INSTRUMENT.SWAP("swap.740",C742,H742,B742,"USD","SOFR",I742,J742,0,"Actual360","Simple","Annual","Annual","Annual")</f>
        <v/>
      </c>
      <c r="F742" s="8">
        <f>QS.TRADE.CREATE("trade.740",C742,E742,A742,"Receive")</f>
        <v/>
      </c>
      <c r="G742" s="5"/>
      <c r="H742" s="7" t="s">
        <v>1525</v>
      </c>
      <c r="I742" s="9">
        <v>1074000</v>
      </c>
      <c r="J742" s="10">
        <v>0.03900000000000001</v>
      </c>
    </row>
    <row r="743" spans="1:10">
      <c r="A743" s="7" t="s">
        <v>1513</v>
      </c>
      <c r="B743" s="7" t="s">
        <v>1526</v>
      </c>
      <c r="C743" s="8">
        <f>QS.CONTEXT.CREATE("market.741",A743,"USD","SOFR")</f>
        <v/>
      </c>
      <c r="D743" s="8">
        <f>QS.CONTEXT.ADD.CURVE(C743,"SOFR",$K$2:$K$7,$L$2:$L$7,,,"Actual360","LogLinear",TRUE)</f>
        <v/>
      </c>
      <c r="E743" s="8">
        <f>QS.INSTRUMENT.SWAP("swap.741",C743,H743,B743,"USD","SOFR",I743,J743,0,"Actual360","Simple","Annual","Annual","Annual")</f>
        <v/>
      </c>
      <c r="F743" s="8">
        <f>QS.TRADE.CREATE("trade.741",C743,E743,A743,"Receive")</f>
        <v/>
      </c>
      <c r="G743" s="5"/>
      <c r="H743" s="7" t="s">
        <v>1527</v>
      </c>
      <c r="I743" s="9">
        <v>1074100</v>
      </c>
      <c r="J743" s="10">
        <v>0.0391</v>
      </c>
    </row>
    <row r="744" spans="1:10">
      <c r="A744" s="7" t="s">
        <v>1515</v>
      </c>
      <c r="B744" s="7" t="s">
        <v>1528</v>
      </c>
      <c r="C744" s="8">
        <f>QS.CONTEXT.CREATE("market.742",A744,"USD","SOFR")</f>
        <v/>
      </c>
      <c r="D744" s="8">
        <f>QS.CONTEXT.ADD.CURVE(C744,"SOFR",$K$2:$K$7,$L$2:$L$7,,,"Actual360","LogLinear",TRUE)</f>
        <v/>
      </c>
      <c r="E744" s="8">
        <f>QS.INSTRUMENT.SWAP("swap.742",C744,H744,B744,"USD","SOFR",I744,J744,0,"Actual360","Simple","Annual","Annual","Annual")</f>
        <v/>
      </c>
      <c r="F744" s="8">
        <f>QS.TRADE.CREATE("trade.742",C744,E744,A744,"Receive")</f>
        <v/>
      </c>
      <c r="G744" s="5"/>
      <c r="H744" s="7" t="s">
        <v>1529</v>
      </c>
      <c r="I744" s="9">
        <v>1074200</v>
      </c>
      <c r="J744" s="10">
        <v>0.03920000000000001</v>
      </c>
    </row>
    <row r="745" spans="1:10">
      <c r="A745" s="7" t="s">
        <v>1517</v>
      </c>
      <c r="B745" s="7" t="s">
        <v>1530</v>
      </c>
      <c r="C745" s="8">
        <f>QS.CONTEXT.CREATE("market.743",A745,"USD","SOFR")</f>
        <v/>
      </c>
      <c r="D745" s="8">
        <f>QS.CONTEXT.ADD.CURVE(C745,"SOFR",$K$2:$K$7,$L$2:$L$7,,,"Actual360","LogLinear",TRUE)</f>
        <v/>
      </c>
      <c r="E745" s="8">
        <f>QS.INSTRUMENT.SWAP("swap.743",C745,H745,B745,"USD","SOFR",I745,J745,0,"Actual360","Simple","Annual","Annual","Annual")</f>
        <v/>
      </c>
      <c r="F745" s="8">
        <f>QS.TRADE.CREATE("trade.743",C745,E745,A745,"Receive")</f>
        <v/>
      </c>
      <c r="G745" s="5"/>
      <c r="H745" s="7" t="s">
        <v>1531</v>
      </c>
      <c r="I745" s="9">
        <v>1074300</v>
      </c>
      <c r="J745" s="10">
        <v>0.0393</v>
      </c>
    </row>
    <row r="746" spans="1:10">
      <c r="A746" s="7" t="s">
        <v>1519</v>
      </c>
      <c r="B746" s="7" t="s">
        <v>1532</v>
      </c>
      <c r="C746" s="8">
        <f>QS.CONTEXT.CREATE("market.744",A746,"USD","SOFR")</f>
        <v/>
      </c>
      <c r="D746" s="8">
        <f>QS.CONTEXT.ADD.CURVE(C746,"SOFR",$K$2:$K$7,$L$2:$L$7,,,"Actual360","LogLinear",TRUE)</f>
        <v/>
      </c>
      <c r="E746" s="8">
        <f>QS.INSTRUMENT.SWAP("swap.744",C746,H746,B746,"USD","SOFR",I746,J746,0,"Actual360","Simple","Annual","Annual","Annual")</f>
        <v/>
      </c>
      <c r="F746" s="8">
        <f>QS.TRADE.CREATE("trade.744",C746,E746,A746,"Receive")</f>
        <v/>
      </c>
      <c r="G746" s="5"/>
      <c r="H746" s="7" t="s">
        <v>1533</v>
      </c>
      <c r="I746" s="9">
        <v>1074400</v>
      </c>
      <c r="J746" s="10">
        <v>0.0394</v>
      </c>
    </row>
    <row r="747" spans="1:10">
      <c r="A747" s="7" t="s">
        <v>1521</v>
      </c>
      <c r="B747" s="7" t="s">
        <v>1534</v>
      </c>
      <c r="C747" s="8">
        <f>QS.CONTEXT.CREATE("market.745",A747,"USD","SOFR")</f>
        <v/>
      </c>
      <c r="D747" s="8">
        <f>QS.CONTEXT.ADD.CURVE(C747,"SOFR",$K$2:$K$7,$L$2:$L$7,,,"Actual360","LogLinear",TRUE)</f>
        <v/>
      </c>
      <c r="E747" s="8">
        <f>QS.INSTRUMENT.SWAP("swap.745",C747,H747,B747,"USD","SOFR",I747,J747,0,"Actual360","Simple","Annual","Annual","Annual")</f>
        <v/>
      </c>
      <c r="F747" s="8">
        <f>QS.TRADE.CREATE("trade.745",C747,E747,A747,"Receive")</f>
        <v/>
      </c>
      <c r="G747" s="5"/>
      <c r="H747" s="7" t="s">
        <v>1535</v>
      </c>
      <c r="I747" s="9">
        <v>1074500</v>
      </c>
      <c r="J747" s="10">
        <v>0.03950000000000001</v>
      </c>
    </row>
    <row r="748" spans="1:10">
      <c r="A748" s="7" t="s">
        <v>1523</v>
      </c>
      <c r="B748" s="7" t="s">
        <v>1536</v>
      </c>
      <c r="C748" s="8">
        <f>QS.CONTEXT.CREATE("market.746",A748,"USD","SOFR")</f>
        <v/>
      </c>
      <c r="D748" s="8">
        <f>QS.CONTEXT.ADD.CURVE(C748,"SOFR",$K$2:$K$7,$L$2:$L$7,,,"Actual360","LogLinear",TRUE)</f>
        <v/>
      </c>
      <c r="E748" s="8">
        <f>QS.INSTRUMENT.SWAP("swap.746",C748,H748,B748,"USD","SOFR",I748,J748,0,"Actual360","Simple","Annual","Annual","Annual")</f>
        <v/>
      </c>
      <c r="F748" s="8">
        <f>QS.TRADE.CREATE("trade.746",C748,E748,A748,"Receive")</f>
        <v/>
      </c>
      <c r="G748" s="5"/>
      <c r="H748" s="7" t="s">
        <v>1537</v>
      </c>
      <c r="I748" s="9">
        <v>1074600</v>
      </c>
      <c r="J748" s="10">
        <v>0.0396</v>
      </c>
    </row>
    <row r="749" spans="1:10">
      <c r="A749" s="7" t="s">
        <v>1525</v>
      </c>
      <c r="B749" s="7" t="s">
        <v>1538</v>
      </c>
      <c r="C749" s="8">
        <f>QS.CONTEXT.CREATE("market.747",A749,"USD","SOFR")</f>
        <v/>
      </c>
      <c r="D749" s="8">
        <f>QS.CONTEXT.ADD.CURVE(C749,"SOFR",$K$2:$K$7,$L$2:$L$7,,,"Actual360","LogLinear",TRUE)</f>
        <v/>
      </c>
      <c r="E749" s="8">
        <f>QS.INSTRUMENT.SWAP("swap.747",C749,H749,B749,"USD","SOFR",I749,J749,0,"Actual360","Simple","Annual","Annual","Annual")</f>
        <v/>
      </c>
      <c r="F749" s="8">
        <f>QS.TRADE.CREATE("trade.747",C749,E749,A749,"Receive")</f>
        <v/>
      </c>
      <c r="G749" s="5"/>
      <c r="H749" s="7" t="s">
        <v>1539</v>
      </c>
      <c r="I749" s="9">
        <v>1074700</v>
      </c>
      <c r="J749" s="10">
        <v>0.03970000000000001</v>
      </c>
    </row>
    <row r="750" spans="1:10">
      <c r="A750" s="7" t="s">
        <v>1527</v>
      </c>
      <c r="B750" s="7" t="s">
        <v>1540</v>
      </c>
      <c r="C750" s="8">
        <f>QS.CONTEXT.CREATE("market.748",A750,"USD","SOFR")</f>
        <v/>
      </c>
      <c r="D750" s="8">
        <f>QS.CONTEXT.ADD.CURVE(C750,"SOFR",$K$2:$K$7,$L$2:$L$7,,,"Actual360","LogLinear",TRUE)</f>
        <v/>
      </c>
      <c r="E750" s="8">
        <f>QS.INSTRUMENT.SWAP("swap.748",C750,H750,B750,"USD","SOFR",I750,J750,0,"Actual360","Simple","Annual","Annual","Annual")</f>
        <v/>
      </c>
      <c r="F750" s="8">
        <f>QS.TRADE.CREATE("trade.748",C750,E750,A750,"Receive")</f>
        <v/>
      </c>
      <c r="G750" s="5"/>
      <c r="H750" s="7" t="s">
        <v>1541</v>
      </c>
      <c r="I750" s="9">
        <v>1074800</v>
      </c>
      <c r="J750" s="10">
        <v>0.0398</v>
      </c>
    </row>
    <row r="751" spans="1:10">
      <c r="A751" s="7" t="s">
        <v>1529</v>
      </c>
      <c r="B751" s="7" t="s">
        <v>1542</v>
      </c>
      <c r="C751" s="8">
        <f>QS.CONTEXT.CREATE("market.749",A751,"USD","SOFR")</f>
        <v/>
      </c>
      <c r="D751" s="8">
        <f>QS.CONTEXT.ADD.CURVE(C751,"SOFR",$K$2:$K$7,$L$2:$L$7,,,"Actual360","LogLinear",TRUE)</f>
        <v/>
      </c>
      <c r="E751" s="8">
        <f>QS.INSTRUMENT.SWAP("swap.749",C751,H751,B751,"USD","SOFR",I751,J751,0,"Actual360","Simple","Annual","Annual","Annual")</f>
        <v/>
      </c>
      <c r="F751" s="8">
        <f>QS.TRADE.CREATE("trade.749",C751,E751,A751,"Receive")</f>
        <v/>
      </c>
      <c r="G751" s="5"/>
      <c r="H751" s="7" t="s">
        <v>1543</v>
      </c>
      <c r="I751" s="9">
        <v>1074900</v>
      </c>
      <c r="J751" s="10">
        <v>0.0399</v>
      </c>
    </row>
    <row r="752" spans="1:10">
      <c r="A752" s="7" t="s">
        <v>1531</v>
      </c>
      <c r="B752" s="7" t="s">
        <v>1544</v>
      </c>
      <c r="C752" s="8">
        <f>QS.CONTEXT.CREATE("market.750",A752,"USD","SOFR")</f>
        <v/>
      </c>
      <c r="D752" s="8">
        <f>QS.CONTEXT.ADD.CURVE(C752,"SOFR",$K$2:$K$7,$L$2:$L$7,,,"Actual360","LogLinear",TRUE)</f>
        <v/>
      </c>
      <c r="E752" s="8">
        <f>QS.INSTRUMENT.SWAP("swap.750",C752,H752,B752,"USD","SOFR",I752,J752,0,"Actual360","Simple","Annual","Annual","Annual")</f>
        <v/>
      </c>
      <c r="F752" s="8">
        <f>QS.TRADE.CREATE("trade.750",C752,E752,A752,"Receive")</f>
        <v/>
      </c>
      <c r="G752" s="5"/>
      <c r="H752" s="7" t="s">
        <v>1545</v>
      </c>
      <c r="I752" s="9">
        <v>1075000</v>
      </c>
      <c r="J752" s="10">
        <v>0.035</v>
      </c>
    </row>
    <row r="753" spans="1:10">
      <c r="A753" s="7" t="s">
        <v>1533</v>
      </c>
      <c r="B753" s="7" t="s">
        <v>1546</v>
      </c>
      <c r="C753" s="8">
        <f>QS.CONTEXT.CREATE("market.751",A753,"USD","SOFR")</f>
        <v/>
      </c>
      <c r="D753" s="8">
        <f>QS.CONTEXT.ADD.CURVE(C753,"SOFR",$K$2:$K$7,$L$2:$L$7,,,"Actual360","LogLinear",TRUE)</f>
        <v/>
      </c>
      <c r="E753" s="8">
        <f>QS.INSTRUMENT.SWAP("swap.751",C753,H753,B753,"USD","SOFR",I753,J753,0,"Actual360","Simple","Annual","Annual","Annual")</f>
        <v/>
      </c>
      <c r="F753" s="8">
        <f>QS.TRADE.CREATE("trade.751",C753,E753,A753,"Receive")</f>
        <v/>
      </c>
      <c r="G753" s="5"/>
      <c r="H753" s="7" t="s">
        <v>1547</v>
      </c>
      <c r="I753" s="9">
        <v>1075100</v>
      </c>
      <c r="J753" s="10">
        <v>0.03510000000000001</v>
      </c>
    </row>
    <row r="754" spans="1:10">
      <c r="A754" s="7" t="s">
        <v>1535</v>
      </c>
      <c r="B754" s="7" t="s">
        <v>1548</v>
      </c>
      <c r="C754" s="8">
        <f>QS.CONTEXT.CREATE("market.752",A754,"USD","SOFR")</f>
        <v/>
      </c>
      <c r="D754" s="8">
        <f>QS.CONTEXT.ADD.CURVE(C754,"SOFR",$K$2:$K$7,$L$2:$L$7,,,"Actual360","LogLinear",TRUE)</f>
        <v/>
      </c>
      <c r="E754" s="8">
        <f>QS.INSTRUMENT.SWAP("swap.752",C754,H754,B754,"USD","SOFR",I754,J754,0,"Actual360","Simple","Annual","Annual","Annual")</f>
        <v/>
      </c>
      <c r="F754" s="8">
        <f>QS.TRADE.CREATE("trade.752",C754,E754,A754,"Receive")</f>
        <v/>
      </c>
      <c r="G754" s="5"/>
      <c r="H754" s="7" t="s">
        <v>1549</v>
      </c>
      <c r="I754" s="9">
        <v>1075200</v>
      </c>
      <c r="J754" s="10">
        <v>0.0352</v>
      </c>
    </row>
    <row r="755" spans="1:10">
      <c r="A755" s="7" t="s">
        <v>1537</v>
      </c>
      <c r="B755" s="7" t="s">
        <v>1550</v>
      </c>
      <c r="C755" s="8">
        <f>QS.CONTEXT.CREATE("market.753",A755,"USD","SOFR")</f>
        <v/>
      </c>
      <c r="D755" s="8">
        <f>QS.CONTEXT.ADD.CURVE(C755,"SOFR",$K$2:$K$7,$L$2:$L$7,,,"Actual360","LogLinear",TRUE)</f>
        <v/>
      </c>
      <c r="E755" s="8">
        <f>QS.INSTRUMENT.SWAP("swap.753",C755,H755,B755,"USD","SOFR",I755,J755,0,"Actual360","Simple","Annual","Annual","Annual")</f>
        <v/>
      </c>
      <c r="F755" s="8">
        <f>QS.TRADE.CREATE("trade.753",C755,E755,A755,"Receive")</f>
        <v/>
      </c>
      <c r="G755" s="5"/>
      <c r="H755" s="7" t="s">
        <v>1551</v>
      </c>
      <c r="I755" s="9">
        <v>1075300</v>
      </c>
      <c r="J755" s="10">
        <v>0.0353</v>
      </c>
    </row>
    <row r="756" spans="1:10">
      <c r="A756" s="7" t="s">
        <v>1539</v>
      </c>
      <c r="B756" s="7" t="s">
        <v>1552</v>
      </c>
      <c r="C756" s="8">
        <f>QS.CONTEXT.CREATE("market.754",A756,"USD","SOFR")</f>
        <v/>
      </c>
      <c r="D756" s="8">
        <f>QS.CONTEXT.ADD.CURVE(C756,"SOFR",$K$2:$K$7,$L$2:$L$7,,,"Actual360","LogLinear",TRUE)</f>
        <v/>
      </c>
      <c r="E756" s="8">
        <f>QS.INSTRUMENT.SWAP("swap.754",C756,H756,B756,"USD","SOFR",I756,J756,0,"Actual360","Simple","Annual","Annual","Annual")</f>
        <v/>
      </c>
      <c r="F756" s="8">
        <f>QS.TRADE.CREATE("trade.754",C756,E756,A756,"Receive")</f>
        <v/>
      </c>
      <c r="G756" s="5"/>
      <c r="H756" s="7" t="s">
        <v>1553</v>
      </c>
      <c r="I756" s="9">
        <v>1075400</v>
      </c>
      <c r="J756" s="10">
        <v>0.0354</v>
      </c>
    </row>
    <row r="757" spans="1:10">
      <c r="A757" s="7" t="s">
        <v>1541</v>
      </c>
      <c r="B757" s="7" t="s">
        <v>1554</v>
      </c>
      <c r="C757" s="8">
        <f>QS.CONTEXT.CREATE("market.755",A757,"USD","SOFR")</f>
        <v/>
      </c>
      <c r="D757" s="8">
        <f>QS.CONTEXT.ADD.CURVE(C757,"SOFR",$K$2:$K$7,$L$2:$L$7,,,"Actual360","LogLinear",TRUE)</f>
        <v/>
      </c>
      <c r="E757" s="8">
        <f>QS.INSTRUMENT.SWAP("swap.755",C757,H757,B757,"USD","SOFR",I757,J757,0,"Actual360","Simple","Annual","Annual","Annual")</f>
        <v/>
      </c>
      <c r="F757" s="8">
        <f>QS.TRADE.CREATE("trade.755",C757,E757,A757,"Receive")</f>
        <v/>
      </c>
      <c r="G757" s="5"/>
      <c r="H757" s="7" t="s">
        <v>1555</v>
      </c>
      <c r="I757" s="9">
        <v>1075500</v>
      </c>
      <c r="J757" s="10">
        <v>0.0355</v>
      </c>
    </row>
    <row r="758" spans="1:10">
      <c r="A758" s="7" t="s">
        <v>1543</v>
      </c>
      <c r="B758" s="7" t="s">
        <v>1556</v>
      </c>
      <c r="C758" s="8">
        <f>QS.CONTEXT.CREATE("market.756",A758,"USD","SOFR")</f>
        <v/>
      </c>
      <c r="D758" s="8">
        <f>QS.CONTEXT.ADD.CURVE(C758,"SOFR",$K$2:$K$7,$L$2:$L$7,,,"Actual360","LogLinear",TRUE)</f>
        <v/>
      </c>
      <c r="E758" s="8">
        <f>QS.INSTRUMENT.SWAP("swap.756",C758,H758,B758,"USD","SOFR",I758,J758,0,"Actual360","Simple","Annual","Annual","Annual")</f>
        <v/>
      </c>
      <c r="F758" s="8">
        <f>QS.TRADE.CREATE("trade.756",C758,E758,A758,"Receive")</f>
        <v/>
      </c>
      <c r="G758" s="5"/>
      <c r="H758" s="7" t="s">
        <v>1557</v>
      </c>
      <c r="I758" s="9">
        <v>1075600</v>
      </c>
      <c r="J758" s="10">
        <v>0.03560000000000001</v>
      </c>
    </row>
    <row r="759" spans="1:10">
      <c r="A759" s="7" t="s">
        <v>1545</v>
      </c>
      <c r="B759" s="7" t="s">
        <v>1558</v>
      </c>
      <c r="C759" s="8">
        <f>QS.CONTEXT.CREATE("market.757",A759,"USD","SOFR")</f>
        <v/>
      </c>
      <c r="D759" s="8">
        <f>QS.CONTEXT.ADD.CURVE(C759,"SOFR",$K$2:$K$7,$L$2:$L$7,,,"Actual360","LogLinear",TRUE)</f>
        <v/>
      </c>
      <c r="E759" s="8">
        <f>QS.INSTRUMENT.SWAP("swap.757",C759,H759,B759,"USD","SOFR",I759,J759,0,"Actual360","Simple","Annual","Annual","Annual")</f>
        <v/>
      </c>
      <c r="F759" s="8">
        <f>QS.TRADE.CREATE("trade.757",C759,E759,A759,"Receive")</f>
        <v/>
      </c>
      <c r="G759" s="5"/>
      <c r="H759" s="7" t="s">
        <v>1559</v>
      </c>
      <c r="I759" s="9">
        <v>1075700</v>
      </c>
      <c r="J759" s="10">
        <v>0.0357</v>
      </c>
    </row>
    <row r="760" spans="1:10">
      <c r="A760" s="7" t="s">
        <v>1547</v>
      </c>
      <c r="B760" s="7" t="s">
        <v>1560</v>
      </c>
      <c r="C760" s="8">
        <f>QS.CONTEXT.CREATE("market.758",A760,"USD","SOFR")</f>
        <v/>
      </c>
      <c r="D760" s="8">
        <f>QS.CONTEXT.ADD.CURVE(C760,"SOFR",$K$2:$K$7,$L$2:$L$7,,,"Actual360","LogLinear",TRUE)</f>
        <v/>
      </c>
      <c r="E760" s="8">
        <f>QS.INSTRUMENT.SWAP("swap.758",C760,H760,B760,"USD","SOFR",I760,J760,0,"Actual360","Simple","Annual","Annual","Annual")</f>
        <v/>
      </c>
      <c r="F760" s="8">
        <f>QS.TRADE.CREATE("trade.758",C760,E760,A760,"Receive")</f>
        <v/>
      </c>
      <c r="G760" s="5"/>
      <c r="H760" s="7" t="s">
        <v>1561</v>
      </c>
      <c r="I760" s="9">
        <v>1075800</v>
      </c>
      <c r="J760" s="10">
        <v>0.03580000000000001</v>
      </c>
    </row>
    <row r="761" spans="1:10">
      <c r="A761" s="7" t="s">
        <v>1549</v>
      </c>
      <c r="B761" s="7" t="s">
        <v>1562</v>
      </c>
      <c r="C761" s="8">
        <f>QS.CONTEXT.CREATE("market.759",A761,"USD","SOFR")</f>
        <v/>
      </c>
      <c r="D761" s="8">
        <f>QS.CONTEXT.ADD.CURVE(C761,"SOFR",$K$2:$K$7,$L$2:$L$7,,,"Actual360","LogLinear",TRUE)</f>
        <v/>
      </c>
      <c r="E761" s="8">
        <f>QS.INSTRUMENT.SWAP("swap.759",C761,H761,B761,"USD","SOFR",I761,J761,0,"Actual360","Simple","Annual","Annual","Annual")</f>
        <v/>
      </c>
      <c r="F761" s="8">
        <f>QS.TRADE.CREATE("trade.759",C761,E761,A761,"Receive")</f>
        <v/>
      </c>
      <c r="G761" s="5"/>
      <c r="H761" s="7" t="s">
        <v>1563</v>
      </c>
      <c r="I761" s="9">
        <v>1075900</v>
      </c>
      <c r="J761" s="10">
        <v>0.0359</v>
      </c>
    </row>
    <row r="762" spans="1:10">
      <c r="A762" s="7" t="s">
        <v>1551</v>
      </c>
      <c r="B762" s="7" t="s">
        <v>1564</v>
      </c>
      <c r="C762" s="8">
        <f>QS.CONTEXT.CREATE("market.760",A762,"USD","SOFR")</f>
        <v/>
      </c>
      <c r="D762" s="8">
        <f>QS.CONTEXT.ADD.CURVE(C762,"SOFR",$K$2:$K$7,$L$2:$L$7,,,"Actual360","LogLinear",TRUE)</f>
        <v/>
      </c>
      <c r="E762" s="8">
        <f>QS.INSTRUMENT.SWAP("swap.760",C762,H762,B762,"USD","SOFR",I762,J762,0,"Actual360","Simple","Annual","Annual","Annual")</f>
        <v/>
      </c>
      <c r="F762" s="8">
        <f>QS.TRADE.CREATE("trade.760",C762,E762,A762,"Receive")</f>
        <v/>
      </c>
      <c r="G762" s="5"/>
      <c r="H762" s="7" t="s">
        <v>1565</v>
      </c>
      <c r="I762" s="9">
        <v>1076000</v>
      </c>
      <c r="J762" s="10">
        <v>0.036</v>
      </c>
    </row>
    <row r="763" spans="1:10">
      <c r="A763" s="7" t="s">
        <v>1553</v>
      </c>
      <c r="B763" s="7" t="s">
        <v>1566</v>
      </c>
      <c r="C763" s="8">
        <f>QS.CONTEXT.CREATE("market.761",A763,"USD","SOFR")</f>
        <v/>
      </c>
      <c r="D763" s="8">
        <f>QS.CONTEXT.ADD.CURVE(C763,"SOFR",$K$2:$K$7,$L$2:$L$7,,,"Actual360","LogLinear",TRUE)</f>
        <v/>
      </c>
      <c r="E763" s="8">
        <f>QS.INSTRUMENT.SWAP("swap.761",C763,H763,B763,"USD","SOFR",I763,J763,0,"Actual360","Simple","Annual","Annual","Annual")</f>
        <v/>
      </c>
      <c r="F763" s="8">
        <f>QS.TRADE.CREATE("trade.761",C763,E763,A763,"Receive")</f>
        <v/>
      </c>
      <c r="G763" s="5"/>
      <c r="H763" s="7" t="s">
        <v>1567</v>
      </c>
      <c r="I763" s="9">
        <v>1076100</v>
      </c>
      <c r="J763" s="10">
        <v>0.0361</v>
      </c>
    </row>
    <row r="764" spans="1:10">
      <c r="A764" s="7" t="s">
        <v>1555</v>
      </c>
      <c r="B764" s="7" t="s">
        <v>1568</v>
      </c>
      <c r="C764" s="8">
        <f>QS.CONTEXT.CREATE("market.762",A764,"USD","SOFR")</f>
        <v/>
      </c>
      <c r="D764" s="8">
        <f>QS.CONTEXT.ADD.CURVE(C764,"SOFR",$K$2:$K$7,$L$2:$L$7,,,"Actual360","LogLinear",TRUE)</f>
        <v/>
      </c>
      <c r="E764" s="8">
        <f>QS.INSTRUMENT.SWAP("swap.762",C764,H764,B764,"USD","SOFR",I764,J764,0,"Actual360","Simple","Annual","Annual","Annual")</f>
        <v/>
      </c>
      <c r="F764" s="8">
        <f>QS.TRADE.CREATE("trade.762",C764,E764,A764,"Receive")</f>
        <v/>
      </c>
      <c r="G764" s="5"/>
      <c r="H764" s="7" t="s">
        <v>1569</v>
      </c>
      <c r="I764" s="9">
        <v>1076200</v>
      </c>
      <c r="J764" s="10">
        <v>0.0362</v>
      </c>
    </row>
    <row r="765" spans="1:10">
      <c r="A765" s="7" t="s">
        <v>1557</v>
      </c>
      <c r="B765" s="7" t="s">
        <v>1570</v>
      </c>
      <c r="C765" s="8">
        <f>QS.CONTEXT.CREATE("market.763",A765,"USD","SOFR")</f>
        <v/>
      </c>
      <c r="D765" s="8">
        <f>QS.CONTEXT.ADD.CURVE(C765,"SOFR",$K$2:$K$7,$L$2:$L$7,,,"Actual360","LogLinear",TRUE)</f>
        <v/>
      </c>
      <c r="E765" s="8">
        <f>QS.INSTRUMENT.SWAP("swap.763",C765,H765,B765,"USD","SOFR",I765,J765,0,"Actual360","Simple","Annual","Annual","Annual")</f>
        <v/>
      </c>
      <c r="F765" s="8">
        <f>QS.TRADE.CREATE("trade.763",C765,E765,A765,"Receive")</f>
        <v/>
      </c>
      <c r="G765" s="5"/>
      <c r="H765" s="7" t="s">
        <v>1571</v>
      </c>
      <c r="I765" s="9">
        <v>1076300</v>
      </c>
      <c r="J765" s="10">
        <v>0.03630000000000001</v>
      </c>
    </row>
    <row r="766" spans="1:10">
      <c r="A766" s="7" t="s">
        <v>1559</v>
      </c>
      <c r="B766" s="7" t="s">
        <v>1572</v>
      </c>
      <c r="C766" s="8">
        <f>QS.CONTEXT.CREATE("market.764",A766,"USD","SOFR")</f>
        <v/>
      </c>
      <c r="D766" s="8">
        <f>QS.CONTEXT.ADD.CURVE(C766,"SOFR",$K$2:$K$7,$L$2:$L$7,,,"Actual360","LogLinear",TRUE)</f>
        <v/>
      </c>
      <c r="E766" s="8">
        <f>QS.INSTRUMENT.SWAP("swap.764",C766,H766,B766,"USD","SOFR",I766,J766,0,"Actual360","Simple","Annual","Annual","Annual")</f>
        <v/>
      </c>
      <c r="F766" s="8">
        <f>QS.TRADE.CREATE("trade.764",C766,E766,A766,"Receive")</f>
        <v/>
      </c>
      <c r="G766" s="5"/>
      <c r="H766" s="7" t="s">
        <v>1573</v>
      </c>
      <c r="I766" s="9">
        <v>1076400</v>
      </c>
      <c r="J766" s="10">
        <v>0.0364</v>
      </c>
    </row>
    <row r="767" spans="1:10">
      <c r="A767" s="7" t="s">
        <v>1561</v>
      </c>
      <c r="B767" s="7" t="s">
        <v>1574</v>
      </c>
      <c r="C767" s="8">
        <f>QS.CONTEXT.CREATE("market.765",A767,"USD","SOFR")</f>
        <v/>
      </c>
      <c r="D767" s="8">
        <f>QS.CONTEXT.ADD.CURVE(C767,"SOFR",$K$2:$K$7,$L$2:$L$7,,,"Actual360","LogLinear",TRUE)</f>
        <v/>
      </c>
      <c r="E767" s="8">
        <f>QS.INSTRUMENT.SWAP("swap.765",C767,H767,B767,"USD","SOFR",I767,J767,0,"Actual360","Simple","Annual","Annual","Annual")</f>
        <v/>
      </c>
      <c r="F767" s="8">
        <f>QS.TRADE.CREATE("trade.765",C767,E767,A767,"Receive")</f>
        <v/>
      </c>
      <c r="G767" s="5"/>
      <c r="H767" s="7" t="s">
        <v>1575</v>
      </c>
      <c r="I767" s="9">
        <v>1076500</v>
      </c>
      <c r="J767" s="10">
        <v>0.0365</v>
      </c>
    </row>
    <row r="768" spans="1:10">
      <c r="A768" s="7" t="s">
        <v>1563</v>
      </c>
      <c r="B768" s="7" t="s">
        <v>1576</v>
      </c>
      <c r="C768" s="8">
        <f>QS.CONTEXT.CREATE("market.766",A768,"USD","SOFR")</f>
        <v/>
      </c>
      <c r="D768" s="8">
        <f>QS.CONTEXT.ADD.CURVE(C768,"SOFR",$K$2:$K$7,$L$2:$L$7,,,"Actual360","LogLinear",TRUE)</f>
        <v/>
      </c>
      <c r="E768" s="8">
        <f>QS.INSTRUMENT.SWAP("swap.766",C768,H768,B768,"USD","SOFR",I768,J768,0,"Actual360","Simple","Annual","Annual","Annual")</f>
        <v/>
      </c>
      <c r="F768" s="8">
        <f>QS.TRADE.CREATE("trade.766",C768,E768,A768,"Receive")</f>
        <v/>
      </c>
      <c r="G768" s="5"/>
      <c r="H768" s="7" t="s">
        <v>1577</v>
      </c>
      <c r="I768" s="9">
        <v>1076600</v>
      </c>
      <c r="J768" s="10">
        <v>0.0366</v>
      </c>
    </row>
    <row r="769" spans="1:10">
      <c r="A769" s="7" t="s">
        <v>1565</v>
      </c>
      <c r="B769" s="7" t="s">
        <v>1578</v>
      </c>
      <c r="C769" s="8">
        <f>QS.CONTEXT.CREATE("market.767",A769,"USD","SOFR")</f>
        <v/>
      </c>
      <c r="D769" s="8">
        <f>QS.CONTEXT.ADD.CURVE(C769,"SOFR",$K$2:$K$7,$L$2:$L$7,,,"Actual360","LogLinear",TRUE)</f>
        <v/>
      </c>
      <c r="E769" s="8">
        <f>QS.INSTRUMENT.SWAP("swap.767",C769,H769,B769,"USD","SOFR",I769,J769,0,"Actual360","Simple","Annual","Annual","Annual")</f>
        <v/>
      </c>
      <c r="F769" s="8">
        <f>QS.TRADE.CREATE("trade.767",C769,E769,A769,"Receive")</f>
        <v/>
      </c>
      <c r="G769" s="5"/>
      <c r="H769" s="7" t="s">
        <v>1579</v>
      </c>
      <c r="I769" s="9">
        <v>1076700</v>
      </c>
      <c r="J769" s="10">
        <v>0.0367</v>
      </c>
    </row>
    <row r="770" spans="1:10">
      <c r="A770" s="7" t="s">
        <v>1567</v>
      </c>
      <c r="B770" s="7" t="s">
        <v>1580</v>
      </c>
      <c r="C770" s="8">
        <f>QS.CONTEXT.CREATE("market.768",A770,"USD","SOFR")</f>
        <v/>
      </c>
      <c r="D770" s="8">
        <f>QS.CONTEXT.ADD.CURVE(C770,"SOFR",$K$2:$K$7,$L$2:$L$7,,,"Actual360","LogLinear",TRUE)</f>
        <v/>
      </c>
      <c r="E770" s="8">
        <f>QS.INSTRUMENT.SWAP("swap.768",C770,H770,B770,"USD","SOFR",I770,J770,0,"Actual360","Simple","Annual","Annual","Annual")</f>
        <v/>
      </c>
      <c r="F770" s="8">
        <f>QS.TRADE.CREATE("trade.768",C770,E770,A770,"Receive")</f>
        <v/>
      </c>
      <c r="G770" s="5"/>
      <c r="H770" s="7" t="s">
        <v>1581</v>
      </c>
      <c r="I770" s="9">
        <v>1076800</v>
      </c>
      <c r="J770" s="10">
        <v>0.03680000000000001</v>
      </c>
    </row>
    <row r="771" spans="1:10">
      <c r="A771" s="7" t="s">
        <v>1569</v>
      </c>
      <c r="B771" s="7" t="s">
        <v>1582</v>
      </c>
      <c r="C771" s="8">
        <f>QS.CONTEXT.CREATE("market.769",A771,"USD","SOFR")</f>
        <v/>
      </c>
      <c r="D771" s="8">
        <f>QS.CONTEXT.ADD.CURVE(C771,"SOFR",$K$2:$K$7,$L$2:$L$7,,,"Actual360","LogLinear",TRUE)</f>
        <v/>
      </c>
      <c r="E771" s="8">
        <f>QS.INSTRUMENT.SWAP("swap.769",C771,H771,B771,"USD","SOFR",I771,J771,0,"Actual360","Simple","Annual","Annual","Annual")</f>
        <v/>
      </c>
      <c r="F771" s="8">
        <f>QS.TRADE.CREATE("trade.769",C771,E771,A771,"Receive")</f>
        <v/>
      </c>
      <c r="G771" s="5"/>
      <c r="H771" s="7" t="s">
        <v>1583</v>
      </c>
      <c r="I771" s="9">
        <v>1076900</v>
      </c>
      <c r="J771" s="10">
        <v>0.0369</v>
      </c>
    </row>
    <row r="772" spans="1:10">
      <c r="A772" s="7" t="s">
        <v>1571</v>
      </c>
      <c r="B772" s="7" t="s">
        <v>1584</v>
      </c>
      <c r="C772" s="8">
        <f>QS.CONTEXT.CREATE("market.770",A772,"USD","SOFR")</f>
        <v/>
      </c>
      <c r="D772" s="8">
        <f>QS.CONTEXT.ADD.CURVE(C772,"SOFR",$K$2:$K$7,$L$2:$L$7,,,"Actual360","LogLinear",TRUE)</f>
        <v/>
      </c>
      <c r="E772" s="8">
        <f>QS.INSTRUMENT.SWAP("swap.770",C772,H772,B772,"USD","SOFR",I772,J772,0,"Actual360","Simple","Annual","Annual","Annual")</f>
        <v/>
      </c>
      <c r="F772" s="8">
        <f>QS.TRADE.CREATE("trade.770",C772,E772,A772,"Receive")</f>
        <v/>
      </c>
      <c r="G772" s="5"/>
      <c r="H772" s="7" t="s">
        <v>1585</v>
      </c>
      <c r="I772" s="9">
        <v>1077000</v>
      </c>
      <c r="J772" s="10">
        <v>0.03700000000000001</v>
      </c>
    </row>
    <row r="773" spans="1:10">
      <c r="A773" s="7" t="s">
        <v>1573</v>
      </c>
      <c r="B773" s="7" t="s">
        <v>1586</v>
      </c>
      <c r="C773" s="8">
        <f>QS.CONTEXT.CREATE("market.771",A773,"USD","SOFR")</f>
        <v/>
      </c>
      <c r="D773" s="8">
        <f>QS.CONTEXT.ADD.CURVE(C773,"SOFR",$K$2:$K$7,$L$2:$L$7,,,"Actual360","LogLinear",TRUE)</f>
        <v/>
      </c>
      <c r="E773" s="8">
        <f>QS.INSTRUMENT.SWAP("swap.771",C773,H773,B773,"USD","SOFR",I773,J773,0,"Actual360","Simple","Annual","Annual","Annual")</f>
        <v/>
      </c>
      <c r="F773" s="8">
        <f>QS.TRADE.CREATE("trade.771",C773,E773,A773,"Receive")</f>
        <v/>
      </c>
      <c r="G773" s="5"/>
      <c r="H773" s="7" t="s">
        <v>1587</v>
      </c>
      <c r="I773" s="9">
        <v>1077100</v>
      </c>
      <c r="J773" s="10">
        <v>0.0371</v>
      </c>
    </row>
    <row r="774" spans="1:10">
      <c r="A774" s="7" t="s">
        <v>1575</v>
      </c>
      <c r="B774" s="7" t="s">
        <v>1588</v>
      </c>
      <c r="C774" s="8">
        <f>QS.CONTEXT.CREATE("market.772",A774,"USD","SOFR")</f>
        <v/>
      </c>
      <c r="D774" s="8">
        <f>QS.CONTEXT.ADD.CURVE(C774,"SOFR",$K$2:$K$7,$L$2:$L$7,,,"Actual360","LogLinear",TRUE)</f>
        <v/>
      </c>
      <c r="E774" s="8">
        <f>QS.INSTRUMENT.SWAP("swap.772",C774,H774,B774,"USD","SOFR",I774,J774,0,"Actual360","Simple","Annual","Annual","Annual")</f>
        <v/>
      </c>
      <c r="F774" s="8">
        <f>QS.TRADE.CREATE("trade.772",C774,E774,A774,"Receive")</f>
        <v/>
      </c>
      <c r="G774" s="5"/>
      <c r="H774" s="7" t="s">
        <v>1589</v>
      </c>
      <c r="I774" s="9">
        <v>1077200</v>
      </c>
      <c r="J774" s="10">
        <v>0.0372</v>
      </c>
    </row>
    <row r="775" spans="1:10">
      <c r="A775" s="7" t="s">
        <v>1577</v>
      </c>
      <c r="B775" s="7" t="s">
        <v>1590</v>
      </c>
      <c r="C775" s="8">
        <f>QS.CONTEXT.CREATE("market.773",A775,"USD","SOFR")</f>
        <v/>
      </c>
      <c r="D775" s="8">
        <f>QS.CONTEXT.ADD.CURVE(C775,"SOFR",$K$2:$K$7,$L$2:$L$7,,,"Actual360","LogLinear",TRUE)</f>
        <v/>
      </c>
      <c r="E775" s="8">
        <f>QS.INSTRUMENT.SWAP("swap.773",C775,H775,B775,"USD","SOFR",I775,J775,0,"Actual360","Simple","Annual","Annual","Annual")</f>
        <v/>
      </c>
      <c r="F775" s="8">
        <f>QS.TRADE.CREATE("trade.773",C775,E775,A775,"Receive")</f>
        <v/>
      </c>
      <c r="G775" s="5"/>
      <c r="H775" s="7" t="s">
        <v>1591</v>
      </c>
      <c r="I775" s="9">
        <v>1077300</v>
      </c>
      <c r="J775" s="10">
        <v>0.0373</v>
      </c>
    </row>
    <row r="776" spans="1:10">
      <c r="A776" s="7" t="s">
        <v>1579</v>
      </c>
      <c r="B776" s="7" t="s">
        <v>1592</v>
      </c>
      <c r="C776" s="8">
        <f>QS.CONTEXT.CREATE("market.774",A776,"USD","SOFR")</f>
        <v/>
      </c>
      <c r="D776" s="8">
        <f>QS.CONTEXT.ADD.CURVE(C776,"SOFR",$K$2:$K$7,$L$2:$L$7,,,"Actual360","LogLinear",TRUE)</f>
        <v/>
      </c>
      <c r="E776" s="8">
        <f>QS.INSTRUMENT.SWAP("swap.774",C776,H776,B776,"USD","SOFR",I776,J776,0,"Actual360","Simple","Annual","Annual","Annual")</f>
        <v/>
      </c>
      <c r="F776" s="8">
        <f>QS.TRADE.CREATE("trade.774",C776,E776,A776,"Receive")</f>
        <v/>
      </c>
      <c r="G776" s="5"/>
      <c r="H776" s="7" t="s">
        <v>1593</v>
      </c>
      <c r="I776" s="9">
        <v>1077400</v>
      </c>
      <c r="J776" s="10">
        <v>0.0374</v>
      </c>
    </row>
    <row r="777" spans="1:10">
      <c r="A777" s="7" t="s">
        <v>1581</v>
      </c>
      <c r="B777" s="7" t="s">
        <v>1594</v>
      </c>
      <c r="C777" s="8">
        <f>QS.CONTEXT.CREATE("market.775",A777,"USD","SOFR")</f>
        <v/>
      </c>
      <c r="D777" s="8">
        <f>QS.CONTEXT.ADD.CURVE(C777,"SOFR",$K$2:$K$7,$L$2:$L$7,,,"Actual360","LogLinear",TRUE)</f>
        <v/>
      </c>
      <c r="E777" s="8">
        <f>QS.INSTRUMENT.SWAP("swap.775",C777,H777,B777,"USD","SOFR",I777,J777,0,"Actual360","Simple","Annual","Annual","Annual")</f>
        <v/>
      </c>
      <c r="F777" s="8">
        <f>QS.TRADE.CREATE("trade.775",C777,E777,A777,"Receive")</f>
        <v/>
      </c>
      <c r="G777" s="5"/>
      <c r="H777" s="7" t="s">
        <v>1595</v>
      </c>
      <c r="I777" s="9">
        <v>1077500</v>
      </c>
      <c r="J777" s="10">
        <v>0.03750000000000001</v>
      </c>
    </row>
    <row r="778" spans="1:10">
      <c r="A778" s="7" t="s">
        <v>1583</v>
      </c>
      <c r="B778" s="7" t="s">
        <v>1596</v>
      </c>
      <c r="C778" s="8">
        <f>QS.CONTEXT.CREATE("market.776",A778,"USD","SOFR")</f>
        <v/>
      </c>
      <c r="D778" s="8">
        <f>QS.CONTEXT.ADD.CURVE(C778,"SOFR",$K$2:$K$7,$L$2:$L$7,,,"Actual360","LogLinear",TRUE)</f>
        <v/>
      </c>
      <c r="E778" s="8">
        <f>QS.INSTRUMENT.SWAP("swap.776",C778,H778,B778,"USD","SOFR",I778,J778,0,"Actual360","Simple","Annual","Annual","Annual")</f>
        <v/>
      </c>
      <c r="F778" s="8">
        <f>QS.TRADE.CREATE("trade.776",C778,E778,A778,"Receive")</f>
        <v/>
      </c>
      <c r="G778" s="5"/>
      <c r="H778" s="7" t="s">
        <v>1597</v>
      </c>
      <c r="I778" s="9">
        <v>1077600</v>
      </c>
      <c r="J778" s="10">
        <v>0.0376</v>
      </c>
    </row>
    <row r="779" spans="1:10">
      <c r="A779" s="7" t="s">
        <v>1585</v>
      </c>
      <c r="B779" s="7" t="s">
        <v>1598</v>
      </c>
      <c r="C779" s="8">
        <f>QS.CONTEXT.CREATE("market.777",A779,"USD","SOFR")</f>
        <v/>
      </c>
      <c r="D779" s="8">
        <f>QS.CONTEXT.ADD.CURVE(C779,"SOFR",$K$2:$K$7,$L$2:$L$7,,,"Actual360","LogLinear",TRUE)</f>
        <v/>
      </c>
      <c r="E779" s="8">
        <f>QS.INSTRUMENT.SWAP("swap.777",C779,H779,B779,"USD","SOFR",I779,J779,0,"Actual360","Simple","Annual","Annual","Annual")</f>
        <v/>
      </c>
      <c r="F779" s="8">
        <f>QS.TRADE.CREATE("trade.777",C779,E779,A779,"Receive")</f>
        <v/>
      </c>
      <c r="G779" s="5"/>
      <c r="H779" s="7" t="s">
        <v>1599</v>
      </c>
      <c r="I779" s="9">
        <v>1077700</v>
      </c>
      <c r="J779" s="10">
        <v>0.0377</v>
      </c>
    </row>
    <row r="780" spans="1:10">
      <c r="A780" s="7" t="s">
        <v>1587</v>
      </c>
      <c r="B780" s="7" t="s">
        <v>1600</v>
      </c>
      <c r="C780" s="8">
        <f>QS.CONTEXT.CREATE("market.778",A780,"USD","SOFR")</f>
        <v/>
      </c>
      <c r="D780" s="8">
        <f>QS.CONTEXT.ADD.CURVE(C780,"SOFR",$K$2:$K$7,$L$2:$L$7,,,"Actual360","LogLinear",TRUE)</f>
        <v/>
      </c>
      <c r="E780" s="8">
        <f>QS.INSTRUMENT.SWAP("swap.778",C780,H780,B780,"USD","SOFR",I780,J780,0,"Actual360","Simple","Annual","Annual","Annual")</f>
        <v/>
      </c>
      <c r="F780" s="8">
        <f>QS.TRADE.CREATE("trade.778",C780,E780,A780,"Receive")</f>
        <v/>
      </c>
      <c r="G780" s="5"/>
      <c r="H780" s="7" t="s">
        <v>1601</v>
      </c>
      <c r="I780" s="9">
        <v>1077800</v>
      </c>
      <c r="J780" s="10">
        <v>0.0378</v>
      </c>
    </row>
    <row r="781" spans="1:10">
      <c r="A781" s="7" t="s">
        <v>1589</v>
      </c>
      <c r="B781" s="7" t="s">
        <v>1602</v>
      </c>
      <c r="C781" s="8">
        <f>QS.CONTEXT.CREATE("market.779",A781,"USD","SOFR")</f>
        <v/>
      </c>
      <c r="D781" s="8">
        <f>QS.CONTEXT.ADD.CURVE(C781,"SOFR",$K$2:$K$7,$L$2:$L$7,,,"Actual360","LogLinear",TRUE)</f>
        <v/>
      </c>
      <c r="E781" s="8">
        <f>QS.INSTRUMENT.SWAP("swap.779",C781,H781,B781,"USD","SOFR",I781,J781,0,"Actual360","Simple","Annual","Annual","Annual")</f>
        <v/>
      </c>
      <c r="F781" s="8">
        <f>QS.TRADE.CREATE("trade.779",C781,E781,A781,"Receive")</f>
        <v/>
      </c>
      <c r="G781" s="5"/>
      <c r="H781" s="7" t="s">
        <v>1603</v>
      </c>
      <c r="I781" s="9">
        <v>1077900</v>
      </c>
      <c r="J781" s="10">
        <v>0.0379</v>
      </c>
    </row>
    <row r="782" spans="1:10">
      <c r="A782" s="7" t="s">
        <v>1591</v>
      </c>
      <c r="B782" s="7" t="s">
        <v>1604</v>
      </c>
      <c r="C782" s="8">
        <f>QS.CONTEXT.CREATE("market.780",A782,"USD","SOFR")</f>
        <v/>
      </c>
      <c r="D782" s="8">
        <f>QS.CONTEXT.ADD.CURVE(C782,"SOFR",$K$2:$K$7,$L$2:$L$7,,,"Actual360","LogLinear",TRUE)</f>
        <v/>
      </c>
      <c r="E782" s="8">
        <f>QS.INSTRUMENT.SWAP("swap.780",C782,H782,B782,"USD","SOFR",I782,J782,0,"Actual360","Simple","Annual","Annual","Annual")</f>
        <v/>
      </c>
      <c r="F782" s="8">
        <f>QS.TRADE.CREATE("trade.780",C782,E782,A782,"Receive")</f>
        <v/>
      </c>
      <c r="G782" s="5"/>
      <c r="H782" s="7" t="s">
        <v>1605</v>
      </c>
      <c r="I782" s="9">
        <v>1078000</v>
      </c>
      <c r="J782" s="10">
        <v>0.03800000000000001</v>
      </c>
    </row>
    <row r="783" spans="1:10">
      <c r="A783" s="7" t="s">
        <v>1593</v>
      </c>
      <c r="B783" s="7" t="s">
        <v>1606</v>
      </c>
      <c r="C783" s="8">
        <f>QS.CONTEXT.CREATE("market.781",A783,"USD","SOFR")</f>
        <v/>
      </c>
      <c r="D783" s="8">
        <f>QS.CONTEXT.ADD.CURVE(C783,"SOFR",$K$2:$K$7,$L$2:$L$7,,,"Actual360","LogLinear",TRUE)</f>
        <v/>
      </c>
      <c r="E783" s="8">
        <f>QS.INSTRUMENT.SWAP("swap.781",C783,H783,B783,"USD","SOFR",I783,J783,0,"Actual360","Simple","Annual","Annual","Annual")</f>
        <v/>
      </c>
      <c r="F783" s="8">
        <f>QS.TRADE.CREATE("trade.781",C783,E783,A783,"Receive")</f>
        <v/>
      </c>
      <c r="G783" s="5"/>
      <c r="H783" s="7" t="s">
        <v>1607</v>
      </c>
      <c r="I783" s="9">
        <v>1078100</v>
      </c>
      <c r="J783" s="10">
        <v>0.0381</v>
      </c>
    </row>
    <row r="784" spans="1:10">
      <c r="A784" s="7" t="s">
        <v>1595</v>
      </c>
      <c r="B784" s="7" t="s">
        <v>1606</v>
      </c>
      <c r="C784" s="8">
        <f>QS.CONTEXT.CREATE("market.782",A784,"USD","SOFR")</f>
        <v/>
      </c>
      <c r="D784" s="8">
        <f>QS.CONTEXT.ADD.CURVE(C784,"SOFR",$K$2:$K$7,$L$2:$L$7,,,"Actual360","LogLinear",TRUE)</f>
        <v/>
      </c>
      <c r="E784" s="8">
        <f>QS.INSTRUMENT.SWAP("swap.782",C784,H784,B784,"USD","SOFR",I784,J784,0,"Actual360","Simple","Annual","Annual","Annual")</f>
        <v/>
      </c>
      <c r="F784" s="8">
        <f>QS.TRADE.CREATE("trade.782",C784,E784,A784,"Receive")</f>
        <v/>
      </c>
      <c r="G784" s="5"/>
      <c r="H784" s="7" t="s">
        <v>1608</v>
      </c>
      <c r="I784" s="9">
        <v>1078200</v>
      </c>
      <c r="J784" s="10">
        <v>0.0382</v>
      </c>
    </row>
    <row r="785" spans="1:10">
      <c r="A785" s="7" t="s">
        <v>1597</v>
      </c>
      <c r="B785" s="7" t="s">
        <v>1609</v>
      </c>
      <c r="C785" s="8">
        <f>QS.CONTEXT.CREATE("market.783",A785,"USD","SOFR")</f>
        <v/>
      </c>
      <c r="D785" s="8">
        <f>QS.CONTEXT.ADD.CURVE(C785,"SOFR",$K$2:$K$7,$L$2:$L$7,,,"Actual360","LogLinear",TRUE)</f>
        <v/>
      </c>
      <c r="E785" s="8">
        <f>QS.INSTRUMENT.SWAP("swap.783",C785,H785,B785,"USD","SOFR",I785,J785,0,"Actual360","Simple","Annual","Annual","Annual")</f>
        <v/>
      </c>
      <c r="F785" s="8">
        <f>QS.TRADE.CREATE("trade.783",C785,E785,A785,"Receive")</f>
        <v/>
      </c>
      <c r="G785" s="5"/>
      <c r="H785" s="7" t="s">
        <v>1610</v>
      </c>
      <c r="I785" s="9">
        <v>1078300</v>
      </c>
      <c r="J785" s="10">
        <v>0.0383</v>
      </c>
    </row>
    <row r="786" spans="1:10">
      <c r="A786" s="7" t="s">
        <v>1599</v>
      </c>
      <c r="B786" s="7" t="s">
        <v>1611</v>
      </c>
      <c r="C786" s="8">
        <f>QS.CONTEXT.CREATE("market.784",A786,"USD","SOFR")</f>
        <v/>
      </c>
      <c r="D786" s="8">
        <f>QS.CONTEXT.ADD.CURVE(C786,"SOFR",$K$2:$K$7,$L$2:$L$7,,,"Actual360","LogLinear",TRUE)</f>
        <v/>
      </c>
      <c r="E786" s="8">
        <f>QS.INSTRUMENT.SWAP("swap.784",C786,H786,B786,"USD","SOFR",I786,J786,0,"Actual360","Simple","Annual","Annual","Annual")</f>
        <v/>
      </c>
      <c r="F786" s="8">
        <f>QS.TRADE.CREATE("trade.784",C786,E786,A786,"Receive")</f>
        <v/>
      </c>
      <c r="G786" s="5"/>
      <c r="H786" s="7" t="s">
        <v>1612</v>
      </c>
      <c r="I786" s="9">
        <v>1078400</v>
      </c>
      <c r="J786" s="10">
        <v>0.0384</v>
      </c>
    </row>
    <row r="787" spans="1:10">
      <c r="A787" s="7" t="s">
        <v>1601</v>
      </c>
      <c r="B787" s="7" t="s">
        <v>1613</v>
      </c>
      <c r="C787" s="8">
        <f>QS.CONTEXT.CREATE("market.785",A787,"USD","SOFR")</f>
        <v/>
      </c>
      <c r="D787" s="8">
        <f>QS.CONTEXT.ADD.CURVE(C787,"SOFR",$K$2:$K$7,$L$2:$L$7,,,"Actual360","LogLinear",TRUE)</f>
        <v/>
      </c>
      <c r="E787" s="8">
        <f>QS.INSTRUMENT.SWAP("swap.785",C787,H787,B787,"USD","SOFR",I787,J787,0,"Actual360","Simple","Annual","Annual","Annual")</f>
        <v/>
      </c>
      <c r="F787" s="8">
        <f>QS.TRADE.CREATE("trade.785",C787,E787,A787,"Receive")</f>
        <v/>
      </c>
      <c r="G787" s="5"/>
      <c r="H787" s="7" t="s">
        <v>1614</v>
      </c>
      <c r="I787" s="9">
        <v>1078500</v>
      </c>
      <c r="J787" s="10">
        <v>0.03850000000000001</v>
      </c>
    </row>
    <row r="788" spans="1:10">
      <c r="A788" s="7" t="s">
        <v>1603</v>
      </c>
      <c r="B788" s="7" t="s">
        <v>1615</v>
      </c>
      <c r="C788" s="8">
        <f>QS.CONTEXT.CREATE("market.786",A788,"USD","SOFR")</f>
        <v/>
      </c>
      <c r="D788" s="8">
        <f>QS.CONTEXT.ADD.CURVE(C788,"SOFR",$K$2:$K$7,$L$2:$L$7,,,"Actual360","LogLinear",TRUE)</f>
        <v/>
      </c>
      <c r="E788" s="8">
        <f>QS.INSTRUMENT.SWAP("swap.786",C788,H788,B788,"USD","SOFR",I788,J788,0,"Actual360","Simple","Annual","Annual","Annual")</f>
        <v/>
      </c>
      <c r="F788" s="8">
        <f>QS.TRADE.CREATE("trade.786",C788,E788,A788,"Receive")</f>
        <v/>
      </c>
      <c r="G788" s="5"/>
      <c r="H788" s="7" t="s">
        <v>1616</v>
      </c>
      <c r="I788" s="9">
        <v>1078600</v>
      </c>
      <c r="J788" s="10">
        <v>0.0386</v>
      </c>
    </row>
    <row r="789" spans="1:10">
      <c r="A789" s="7" t="s">
        <v>1605</v>
      </c>
      <c r="B789" s="7" t="s">
        <v>1617</v>
      </c>
      <c r="C789" s="8">
        <f>QS.CONTEXT.CREATE("market.787",A789,"USD","SOFR")</f>
        <v/>
      </c>
      <c r="D789" s="8">
        <f>QS.CONTEXT.ADD.CURVE(C789,"SOFR",$K$2:$K$7,$L$2:$L$7,,,"Actual360","LogLinear",TRUE)</f>
        <v/>
      </c>
      <c r="E789" s="8">
        <f>QS.INSTRUMENT.SWAP("swap.787",C789,H789,B789,"USD","SOFR",I789,J789,0,"Actual360","Simple","Annual","Annual","Annual")</f>
        <v/>
      </c>
      <c r="F789" s="8">
        <f>QS.TRADE.CREATE("trade.787",C789,E789,A789,"Receive")</f>
        <v/>
      </c>
      <c r="G789" s="5"/>
      <c r="H789" s="7" t="s">
        <v>1618</v>
      </c>
      <c r="I789" s="9">
        <v>1078700</v>
      </c>
      <c r="J789" s="10">
        <v>0.03870000000000001</v>
      </c>
    </row>
    <row r="790" spans="1:10">
      <c r="A790" s="7" t="s">
        <v>1607</v>
      </c>
      <c r="B790" s="7" t="s">
        <v>1619</v>
      </c>
      <c r="C790" s="8">
        <f>QS.CONTEXT.CREATE("market.788",A790,"USD","SOFR")</f>
        <v/>
      </c>
      <c r="D790" s="8">
        <f>QS.CONTEXT.ADD.CURVE(C790,"SOFR",$K$2:$K$7,$L$2:$L$7,,,"Actual360","LogLinear",TRUE)</f>
        <v/>
      </c>
      <c r="E790" s="8">
        <f>QS.INSTRUMENT.SWAP("swap.788",C790,H790,B790,"USD","SOFR",I790,J790,0,"Actual360","Simple","Annual","Annual","Annual")</f>
        <v/>
      </c>
      <c r="F790" s="8">
        <f>QS.TRADE.CREATE("trade.788",C790,E790,A790,"Receive")</f>
        <v/>
      </c>
      <c r="G790" s="5"/>
      <c r="H790" s="7" t="s">
        <v>1620</v>
      </c>
      <c r="I790" s="9">
        <v>1078800</v>
      </c>
      <c r="J790" s="10">
        <v>0.0388</v>
      </c>
    </row>
    <row r="791" spans="1:10">
      <c r="A791" s="7" t="s">
        <v>1608</v>
      </c>
      <c r="B791" s="7" t="s">
        <v>1621</v>
      </c>
      <c r="C791" s="8">
        <f>QS.CONTEXT.CREATE("market.789",A791,"USD","SOFR")</f>
        <v/>
      </c>
      <c r="D791" s="8">
        <f>QS.CONTEXT.ADD.CURVE(C791,"SOFR",$K$2:$K$7,$L$2:$L$7,,,"Actual360","LogLinear",TRUE)</f>
        <v/>
      </c>
      <c r="E791" s="8">
        <f>QS.INSTRUMENT.SWAP("swap.789",C791,H791,B791,"USD","SOFR",I791,J791,0,"Actual360","Simple","Annual","Annual","Annual")</f>
        <v/>
      </c>
      <c r="F791" s="8">
        <f>QS.TRADE.CREATE("trade.789",C791,E791,A791,"Receive")</f>
        <v/>
      </c>
      <c r="G791" s="5"/>
      <c r="H791" s="7" t="s">
        <v>1622</v>
      </c>
      <c r="I791" s="9">
        <v>1078900</v>
      </c>
      <c r="J791" s="10">
        <v>0.0389</v>
      </c>
    </row>
    <row r="792" spans="1:10">
      <c r="A792" s="7" t="s">
        <v>1610</v>
      </c>
      <c r="B792" s="7" t="s">
        <v>1623</v>
      </c>
      <c r="C792" s="8">
        <f>QS.CONTEXT.CREATE("market.790",A792,"USD","SOFR")</f>
        <v/>
      </c>
      <c r="D792" s="8">
        <f>QS.CONTEXT.ADD.CURVE(C792,"SOFR",$K$2:$K$7,$L$2:$L$7,,,"Actual360","LogLinear",TRUE)</f>
        <v/>
      </c>
      <c r="E792" s="8">
        <f>QS.INSTRUMENT.SWAP("swap.790",C792,H792,B792,"USD","SOFR",I792,J792,0,"Actual360","Simple","Annual","Annual","Annual")</f>
        <v/>
      </c>
      <c r="F792" s="8">
        <f>QS.TRADE.CREATE("trade.790",C792,E792,A792,"Receive")</f>
        <v/>
      </c>
      <c r="G792" s="5"/>
      <c r="H792" s="7" t="s">
        <v>1624</v>
      </c>
      <c r="I792" s="9">
        <v>1079000</v>
      </c>
      <c r="J792" s="10">
        <v>0.03900000000000001</v>
      </c>
    </row>
    <row r="793" spans="1:10">
      <c r="A793" s="7" t="s">
        <v>1612</v>
      </c>
      <c r="B793" s="7" t="s">
        <v>1625</v>
      </c>
      <c r="C793" s="8">
        <f>QS.CONTEXT.CREATE("market.791",A793,"USD","SOFR")</f>
        <v/>
      </c>
      <c r="D793" s="8">
        <f>QS.CONTEXT.ADD.CURVE(C793,"SOFR",$K$2:$K$7,$L$2:$L$7,,,"Actual360","LogLinear",TRUE)</f>
        <v/>
      </c>
      <c r="E793" s="8">
        <f>QS.INSTRUMENT.SWAP("swap.791",C793,H793,B793,"USD","SOFR",I793,J793,0,"Actual360","Simple","Annual","Annual","Annual")</f>
        <v/>
      </c>
      <c r="F793" s="8">
        <f>QS.TRADE.CREATE("trade.791",C793,E793,A793,"Receive")</f>
        <v/>
      </c>
      <c r="G793" s="5"/>
      <c r="H793" s="7" t="s">
        <v>1626</v>
      </c>
      <c r="I793" s="9">
        <v>1079100</v>
      </c>
      <c r="J793" s="10">
        <v>0.0391</v>
      </c>
    </row>
    <row r="794" spans="1:10">
      <c r="A794" s="7" t="s">
        <v>1614</v>
      </c>
      <c r="B794" s="7" t="s">
        <v>1627</v>
      </c>
      <c r="C794" s="8">
        <f>QS.CONTEXT.CREATE("market.792",A794,"USD","SOFR")</f>
        <v/>
      </c>
      <c r="D794" s="8">
        <f>QS.CONTEXT.ADD.CURVE(C794,"SOFR",$K$2:$K$7,$L$2:$L$7,,,"Actual360","LogLinear",TRUE)</f>
        <v/>
      </c>
      <c r="E794" s="8">
        <f>QS.INSTRUMENT.SWAP("swap.792",C794,H794,B794,"USD","SOFR",I794,J794,0,"Actual360","Simple","Annual","Annual","Annual")</f>
        <v/>
      </c>
      <c r="F794" s="8">
        <f>QS.TRADE.CREATE("trade.792",C794,E794,A794,"Receive")</f>
        <v/>
      </c>
      <c r="G794" s="5"/>
      <c r="H794" s="7" t="s">
        <v>1628</v>
      </c>
      <c r="I794" s="9">
        <v>1079200</v>
      </c>
      <c r="J794" s="10">
        <v>0.03920000000000001</v>
      </c>
    </row>
    <row r="795" spans="1:10">
      <c r="A795" s="7" t="s">
        <v>1616</v>
      </c>
      <c r="B795" s="7" t="s">
        <v>1629</v>
      </c>
      <c r="C795" s="8">
        <f>QS.CONTEXT.CREATE("market.793",A795,"USD","SOFR")</f>
        <v/>
      </c>
      <c r="D795" s="8">
        <f>QS.CONTEXT.ADD.CURVE(C795,"SOFR",$K$2:$K$7,$L$2:$L$7,,,"Actual360","LogLinear",TRUE)</f>
        <v/>
      </c>
      <c r="E795" s="8">
        <f>QS.INSTRUMENT.SWAP("swap.793",C795,H795,B795,"USD","SOFR",I795,J795,0,"Actual360","Simple","Annual","Annual","Annual")</f>
        <v/>
      </c>
      <c r="F795" s="8">
        <f>QS.TRADE.CREATE("trade.793",C795,E795,A795,"Receive")</f>
        <v/>
      </c>
      <c r="G795" s="5"/>
      <c r="H795" s="7" t="s">
        <v>1630</v>
      </c>
      <c r="I795" s="9">
        <v>1079300</v>
      </c>
      <c r="J795" s="10">
        <v>0.0393</v>
      </c>
    </row>
    <row r="796" spans="1:10">
      <c r="A796" s="7" t="s">
        <v>1618</v>
      </c>
      <c r="B796" s="7" t="s">
        <v>1631</v>
      </c>
      <c r="C796" s="8">
        <f>QS.CONTEXT.CREATE("market.794",A796,"USD","SOFR")</f>
        <v/>
      </c>
      <c r="D796" s="8">
        <f>QS.CONTEXT.ADD.CURVE(C796,"SOFR",$K$2:$K$7,$L$2:$L$7,,,"Actual360","LogLinear",TRUE)</f>
        <v/>
      </c>
      <c r="E796" s="8">
        <f>QS.INSTRUMENT.SWAP("swap.794",C796,H796,B796,"USD","SOFR",I796,J796,0,"Actual360","Simple","Annual","Annual","Annual")</f>
        <v/>
      </c>
      <c r="F796" s="8">
        <f>QS.TRADE.CREATE("trade.794",C796,E796,A796,"Receive")</f>
        <v/>
      </c>
      <c r="G796" s="5"/>
      <c r="H796" s="7" t="s">
        <v>1632</v>
      </c>
      <c r="I796" s="9">
        <v>1079400</v>
      </c>
      <c r="J796" s="10">
        <v>0.0394</v>
      </c>
    </row>
    <row r="797" spans="1:10">
      <c r="A797" s="7" t="s">
        <v>1620</v>
      </c>
      <c r="B797" s="7" t="s">
        <v>1633</v>
      </c>
      <c r="C797" s="8">
        <f>QS.CONTEXT.CREATE("market.795",A797,"USD","SOFR")</f>
        <v/>
      </c>
      <c r="D797" s="8">
        <f>QS.CONTEXT.ADD.CURVE(C797,"SOFR",$K$2:$K$7,$L$2:$L$7,,,"Actual360","LogLinear",TRUE)</f>
        <v/>
      </c>
      <c r="E797" s="8">
        <f>QS.INSTRUMENT.SWAP("swap.795",C797,H797,B797,"USD","SOFR",I797,J797,0,"Actual360","Simple","Annual","Annual","Annual")</f>
        <v/>
      </c>
      <c r="F797" s="8">
        <f>QS.TRADE.CREATE("trade.795",C797,E797,A797,"Receive")</f>
        <v/>
      </c>
      <c r="G797" s="5"/>
      <c r="H797" s="7" t="s">
        <v>1634</v>
      </c>
      <c r="I797" s="9">
        <v>1079500</v>
      </c>
      <c r="J797" s="10">
        <v>0.03950000000000001</v>
      </c>
    </row>
    <row r="798" spans="1:10">
      <c r="A798" s="7" t="s">
        <v>1622</v>
      </c>
      <c r="B798" s="7" t="s">
        <v>1635</v>
      </c>
      <c r="C798" s="8">
        <f>QS.CONTEXT.CREATE("market.796",A798,"USD","SOFR")</f>
        <v/>
      </c>
      <c r="D798" s="8">
        <f>QS.CONTEXT.ADD.CURVE(C798,"SOFR",$K$2:$K$7,$L$2:$L$7,,,"Actual360","LogLinear",TRUE)</f>
        <v/>
      </c>
      <c r="E798" s="8">
        <f>QS.INSTRUMENT.SWAP("swap.796",C798,H798,B798,"USD","SOFR",I798,J798,0,"Actual360","Simple","Annual","Annual","Annual")</f>
        <v/>
      </c>
      <c r="F798" s="8">
        <f>QS.TRADE.CREATE("trade.796",C798,E798,A798,"Receive")</f>
        <v/>
      </c>
      <c r="G798" s="5"/>
      <c r="H798" s="7" t="s">
        <v>1636</v>
      </c>
      <c r="I798" s="9">
        <v>1079600</v>
      </c>
      <c r="J798" s="10">
        <v>0.0396</v>
      </c>
    </row>
    <row r="799" spans="1:10">
      <c r="A799" s="7" t="s">
        <v>1624</v>
      </c>
      <c r="B799" s="7" t="s">
        <v>1637</v>
      </c>
      <c r="C799" s="8">
        <f>QS.CONTEXT.CREATE("market.797",A799,"USD","SOFR")</f>
        <v/>
      </c>
      <c r="D799" s="8">
        <f>QS.CONTEXT.ADD.CURVE(C799,"SOFR",$K$2:$K$7,$L$2:$L$7,,,"Actual360","LogLinear",TRUE)</f>
        <v/>
      </c>
      <c r="E799" s="8">
        <f>QS.INSTRUMENT.SWAP("swap.797",C799,H799,B799,"USD","SOFR",I799,J799,0,"Actual360","Simple","Annual","Annual","Annual")</f>
        <v/>
      </c>
      <c r="F799" s="8">
        <f>QS.TRADE.CREATE("trade.797",C799,E799,A799,"Receive")</f>
        <v/>
      </c>
      <c r="G799" s="5"/>
      <c r="H799" s="7" t="s">
        <v>1638</v>
      </c>
      <c r="I799" s="9">
        <v>1079700</v>
      </c>
      <c r="J799" s="10">
        <v>0.03970000000000001</v>
      </c>
    </row>
    <row r="800" spans="1:10">
      <c r="A800" s="7" t="s">
        <v>1626</v>
      </c>
      <c r="B800" s="7" t="s">
        <v>1639</v>
      </c>
      <c r="C800" s="8">
        <f>QS.CONTEXT.CREATE("market.798",A800,"USD","SOFR")</f>
        <v/>
      </c>
      <c r="D800" s="8">
        <f>QS.CONTEXT.ADD.CURVE(C800,"SOFR",$K$2:$K$7,$L$2:$L$7,,,"Actual360","LogLinear",TRUE)</f>
        <v/>
      </c>
      <c r="E800" s="8">
        <f>QS.INSTRUMENT.SWAP("swap.798",C800,H800,B800,"USD","SOFR",I800,J800,0,"Actual360","Simple","Annual","Annual","Annual")</f>
        <v/>
      </c>
      <c r="F800" s="8">
        <f>QS.TRADE.CREATE("trade.798",C800,E800,A800,"Receive")</f>
        <v/>
      </c>
      <c r="G800" s="5"/>
      <c r="H800" s="7" t="s">
        <v>1640</v>
      </c>
      <c r="I800" s="9">
        <v>1079800</v>
      </c>
      <c r="J800" s="10">
        <v>0.0398</v>
      </c>
    </row>
    <row r="801" spans="1:10">
      <c r="A801" s="7" t="s">
        <v>1628</v>
      </c>
      <c r="B801" s="7" t="s">
        <v>1641</v>
      </c>
      <c r="C801" s="8">
        <f>QS.CONTEXT.CREATE("market.799",A801,"USD","SOFR")</f>
        <v/>
      </c>
      <c r="D801" s="8">
        <f>QS.CONTEXT.ADD.CURVE(C801,"SOFR",$K$2:$K$7,$L$2:$L$7,,,"Actual360","LogLinear",TRUE)</f>
        <v/>
      </c>
      <c r="E801" s="8">
        <f>QS.INSTRUMENT.SWAP("swap.799",C801,H801,B801,"USD","SOFR",I801,J801,0,"Actual360","Simple","Annual","Annual","Annual")</f>
        <v/>
      </c>
      <c r="F801" s="8">
        <f>QS.TRADE.CREATE("trade.799",C801,E801,A801,"Receive")</f>
        <v/>
      </c>
      <c r="G801" s="5"/>
      <c r="H801" s="7" t="s">
        <v>1642</v>
      </c>
      <c r="I801" s="9">
        <v>1079900</v>
      </c>
      <c r="J801" s="10">
        <v>0.0399</v>
      </c>
    </row>
    <row r="802" spans="1:10">
      <c r="A802" s="7" t="s">
        <v>1630</v>
      </c>
      <c r="B802" s="7" t="s">
        <v>1643</v>
      </c>
      <c r="C802" s="8">
        <f>QS.CONTEXT.CREATE("market.800",A802,"USD","SOFR")</f>
        <v/>
      </c>
      <c r="D802" s="8">
        <f>QS.CONTEXT.ADD.CURVE(C802,"SOFR",$K$2:$K$7,$L$2:$L$7,,,"Actual360","LogLinear",TRUE)</f>
        <v/>
      </c>
      <c r="E802" s="8">
        <f>QS.INSTRUMENT.SWAP("swap.800",C802,H802,B802,"USD","SOFR",I802,J802,0,"Actual360","Simple","Annual","Annual","Annual")</f>
        <v/>
      </c>
      <c r="F802" s="8">
        <f>QS.TRADE.CREATE("trade.800",C802,E802,A802,"Receive")</f>
        <v/>
      </c>
      <c r="G802" s="5"/>
      <c r="H802" s="7" t="s">
        <v>1644</v>
      </c>
      <c r="I802" s="9">
        <v>1080000</v>
      </c>
      <c r="J802" s="10">
        <v>0.035</v>
      </c>
    </row>
    <row r="803" spans="1:10">
      <c r="A803" s="7" t="s">
        <v>1632</v>
      </c>
      <c r="B803" s="7" t="s">
        <v>1645</v>
      </c>
      <c r="C803" s="8">
        <f>QS.CONTEXT.CREATE("market.801",A803,"USD","SOFR")</f>
        <v/>
      </c>
      <c r="D803" s="8">
        <f>QS.CONTEXT.ADD.CURVE(C803,"SOFR",$K$2:$K$7,$L$2:$L$7,,,"Actual360","LogLinear",TRUE)</f>
        <v/>
      </c>
      <c r="E803" s="8">
        <f>QS.INSTRUMENT.SWAP("swap.801",C803,H803,B803,"USD","SOFR",I803,J803,0,"Actual360","Simple","Annual","Annual","Annual")</f>
        <v/>
      </c>
      <c r="F803" s="8">
        <f>QS.TRADE.CREATE("trade.801",C803,E803,A803,"Receive")</f>
        <v/>
      </c>
      <c r="G803" s="5"/>
      <c r="H803" s="7" t="s">
        <v>1646</v>
      </c>
      <c r="I803" s="9">
        <v>1080100</v>
      </c>
      <c r="J803" s="10">
        <v>0.03510000000000001</v>
      </c>
    </row>
    <row r="804" spans="1:10">
      <c r="A804" s="7" t="s">
        <v>1634</v>
      </c>
      <c r="B804" s="7" t="s">
        <v>1647</v>
      </c>
      <c r="C804" s="8">
        <f>QS.CONTEXT.CREATE("market.802",A804,"USD","SOFR")</f>
        <v/>
      </c>
      <c r="D804" s="8">
        <f>QS.CONTEXT.ADD.CURVE(C804,"SOFR",$K$2:$K$7,$L$2:$L$7,,,"Actual360","LogLinear",TRUE)</f>
        <v/>
      </c>
      <c r="E804" s="8">
        <f>QS.INSTRUMENT.SWAP("swap.802",C804,H804,B804,"USD","SOFR",I804,J804,0,"Actual360","Simple","Annual","Annual","Annual")</f>
        <v/>
      </c>
      <c r="F804" s="8">
        <f>QS.TRADE.CREATE("trade.802",C804,E804,A804,"Receive")</f>
        <v/>
      </c>
      <c r="G804" s="5"/>
      <c r="H804" s="7" t="s">
        <v>1648</v>
      </c>
      <c r="I804" s="9">
        <v>1080200</v>
      </c>
      <c r="J804" s="10">
        <v>0.0352</v>
      </c>
    </row>
    <row r="805" spans="1:10">
      <c r="A805" s="7" t="s">
        <v>1636</v>
      </c>
      <c r="B805" s="7" t="s">
        <v>1649</v>
      </c>
      <c r="C805" s="8">
        <f>QS.CONTEXT.CREATE("market.803",A805,"USD","SOFR")</f>
        <v/>
      </c>
      <c r="D805" s="8">
        <f>QS.CONTEXT.ADD.CURVE(C805,"SOFR",$K$2:$K$7,$L$2:$L$7,,,"Actual360","LogLinear",TRUE)</f>
        <v/>
      </c>
      <c r="E805" s="8">
        <f>QS.INSTRUMENT.SWAP("swap.803",C805,H805,B805,"USD","SOFR",I805,J805,0,"Actual360","Simple","Annual","Annual","Annual")</f>
        <v/>
      </c>
      <c r="F805" s="8">
        <f>QS.TRADE.CREATE("trade.803",C805,E805,A805,"Receive")</f>
        <v/>
      </c>
      <c r="G805" s="5"/>
      <c r="H805" s="7" t="s">
        <v>1650</v>
      </c>
      <c r="I805" s="9">
        <v>1080300</v>
      </c>
      <c r="J805" s="10">
        <v>0.0353</v>
      </c>
    </row>
    <row r="806" spans="1:10">
      <c r="A806" s="7" t="s">
        <v>1638</v>
      </c>
      <c r="B806" s="7" t="s">
        <v>1651</v>
      </c>
      <c r="C806" s="8">
        <f>QS.CONTEXT.CREATE("market.804",A806,"USD","SOFR")</f>
        <v/>
      </c>
      <c r="D806" s="8">
        <f>QS.CONTEXT.ADD.CURVE(C806,"SOFR",$K$2:$K$7,$L$2:$L$7,,,"Actual360","LogLinear",TRUE)</f>
        <v/>
      </c>
      <c r="E806" s="8">
        <f>QS.INSTRUMENT.SWAP("swap.804",C806,H806,B806,"USD","SOFR",I806,J806,0,"Actual360","Simple","Annual","Annual","Annual")</f>
        <v/>
      </c>
      <c r="F806" s="8">
        <f>QS.TRADE.CREATE("trade.804",C806,E806,A806,"Receive")</f>
        <v/>
      </c>
      <c r="G806" s="5"/>
      <c r="H806" s="7" t="s">
        <v>1652</v>
      </c>
      <c r="I806" s="9">
        <v>1080400</v>
      </c>
      <c r="J806" s="10">
        <v>0.0354</v>
      </c>
    </row>
    <row r="807" spans="1:10">
      <c r="A807" s="7" t="s">
        <v>1640</v>
      </c>
      <c r="B807" s="7" t="s">
        <v>1653</v>
      </c>
      <c r="C807" s="8">
        <f>QS.CONTEXT.CREATE("market.805",A807,"USD","SOFR")</f>
        <v/>
      </c>
      <c r="D807" s="8">
        <f>QS.CONTEXT.ADD.CURVE(C807,"SOFR",$K$2:$K$7,$L$2:$L$7,,,"Actual360","LogLinear",TRUE)</f>
        <v/>
      </c>
      <c r="E807" s="8">
        <f>QS.INSTRUMENT.SWAP("swap.805",C807,H807,B807,"USD","SOFR",I807,J807,0,"Actual360","Simple","Annual","Annual","Annual")</f>
        <v/>
      </c>
      <c r="F807" s="8">
        <f>QS.TRADE.CREATE("trade.805",C807,E807,A807,"Receive")</f>
        <v/>
      </c>
      <c r="G807" s="5"/>
      <c r="H807" s="7" t="s">
        <v>1654</v>
      </c>
      <c r="I807" s="9">
        <v>1080500</v>
      </c>
      <c r="J807" s="10">
        <v>0.0355</v>
      </c>
    </row>
    <row r="808" spans="1:10">
      <c r="A808" s="7" t="s">
        <v>1642</v>
      </c>
      <c r="B808" s="7" t="s">
        <v>1655</v>
      </c>
      <c r="C808" s="8">
        <f>QS.CONTEXT.CREATE("market.806",A808,"USD","SOFR")</f>
        <v/>
      </c>
      <c r="D808" s="8">
        <f>QS.CONTEXT.ADD.CURVE(C808,"SOFR",$K$2:$K$7,$L$2:$L$7,,,"Actual360","LogLinear",TRUE)</f>
        <v/>
      </c>
      <c r="E808" s="8">
        <f>QS.INSTRUMENT.SWAP("swap.806",C808,H808,B808,"USD","SOFR",I808,J808,0,"Actual360","Simple","Annual","Annual","Annual")</f>
        <v/>
      </c>
      <c r="F808" s="8">
        <f>QS.TRADE.CREATE("trade.806",C808,E808,A808,"Receive")</f>
        <v/>
      </c>
      <c r="G808" s="5"/>
      <c r="H808" s="7" t="s">
        <v>1656</v>
      </c>
      <c r="I808" s="9">
        <v>1080600</v>
      </c>
      <c r="J808" s="10">
        <v>0.03560000000000001</v>
      </c>
    </row>
    <row r="809" spans="1:10">
      <c r="A809" s="7" t="s">
        <v>1644</v>
      </c>
      <c r="B809" s="7" t="s">
        <v>1657</v>
      </c>
      <c r="C809" s="8">
        <f>QS.CONTEXT.CREATE("market.807",A809,"USD","SOFR")</f>
        <v/>
      </c>
      <c r="D809" s="8">
        <f>QS.CONTEXT.ADD.CURVE(C809,"SOFR",$K$2:$K$7,$L$2:$L$7,,,"Actual360","LogLinear",TRUE)</f>
        <v/>
      </c>
      <c r="E809" s="8">
        <f>QS.INSTRUMENT.SWAP("swap.807",C809,H809,B809,"USD","SOFR",I809,J809,0,"Actual360","Simple","Annual","Annual","Annual")</f>
        <v/>
      </c>
      <c r="F809" s="8">
        <f>QS.TRADE.CREATE("trade.807",C809,E809,A809,"Receive")</f>
        <v/>
      </c>
      <c r="G809" s="5"/>
      <c r="H809" s="7" t="s">
        <v>1658</v>
      </c>
      <c r="I809" s="9">
        <v>1080700</v>
      </c>
      <c r="J809" s="10">
        <v>0.0357</v>
      </c>
    </row>
    <row r="810" spans="1:10">
      <c r="A810" s="7" t="s">
        <v>1646</v>
      </c>
      <c r="B810" s="7" t="s">
        <v>1659</v>
      </c>
      <c r="C810" s="8">
        <f>QS.CONTEXT.CREATE("market.808",A810,"USD","SOFR")</f>
        <v/>
      </c>
      <c r="D810" s="8">
        <f>QS.CONTEXT.ADD.CURVE(C810,"SOFR",$K$2:$K$7,$L$2:$L$7,,,"Actual360","LogLinear",TRUE)</f>
        <v/>
      </c>
      <c r="E810" s="8">
        <f>QS.INSTRUMENT.SWAP("swap.808",C810,H810,B810,"USD","SOFR",I810,J810,0,"Actual360","Simple","Annual","Annual","Annual")</f>
        <v/>
      </c>
      <c r="F810" s="8">
        <f>QS.TRADE.CREATE("trade.808",C810,E810,A810,"Receive")</f>
        <v/>
      </c>
      <c r="G810" s="5"/>
      <c r="H810" s="7" t="s">
        <v>1660</v>
      </c>
      <c r="I810" s="9">
        <v>1080800</v>
      </c>
      <c r="J810" s="10">
        <v>0.03580000000000001</v>
      </c>
    </row>
    <row r="811" spans="1:10">
      <c r="A811" s="7" t="s">
        <v>1648</v>
      </c>
      <c r="B811" s="7" t="s">
        <v>1661</v>
      </c>
      <c r="C811" s="8">
        <f>QS.CONTEXT.CREATE("market.809",A811,"USD","SOFR")</f>
        <v/>
      </c>
      <c r="D811" s="8">
        <f>QS.CONTEXT.ADD.CURVE(C811,"SOFR",$K$2:$K$7,$L$2:$L$7,,,"Actual360","LogLinear",TRUE)</f>
        <v/>
      </c>
      <c r="E811" s="8">
        <f>QS.INSTRUMENT.SWAP("swap.809",C811,H811,B811,"USD","SOFR",I811,J811,0,"Actual360","Simple","Annual","Annual","Annual")</f>
        <v/>
      </c>
      <c r="F811" s="8">
        <f>QS.TRADE.CREATE("trade.809",C811,E811,A811,"Receive")</f>
        <v/>
      </c>
      <c r="G811" s="5"/>
      <c r="H811" s="7" t="s">
        <v>1662</v>
      </c>
      <c r="I811" s="9">
        <v>1080900</v>
      </c>
      <c r="J811" s="10">
        <v>0.0359</v>
      </c>
    </row>
    <row r="812" spans="1:10">
      <c r="A812" s="7" t="s">
        <v>1650</v>
      </c>
      <c r="B812" s="7" t="s">
        <v>1663</v>
      </c>
      <c r="C812" s="8">
        <f>QS.CONTEXT.CREATE("market.810",A812,"USD","SOFR")</f>
        <v/>
      </c>
      <c r="D812" s="8">
        <f>QS.CONTEXT.ADD.CURVE(C812,"SOFR",$K$2:$K$7,$L$2:$L$7,,,"Actual360","LogLinear",TRUE)</f>
        <v/>
      </c>
      <c r="E812" s="8">
        <f>QS.INSTRUMENT.SWAP("swap.810",C812,H812,B812,"USD","SOFR",I812,J812,0,"Actual360","Simple","Annual","Annual","Annual")</f>
        <v/>
      </c>
      <c r="F812" s="8">
        <f>QS.TRADE.CREATE("trade.810",C812,E812,A812,"Receive")</f>
        <v/>
      </c>
      <c r="G812" s="5"/>
      <c r="H812" s="7" t="s">
        <v>1664</v>
      </c>
      <c r="I812" s="9">
        <v>1081000</v>
      </c>
      <c r="J812" s="10">
        <v>0.036</v>
      </c>
    </row>
    <row r="813" spans="1:10">
      <c r="A813" s="7" t="s">
        <v>1652</v>
      </c>
      <c r="B813" s="7" t="s">
        <v>1665</v>
      </c>
      <c r="C813" s="8">
        <f>QS.CONTEXT.CREATE("market.811",A813,"USD","SOFR")</f>
        <v/>
      </c>
      <c r="D813" s="8">
        <f>QS.CONTEXT.ADD.CURVE(C813,"SOFR",$K$2:$K$7,$L$2:$L$7,,,"Actual360","LogLinear",TRUE)</f>
        <v/>
      </c>
      <c r="E813" s="8">
        <f>QS.INSTRUMENT.SWAP("swap.811",C813,H813,B813,"USD","SOFR",I813,J813,0,"Actual360","Simple","Annual","Annual","Annual")</f>
        <v/>
      </c>
      <c r="F813" s="8">
        <f>QS.TRADE.CREATE("trade.811",C813,E813,A813,"Receive")</f>
        <v/>
      </c>
      <c r="G813" s="5"/>
      <c r="H813" s="7" t="s">
        <v>1666</v>
      </c>
      <c r="I813" s="9">
        <v>1081100</v>
      </c>
      <c r="J813" s="10">
        <v>0.0361</v>
      </c>
    </row>
    <row r="814" spans="1:10">
      <c r="A814" s="7" t="s">
        <v>1654</v>
      </c>
      <c r="B814" s="7" t="s">
        <v>1667</v>
      </c>
      <c r="C814" s="8">
        <f>QS.CONTEXT.CREATE("market.812",A814,"USD","SOFR")</f>
        <v/>
      </c>
      <c r="D814" s="8">
        <f>QS.CONTEXT.ADD.CURVE(C814,"SOFR",$K$2:$K$7,$L$2:$L$7,,,"Actual360","LogLinear",TRUE)</f>
        <v/>
      </c>
      <c r="E814" s="8">
        <f>QS.INSTRUMENT.SWAP("swap.812",C814,H814,B814,"USD","SOFR",I814,J814,0,"Actual360","Simple","Annual","Annual","Annual")</f>
        <v/>
      </c>
      <c r="F814" s="8">
        <f>QS.TRADE.CREATE("trade.812",C814,E814,A814,"Receive")</f>
        <v/>
      </c>
      <c r="G814" s="5"/>
      <c r="H814" s="7" t="s">
        <v>1668</v>
      </c>
      <c r="I814" s="9">
        <v>1081200</v>
      </c>
      <c r="J814" s="10">
        <v>0.0362</v>
      </c>
    </row>
    <row r="815" spans="1:10">
      <c r="A815" s="7" t="s">
        <v>1656</v>
      </c>
      <c r="B815" s="7" t="s">
        <v>1669</v>
      </c>
      <c r="C815" s="8">
        <f>QS.CONTEXT.CREATE("market.813",A815,"USD","SOFR")</f>
        <v/>
      </c>
      <c r="D815" s="8">
        <f>QS.CONTEXT.ADD.CURVE(C815,"SOFR",$K$2:$K$7,$L$2:$L$7,,,"Actual360","LogLinear",TRUE)</f>
        <v/>
      </c>
      <c r="E815" s="8">
        <f>QS.INSTRUMENT.SWAP("swap.813",C815,H815,B815,"USD","SOFR",I815,J815,0,"Actual360","Simple","Annual","Annual","Annual")</f>
        <v/>
      </c>
      <c r="F815" s="8">
        <f>QS.TRADE.CREATE("trade.813",C815,E815,A815,"Receive")</f>
        <v/>
      </c>
      <c r="G815" s="5"/>
      <c r="H815" s="7" t="s">
        <v>1670</v>
      </c>
      <c r="I815" s="9">
        <v>1081300</v>
      </c>
      <c r="J815" s="10">
        <v>0.03630000000000001</v>
      </c>
    </row>
    <row r="816" spans="1:10">
      <c r="A816" s="7" t="s">
        <v>1658</v>
      </c>
      <c r="B816" s="7" t="s">
        <v>1671</v>
      </c>
      <c r="C816" s="8">
        <f>QS.CONTEXT.CREATE("market.814",A816,"USD","SOFR")</f>
        <v/>
      </c>
      <c r="D816" s="8">
        <f>QS.CONTEXT.ADD.CURVE(C816,"SOFR",$K$2:$K$7,$L$2:$L$7,,,"Actual360","LogLinear",TRUE)</f>
        <v/>
      </c>
      <c r="E816" s="8">
        <f>QS.INSTRUMENT.SWAP("swap.814",C816,H816,B816,"USD","SOFR",I816,J816,0,"Actual360","Simple","Annual","Annual","Annual")</f>
        <v/>
      </c>
      <c r="F816" s="8">
        <f>QS.TRADE.CREATE("trade.814",C816,E816,A816,"Receive")</f>
        <v/>
      </c>
      <c r="G816" s="5"/>
      <c r="H816" s="7" t="s">
        <v>1672</v>
      </c>
      <c r="I816" s="9">
        <v>1081400</v>
      </c>
      <c r="J816" s="10">
        <v>0.0364</v>
      </c>
    </row>
    <row r="817" spans="1:10">
      <c r="A817" s="7" t="s">
        <v>1660</v>
      </c>
      <c r="B817" s="7" t="s">
        <v>1673</v>
      </c>
      <c r="C817" s="8">
        <f>QS.CONTEXT.CREATE("market.815",A817,"USD","SOFR")</f>
        <v/>
      </c>
      <c r="D817" s="8">
        <f>QS.CONTEXT.ADD.CURVE(C817,"SOFR",$K$2:$K$7,$L$2:$L$7,,,"Actual360","LogLinear",TRUE)</f>
        <v/>
      </c>
      <c r="E817" s="8">
        <f>QS.INSTRUMENT.SWAP("swap.815",C817,H817,B817,"USD","SOFR",I817,J817,0,"Actual360","Simple","Annual","Annual","Annual")</f>
        <v/>
      </c>
      <c r="F817" s="8">
        <f>QS.TRADE.CREATE("trade.815",C817,E817,A817,"Receive")</f>
        <v/>
      </c>
      <c r="G817" s="5"/>
      <c r="H817" s="7" t="s">
        <v>1674</v>
      </c>
      <c r="I817" s="9">
        <v>1081500</v>
      </c>
      <c r="J817" s="10">
        <v>0.0365</v>
      </c>
    </row>
    <row r="818" spans="1:10">
      <c r="A818" s="7" t="s">
        <v>1662</v>
      </c>
      <c r="B818" s="7" t="s">
        <v>1675</v>
      </c>
      <c r="C818" s="8">
        <f>QS.CONTEXT.CREATE("market.816",A818,"USD","SOFR")</f>
        <v/>
      </c>
      <c r="D818" s="8">
        <f>QS.CONTEXT.ADD.CURVE(C818,"SOFR",$K$2:$K$7,$L$2:$L$7,,,"Actual360","LogLinear",TRUE)</f>
        <v/>
      </c>
      <c r="E818" s="8">
        <f>QS.INSTRUMENT.SWAP("swap.816",C818,H818,B818,"USD","SOFR",I818,J818,0,"Actual360","Simple","Annual","Annual","Annual")</f>
        <v/>
      </c>
      <c r="F818" s="8">
        <f>QS.TRADE.CREATE("trade.816",C818,E818,A818,"Receive")</f>
        <v/>
      </c>
      <c r="G818" s="5"/>
      <c r="H818" s="7" t="s">
        <v>1676</v>
      </c>
      <c r="I818" s="9">
        <v>1081600</v>
      </c>
      <c r="J818" s="10">
        <v>0.0366</v>
      </c>
    </row>
    <row r="819" spans="1:10">
      <c r="A819" s="7" t="s">
        <v>1664</v>
      </c>
      <c r="B819" s="7" t="s">
        <v>1677</v>
      </c>
      <c r="C819" s="8">
        <f>QS.CONTEXT.CREATE("market.817",A819,"USD","SOFR")</f>
        <v/>
      </c>
      <c r="D819" s="8">
        <f>QS.CONTEXT.ADD.CURVE(C819,"SOFR",$K$2:$K$7,$L$2:$L$7,,,"Actual360","LogLinear",TRUE)</f>
        <v/>
      </c>
      <c r="E819" s="8">
        <f>QS.INSTRUMENT.SWAP("swap.817",C819,H819,B819,"USD","SOFR",I819,J819,0,"Actual360","Simple","Annual","Annual","Annual")</f>
        <v/>
      </c>
      <c r="F819" s="8">
        <f>QS.TRADE.CREATE("trade.817",C819,E819,A819,"Receive")</f>
        <v/>
      </c>
      <c r="G819" s="5"/>
      <c r="H819" s="7" t="s">
        <v>1678</v>
      </c>
      <c r="I819" s="9">
        <v>1081700</v>
      </c>
      <c r="J819" s="10">
        <v>0.0367</v>
      </c>
    </row>
    <row r="820" spans="1:10">
      <c r="A820" s="7" t="s">
        <v>1666</v>
      </c>
      <c r="B820" s="7" t="s">
        <v>1679</v>
      </c>
      <c r="C820" s="8">
        <f>QS.CONTEXT.CREATE("market.818",A820,"USD","SOFR")</f>
        <v/>
      </c>
      <c r="D820" s="8">
        <f>QS.CONTEXT.ADD.CURVE(C820,"SOFR",$K$2:$K$7,$L$2:$L$7,,,"Actual360","LogLinear",TRUE)</f>
        <v/>
      </c>
      <c r="E820" s="8">
        <f>QS.INSTRUMENT.SWAP("swap.818",C820,H820,B820,"USD","SOFR",I820,J820,0,"Actual360","Simple","Annual","Annual","Annual")</f>
        <v/>
      </c>
      <c r="F820" s="8">
        <f>QS.TRADE.CREATE("trade.818",C820,E820,A820,"Receive")</f>
        <v/>
      </c>
      <c r="G820" s="5"/>
      <c r="H820" s="7" t="s">
        <v>1680</v>
      </c>
      <c r="I820" s="9">
        <v>1081800</v>
      </c>
      <c r="J820" s="10">
        <v>0.03680000000000001</v>
      </c>
    </row>
    <row r="821" spans="1:10">
      <c r="A821" s="7" t="s">
        <v>1668</v>
      </c>
      <c r="B821" s="7" t="s">
        <v>1681</v>
      </c>
      <c r="C821" s="8">
        <f>QS.CONTEXT.CREATE("market.819",A821,"USD","SOFR")</f>
        <v/>
      </c>
      <c r="D821" s="8">
        <f>QS.CONTEXT.ADD.CURVE(C821,"SOFR",$K$2:$K$7,$L$2:$L$7,,,"Actual360","LogLinear",TRUE)</f>
        <v/>
      </c>
      <c r="E821" s="8">
        <f>QS.INSTRUMENT.SWAP("swap.819",C821,H821,B821,"USD","SOFR",I821,J821,0,"Actual360","Simple","Annual","Annual","Annual")</f>
        <v/>
      </c>
      <c r="F821" s="8">
        <f>QS.TRADE.CREATE("trade.819",C821,E821,A821,"Receive")</f>
        <v/>
      </c>
      <c r="G821" s="5"/>
      <c r="H821" s="7" t="s">
        <v>1682</v>
      </c>
      <c r="I821" s="9">
        <v>1081900</v>
      </c>
      <c r="J821" s="10">
        <v>0.0369</v>
      </c>
    </row>
    <row r="822" spans="1:10">
      <c r="A822" s="7" t="s">
        <v>1670</v>
      </c>
      <c r="B822" s="7" t="s">
        <v>1683</v>
      </c>
      <c r="C822" s="8">
        <f>QS.CONTEXT.CREATE("market.820",A822,"USD","SOFR")</f>
        <v/>
      </c>
      <c r="D822" s="8">
        <f>QS.CONTEXT.ADD.CURVE(C822,"SOFR",$K$2:$K$7,$L$2:$L$7,,,"Actual360","LogLinear",TRUE)</f>
        <v/>
      </c>
      <c r="E822" s="8">
        <f>QS.INSTRUMENT.SWAP("swap.820",C822,H822,B822,"USD","SOFR",I822,J822,0,"Actual360","Simple","Annual","Annual","Annual")</f>
        <v/>
      </c>
      <c r="F822" s="8">
        <f>QS.TRADE.CREATE("trade.820",C822,E822,A822,"Receive")</f>
        <v/>
      </c>
      <c r="G822" s="5"/>
      <c r="H822" s="7" t="s">
        <v>1684</v>
      </c>
      <c r="I822" s="9">
        <v>1082000</v>
      </c>
      <c r="J822" s="10">
        <v>0.03700000000000001</v>
      </c>
    </row>
    <row r="823" spans="1:10">
      <c r="A823" s="7" t="s">
        <v>1672</v>
      </c>
      <c r="B823" s="7" t="s">
        <v>1685</v>
      </c>
      <c r="C823" s="8">
        <f>QS.CONTEXT.CREATE("market.821",A823,"USD","SOFR")</f>
        <v/>
      </c>
      <c r="D823" s="8">
        <f>QS.CONTEXT.ADD.CURVE(C823,"SOFR",$K$2:$K$7,$L$2:$L$7,,,"Actual360","LogLinear",TRUE)</f>
        <v/>
      </c>
      <c r="E823" s="8">
        <f>QS.INSTRUMENT.SWAP("swap.821",C823,H823,B823,"USD","SOFR",I823,J823,0,"Actual360","Simple","Annual","Annual","Annual")</f>
        <v/>
      </c>
      <c r="F823" s="8">
        <f>QS.TRADE.CREATE("trade.821",C823,E823,A823,"Receive")</f>
        <v/>
      </c>
      <c r="G823" s="5"/>
      <c r="H823" s="7" t="s">
        <v>1686</v>
      </c>
      <c r="I823" s="9">
        <v>1082100</v>
      </c>
      <c r="J823" s="10">
        <v>0.0371</v>
      </c>
    </row>
    <row r="824" spans="1:10">
      <c r="A824" s="7" t="s">
        <v>1674</v>
      </c>
      <c r="B824" s="7" t="s">
        <v>1687</v>
      </c>
      <c r="C824" s="8">
        <f>QS.CONTEXT.CREATE("market.822",A824,"USD","SOFR")</f>
        <v/>
      </c>
      <c r="D824" s="8">
        <f>QS.CONTEXT.ADD.CURVE(C824,"SOFR",$K$2:$K$7,$L$2:$L$7,,,"Actual360","LogLinear",TRUE)</f>
        <v/>
      </c>
      <c r="E824" s="8">
        <f>QS.INSTRUMENT.SWAP("swap.822",C824,H824,B824,"USD","SOFR",I824,J824,0,"Actual360","Simple","Annual","Annual","Annual")</f>
        <v/>
      </c>
      <c r="F824" s="8">
        <f>QS.TRADE.CREATE("trade.822",C824,E824,A824,"Receive")</f>
        <v/>
      </c>
      <c r="G824" s="5"/>
      <c r="H824" s="7" t="s">
        <v>1688</v>
      </c>
      <c r="I824" s="9">
        <v>1082200</v>
      </c>
      <c r="J824" s="10">
        <v>0.0372</v>
      </c>
    </row>
    <row r="825" spans="1:10">
      <c r="A825" s="7" t="s">
        <v>1676</v>
      </c>
      <c r="B825" s="7" t="s">
        <v>1689</v>
      </c>
      <c r="C825" s="8">
        <f>QS.CONTEXT.CREATE("market.823",A825,"USD","SOFR")</f>
        <v/>
      </c>
      <c r="D825" s="8">
        <f>QS.CONTEXT.ADD.CURVE(C825,"SOFR",$K$2:$K$7,$L$2:$L$7,,,"Actual360","LogLinear",TRUE)</f>
        <v/>
      </c>
      <c r="E825" s="8">
        <f>QS.INSTRUMENT.SWAP("swap.823",C825,H825,B825,"USD","SOFR",I825,J825,0,"Actual360","Simple","Annual","Annual","Annual")</f>
        <v/>
      </c>
      <c r="F825" s="8">
        <f>QS.TRADE.CREATE("trade.823",C825,E825,A825,"Receive")</f>
        <v/>
      </c>
      <c r="G825" s="5"/>
      <c r="H825" s="7" t="s">
        <v>1690</v>
      </c>
      <c r="I825" s="9">
        <v>1082300</v>
      </c>
      <c r="J825" s="10">
        <v>0.0373</v>
      </c>
    </row>
    <row r="826" spans="1:10">
      <c r="A826" s="7" t="s">
        <v>1678</v>
      </c>
      <c r="B826" s="7" t="s">
        <v>1691</v>
      </c>
      <c r="C826" s="8">
        <f>QS.CONTEXT.CREATE("market.824",A826,"USD","SOFR")</f>
        <v/>
      </c>
      <c r="D826" s="8">
        <f>QS.CONTEXT.ADD.CURVE(C826,"SOFR",$K$2:$K$7,$L$2:$L$7,,,"Actual360","LogLinear",TRUE)</f>
        <v/>
      </c>
      <c r="E826" s="8">
        <f>QS.INSTRUMENT.SWAP("swap.824",C826,H826,B826,"USD","SOFR",I826,J826,0,"Actual360","Simple","Annual","Annual","Annual")</f>
        <v/>
      </c>
      <c r="F826" s="8">
        <f>QS.TRADE.CREATE("trade.824",C826,E826,A826,"Receive")</f>
        <v/>
      </c>
      <c r="G826" s="5"/>
      <c r="H826" s="7" t="s">
        <v>1692</v>
      </c>
      <c r="I826" s="9">
        <v>1082400</v>
      </c>
      <c r="J826" s="10">
        <v>0.0374</v>
      </c>
    </row>
    <row r="827" spans="1:10">
      <c r="A827" s="7" t="s">
        <v>1680</v>
      </c>
      <c r="B827" s="7" t="s">
        <v>1693</v>
      </c>
      <c r="C827" s="8">
        <f>QS.CONTEXT.CREATE("market.825",A827,"USD","SOFR")</f>
        <v/>
      </c>
      <c r="D827" s="8">
        <f>QS.CONTEXT.ADD.CURVE(C827,"SOFR",$K$2:$K$7,$L$2:$L$7,,,"Actual360","LogLinear",TRUE)</f>
        <v/>
      </c>
      <c r="E827" s="8">
        <f>QS.INSTRUMENT.SWAP("swap.825",C827,H827,B827,"USD","SOFR",I827,J827,0,"Actual360","Simple","Annual","Annual","Annual")</f>
        <v/>
      </c>
      <c r="F827" s="8">
        <f>QS.TRADE.CREATE("trade.825",C827,E827,A827,"Receive")</f>
        <v/>
      </c>
      <c r="G827" s="5"/>
      <c r="H827" s="7" t="s">
        <v>1694</v>
      </c>
      <c r="I827" s="9">
        <v>1082500</v>
      </c>
      <c r="J827" s="10">
        <v>0.03750000000000001</v>
      </c>
    </row>
    <row r="828" spans="1:10">
      <c r="A828" s="7" t="s">
        <v>1682</v>
      </c>
      <c r="B828" s="7" t="s">
        <v>1695</v>
      </c>
      <c r="C828" s="8">
        <f>QS.CONTEXT.CREATE("market.826",A828,"USD","SOFR")</f>
        <v/>
      </c>
      <c r="D828" s="8">
        <f>QS.CONTEXT.ADD.CURVE(C828,"SOFR",$K$2:$K$7,$L$2:$L$7,,,"Actual360","LogLinear",TRUE)</f>
        <v/>
      </c>
      <c r="E828" s="8">
        <f>QS.INSTRUMENT.SWAP("swap.826",C828,H828,B828,"USD","SOFR",I828,J828,0,"Actual360","Simple","Annual","Annual","Annual")</f>
        <v/>
      </c>
      <c r="F828" s="8">
        <f>QS.TRADE.CREATE("trade.826",C828,E828,A828,"Receive")</f>
        <v/>
      </c>
      <c r="G828" s="5"/>
      <c r="H828" s="7" t="s">
        <v>1696</v>
      </c>
      <c r="I828" s="9">
        <v>1082600</v>
      </c>
      <c r="J828" s="10">
        <v>0.0376</v>
      </c>
    </row>
    <row r="829" spans="1:10">
      <c r="A829" s="7" t="s">
        <v>1684</v>
      </c>
      <c r="B829" s="7" t="s">
        <v>1697</v>
      </c>
      <c r="C829" s="8">
        <f>QS.CONTEXT.CREATE("market.827",A829,"USD","SOFR")</f>
        <v/>
      </c>
      <c r="D829" s="8">
        <f>QS.CONTEXT.ADD.CURVE(C829,"SOFR",$K$2:$K$7,$L$2:$L$7,,,"Actual360","LogLinear",TRUE)</f>
        <v/>
      </c>
      <c r="E829" s="8">
        <f>QS.INSTRUMENT.SWAP("swap.827",C829,H829,B829,"USD","SOFR",I829,J829,0,"Actual360","Simple","Annual","Annual","Annual")</f>
        <v/>
      </c>
      <c r="F829" s="8">
        <f>QS.TRADE.CREATE("trade.827",C829,E829,A829,"Receive")</f>
        <v/>
      </c>
      <c r="G829" s="5"/>
      <c r="H829" s="7" t="s">
        <v>1698</v>
      </c>
      <c r="I829" s="9">
        <v>1082700</v>
      </c>
      <c r="J829" s="10">
        <v>0.0377</v>
      </c>
    </row>
    <row r="830" spans="1:10">
      <c r="A830" s="7" t="s">
        <v>1686</v>
      </c>
      <c r="B830" s="7" t="s">
        <v>1699</v>
      </c>
      <c r="C830" s="8">
        <f>QS.CONTEXT.CREATE("market.828",A830,"USD","SOFR")</f>
        <v/>
      </c>
      <c r="D830" s="8">
        <f>QS.CONTEXT.ADD.CURVE(C830,"SOFR",$K$2:$K$7,$L$2:$L$7,,,"Actual360","LogLinear",TRUE)</f>
        <v/>
      </c>
      <c r="E830" s="8">
        <f>QS.INSTRUMENT.SWAP("swap.828",C830,H830,B830,"USD","SOFR",I830,J830,0,"Actual360","Simple","Annual","Annual","Annual")</f>
        <v/>
      </c>
      <c r="F830" s="8">
        <f>QS.TRADE.CREATE("trade.828",C830,E830,A830,"Receive")</f>
        <v/>
      </c>
      <c r="G830" s="5"/>
      <c r="H830" s="7" t="s">
        <v>1700</v>
      </c>
      <c r="I830" s="9">
        <v>1082800</v>
      </c>
      <c r="J830" s="10">
        <v>0.0378</v>
      </c>
    </row>
    <row r="831" spans="1:10">
      <c r="A831" s="7" t="s">
        <v>1688</v>
      </c>
      <c r="B831" s="7" t="s">
        <v>1701</v>
      </c>
      <c r="C831" s="8">
        <f>QS.CONTEXT.CREATE("market.829",A831,"USD","SOFR")</f>
        <v/>
      </c>
      <c r="D831" s="8">
        <f>QS.CONTEXT.ADD.CURVE(C831,"SOFR",$K$2:$K$7,$L$2:$L$7,,,"Actual360","LogLinear",TRUE)</f>
        <v/>
      </c>
      <c r="E831" s="8">
        <f>QS.INSTRUMENT.SWAP("swap.829",C831,H831,B831,"USD","SOFR",I831,J831,0,"Actual360","Simple","Annual","Annual","Annual")</f>
        <v/>
      </c>
      <c r="F831" s="8">
        <f>QS.TRADE.CREATE("trade.829",C831,E831,A831,"Receive")</f>
        <v/>
      </c>
      <c r="G831" s="5"/>
      <c r="H831" s="7" t="s">
        <v>1702</v>
      </c>
      <c r="I831" s="9">
        <v>1082900</v>
      </c>
      <c r="J831" s="10">
        <v>0.0379</v>
      </c>
    </row>
    <row r="832" spans="1:10">
      <c r="A832" s="7" t="s">
        <v>1690</v>
      </c>
      <c r="B832" s="7" t="s">
        <v>1703</v>
      </c>
      <c r="C832" s="8">
        <f>QS.CONTEXT.CREATE("market.830",A832,"USD","SOFR")</f>
        <v/>
      </c>
      <c r="D832" s="8">
        <f>QS.CONTEXT.ADD.CURVE(C832,"SOFR",$K$2:$K$7,$L$2:$L$7,,,"Actual360","LogLinear",TRUE)</f>
        <v/>
      </c>
      <c r="E832" s="8">
        <f>QS.INSTRUMENT.SWAP("swap.830",C832,H832,B832,"USD","SOFR",I832,J832,0,"Actual360","Simple","Annual","Annual","Annual")</f>
        <v/>
      </c>
      <c r="F832" s="8">
        <f>QS.TRADE.CREATE("trade.830",C832,E832,A832,"Receive")</f>
        <v/>
      </c>
      <c r="G832" s="5"/>
      <c r="H832" s="7" t="s">
        <v>1704</v>
      </c>
      <c r="I832" s="9">
        <v>1083000</v>
      </c>
      <c r="J832" s="10">
        <v>0.03800000000000001</v>
      </c>
    </row>
    <row r="833" spans="1:10">
      <c r="A833" s="7" t="s">
        <v>1692</v>
      </c>
      <c r="B833" s="7" t="s">
        <v>1705</v>
      </c>
      <c r="C833" s="8">
        <f>QS.CONTEXT.CREATE("market.831",A833,"USD","SOFR")</f>
        <v/>
      </c>
      <c r="D833" s="8">
        <f>QS.CONTEXT.ADD.CURVE(C833,"SOFR",$K$2:$K$7,$L$2:$L$7,,,"Actual360","LogLinear",TRUE)</f>
        <v/>
      </c>
      <c r="E833" s="8">
        <f>QS.INSTRUMENT.SWAP("swap.831",C833,H833,B833,"USD","SOFR",I833,J833,0,"Actual360","Simple","Annual","Annual","Annual")</f>
        <v/>
      </c>
      <c r="F833" s="8">
        <f>QS.TRADE.CREATE("trade.831",C833,E833,A833,"Receive")</f>
        <v/>
      </c>
      <c r="G833" s="5"/>
      <c r="H833" s="7" t="s">
        <v>1706</v>
      </c>
      <c r="I833" s="9">
        <v>1083100</v>
      </c>
      <c r="J833" s="10">
        <v>0.0381</v>
      </c>
    </row>
    <row r="834" spans="1:10">
      <c r="A834" s="7" t="s">
        <v>1694</v>
      </c>
      <c r="B834" s="7" t="s">
        <v>1707</v>
      </c>
      <c r="C834" s="8">
        <f>QS.CONTEXT.CREATE("market.832",A834,"USD","SOFR")</f>
        <v/>
      </c>
      <c r="D834" s="8">
        <f>QS.CONTEXT.ADD.CURVE(C834,"SOFR",$K$2:$K$7,$L$2:$L$7,,,"Actual360","LogLinear",TRUE)</f>
        <v/>
      </c>
      <c r="E834" s="8">
        <f>QS.INSTRUMENT.SWAP("swap.832",C834,H834,B834,"USD","SOFR",I834,J834,0,"Actual360","Simple","Annual","Annual","Annual")</f>
        <v/>
      </c>
      <c r="F834" s="8">
        <f>QS.TRADE.CREATE("trade.832",C834,E834,A834,"Receive")</f>
        <v/>
      </c>
      <c r="G834" s="5"/>
      <c r="H834" s="7" t="s">
        <v>1708</v>
      </c>
      <c r="I834" s="9">
        <v>1083200</v>
      </c>
      <c r="J834" s="10">
        <v>0.0382</v>
      </c>
    </row>
    <row r="835" spans="1:10">
      <c r="A835" s="7" t="s">
        <v>1696</v>
      </c>
      <c r="B835" s="7" t="s">
        <v>1709</v>
      </c>
      <c r="C835" s="8">
        <f>QS.CONTEXT.CREATE("market.833",A835,"USD","SOFR")</f>
        <v/>
      </c>
      <c r="D835" s="8">
        <f>QS.CONTEXT.ADD.CURVE(C835,"SOFR",$K$2:$K$7,$L$2:$L$7,,,"Actual360","LogLinear",TRUE)</f>
        <v/>
      </c>
      <c r="E835" s="8">
        <f>QS.INSTRUMENT.SWAP("swap.833",C835,H835,B835,"USD","SOFR",I835,J835,0,"Actual360","Simple","Annual","Annual","Annual")</f>
        <v/>
      </c>
      <c r="F835" s="8">
        <f>QS.TRADE.CREATE("trade.833",C835,E835,A835,"Receive")</f>
        <v/>
      </c>
      <c r="G835" s="5"/>
      <c r="H835" s="7" t="s">
        <v>1710</v>
      </c>
      <c r="I835" s="9">
        <v>1083300</v>
      </c>
      <c r="J835" s="10">
        <v>0.0383</v>
      </c>
    </row>
    <row r="836" spans="1:10">
      <c r="A836" s="7" t="s">
        <v>1698</v>
      </c>
      <c r="B836" s="7" t="s">
        <v>1711</v>
      </c>
      <c r="C836" s="8">
        <f>QS.CONTEXT.CREATE("market.834",A836,"USD","SOFR")</f>
        <v/>
      </c>
      <c r="D836" s="8">
        <f>QS.CONTEXT.ADD.CURVE(C836,"SOFR",$K$2:$K$7,$L$2:$L$7,,,"Actual360","LogLinear",TRUE)</f>
        <v/>
      </c>
      <c r="E836" s="8">
        <f>QS.INSTRUMENT.SWAP("swap.834",C836,H836,B836,"USD","SOFR",I836,J836,0,"Actual360","Simple","Annual","Annual","Annual")</f>
        <v/>
      </c>
      <c r="F836" s="8">
        <f>QS.TRADE.CREATE("trade.834",C836,E836,A836,"Receive")</f>
        <v/>
      </c>
      <c r="G836" s="5"/>
      <c r="H836" s="7" t="s">
        <v>1712</v>
      </c>
      <c r="I836" s="9">
        <v>1083400</v>
      </c>
      <c r="J836" s="10">
        <v>0.0384</v>
      </c>
    </row>
    <row r="837" spans="1:10">
      <c r="A837" s="7" t="s">
        <v>1700</v>
      </c>
      <c r="B837" s="7" t="s">
        <v>1713</v>
      </c>
      <c r="C837" s="8">
        <f>QS.CONTEXT.CREATE("market.835",A837,"USD","SOFR")</f>
        <v/>
      </c>
      <c r="D837" s="8">
        <f>QS.CONTEXT.ADD.CURVE(C837,"SOFR",$K$2:$K$7,$L$2:$L$7,,,"Actual360","LogLinear",TRUE)</f>
        <v/>
      </c>
      <c r="E837" s="8">
        <f>QS.INSTRUMENT.SWAP("swap.835",C837,H837,B837,"USD","SOFR",I837,J837,0,"Actual360","Simple","Annual","Annual","Annual")</f>
        <v/>
      </c>
      <c r="F837" s="8">
        <f>QS.TRADE.CREATE("trade.835",C837,E837,A837,"Receive")</f>
        <v/>
      </c>
      <c r="G837" s="5"/>
      <c r="H837" s="7" t="s">
        <v>1714</v>
      </c>
      <c r="I837" s="9">
        <v>1083500</v>
      </c>
      <c r="J837" s="10">
        <v>0.03850000000000001</v>
      </c>
    </row>
    <row r="838" spans="1:10">
      <c r="A838" s="7" t="s">
        <v>1702</v>
      </c>
      <c r="B838" s="7" t="s">
        <v>1715</v>
      </c>
      <c r="C838" s="8">
        <f>QS.CONTEXT.CREATE("market.836",A838,"USD","SOFR")</f>
        <v/>
      </c>
      <c r="D838" s="8">
        <f>QS.CONTEXT.ADD.CURVE(C838,"SOFR",$K$2:$K$7,$L$2:$L$7,,,"Actual360","LogLinear",TRUE)</f>
        <v/>
      </c>
      <c r="E838" s="8">
        <f>QS.INSTRUMENT.SWAP("swap.836",C838,H838,B838,"USD","SOFR",I838,J838,0,"Actual360","Simple","Annual","Annual","Annual")</f>
        <v/>
      </c>
      <c r="F838" s="8">
        <f>QS.TRADE.CREATE("trade.836",C838,E838,A838,"Receive")</f>
        <v/>
      </c>
      <c r="G838" s="5"/>
      <c r="H838" s="7" t="s">
        <v>1716</v>
      </c>
      <c r="I838" s="9">
        <v>1083600</v>
      </c>
      <c r="J838" s="10">
        <v>0.0386</v>
      </c>
    </row>
    <row r="839" spans="1:10">
      <c r="A839" s="7" t="s">
        <v>1704</v>
      </c>
      <c r="B839" s="7" t="s">
        <v>1717</v>
      </c>
      <c r="C839" s="8">
        <f>QS.CONTEXT.CREATE("market.837",A839,"USD","SOFR")</f>
        <v/>
      </c>
      <c r="D839" s="8">
        <f>QS.CONTEXT.ADD.CURVE(C839,"SOFR",$K$2:$K$7,$L$2:$L$7,,,"Actual360","LogLinear",TRUE)</f>
        <v/>
      </c>
      <c r="E839" s="8">
        <f>QS.INSTRUMENT.SWAP("swap.837",C839,H839,B839,"USD","SOFR",I839,J839,0,"Actual360","Simple","Annual","Annual","Annual")</f>
        <v/>
      </c>
      <c r="F839" s="8">
        <f>QS.TRADE.CREATE("trade.837",C839,E839,A839,"Receive")</f>
        <v/>
      </c>
      <c r="G839" s="5"/>
      <c r="H839" s="7" t="s">
        <v>1718</v>
      </c>
      <c r="I839" s="9">
        <v>1083700</v>
      </c>
      <c r="J839" s="10">
        <v>0.03870000000000001</v>
      </c>
    </row>
    <row r="840" spans="1:10">
      <c r="A840" s="7" t="s">
        <v>1706</v>
      </c>
      <c r="B840" s="7" t="s">
        <v>1719</v>
      </c>
      <c r="C840" s="8">
        <f>QS.CONTEXT.CREATE("market.838",A840,"USD","SOFR")</f>
        <v/>
      </c>
      <c r="D840" s="8">
        <f>QS.CONTEXT.ADD.CURVE(C840,"SOFR",$K$2:$K$7,$L$2:$L$7,,,"Actual360","LogLinear",TRUE)</f>
        <v/>
      </c>
      <c r="E840" s="8">
        <f>QS.INSTRUMENT.SWAP("swap.838",C840,H840,B840,"USD","SOFR",I840,J840,0,"Actual360","Simple","Annual","Annual","Annual")</f>
        <v/>
      </c>
      <c r="F840" s="8">
        <f>QS.TRADE.CREATE("trade.838",C840,E840,A840,"Receive")</f>
        <v/>
      </c>
      <c r="G840" s="5"/>
      <c r="H840" s="7" t="s">
        <v>1720</v>
      </c>
      <c r="I840" s="9">
        <v>1083800</v>
      </c>
      <c r="J840" s="10">
        <v>0.0388</v>
      </c>
    </row>
    <row r="841" spans="1:10">
      <c r="A841" s="7" t="s">
        <v>1708</v>
      </c>
      <c r="B841" s="7" t="s">
        <v>1721</v>
      </c>
      <c r="C841" s="8">
        <f>QS.CONTEXT.CREATE("market.839",A841,"USD","SOFR")</f>
        <v/>
      </c>
      <c r="D841" s="8">
        <f>QS.CONTEXT.ADD.CURVE(C841,"SOFR",$K$2:$K$7,$L$2:$L$7,,,"Actual360","LogLinear",TRUE)</f>
        <v/>
      </c>
      <c r="E841" s="8">
        <f>QS.INSTRUMENT.SWAP("swap.839",C841,H841,B841,"USD","SOFR",I841,J841,0,"Actual360","Simple","Annual","Annual","Annual")</f>
        <v/>
      </c>
      <c r="F841" s="8">
        <f>QS.TRADE.CREATE("trade.839",C841,E841,A841,"Receive")</f>
        <v/>
      </c>
      <c r="G841" s="5"/>
      <c r="H841" s="7" t="s">
        <v>1722</v>
      </c>
      <c r="I841" s="9">
        <v>1083900</v>
      </c>
      <c r="J841" s="10">
        <v>0.0389</v>
      </c>
    </row>
    <row r="842" spans="1:10">
      <c r="A842" s="7" t="s">
        <v>1710</v>
      </c>
      <c r="B842" s="7" t="s">
        <v>1723</v>
      </c>
      <c r="C842" s="8">
        <f>QS.CONTEXT.CREATE("market.840",A842,"USD","SOFR")</f>
        <v/>
      </c>
      <c r="D842" s="8">
        <f>QS.CONTEXT.ADD.CURVE(C842,"SOFR",$K$2:$K$7,$L$2:$L$7,,,"Actual360","LogLinear",TRUE)</f>
        <v/>
      </c>
      <c r="E842" s="8">
        <f>QS.INSTRUMENT.SWAP("swap.840",C842,H842,B842,"USD","SOFR",I842,J842,0,"Actual360","Simple","Annual","Annual","Annual")</f>
        <v/>
      </c>
      <c r="F842" s="8">
        <f>QS.TRADE.CREATE("trade.840",C842,E842,A842,"Receive")</f>
        <v/>
      </c>
      <c r="G842" s="5"/>
      <c r="H842" s="7" t="s">
        <v>1724</v>
      </c>
      <c r="I842" s="9">
        <v>1084000</v>
      </c>
      <c r="J842" s="10">
        <v>0.03900000000000001</v>
      </c>
    </row>
    <row r="843" spans="1:10">
      <c r="A843" s="7" t="s">
        <v>1712</v>
      </c>
      <c r="B843" s="7" t="s">
        <v>1725</v>
      </c>
      <c r="C843" s="8">
        <f>QS.CONTEXT.CREATE("market.841",A843,"USD","SOFR")</f>
        <v/>
      </c>
      <c r="D843" s="8">
        <f>QS.CONTEXT.ADD.CURVE(C843,"SOFR",$K$2:$K$7,$L$2:$L$7,,,"Actual360","LogLinear",TRUE)</f>
        <v/>
      </c>
      <c r="E843" s="8">
        <f>QS.INSTRUMENT.SWAP("swap.841",C843,H843,B843,"USD","SOFR",I843,J843,0,"Actual360","Simple","Annual","Annual","Annual")</f>
        <v/>
      </c>
      <c r="F843" s="8">
        <f>QS.TRADE.CREATE("trade.841",C843,E843,A843,"Receive")</f>
        <v/>
      </c>
      <c r="G843" s="5"/>
      <c r="H843" s="7" t="s">
        <v>1726</v>
      </c>
      <c r="I843" s="9">
        <v>1084100</v>
      </c>
      <c r="J843" s="10">
        <v>0.0391</v>
      </c>
    </row>
    <row r="844" spans="1:10">
      <c r="A844" s="7" t="s">
        <v>1714</v>
      </c>
      <c r="B844" s="7" t="s">
        <v>1727</v>
      </c>
      <c r="C844" s="8">
        <f>QS.CONTEXT.CREATE("market.842",A844,"USD","SOFR")</f>
        <v/>
      </c>
      <c r="D844" s="8">
        <f>QS.CONTEXT.ADD.CURVE(C844,"SOFR",$K$2:$K$7,$L$2:$L$7,,,"Actual360","LogLinear",TRUE)</f>
        <v/>
      </c>
      <c r="E844" s="8">
        <f>QS.INSTRUMENT.SWAP("swap.842",C844,H844,B844,"USD","SOFR",I844,J844,0,"Actual360","Simple","Annual","Annual","Annual")</f>
        <v/>
      </c>
      <c r="F844" s="8">
        <f>QS.TRADE.CREATE("trade.842",C844,E844,A844,"Receive")</f>
        <v/>
      </c>
      <c r="G844" s="5"/>
      <c r="H844" s="7" t="s">
        <v>1728</v>
      </c>
      <c r="I844" s="9">
        <v>1084200</v>
      </c>
      <c r="J844" s="10">
        <v>0.03920000000000001</v>
      </c>
    </row>
    <row r="845" spans="1:10">
      <c r="A845" s="7" t="s">
        <v>1716</v>
      </c>
      <c r="B845" s="7" t="s">
        <v>1729</v>
      </c>
      <c r="C845" s="8">
        <f>QS.CONTEXT.CREATE("market.843",A845,"USD","SOFR")</f>
        <v/>
      </c>
      <c r="D845" s="8">
        <f>QS.CONTEXT.ADD.CURVE(C845,"SOFR",$K$2:$K$7,$L$2:$L$7,,,"Actual360","LogLinear",TRUE)</f>
        <v/>
      </c>
      <c r="E845" s="8">
        <f>QS.INSTRUMENT.SWAP("swap.843",C845,H845,B845,"USD","SOFR",I845,J845,0,"Actual360","Simple","Annual","Annual","Annual")</f>
        <v/>
      </c>
      <c r="F845" s="8">
        <f>QS.TRADE.CREATE("trade.843",C845,E845,A845,"Receive")</f>
        <v/>
      </c>
      <c r="G845" s="5"/>
      <c r="H845" s="7" t="s">
        <v>1730</v>
      </c>
      <c r="I845" s="9">
        <v>1084300</v>
      </c>
      <c r="J845" s="10">
        <v>0.0393</v>
      </c>
    </row>
    <row r="846" spans="1:10">
      <c r="A846" s="7" t="s">
        <v>1718</v>
      </c>
      <c r="B846" s="7" t="s">
        <v>1731</v>
      </c>
      <c r="C846" s="8">
        <f>QS.CONTEXT.CREATE("market.844",A846,"USD","SOFR")</f>
        <v/>
      </c>
      <c r="D846" s="8">
        <f>QS.CONTEXT.ADD.CURVE(C846,"SOFR",$K$2:$K$7,$L$2:$L$7,,,"Actual360","LogLinear",TRUE)</f>
        <v/>
      </c>
      <c r="E846" s="8">
        <f>QS.INSTRUMENT.SWAP("swap.844",C846,H846,B846,"USD","SOFR",I846,J846,0,"Actual360","Simple","Annual","Annual","Annual")</f>
        <v/>
      </c>
      <c r="F846" s="8">
        <f>QS.TRADE.CREATE("trade.844",C846,E846,A846,"Receive")</f>
        <v/>
      </c>
      <c r="G846" s="5"/>
      <c r="H846" s="7" t="s">
        <v>1732</v>
      </c>
      <c r="I846" s="9">
        <v>1084400</v>
      </c>
      <c r="J846" s="10">
        <v>0.0394</v>
      </c>
    </row>
    <row r="847" spans="1:10">
      <c r="A847" s="7" t="s">
        <v>1720</v>
      </c>
      <c r="B847" s="7" t="s">
        <v>1733</v>
      </c>
      <c r="C847" s="8">
        <f>QS.CONTEXT.CREATE("market.845",A847,"USD","SOFR")</f>
        <v/>
      </c>
      <c r="D847" s="8">
        <f>QS.CONTEXT.ADD.CURVE(C847,"SOFR",$K$2:$K$7,$L$2:$L$7,,,"Actual360","LogLinear",TRUE)</f>
        <v/>
      </c>
      <c r="E847" s="8">
        <f>QS.INSTRUMENT.SWAP("swap.845",C847,H847,B847,"USD","SOFR",I847,J847,0,"Actual360","Simple","Annual","Annual","Annual")</f>
        <v/>
      </c>
      <c r="F847" s="8">
        <f>QS.TRADE.CREATE("trade.845",C847,E847,A847,"Receive")</f>
        <v/>
      </c>
      <c r="G847" s="5"/>
      <c r="H847" s="7" t="s">
        <v>1734</v>
      </c>
      <c r="I847" s="9">
        <v>1084500</v>
      </c>
      <c r="J847" s="10">
        <v>0.03950000000000001</v>
      </c>
    </row>
    <row r="848" spans="1:10">
      <c r="A848" s="7" t="s">
        <v>1722</v>
      </c>
      <c r="B848" s="7" t="s">
        <v>1735</v>
      </c>
      <c r="C848" s="8">
        <f>QS.CONTEXT.CREATE("market.846",A848,"USD","SOFR")</f>
        <v/>
      </c>
      <c r="D848" s="8">
        <f>QS.CONTEXT.ADD.CURVE(C848,"SOFR",$K$2:$K$7,$L$2:$L$7,,,"Actual360","LogLinear",TRUE)</f>
        <v/>
      </c>
      <c r="E848" s="8">
        <f>QS.INSTRUMENT.SWAP("swap.846",C848,H848,B848,"USD","SOFR",I848,J848,0,"Actual360","Simple","Annual","Annual","Annual")</f>
        <v/>
      </c>
      <c r="F848" s="8">
        <f>QS.TRADE.CREATE("trade.846",C848,E848,A848,"Receive")</f>
        <v/>
      </c>
      <c r="G848" s="5"/>
      <c r="H848" s="7" t="s">
        <v>1736</v>
      </c>
      <c r="I848" s="9">
        <v>1084600</v>
      </c>
      <c r="J848" s="10">
        <v>0.0396</v>
      </c>
    </row>
    <row r="849" spans="1:10">
      <c r="A849" s="7" t="s">
        <v>1724</v>
      </c>
      <c r="B849" s="7" t="s">
        <v>1737</v>
      </c>
      <c r="C849" s="8">
        <f>QS.CONTEXT.CREATE("market.847",A849,"USD","SOFR")</f>
        <v/>
      </c>
      <c r="D849" s="8">
        <f>QS.CONTEXT.ADD.CURVE(C849,"SOFR",$K$2:$K$7,$L$2:$L$7,,,"Actual360","LogLinear",TRUE)</f>
        <v/>
      </c>
      <c r="E849" s="8">
        <f>QS.INSTRUMENT.SWAP("swap.847",C849,H849,B849,"USD","SOFR",I849,J849,0,"Actual360","Simple","Annual","Annual","Annual")</f>
        <v/>
      </c>
      <c r="F849" s="8">
        <f>QS.TRADE.CREATE("trade.847",C849,E849,A849,"Receive")</f>
        <v/>
      </c>
      <c r="G849" s="5"/>
      <c r="H849" s="7" t="s">
        <v>1738</v>
      </c>
      <c r="I849" s="9">
        <v>1084700</v>
      </c>
      <c r="J849" s="10">
        <v>0.03970000000000001</v>
      </c>
    </row>
    <row r="850" spans="1:10">
      <c r="A850" s="7" t="s">
        <v>1726</v>
      </c>
      <c r="B850" s="7" t="s">
        <v>1739</v>
      </c>
      <c r="C850" s="8">
        <f>QS.CONTEXT.CREATE("market.848",A850,"USD","SOFR")</f>
        <v/>
      </c>
      <c r="D850" s="8">
        <f>QS.CONTEXT.ADD.CURVE(C850,"SOFR",$K$2:$K$7,$L$2:$L$7,,,"Actual360","LogLinear",TRUE)</f>
        <v/>
      </c>
      <c r="E850" s="8">
        <f>QS.INSTRUMENT.SWAP("swap.848",C850,H850,B850,"USD","SOFR",I850,J850,0,"Actual360","Simple","Annual","Annual","Annual")</f>
        <v/>
      </c>
      <c r="F850" s="8">
        <f>QS.TRADE.CREATE("trade.848",C850,E850,A850,"Receive")</f>
        <v/>
      </c>
      <c r="G850" s="5"/>
      <c r="H850" s="7" t="s">
        <v>1740</v>
      </c>
      <c r="I850" s="9">
        <v>1084800</v>
      </c>
      <c r="J850" s="10">
        <v>0.0398</v>
      </c>
    </row>
    <row r="851" spans="1:10">
      <c r="A851" s="7" t="s">
        <v>1728</v>
      </c>
      <c r="B851" s="7" t="s">
        <v>1741</v>
      </c>
      <c r="C851" s="8">
        <f>QS.CONTEXT.CREATE("market.849",A851,"USD","SOFR")</f>
        <v/>
      </c>
      <c r="D851" s="8">
        <f>QS.CONTEXT.ADD.CURVE(C851,"SOFR",$K$2:$K$7,$L$2:$L$7,,,"Actual360","LogLinear",TRUE)</f>
        <v/>
      </c>
      <c r="E851" s="8">
        <f>QS.INSTRUMENT.SWAP("swap.849",C851,H851,B851,"USD","SOFR",I851,J851,0,"Actual360","Simple","Annual","Annual","Annual")</f>
        <v/>
      </c>
      <c r="F851" s="8">
        <f>QS.TRADE.CREATE("trade.849",C851,E851,A851,"Receive")</f>
        <v/>
      </c>
      <c r="G851" s="5"/>
      <c r="H851" s="7" t="s">
        <v>1742</v>
      </c>
      <c r="I851" s="9">
        <v>1084900</v>
      </c>
      <c r="J851" s="10">
        <v>0.0399</v>
      </c>
    </row>
    <row r="852" spans="1:10">
      <c r="A852" s="7" t="s">
        <v>1730</v>
      </c>
      <c r="B852" s="7" t="s">
        <v>1743</v>
      </c>
      <c r="C852" s="8">
        <f>QS.CONTEXT.CREATE("market.850",A852,"USD","SOFR")</f>
        <v/>
      </c>
      <c r="D852" s="8">
        <f>QS.CONTEXT.ADD.CURVE(C852,"SOFR",$K$2:$K$7,$L$2:$L$7,,,"Actual360","LogLinear",TRUE)</f>
        <v/>
      </c>
      <c r="E852" s="8">
        <f>QS.INSTRUMENT.SWAP("swap.850",C852,H852,B852,"USD","SOFR",I852,J852,0,"Actual360","Simple","Annual","Annual","Annual")</f>
        <v/>
      </c>
      <c r="F852" s="8">
        <f>QS.TRADE.CREATE("trade.850",C852,E852,A852,"Receive")</f>
        <v/>
      </c>
      <c r="G852" s="5"/>
      <c r="H852" s="7" t="s">
        <v>1744</v>
      </c>
      <c r="I852" s="9">
        <v>1085000</v>
      </c>
      <c r="J852" s="10">
        <v>0.035</v>
      </c>
    </row>
    <row r="853" spans="1:10">
      <c r="A853" s="7" t="s">
        <v>1732</v>
      </c>
      <c r="B853" s="7" t="s">
        <v>1745</v>
      </c>
      <c r="C853" s="8">
        <f>QS.CONTEXT.CREATE("market.851",A853,"USD","SOFR")</f>
        <v/>
      </c>
      <c r="D853" s="8">
        <f>QS.CONTEXT.ADD.CURVE(C853,"SOFR",$K$2:$K$7,$L$2:$L$7,,,"Actual360","LogLinear",TRUE)</f>
        <v/>
      </c>
      <c r="E853" s="8">
        <f>QS.INSTRUMENT.SWAP("swap.851",C853,H853,B853,"USD","SOFR",I853,J853,0,"Actual360","Simple","Annual","Annual","Annual")</f>
        <v/>
      </c>
      <c r="F853" s="8">
        <f>QS.TRADE.CREATE("trade.851",C853,E853,A853,"Receive")</f>
        <v/>
      </c>
      <c r="G853" s="5"/>
      <c r="H853" s="7" t="s">
        <v>1746</v>
      </c>
      <c r="I853" s="9">
        <v>1085100</v>
      </c>
      <c r="J853" s="10">
        <v>0.03510000000000001</v>
      </c>
    </row>
    <row r="854" spans="1:10">
      <c r="A854" s="7" t="s">
        <v>1734</v>
      </c>
      <c r="B854" s="7" t="s">
        <v>1747</v>
      </c>
      <c r="C854" s="8">
        <f>QS.CONTEXT.CREATE("market.852",A854,"USD","SOFR")</f>
        <v/>
      </c>
      <c r="D854" s="8">
        <f>QS.CONTEXT.ADD.CURVE(C854,"SOFR",$K$2:$K$7,$L$2:$L$7,,,"Actual360","LogLinear",TRUE)</f>
        <v/>
      </c>
      <c r="E854" s="8">
        <f>QS.INSTRUMENT.SWAP("swap.852",C854,H854,B854,"USD","SOFR",I854,J854,0,"Actual360","Simple","Annual","Annual","Annual")</f>
        <v/>
      </c>
      <c r="F854" s="8">
        <f>QS.TRADE.CREATE("trade.852",C854,E854,A854,"Receive")</f>
        <v/>
      </c>
      <c r="G854" s="5"/>
      <c r="H854" s="7" t="s">
        <v>1748</v>
      </c>
      <c r="I854" s="9">
        <v>1085200</v>
      </c>
      <c r="J854" s="10">
        <v>0.0352</v>
      </c>
    </row>
    <row r="855" spans="1:10">
      <c r="A855" s="7" t="s">
        <v>1736</v>
      </c>
      <c r="B855" s="7" t="s">
        <v>1749</v>
      </c>
      <c r="C855" s="8">
        <f>QS.CONTEXT.CREATE("market.853",A855,"USD","SOFR")</f>
        <v/>
      </c>
      <c r="D855" s="8">
        <f>QS.CONTEXT.ADD.CURVE(C855,"SOFR",$K$2:$K$7,$L$2:$L$7,,,"Actual360","LogLinear",TRUE)</f>
        <v/>
      </c>
      <c r="E855" s="8">
        <f>QS.INSTRUMENT.SWAP("swap.853",C855,H855,B855,"USD","SOFR",I855,J855,0,"Actual360","Simple","Annual","Annual","Annual")</f>
        <v/>
      </c>
      <c r="F855" s="8">
        <f>QS.TRADE.CREATE("trade.853",C855,E855,A855,"Receive")</f>
        <v/>
      </c>
      <c r="G855" s="5"/>
      <c r="H855" s="7" t="s">
        <v>1750</v>
      </c>
      <c r="I855" s="9">
        <v>1085300</v>
      </c>
      <c r="J855" s="10">
        <v>0.0353</v>
      </c>
    </row>
    <row r="856" spans="1:10">
      <c r="A856" s="7" t="s">
        <v>1738</v>
      </c>
      <c r="B856" s="7" t="s">
        <v>1751</v>
      </c>
      <c r="C856" s="8">
        <f>QS.CONTEXT.CREATE("market.854",A856,"USD","SOFR")</f>
        <v/>
      </c>
      <c r="D856" s="8">
        <f>QS.CONTEXT.ADD.CURVE(C856,"SOFR",$K$2:$K$7,$L$2:$L$7,,,"Actual360","LogLinear",TRUE)</f>
        <v/>
      </c>
      <c r="E856" s="8">
        <f>QS.INSTRUMENT.SWAP("swap.854",C856,H856,B856,"USD","SOFR",I856,J856,0,"Actual360","Simple","Annual","Annual","Annual")</f>
        <v/>
      </c>
      <c r="F856" s="8">
        <f>QS.TRADE.CREATE("trade.854",C856,E856,A856,"Receive")</f>
        <v/>
      </c>
      <c r="G856" s="5"/>
      <c r="H856" s="7" t="s">
        <v>1752</v>
      </c>
      <c r="I856" s="9">
        <v>1085400</v>
      </c>
      <c r="J856" s="10">
        <v>0.0354</v>
      </c>
    </row>
    <row r="857" spans="1:10">
      <c r="A857" s="7" t="s">
        <v>1740</v>
      </c>
      <c r="B857" s="7" t="s">
        <v>1753</v>
      </c>
      <c r="C857" s="8">
        <f>QS.CONTEXT.CREATE("market.855",A857,"USD","SOFR")</f>
        <v/>
      </c>
      <c r="D857" s="8">
        <f>QS.CONTEXT.ADD.CURVE(C857,"SOFR",$K$2:$K$7,$L$2:$L$7,,,"Actual360","LogLinear",TRUE)</f>
        <v/>
      </c>
      <c r="E857" s="8">
        <f>QS.INSTRUMENT.SWAP("swap.855",C857,H857,B857,"USD","SOFR",I857,J857,0,"Actual360","Simple","Annual","Annual","Annual")</f>
        <v/>
      </c>
      <c r="F857" s="8">
        <f>QS.TRADE.CREATE("trade.855",C857,E857,A857,"Receive")</f>
        <v/>
      </c>
      <c r="G857" s="5"/>
      <c r="H857" s="7" t="s">
        <v>1754</v>
      </c>
      <c r="I857" s="9">
        <v>1085500</v>
      </c>
      <c r="J857" s="10">
        <v>0.0355</v>
      </c>
    </row>
    <row r="858" spans="1:10">
      <c r="A858" s="7" t="s">
        <v>1742</v>
      </c>
      <c r="B858" s="7" t="s">
        <v>1755</v>
      </c>
      <c r="C858" s="8">
        <f>QS.CONTEXT.CREATE("market.856",A858,"USD","SOFR")</f>
        <v/>
      </c>
      <c r="D858" s="8">
        <f>QS.CONTEXT.ADD.CURVE(C858,"SOFR",$K$2:$K$7,$L$2:$L$7,,,"Actual360","LogLinear",TRUE)</f>
        <v/>
      </c>
      <c r="E858" s="8">
        <f>QS.INSTRUMENT.SWAP("swap.856",C858,H858,B858,"USD","SOFR",I858,J858,0,"Actual360","Simple","Annual","Annual","Annual")</f>
        <v/>
      </c>
      <c r="F858" s="8">
        <f>QS.TRADE.CREATE("trade.856",C858,E858,A858,"Receive")</f>
        <v/>
      </c>
      <c r="G858" s="5"/>
      <c r="H858" s="7" t="s">
        <v>1756</v>
      </c>
      <c r="I858" s="9">
        <v>1085600</v>
      </c>
      <c r="J858" s="10">
        <v>0.03560000000000001</v>
      </c>
    </row>
    <row r="859" spans="1:10">
      <c r="A859" s="7" t="s">
        <v>1744</v>
      </c>
      <c r="B859" s="7" t="s">
        <v>1757</v>
      </c>
      <c r="C859" s="8">
        <f>QS.CONTEXT.CREATE("market.857",A859,"USD","SOFR")</f>
        <v/>
      </c>
      <c r="D859" s="8">
        <f>QS.CONTEXT.ADD.CURVE(C859,"SOFR",$K$2:$K$7,$L$2:$L$7,,,"Actual360","LogLinear",TRUE)</f>
        <v/>
      </c>
      <c r="E859" s="8">
        <f>QS.INSTRUMENT.SWAP("swap.857",C859,H859,B859,"USD","SOFR",I859,J859,0,"Actual360","Simple","Annual","Annual","Annual")</f>
        <v/>
      </c>
      <c r="F859" s="8">
        <f>QS.TRADE.CREATE("trade.857",C859,E859,A859,"Receive")</f>
        <v/>
      </c>
      <c r="G859" s="5"/>
      <c r="H859" s="7" t="s">
        <v>1758</v>
      </c>
      <c r="I859" s="9">
        <v>1085700</v>
      </c>
      <c r="J859" s="10">
        <v>0.0357</v>
      </c>
    </row>
    <row r="860" spans="1:10">
      <c r="A860" s="7" t="s">
        <v>1746</v>
      </c>
      <c r="B860" s="7" t="s">
        <v>1759</v>
      </c>
      <c r="C860" s="8">
        <f>QS.CONTEXT.CREATE("market.858",A860,"USD","SOFR")</f>
        <v/>
      </c>
      <c r="D860" s="8">
        <f>QS.CONTEXT.ADD.CURVE(C860,"SOFR",$K$2:$K$7,$L$2:$L$7,,,"Actual360","LogLinear",TRUE)</f>
        <v/>
      </c>
      <c r="E860" s="8">
        <f>QS.INSTRUMENT.SWAP("swap.858",C860,H860,B860,"USD","SOFR",I860,J860,0,"Actual360","Simple","Annual","Annual","Annual")</f>
        <v/>
      </c>
      <c r="F860" s="8">
        <f>QS.TRADE.CREATE("trade.858",C860,E860,A860,"Receive")</f>
        <v/>
      </c>
      <c r="G860" s="5"/>
      <c r="H860" s="7" t="s">
        <v>1760</v>
      </c>
      <c r="I860" s="9">
        <v>1085800</v>
      </c>
      <c r="J860" s="10">
        <v>0.03580000000000001</v>
      </c>
    </row>
    <row r="861" spans="1:10">
      <c r="A861" s="7" t="s">
        <v>1748</v>
      </c>
      <c r="B861" s="7" t="s">
        <v>1761</v>
      </c>
      <c r="C861" s="8">
        <f>QS.CONTEXT.CREATE("market.859",A861,"USD","SOFR")</f>
        <v/>
      </c>
      <c r="D861" s="8">
        <f>QS.CONTEXT.ADD.CURVE(C861,"SOFR",$K$2:$K$7,$L$2:$L$7,,,"Actual360","LogLinear",TRUE)</f>
        <v/>
      </c>
      <c r="E861" s="8">
        <f>QS.INSTRUMENT.SWAP("swap.859",C861,H861,B861,"USD","SOFR",I861,J861,0,"Actual360","Simple","Annual","Annual","Annual")</f>
        <v/>
      </c>
      <c r="F861" s="8">
        <f>QS.TRADE.CREATE("trade.859",C861,E861,A861,"Receive")</f>
        <v/>
      </c>
      <c r="G861" s="5"/>
      <c r="H861" s="7" t="s">
        <v>1762</v>
      </c>
      <c r="I861" s="9">
        <v>1085900</v>
      </c>
      <c r="J861" s="10">
        <v>0.0359</v>
      </c>
    </row>
    <row r="862" spans="1:10">
      <c r="A862" s="7" t="s">
        <v>1750</v>
      </c>
      <c r="B862" s="7" t="s">
        <v>1763</v>
      </c>
      <c r="C862" s="8">
        <f>QS.CONTEXT.CREATE("market.860",A862,"USD","SOFR")</f>
        <v/>
      </c>
      <c r="D862" s="8">
        <f>QS.CONTEXT.ADD.CURVE(C862,"SOFR",$K$2:$K$7,$L$2:$L$7,,,"Actual360","LogLinear",TRUE)</f>
        <v/>
      </c>
      <c r="E862" s="8">
        <f>QS.INSTRUMENT.SWAP("swap.860",C862,H862,B862,"USD","SOFR",I862,J862,0,"Actual360","Simple","Annual","Annual","Annual")</f>
        <v/>
      </c>
      <c r="F862" s="8">
        <f>QS.TRADE.CREATE("trade.860",C862,E862,A862,"Receive")</f>
        <v/>
      </c>
      <c r="G862" s="5"/>
      <c r="H862" s="7" t="s">
        <v>1764</v>
      </c>
      <c r="I862" s="9">
        <v>1086000</v>
      </c>
      <c r="J862" s="10">
        <v>0.036</v>
      </c>
    </row>
    <row r="863" spans="1:10">
      <c r="A863" s="7" t="s">
        <v>1752</v>
      </c>
      <c r="B863" s="7" t="s">
        <v>1765</v>
      </c>
      <c r="C863" s="8">
        <f>QS.CONTEXT.CREATE("market.861",A863,"USD","SOFR")</f>
        <v/>
      </c>
      <c r="D863" s="8">
        <f>QS.CONTEXT.ADD.CURVE(C863,"SOFR",$K$2:$K$7,$L$2:$L$7,,,"Actual360","LogLinear",TRUE)</f>
        <v/>
      </c>
      <c r="E863" s="8">
        <f>QS.INSTRUMENT.SWAP("swap.861",C863,H863,B863,"USD","SOFR",I863,J863,0,"Actual360","Simple","Annual","Annual","Annual")</f>
        <v/>
      </c>
      <c r="F863" s="8">
        <f>QS.TRADE.CREATE("trade.861",C863,E863,A863,"Receive")</f>
        <v/>
      </c>
      <c r="G863" s="5"/>
      <c r="H863" s="7" t="s">
        <v>1766</v>
      </c>
      <c r="I863" s="9">
        <v>1086100</v>
      </c>
      <c r="J863" s="10">
        <v>0.0361</v>
      </c>
    </row>
    <row r="864" spans="1:10">
      <c r="A864" s="7" t="s">
        <v>1754</v>
      </c>
      <c r="B864" s="7" t="s">
        <v>1767</v>
      </c>
      <c r="C864" s="8">
        <f>QS.CONTEXT.CREATE("market.862",A864,"USD","SOFR")</f>
        <v/>
      </c>
      <c r="D864" s="8">
        <f>QS.CONTEXT.ADD.CURVE(C864,"SOFR",$K$2:$K$7,$L$2:$L$7,,,"Actual360","LogLinear",TRUE)</f>
        <v/>
      </c>
      <c r="E864" s="8">
        <f>QS.INSTRUMENT.SWAP("swap.862",C864,H864,B864,"USD","SOFR",I864,J864,0,"Actual360","Simple","Annual","Annual","Annual")</f>
        <v/>
      </c>
      <c r="F864" s="8">
        <f>QS.TRADE.CREATE("trade.862",C864,E864,A864,"Receive")</f>
        <v/>
      </c>
      <c r="G864" s="5"/>
      <c r="H864" s="7" t="s">
        <v>1768</v>
      </c>
      <c r="I864" s="9">
        <v>1086200</v>
      </c>
      <c r="J864" s="10">
        <v>0.0362</v>
      </c>
    </row>
    <row r="865" spans="1:10">
      <c r="A865" s="7" t="s">
        <v>1756</v>
      </c>
      <c r="B865" s="7" t="s">
        <v>1769</v>
      </c>
      <c r="C865" s="8">
        <f>QS.CONTEXT.CREATE("market.863",A865,"USD","SOFR")</f>
        <v/>
      </c>
      <c r="D865" s="8">
        <f>QS.CONTEXT.ADD.CURVE(C865,"SOFR",$K$2:$K$7,$L$2:$L$7,,,"Actual360","LogLinear",TRUE)</f>
        <v/>
      </c>
      <c r="E865" s="8">
        <f>QS.INSTRUMENT.SWAP("swap.863",C865,H865,B865,"USD","SOFR",I865,J865,0,"Actual360","Simple","Annual","Annual","Annual")</f>
        <v/>
      </c>
      <c r="F865" s="8">
        <f>QS.TRADE.CREATE("trade.863",C865,E865,A865,"Receive")</f>
        <v/>
      </c>
      <c r="G865" s="5"/>
      <c r="H865" s="7" t="s">
        <v>1770</v>
      </c>
      <c r="I865" s="9">
        <v>1086300</v>
      </c>
      <c r="J865" s="10">
        <v>0.03630000000000001</v>
      </c>
    </row>
    <row r="866" spans="1:10">
      <c r="A866" s="7" t="s">
        <v>1758</v>
      </c>
      <c r="B866" s="7" t="s">
        <v>1771</v>
      </c>
      <c r="C866" s="8">
        <f>QS.CONTEXT.CREATE("market.864",A866,"USD","SOFR")</f>
        <v/>
      </c>
      <c r="D866" s="8">
        <f>QS.CONTEXT.ADD.CURVE(C866,"SOFR",$K$2:$K$7,$L$2:$L$7,,,"Actual360","LogLinear",TRUE)</f>
        <v/>
      </c>
      <c r="E866" s="8">
        <f>QS.INSTRUMENT.SWAP("swap.864",C866,H866,B866,"USD","SOFR",I866,J866,0,"Actual360","Simple","Annual","Annual","Annual")</f>
        <v/>
      </c>
      <c r="F866" s="8">
        <f>QS.TRADE.CREATE("trade.864",C866,E866,A866,"Receive")</f>
        <v/>
      </c>
      <c r="G866" s="5"/>
      <c r="H866" s="7" t="s">
        <v>1772</v>
      </c>
      <c r="I866" s="9">
        <v>1086400</v>
      </c>
      <c r="J866" s="10">
        <v>0.0364</v>
      </c>
    </row>
    <row r="867" spans="1:10">
      <c r="A867" s="7" t="s">
        <v>1760</v>
      </c>
      <c r="B867" s="7" t="s">
        <v>1773</v>
      </c>
      <c r="C867" s="8">
        <f>QS.CONTEXT.CREATE("market.865",A867,"USD","SOFR")</f>
        <v/>
      </c>
      <c r="D867" s="8">
        <f>QS.CONTEXT.ADD.CURVE(C867,"SOFR",$K$2:$K$7,$L$2:$L$7,,,"Actual360","LogLinear",TRUE)</f>
        <v/>
      </c>
      <c r="E867" s="8">
        <f>QS.INSTRUMENT.SWAP("swap.865",C867,H867,B867,"USD","SOFR",I867,J867,0,"Actual360","Simple","Annual","Annual","Annual")</f>
        <v/>
      </c>
      <c r="F867" s="8">
        <f>QS.TRADE.CREATE("trade.865",C867,E867,A867,"Receive")</f>
        <v/>
      </c>
      <c r="G867" s="5"/>
      <c r="H867" s="7" t="s">
        <v>1774</v>
      </c>
      <c r="I867" s="9">
        <v>1086500</v>
      </c>
      <c r="J867" s="10">
        <v>0.0365</v>
      </c>
    </row>
    <row r="868" spans="1:10">
      <c r="A868" s="7" t="s">
        <v>1762</v>
      </c>
      <c r="B868" s="7" t="s">
        <v>1775</v>
      </c>
      <c r="C868" s="8">
        <f>QS.CONTEXT.CREATE("market.866",A868,"USD","SOFR")</f>
        <v/>
      </c>
      <c r="D868" s="8">
        <f>QS.CONTEXT.ADD.CURVE(C868,"SOFR",$K$2:$K$7,$L$2:$L$7,,,"Actual360","LogLinear",TRUE)</f>
        <v/>
      </c>
      <c r="E868" s="8">
        <f>QS.INSTRUMENT.SWAP("swap.866",C868,H868,B868,"USD","SOFR",I868,J868,0,"Actual360","Simple","Annual","Annual","Annual")</f>
        <v/>
      </c>
      <c r="F868" s="8">
        <f>QS.TRADE.CREATE("trade.866",C868,E868,A868,"Receive")</f>
        <v/>
      </c>
      <c r="G868" s="5"/>
      <c r="H868" s="7" t="s">
        <v>1776</v>
      </c>
      <c r="I868" s="9">
        <v>1086600</v>
      </c>
      <c r="J868" s="10">
        <v>0.0366</v>
      </c>
    </row>
    <row r="869" spans="1:10">
      <c r="A869" s="7" t="s">
        <v>1764</v>
      </c>
      <c r="B869" s="7" t="s">
        <v>1777</v>
      </c>
      <c r="C869" s="8">
        <f>QS.CONTEXT.CREATE("market.867",A869,"USD","SOFR")</f>
        <v/>
      </c>
      <c r="D869" s="8">
        <f>QS.CONTEXT.ADD.CURVE(C869,"SOFR",$K$2:$K$7,$L$2:$L$7,,,"Actual360","LogLinear",TRUE)</f>
        <v/>
      </c>
      <c r="E869" s="8">
        <f>QS.INSTRUMENT.SWAP("swap.867",C869,H869,B869,"USD","SOFR",I869,J869,0,"Actual360","Simple","Annual","Annual","Annual")</f>
        <v/>
      </c>
      <c r="F869" s="8">
        <f>QS.TRADE.CREATE("trade.867",C869,E869,A869,"Receive")</f>
        <v/>
      </c>
      <c r="G869" s="5"/>
      <c r="H869" s="7" t="s">
        <v>1778</v>
      </c>
      <c r="I869" s="9">
        <v>1086700</v>
      </c>
      <c r="J869" s="10">
        <v>0.0367</v>
      </c>
    </row>
    <row r="870" spans="1:10">
      <c r="A870" s="7" t="s">
        <v>1766</v>
      </c>
      <c r="B870" s="7" t="s">
        <v>1779</v>
      </c>
      <c r="C870" s="8">
        <f>QS.CONTEXT.CREATE("market.868",A870,"USD","SOFR")</f>
        <v/>
      </c>
      <c r="D870" s="8">
        <f>QS.CONTEXT.ADD.CURVE(C870,"SOFR",$K$2:$K$7,$L$2:$L$7,,,"Actual360","LogLinear",TRUE)</f>
        <v/>
      </c>
      <c r="E870" s="8">
        <f>QS.INSTRUMENT.SWAP("swap.868",C870,H870,B870,"USD","SOFR",I870,J870,0,"Actual360","Simple","Annual","Annual","Annual")</f>
        <v/>
      </c>
      <c r="F870" s="8">
        <f>QS.TRADE.CREATE("trade.868",C870,E870,A870,"Receive")</f>
        <v/>
      </c>
      <c r="G870" s="5"/>
      <c r="H870" s="7" t="s">
        <v>1780</v>
      </c>
      <c r="I870" s="9">
        <v>1086800</v>
      </c>
      <c r="J870" s="10">
        <v>0.03680000000000001</v>
      </c>
    </row>
    <row r="871" spans="1:10">
      <c r="A871" s="7" t="s">
        <v>1768</v>
      </c>
      <c r="B871" s="7" t="s">
        <v>1781</v>
      </c>
      <c r="C871" s="8">
        <f>QS.CONTEXT.CREATE("market.869",A871,"USD","SOFR")</f>
        <v/>
      </c>
      <c r="D871" s="8">
        <f>QS.CONTEXT.ADD.CURVE(C871,"SOFR",$K$2:$K$7,$L$2:$L$7,,,"Actual360","LogLinear",TRUE)</f>
        <v/>
      </c>
      <c r="E871" s="8">
        <f>QS.INSTRUMENT.SWAP("swap.869",C871,H871,B871,"USD","SOFR",I871,J871,0,"Actual360","Simple","Annual","Annual","Annual")</f>
        <v/>
      </c>
      <c r="F871" s="8">
        <f>QS.TRADE.CREATE("trade.869",C871,E871,A871,"Receive")</f>
        <v/>
      </c>
      <c r="G871" s="5"/>
      <c r="H871" s="7" t="s">
        <v>1782</v>
      </c>
      <c r="I871" s="9">
        <v>1086900</v>
      </c>
      <c r="J871" s="10">
        <v>0.0369</v>
      </c>
    </row>
    <row r="872" spans="1:10">
      <c r="A872" s="7" t="s">
        <v>1770</v>
      </c>
      <c r="B872" s="7" t="s">
        <v>1783</v>
      </c>
      <c r="C872" s="8">
        <f>QS.CONTEXT.CREATE("market.870",A872,"USD","SOFR")</f>
        <v/>
      </c>
      <c r="D872" s="8">
        <f>QS.CONTEXT.ADD.CURVE(C872,"SOFR",$K$2:$K$7,$L$2:$L$7,,,"Actual360","LogLinear",TRUE)</f>
        <v/>
      </c>
      <c r="E872" s="8">
        <f>QS.INSTRUMENT.SWAP("swap.870",C872,H872,B872,"USD","SOFR",I872,J872,0,"Actual360","Simple","Annual","Annual","Annual")</f>
        <v/>
      </c>
      <c r="F872" s="8">
        <f>QS.TRADE.CREATE("trade.870",C872,E872,A872,"Receive")</f>
        <v/>
      </c>
      <c r="G872" s="5"/>
      <c r="H872" s="7" t="s">
        <v>1784</v>
      </c>
      <c r="I872" s="9">
        <v>1087000</v>
      </c>
      <c r="J872" s="10">
        <v>0.03700000000000001</v>
      </c>
    </row>
    <row r="873" spans="1:10">
      <c r="A873" s="7" t="s">
        <v>1772</v>
      </c>
      <c r="B873" s="7" t="s">
        <v>1785</v>
      </c>
      <c r="C873" s="8">
        <f>QS.CONTEXT.CREATE("market.871",A873,"USD","SOFR")</f>
        <v/>
      </c>
      <c r="D873" s="8">
        <f>QS.CONTEXT.ADD.CURVE(C873,"SOFR",$K$2:$K$7,$L$2:$L$7,,,"Actual360","LogLinear",TRUE)</f>
        <v/>
      </c>
      <c r="E873" s="8">
        <f>QS.INSTRUMENT.SWAP("swap.871",C873,H873,B873,"USD","SOFR",I873,J873,0,"Actual360","Simple","Annual","Annual","Annual")</f>
        <v/>
      </c>
      <c r="F873" s="8">
        <f>QS.TRADE.CREATE("trade.871",C873,E873,A873,"Receive")</f>
        <v/>
      </c>
      <c r="G873" s="5"/>
      <c r="H873" s="7" t="s">
        <v>1786</v>
      </c>
      <c r="I873" s="9">
        <v>1087100</v>
      </c>
      <c r="J873" s="10">
        <v>0.0371</v>
      </c>
    </row>
    <row r="874" spans="1:10">
      <c r="A874" s="7" t="s">
        <v>1774</v>
      </c>
      <c r="B874" s="7" t="s">
        <v>1787</v>
      </c>
      <c r="C874" s="8">
        <f>QS.CONTEXT.CREATE("market.872",A874,"USD","SOFR")</f>
        <v/>
      </c>
      <c r="D874" s="8">
        <f>QS.CONTEXT.ADD.CURVE(C874,"SOFR",$K$2:$K$7,$L$2:$L$7,,,"Actual360","LogLinear",TRUE)</f>
        <v/>
      </c>
      <c r="E874" s="8">
        <f>QS.INSTRUMENT.SWAP("swap.872",C874,H874,B874,"USD","SOFR",I874,J874,0,"Actual360","Simple","Annual","Annual","Annual")</f>
        <v/>
      </c>
      <c r="F874" s="8">
        <f>QS.TRADE.CREATE("trade.872",C874,E874,A874,"Receive")</f>
        <v/>
      </c>
      <c r="G874" s="5"/>
      <c r="H874" s="7" t="s">
        <v>1788</v>
      </c>
      <c r="I874" s="9">
        <v>1087200</v>
      </c>
      <c r="J874" s="10">
        <v>0.0372</v>
      </c>
    </row>
    <row r="875" spans="1:10">
      <c r="A875" s="7" t="s">
        <v>1776</v>
      </c>
      <c r="B875" s="7" t="s">
        <v>1789</v>
      </c>
      <c r="C875" s="8">
        <f>QS.CONTEXT.CREATE("market.873",A875,"USD","SOFR")</f>
        <v/>
      </c>
      <c r="D875" s="8">
        <f>QS.CONTEXT.ADD.CURVE(C875,"SOFR",$K$2:$K$7,$L$2:$L$7,,,"Actual360","LogLinear",TRUE)</f>
        <v/>
      </c>
      <c r="E875" s="8">
        <f>QS.INSTRUMENT.SWAP("swap.873",C875,H875,B875,"USD","SOFR",I875,J875,0,"Actual360","Simple","Annual","Annual","Annual")</f>
        <v/>
      </c>
      <c r="F875" s="8">
        <f>QS.TRADE.CREATE("trade.873",C875,E875,A875,"Receive")</f>
        <v/>
      </c>
      <c r="G875" s="5"/>
      <c r="H875" s="7" t="s">
        <v>1790</v>
      </c>
      <c r="I875" s="9">
        <v>1087300</v>
      </c>
      <c r="J875" s="10">
        <v>0.0373</v>
      </c>
    </row>
    <row r="876" spans="1:10">
      <c r="A876" s="7" t="s">
        <v>1778</v>
      </c>
      <c r="B876" s="7" t="s">
        <v>1791</v>
      </c>
      <c r="C876" s="8">
        <f>QS.CONTEXT.CREATE("market.874",A876,"USD","SOFR")</f>
        <v/>
      </c>
      <c r="D876" s="8">
        <f>QS.CONTEXT.ADD.CURVE(C876,"SOFR",$K$2:$K$7,$L$2:$L$7,,,"Actual360","LogLinear",TRUE)</f>
        <v/>
      </c>
      <c r="E876" s="8">
        <f>QS.INSTRUMENT.SWAP("swap.874",C876,H876,B876,"USD","SOFR",I876,J876,0,"Actual360","Simple","Annual","Annual","Annual")</f>
        <v/>
      </c>
      <c r="F876" s="8">
        <f>QS.TRADE.CREATE("trade.874",C876,E876,A876,"Receive")</f>
        <v/>
      </c>
      <c r="G876" s="5"/>
      <c r="H876" s="7" t="s">
        <v>1792</v>
      </c>
      <c r="I876" s="9">
        <v>1087400</v>
      </c>
      <c r="J876" s="10">
        <v>0.0374</v>
      </c>
    </row>
    <row r="877" spans="1:10">
      <c r="A877" s="7" t="s">
        <v>1780</v>
      </c>
      <c r="B877" s="7" t="s">
        <v>1793</v>
      </c>
      <c r="C877" s="8">
        <f>QS.CONTEXT.CREATE("market.875",A877,"USD","SOFR")</f>
        <v/>
      </c>
      <c r="D877" s="8">
        <f>QS.CONTEXT.ADD.CURVE(C877,"SOFR",$K$2:$K$7,$L$2:$L$7,,,"Actual360","LogLinear",TRUE)</f>
        <v/>
      </c>
      <c r="E877" s="8">
        <f>QS.INSTRUMENT.SWAP("swap.875",C877,H877,B877,"USD","SOFR",I877,J877,0,"Actual360","Simple","Annual","Annual","Annual")</f>
        <v/>
      </c>
      <c r="F877" s="8">
        <f>QS.TRADE.CREATE("trade.875",C877,E877,A877,"Receive")</f>
        <v/>
      </c>
      <c r="G877" s="5"/>
      <c r="H877" s="7" t="s">
        <v>1794</v>
      </c>
      <c r="I877" s="9">
        <v>1087500</v>
      </c>
      <c r="J877" s="10">
        <v>0.03750000000000001</v>
      </c>
    </row>
    <row r="878" spans="1:10">
      <c r="A878" s="7" t="s">
        <v>1782</v>
      </c>
      <c r="B878" s="7" t="s">
        <v>1795</v>
      </c>
      <c r="C878" s="8">
        <f>QS.CONTEXT.CREATE("market.876",A878,"USD","SOFR")</f>
        <v/>
      </c>
      <c r="D878" s="8">
        <f>QS.CONTEXT.ADD.CURVE(C878,"SOFR",$K$2:$K$7,$L$2:$L$7,,,"Actual360","LogLinear",TRUE)</f>
        <v/>
      </c>
      <c r="E878" s="8">
        <f>QS.INSTRUMENT.SWAP("swap.876",C878,H878,B878,"USD","SOFR",I878,J878,0,"Actual360","Simple","Annual","Annual","Annual")</f>
        <v/>
      </c>
      <c r="F878" s="8">
        <f>QS.TRADE.CREATE("trade.876",C878,E878,A878,"Receive")</f>
        <v/>
      </c>
      <c r="G878" s="5"/>
      <c r="H878" s="7" t="s">
        <v>1796</v>
      </c>
      <c r="I878" s="9">
        <v>1087600</v>
      </c>
      <c r="J878" s="10">
        <v>0.0376</v>
      </c>
    </row>
    <row r="879" spans="1:10">
      <c r="A879" s="7" t="s">
        <v>1784</v>
      </c>
      <c r="B879" s="7" t="s">
        <v>1797</v>
      </c>
      <c r="C879" s="8">
        <f>QS.CONTEXT.CREATE("market.877",A879,"USD","SOFR")</f>
        <v/>
      </c>
      <c r="D879" s="8">
        <f>QS.CONTEXT.ADD.CURVE(C879,"SOFR",$K$2:$K$7,$L$2:$L$7,,,"Actual360","LogLinear",TRUE)</f>
        <v/>
      </c>
      <c r="E879" s="8">
        <f>QS.INSTRUMENT.SWAP("swap.877",C879,H879,B879,"USD","SOFR",I879,J879,0,"Actual360","Simple","Annual","Annual","Annual")</f>
        <v/>
      </c>
      <c r="F879" s="8">
        <f>QS.TRADE.CREATE("trade.877",C879,E879,A879,"Receive")</f>
        <v/>
      </c>
      <c r="G879" s="5"/>
      <c r="H879" s="7" t="s">
        <v>1798</v>
      </c>
      <c r="I879" s="9">
        <v>1087700</v>
      </c>
      <c r="J879" s="10">
        <v>0.0377</v>
      </c>
    </row>
    <row r="880" spans="1:10">
      <c r="A880" s="7" t="s">
        <v>1786</v>
      </c>
      <c r="B880" s="7" t="s">
        <v>1799</v>
      </c>
      <c r="C880" s="8">
        <f>QS.CONTEXT.CREATE("market.878",A880,"USD","SOFR")</f>
        <v/>
      </c>
      <c r="D880" s="8">
        <f>QS.CONTEXT.ADD.CURVE(C880,"SOFR",$K$2:$K$7,$L$2:$L$7,,,"Actual360","LogLinear",TRUE)</f>
        <v/>
      </c>
      <c r="E880" s="8">
        <f>QS.INSTRUMENT.SWAP("swap.878",C880,H880,B880,"USD","SOFR",I880,J880,0,"Actual360","Simple","Annual","Annual","Annual")</f>
        <v/>
      </c>
      <c r="F880" s="8">
        <f>QS.TRADE.CREATE("trade.878",C880,E880,A880,"Receive")</f>
        <v/>
      </c>
      <c r="G880" s="5"/>
      <c r="H880" s="7" t="s">
        <v>1800</v>
      </c>
      <c r="I880" s="9">
        <v>1087800</v>
      </c>
      <c r="J880" s="10">
        <v>0.0378</v>
      </c>
    </row>
    <row r="881" spans="1:10">
      <c r="A881" s="7" t="s">
        <v>1788</v>
      </c>
      <c r="B881" s="7" t="s">
        <v>1801</v>
      </c>
      <c r="C881" s="8">
        <f>QS.CONTEXT.CREATE("market.879",A881,"USD","SOFR")</f>
        <v/>
      </c>
      <c r="D881" s="8">
        <f>QS.CONTEXT.ADD.CURVE(C881,"SOFR",$K$2:$K$7,$L$2:$L$7,,,"Actual360","LogLinear",TRUE)</f>
        <v/>
      </c>
      <c r="E881" s="8">
        <f>QS.INSTRUMENT.SWAP("swap.879",C881,H881,B881,"USD","SOFR",I881,J881,0,"Actual360","Simple","Annual","Annual","Annual")</f>
        <v/>
      </c>
      <c r="F881" s="8">
        <f>QS.TRADE.CREATE("trade.879",C881,E881,A881,"Receive")</f>
        <v/>
      </c>
      <c r="G881" s="5"/>
      <c r="H881" s="7" t="s">
        <v>1802</v>
      </c>
      <c r="I881" s="9">
        <v>1087900</v>
      </c>
      <c r="J881" s="10">
        <v>0.0379</v>
      </c>
    </row>
    <row r="882" spans="1:10">
      <c r="A882" s="7" t="s">
        <v>1790</v>
      </c>
      <c r="B882" s="7" t="s">
        <v>1803</v>
      </c>
      <c r="C882" s="8">
        <f>QS.CONTEXT.CREATE("market.880",A882,"USD","SOFR")</f>
        <v/>
      </c>
      <c r="D882" s="8">
        <f>QS.CONTEXT.ADD.CURVE(C882,"SOFR",$K$2:$K$7,$L$2:$L$7,,,"Actual360","LogLinear",TRUE)</f>
        <v/>
      </c>
      <c r="E882" s="8">
        <f>QS.INSTRUMENT.SWAP("swap.880",C882,H882,B882,"USD","SOFR",I882,J882,0,"Actual360","Simple","Annual","Annual","Annual")</f>
        <v/>
      </c>
      <c r="F882" s="8">
        <f>QS.TRADE.CREATE("trade.880",C882,E882,A882,"Receive")</f>
        <v/>
      </c>
      <c r="G882" s="5"/>
      <c r="H882" s="7" t="s">
        <v>1804</v>
      </c>
      <c r="I882" s="9">
        <v>1088000</v>
      </c>
      <c r="J882" s="10">
        <v>0.03800000000000001</v>
      </c>
    </row>
    <row r="883" spans="1:10">
      <c r="A883" s="7" t="s">
        <v>1792</v>
      </c>
      <c r="B883" s="7" t="s">
        <v>1805</v>
      </c>
      <c r="C883" s="8">
        <f>QS.CONTEXT.CREATE("market.881",A883,"USD","SOFR")</f>
        <v/>
      </c>
      <c r="D883" s="8">
        <f>QS.CONTEXT.ADD.CURVE(C883,"SOFR",$K$2:$K$7,$L$2:$L$7,,,"Actual360","LogLinear",TRUE)</f>
        <v/>
      </c>
      <c r="E883" s="8">
        <f>QS.INSTRUMENT.SWAP("swap.881",C883,H883,B883,"USD","SOFR",I883,J883,0,"Actual360","Simple","Annual","Annual","Annual")</f>
        <v/>
      </c>
      <c r="F883" s="8">
        <f>QS.TRADE.CREATE("trade.881",C883,E883,A883,"Receive")</f>
        <v/>
      </c>
      <c r="G883" s="5"/>
      <c r="H883" s="7" t="s">
        <v>1806</v>
      </c>
      <c r="I883" s="9">
        <v>1088100</v>
      </c>
      <c r="J883" s="10">
        <v>0.0381</v>
      </c>
    </row>
    <row r="884" spans="1:10">
      <c r="A884" s="7" t="s">
        <v>1794</v>
      </c>
      <c r="B884" s="7" t="s">
        <v>1807</v>
      </c>
      <c r="C884" s="8">
        <f>QS.CONTEXT.CREATE("market.882",A884,"USD","SOFR")</f>
        <v/>
      </c>
      <c r="D884" s="8">
        <f>QS.CONTEXT.ADD.CURVE(C884,"SOFR",$K$2:$K$7,$L$2:$L$7,,,"Actual360","LogLinear",TRUE)</f>
        <v/>
      </c>
      <c r="E884" s="8">
        <f>QS.INSTRUMENT.SWAP("swap.882",C884,H884,B884,"USD","SOFR",I884,J884,0,"Actual360","Simple","Annual","Annual","Annual")</f>
        <v/>
      </c>
      <c r="F884" s="8">
        <f>QS.TRADE.CREATE("trade.882",C884,E884,A884,"Receive")</f>
        <v/>
      </c>
      <c r="G884" s="5"/>
      <c r="H884" s="7" t="s">
        <v>1808</v>
      </c>
      <c r="I884" s="9">
        <v>1088200</v>
      </c>
      <c r="J884" s="10">
        <v>0.0382</v>
      </c>
    </row>
    <row r="885" spans="1:10">
      <c r="A885" s="7" t="s">
        <v>1796</v>
      </c>
      <c r="B885" s="7" t="s">
        <v>1809</v>
      </c>
      <c r="C885" s="8">
        <f>QS.CONTEXT.CREATE("market.883",A885,"USD","SOFR")</f>
        <v/>
      </c>
      <c r="D885" s="8">
        <f>QS.CONTEXT.ADD.CURVE(C885,"SOFR",$K$2:$K$7,$L$2:$L$7,,,"Actual360","LogLinear",TRUE)</f>
        <v/>
      </c>
      <c r="E885" s="8">
        <f>QS.INSTRUMENT.SWAP("swap.883",C885,H885,B885,"USD","SOFR",I885,J885,0,"Actual360","Simple","Annual","Annual","Annual")</f>
        <v/>
      </c>
      <c r="F885" s="8">
        <f>QS.TRADE.CREATE("trade.883",C885,E885,A885,"Receive")</f>
        <v/>
      </c>
      <c r="G885" s="5"/>
      <c r="H885" s="7" t="s">
        <v>1810</v>
      </c>
      <c r="I885" s="9">
        <v>1088300</v>
      </c>
      <c r="J885" s="10">
        <v>0.0383</v>
      </c>
    </row>
    <row r="886" spans="1:10">
      <c r="A886" s="7" t="s">
        <v>1798</v>
      </c>
      <c r="B886" s="7" t="s">
        <v>1811</v>
      </c>
      <c r="C886" s="8">
        <f>QS.CONTEXT.CREATE("market.884",A886,"USD","SOFR")</f>
        <v/>
      </c>
      <c r="D886" s="8">
        <f>QS.CONTEXT.ADD.CURVE(C886,"SOFR",$K$2:$K$7,$L$2:$L$7,,,"Actual360","LogLinear",TRUE)</f>
        <v/>
      </c>
      <c r="E886" s="8">
        <f>QS.INSTRUMENT.SWAP("swap.884",C886,H886,B886,"USD","SOFR",I886,J886,0,"Actual360","Simple","Annual","Annual","Annual")</f>
        <v/>
      </c>
      <c r="F886" s="8">
        <f>QS.TRADE.CREATE("trade.884",C886,E886,A886,"Receive")</f>
        <v/>
      </c>
      <c r="G886" s="5"/>
      <c r="H886" s="7" t="s">
        <v>1812</v>
      </c>
      <c r="I886" s="9">
        <v>1088400</v>
      </c>
      <c r="J886" s="10">
        <v>0.0384</v>
      </c>
    </row>
    <row r="887" spans="1:10">
      <c r="A887" s="7" t="s">
        <v>1800</v>
      </c>
      <c r="B887" s="7" t="s">
        <v>1813</v>
      </c>
      <c r="C887" s="8">
        <f>QS.CONTEXT.CREATE("market.885",A887,"USD","SOFR")</f>
        <v/>
      </c>
      <c r="D887" s="8">
        <f>QS.CONTEXT.ADD.CURVE(C887,"SOFR",$K$2:$K$7,$L$2:$L$7,,,"Actual360","LogLinear",TRUE)</f>
        <v/>
      </c>
      <c r="E887" s="8">
        <f>QS.INSTRUMENT.SWAP("swap.885",C887,H887,B887,"USD","SOFR",I887,J887,0,"Actual360","Simple","Annual","Annual","Annual")</f>
        <v/>
      </c>
      <c r="F887" s="8">
        <f>QS.TRADE.CREATE("trade.885",C887,E887,A887,"Receive")</f>
        <v/>
      </c>
      <c r="G887" s="5"/>
      <c r="H887" s="7" t="s">
        <v>1814</v>
      </c>
      <c r="I887" s="9">
        <v>1088500</v>
      </c>
      <c r="J887" s="10">
        <v>0.03850000000000001</v>
      </c>
    </row>
    <row r="888" spans="1:10">
      <c r="A888" s="7" t="s">
        <v>1802</v>
      </c>
      <c r="B888" s="7" t="s">
        <v>1815</v>
      </c>
      <c r="C888" s="8">
        <f>QS.CONTEXT.CREATE("market.886",A888,"USD","SOFR")</f>
        <v/>
      </c>
      <c r="D888" s="8">
        <f>QS.CONTEXT.ADD.CURVE(C888,"SOFR",$K$2:$K$7,$L$2:$L$7,,,"Actual360","LogLinear",TRUE)</f>
        <v/>
      </c>
      <c r="E888" s="8">
        <f>QS.INSTRUMENT.SWAP("swap.886",C888,H888,B888,"USD","SOFR",I888,J888,0,"Actual360","Simple","Annual","Annual","Annual")</f>
        <v/>
      </c>
      <c r="F888" s="8">
        <f>QS.TRADE.CREATE("trade.886",C888,E888,A888,"Receive")</f>
        <v/>
      </c>
      <c r="G888" s="5"/>
      <c r="H888" s="7" t="s">
        <v>1816</v>
      </c>
      <c r="I888" s="9">
        <v>1088600</v>
      </c>
      <c r="J888" s="10">
        <v>0.0386</v>
      </c>
    </row>
    <row r="889" spans="1:10">
      <c r="A889" s="7" t="s">
        <v>1804</v>
      </c>
      <c r="B889" s="7" t="s">
        <v>1817</v>
      </c>
      <c r="C889" s="8">
        <f>QS.CONTEXT.CREATE("market.887",A889,"USD","SOFR")</f>
        <v/>
      </c>
      <c r="D889" s="8">
        <f>QS.CONTEXT.ADD.CURVE(C889,"SOFR",$K$2:$K$7,$L$2:$L$7,,,"Actual360","LogLinear",TRUE)</f>
        <v/>
      </c>
      <c r="E889" s="8">
        <f>QS.INSTRUMENT.SWAP("swap.887",C889,H889,B889,"USD","SOFR",I889,J889,0,"Actual360","Simple","Annual","Annual","Annual")</f>
        <v/>
      </c>
      <c r="F889" s="8">
        <f>QS.TRADE.CREATE("trade.887",C889,E889,A889,"Receive")</f>
        <v/>
      </c>
      <c r="G889" s="5"/>
      <c r="H889" s="7" t="s">
        <v>1818</v>
      </c>
      <c r="I889" s="9">
        <v>1088700</v>
      </c>
      <c r="J889" s="10">
        <v>0.03870000000000001</v>
      </c>
    </row>
    <row r="890" spans="1:10">
      <c r="A890" s="7" t="s">
        <v>1806</v>
      </c>
      <c r="B890" s="7" t="s">
        <v>1819</v>
      </c>
      <c r="C890" s="8">
        <f>QS.CONTEXT.CREATE("market.888",A890,"USD","SOFR")</f>
        <v/>
      </c>
      <c r="D890" s="8">
        <f>QS.CONTEXT.ADD.CURVE(C890,"SOFR",$K$2:$K$7,$L$2:$L$7,,,"Actual360","LogLinear",TRUE)</f>
        <v/>
      </c>
      <c r="E890" s="8">
        <f>QS.INSTRUMENT.SWAP("swap.888",C890,H890,B890,"USD","SOFR",I890,J890,0,"Actual360","Simple","Annual","Annual","Annual")</f>
        <v/>
      </c>
      <c r="F890" s="8">
        <f>QS.TRADE.CREATE("trade.888",C890,E890,A890,"Receive")</f>
        <v/>
      </c>
      <c r="G890" s="5"/>
      <c r="H890" s="7" t="s">
        <v>1820</v>
      </c>
      <c r="I890" s="9">
        <v>1088800</v>
      </c>
      <c r="J890" s="10">
        <v>0.0388</v>
      </c>
    </row>
    <row r="891" spans="1:10">
      <c r="A891" s="7" t="s">
        <v>1808</v>
      </c>
      <c r="B891" s="7" t="s">
        <v>1821</v>
      </c>
      <c r="C891" s="8">
        <f>QS.CONTEXT.CREATE("market.889",A891,"USD","SOFR")</f>
        <v/>
      </c>
      <c r="D891" s="8">
        <f>QS.CONTEXT.ADD.CURVE(C891,"SOFR",$K$2:$K$7,$L$2:$L$7,,,"Actual360","LogLinear",TRUE)</f>
        <v/>
      </c>
      <c r="E891" s="8">
        <f>QS.INSTRUMENT.SWAP("swap.889",C891,H891,B891,"USD","SOFR",I891,J891,0,"Actual360","Simple","Annual","Annual","Annual")</f>
        <v/>
      </c>
      <c r="F891" s="8">
        <f>QS.TRADE.CREATE("trade.889",C891,E891,A891,"Receive")</f>
        <v/>
      </c>
      <c r="G891" s="5"/>
      <c r="H891" s="7" t="s">
        <v>1822</v>
      </c>
      <c r="I891" s="9">
        <v>1088900</v>
      </c>
      <c r="J891" s="10">
        <v>0.0389</v>
      </c>
    </row>
    <row r="892" spans="1:10">
      <c r="A892" s="7" t="s">
        <v>1810</v>
      </c>
      <c r="B892" s="7" t="s">
        <v>1823</v>
      </c>
      <c r="C892" s="8">
        <f>QS.CONTEXT.CREATE("market.890",A892,"USD","SOFR")</f>
        <v/>
      </c>
      <c r="D892" s="8">
        <f>QS.CONTEXT.ADD.CURVE(C892,"SOFR",$K$2:$K$7,$L$2:$L$7,,,"Actual360","LogLinear",TRUE)</f>
        <v/>
      </c>
      <c r="E892" s="8">
        <f>QS.INSTRUMENT.SWAP("swap.890",C892,H892,B892,"USD","SOFR",I892,J892,0,"Actual360","Simple","Annual","Annual","Annual")</f>
        <v/>
      </c>
      <c r="F892" s="8">
        <f>QS.TRADE.CREATE("trade.890",C892,E892,A892,"Receive")</f>
        <v/>
      </c>
      <c r="G892" s="5"/>
      <c r="H892" s="7" t="s">
        <v>1824</v>
      </c>
      <c r="I892" s="9">
        <v>1089000</v>
      </c>
      <c r="J892" s="10">
        <v>0.03900000000000001</v>
      </c>
    </row>
    <row r="893" spans="1:10">
      <c r="A893" s="7" t="s">
        <v>1812</v>
      </c>
      <c r="B893" s="7" t="s">
        <v>1825</v>
      </c>
      <c r="C893" s="8">
        <f>QS.CONTEXT.CREATE("market.891",A893,"USD","SOFR")</f>
        <v/>
      </c>
      <c r="D893" s="8">
        <f>QS.CONTEXT.ADD.CURVE(C893,"SOFR",$K$2:$K$7,$L$2:$L$7,,,"Actual360","LogLinear",TRUE)</f>
        <v/>
      </c>
      <c r="E893" s="8">
        <f>QS.INSTRUMENT.SWAP("swap.891",C893,H893,B893,"USD","SOFR",I893,J893,0,"Actual360","Simple","Annual","Annual","Annual")</f>
        <v/>
      </c>
      <c r="F893" s="8">
        <f>QS.TRADE.CREATE("trade.891",C893,E893,A893,"Receive")</f>
        <v/>
      </c>
      <c r="G893" s="5"/>
      <c r="H893" s="7" t="s">
        <v>1826</v>
      </c>
      <c r="I893" s="9">
        <v>1089100</v>
      </c>
      <c r="J893" s="10">
        <v>0.0391</v>
      </c>
    </row>
    <row r="894" spans="1:10">
      <c r="A894" s="7" t="s">
        <v>1814</v>
      </c>
      <c r="B894" s="7" t="s">
        <v>1827</v>
      </c>
      <c r="C894" s="8">
        <f>QS.CONTEXT.CREATE("market.892",A894,"USD","SOFR")</f>
        <v/>
      </c>
      <c r="D894" s="8">
        <f>QS.CONTEXT.ADD.CURVE(C894,"SOFR",$K$2:$K$7,$L$2:$L$7,,,"Actual360","LogLinear",TRUE)</f>
        <v/>
      </c>
      <c r="E894" s="8">
        <f>QS.INSTRUMENT.SWAP("swap.892",C894,H894,B894,"USD","SOFR",I894,J894,0,"Actual360","Simple","Annual","Annual","Annual")</f>
        <v/>
      </c>
      <c r="F894" s="8">
        <f>QS.TRADE.CREATE("trade.892",C894,E894,A894,"Receive")</f>
        <v/>
      </c>
      <c r="G894" s="5"/>
      <c r="H894" s="7" t="s">
        <v>1828</v>
      </c>
      <c r="I894" s="9">
        <v>1089200</v>
      </c>
      <c r="J894" s="10">
        <v>0.03920000000000001</v>
      </c>
    </row>
    <row r="895" spans="1:10">
      <c r="A895" s="7" t="s">
        <v>1816</v>
      </c>
      <c r="B895" s="7" t="s">
        <v>1829</v>
      </c>
      <c r="C895" s="8">
        <f>QS.CONTEXT.CREATE("market.893",A895,"USD","SOFR")</f>
        <v/>
      </c>
      <c r="D895" s="8">
        <f>QS.CONTEXT.ADD.CURVE(C895,"SOFR",$K$2:$K$7,$L$2:$L$7,,,"Actual360","LogLinear",TRUE)</f>
        <v/>
      </c>
      <c r="E895" s="8">
        <f>QS.INSTRUMENT.SWAP("swap.893",C895,H895,B895,"USD","SOFR",I895,J895,0,"Actual360","Simple","Annual","Annual","Annual")</f>
        <v/>
      </c>
      <c r="F895" s="8">
        <f>QS.TRADE.CREATE("trade.893",C895,E895,A895,"Receive")</f>
        <v/>
      </c>
      <c r="G895" s="5"/>
      <c r="H895" s="7" t="s">
        <v>1830</v>
      </c>
      <c r="I895" s="9">
        <v>1089300</v>
      </c>
      <c r="J895" s="10">
        <v>0.0393</v>
      </c>
    </row>
    <row r="896" spans="1:10">
      <c r="A896" s="7" t="s">
        <v>1818</v>
      </c>
      <c r="B896" s="7" t="s">
        <v>1831</v>
      </c>
      <c r="C896" s="8">
        <f>QS.CONTEXT.CREATE("market.894",A896,"USD","SOFR")</f>
        <v/>
      </c>
      <c r="D896" s="8">
        <f>QS.CONTEXT.ADD.CURVE(C896,"SOFR",$K$2:$K$7,$L$2:$L$7,,,"Actual360","LogLinear",TRUE)</f>
        <v/>
      </c>
      <c r="E896" s="8">
        <f>QS.INSTRUMENT.SWAP("swap.894",C896,H896,B896,"USD","SOFR",I896,J896,0,"Actual360","Simple","Annual","Annual","Annual")</f>
        <v/>
      </c>
      <c r="F896" s="8">
        <f>QS.TRADE.CREATE("trade.894",C896,E896,A896,"Receive")</f>
        <v/>
      </c>
      <c r="G896" s="5"/>
      <c r="H896" s="7" t="s">
        <v>1832</v>
      </c>
      <c r="I896" s="9">
        <v>1089400</v>
      </c>
      <c r="J896" s="10">
        <v>0.0394</v>
      </c>
    </row>
    <row r="897" spans="1:10">
      <c r="A897" s="7" t="s">
        <v>1820</v>
      </c>
      <c r="B897" s="7" t="s">
        <v>1833</v>
      </c>
      <c r="C897" s="8">
        <f>QS.CONTEXT.CREATE("market.895",A897,"USD","SOFR")</f>
        <v/>
      </c>
      <c r="D897" s="8">
        <f>QS.CONTEXT.ADD.CURVE(C897,"SOFR",$K$2:$K$7,$L$2:$L$7,,,"Actual360","LogLinear",TRUE)</f>
        <v/>
      </c>
      <c r="E897" s="8">
        <f>QS.INSTRUMENT.SWAP("swap.895",C897,H897,B897,"USD","SOFR",I897,J897,0,"Actual360","Simple","Annual","Annual","Annual")</f>
        <v/>
      </c>
      <c r="F897" s="8">
        <f>QS.TRADE.CREATE("trade.895",C897,E897,A897,"Receive")</f>
        <v/>
      </c>
      <c r="G897" s="5"/>
      <c r="H897" s="7" t="s">
        <v>1834</v>
      </c>
      <c r="I897" s="9">
        <v>1089500</v>
      </c>
      <c r="J897" s="10">
        <v>0.03950000000000001</v>
      </c>
    </row>
    <row r="898" spans="1:10">
      <c r="A898" s="7" t="s">
        <v>1822</v>
      </c>
      <c r="B898" s="7" t="s">
        <v>1835</v>
      </c>
      <c r="C898" s="8">
        <f>QS.CONTEXT.CREATE("market.896",A898,"USD","SOFR")</f>
        <v/>
      </c>
      <c r="D898" s="8">
        <f>QS.CONTEXT.ADD.CURVE(C898,"SOFR",$K$2:$K$7,$L$2:$L$7,,,"Actual360","LogLinear",TRUE)</f>
        <v/>
      </c>
      <c r="E898" s="8">
        <f>QS.INSTRUMENT.SWAP("swap.896",C898,H898,B898,"USD","SOFR",I898,J898,0,"Actual360","Simple","Annual","Annual","Annual")</f>
        <v/>
      </c>
      <c r="F898" s="8">
        <f>QS.TRADE.CREATE("trade.896",C898,E898,A898,"Receive")</f>
        <v/>
      </c>
      <c r="G898" s="5"/>
      <c r="H898" s="7" t="s">
        <v>1836</v>
      </c>
      <c r="I898" s="9">
        <v>1089600</v>
      </c>
      <c r="J898" s="10">
        <v>0.0396</v>
      </c>
    </row>
    <row r="899" spans="1:10">
      <c r="A899" s="7" t="s">
        <v>1824</v>
      </c>
      <c r="B899" s="7" t="s">
        <v>1837</v>
      </c>
      <c r="C899" s="8">
        <f>QS.CONTEXT.CREATE("market.897",A899,"USD","SOFR")</f>
        <v/>
      </c>
      <c r="D899" s="8">
        <f>QS.CONTEXT.ADD.CURVE(C899,"SOFR",$K$2:$K$7,$L$2:$L$7,,,"Actual360","LogLinear",TRUE)</f>
        <v/>
      </c>
      <c r="E899" s="8">
        <f>QS.INSTRUMENT.SWAP("swap.897",C899,H899,B899,"USD","SOFR",I899,J899,0,"Actual360","Simple","Annual","Annual","Annual")</f>
        <v/>
      </c>
      <c r="F899" s="8">
        <f>QS.TRADE.CREATE("trade.897",C899,E899,A899,"Receive")</f>
        <v/>
      </c>
      <c r="G899" s="5"/>
      <c r="H899" s="7" t="s">
        <v>1838</v>
      </c>
      <c r="I899" s="9">
        <v>1089700</v>
      </c>
      <c r="J899" s="10">
        <v>0.03970000000000001</v>
      </c>
    </row>
    <row r="900" spans="1:10">
      <c r="A900" s="7" t="s">
        <v>1826</v>
      </c>
      <c r="B900" s="7" t="s">
        <v>1839</v>
      </c>
      <c r="C900" s="8">
        <f>QS.CONTEXT.CREATE("market.898",A900,"USD","SOFR")</f>
        <v/>
      </c>
      <c r="D900" s="8">
        <f>QS.CONTEXT.ADD.CURVE(C900,"SOFR",$K$2:$K$7,$L$2:$L$7,,,"Actual360","LogLinear",TRUE)</f>
        <v/>
      </c>
      <c r="E900" s="8">
        <f>QS.INSTRUMENT.SWAP("swap.898",C900,H900,B900,"USD","SOFR",I900,J900,0,"Actual360","Simple","Annual","Annual","Annual")</f>
        <v/>
      </c>
      <c r="F900" s="8">
        <f>QS.TRADE.CREATE("trade.898",C900,E900,A900,"Receive")</f>
        <v/>
      </c>
      <c r="G900" s="5"/>
      <c r="H900" s="7" t="s">
        <v>1840</v>
      </c>
      <c r="I900" s="9">
        <v>1089800</v>
      </c>
      <c r="J900" s="10">
        <v>0.0398</v>
      </c>
    </row>
    <row r="901" spans="1:10">
      <c r="A901" s="7" t="s">
        <v>1828</v>
      </c>
      <c r="B901" s="7" t="s">
        <v>1841</v>
      </c>
      <c r="C901" s="8">
        <f>QS.CONTEXT.CREATE("market.899",A901,"USD","SOFR")</f>
        <v/>
      </c>
      <c r="D901" s="8">
        <f>QS.CONTEXT.ADD.CURVE(C901,"SOFR",$K$2:$K$7,$L$2:$L$7,,,"Actual360","LogLinear",TRUE)</f>
        <v/>
      </c>
      <c r="E901" s="8">
        <f>QS.INSTRUMENT.SWAP("swap.899",C901,H901,B901,"USD","SOFR",I901,J901,0,"Actual360","Simple","Annual","Annual","Annual")</f>
        <v/>
      </c>
      <c r="F901" s="8">
        <f>QS.TRADE.CREATE("trade.899",C901,E901,A901,"Receive")</f>
        <v/>
      </c>
      <c r="G901" s="5"/>
      <c r="H901" s="7" t="s">
        <v>1842</v>
      </c>
      <c r="I901" s="9">
        <v>1089900</v>
      </c>
      <c r="J901" s="10">
        <v>0.0399</v>
      </c>
    </row>
    <row r="902" spans="1:10">
      <c r="A902" s="7" t="s">
        <v>1830</v>
      </c>
      <c r="B902" s="7" t="s">
        <v>1843</v>
      </c>
      <c r="C902" s="8">
        <f>QS.CONTEXT.CREATE("market.900",A902,"USD","SOFR")</f>
        <v/>
      </c>
      <c r="D902" s="8">
        <f>QS.CONTEXT.ADD.CURVE(C902,"SOFR",$K$2:$K$7,$L$2:$L$7,,,"Actual360","LogLinear",TRUE)</f>
        <v/>
      </c>
      <c r="E902" s="8">
        <f>QS.INSTRUMENT.SWAP("swap.900",C902,H902,B902,"USD","SOFR",I902,J902,0,"Actual360","Simple","Annual","Annual","Annual")</f>
        <v/>
      </c>
      <c r="F902" s="8">
        <f>QS.TRADE.CREATE("trade.900",C902,E902,A902,"Receive")</f>
        <v/>
      </c>
      <c r="G902" s="5"/>
      <c r="H902" s="7" t="s">
        <v>1844</v>
      </c>
      <c r="I902" s="9">
        <v>1090000</v>
      </c>
      <c r="J902" s="10">
        <v>0.035</v>
      </c>
    </row>
    <row r="903" spans="1:10">
      <c r="A903" s="7" t="s">
        <v>1832</v>
      </c>
      <c r="B903" s="7" t="s">
        <v>1845</v>
      </c>
      <c r="C903" s="8">
        <f>QS.CONTEXT.CREATE("market.901",A903,"USD","SOFR")</f>
        <v/>
      </c>
      <c r="D903" s="8">
        <f>QS.CONTEXT.ADD.CURVE(C903,"SOFR",$K$2:$K$7,$L$2:$L$7,,,"Actual360","LogLinear",TRUE)</f>
        <v/>
      </c>
      <c r="E903" s="8">
        <f>QS.INSTRUMENT.SWAP("swap.901",C903,H903,B903,"USD","SOFR",I903,J903,0,"Actual360","Simple","Annual","Annual","Annual")</f>
        <v/>
      </c>
      <c r="F903" s="8">
        <f>QS.TRADE.CREATE("trade.901",C903,E903,A903,"Receive")</f>
        <v/>
      </c>
      <c r="G903" s="5"/>
      <c r="H903" s="7" t="s">
        <v>1846</v>
      </c>
      <c r="I903" s="9">
        <v>1090100</v>
      </c>
      <c r="J903" s="10">
        <v>0.03510000000000001</v>
      </c>
    </row>
    <row r="904" spans="1:10">
      <c r="A904" s="7" t="s">
        <v>1834</v>
      </c>
      <c r="B904" s="7" t="s">
        <v>1847</v>
      </c>
      <c r="C904" s="8">
        <f>QS.CONTEXT.CREATE("market.902",A904,"USD","SOFR")</f>
        <v/>
      </c>
      <c r="D904" s="8">
        <f>QS.CONTEXT.ADD.CURVE(C904,"SOFR",$K$2:$K$7,$L$2:$L$7,,,"Actual360","LogLinear",TRUE)</f>
        <v/>
      </c>
      <c r="E904" s="8">
        <f>QS.INSTRUMENT.SWAP("swap.902",C904,H904,B904,"USD","SOFR",I904,J904,0,"Actual360","Simple","Annual","Annual","Annual")</f>
        <v/>
      </c>
      <c r="F904" s="8">
        <f>QS.TRADE.CREATE("trade.902",C904,E904,A904,"Receive")</f>
        <v/>
      </c>
      <c r="G904" s="5"/>
      <c r="H904" s="7" t="s">
        <v>1848</v>
      </c>
      <c r="I904" s="9">
        <v>1090200</v>
      </c>
      <c r="J904" s="10">
        <v>0.0352</v>
      </c>
    </row>
    <row r="905" spans="1:10">
      <c r="A905" s="7" t="s">
        <v>1836</v>
      </c>
      <c r="B905" s="7" t="s">
        <v>1849</v>
      </c>
      <c r="C905" s="8">
        <f>QS.CONTEXT.CREATE("market.903",A905,"USD","SOFR")</f>
        <v/>
      </c>
      <c r="D905" s="8">
        <f>QS.CONTEXT.ADD.CURVE(C905,"SOFR",$K$2:$K$7,$L$2:$L$7,,,"Actual360","LogLinear",TRUE)</f>
        <v/>
      </c>
      <c r="E905" s="8">
        <f>QS.INSTRUMENT.SWAP("swap.903",C905,H905,B905,"USD","SOFR",I905,J905,0,"Actual360","Simple","Annual","Annual","Annual")</f>
        <v/>
      </c>
      <c r="F905" s="8">
        <f>QS.TRADE.CREATE("trade.903",C905,E905,A905,"Receive")</f>
        <v/>
      </c>
      <c r="G905" s="5"/>
      <c r="H905" s="7" t="s">
        <v>1850</v>
      </c>
      <c r="I905" s="9">
        <v>1090300</v>
      </c>
      <c r="J905" s="10">
        <v>0.0353</v>
      </c>
    </row>
    <row r="906" spans="1:10">
      <c r="A906" s="7" t="s">
        <v>1838</v>
      </c>
      <c r="B906" s="7" t="s">
        <v>1851</v>
      </c>
      <c r="C906" s="8">
        <f>QS.CONTEXT.CREATE("market.904",A906,"USD","SOFR")</f>
        <v/>
      </c>
      <c r="D906" s="8">
        <f>QS.CONTEXT.ADD.CURVE(C906,"SOFR",$K$2:$K$7,$L$2:$L$7,,,"Actual360","LogLinear",TRUE)</f>
        <v/>
      </c>
      <c r="E906" s="8">
        <f>QS.INSTRUMENT.SWAP("swap.904",C906,H906,B906,"USD","SOFR",I906,J906,0,"Actual360","Simple","Annual","Annual","Annual")</f>
        <v/>
      </c>
      <c r="F906" s="8">
        <f>QS.TRADE.CREATE("trade.904",C906,E906,A906,"Receive")</f>
        <v/>
      </c>
      <c r="G906" s="5"/>
      <c r="H906" s="7" t="s">
        <v>1852</v>
      </c>
      <c r="I906" s="9">
        <v>1090400</v>
      </c>
      <c r="J906" s="10">
        <v>0.0354</v>
      </c>
    </row>
    <row r="907" spans="1:10">
      <c r="A907" s="7" t="s">
        <v>1840</v>
      </c>
      <c r="B907" s="7" t="s">
        <v>1853</v>
      </c>
      <c r="C907" s="8">
        <f>QS.CONTEXT.CREATE("market.905",A907,"USD","SOFR")</f>
        <v/>
      </c>
      <c r="D907" s="8">
        <f>QS.CONTEXT.ADD.CURVE(C907,"SOFR",$K$2:$K$7,$L$2:$L$7,,,"Actual360","LogLinear",TRUE)</f>
        <v/>
      </c>
      <c r="E907" s="8">
        <f>QS.INSTRUMENT.SWAP("swap.905",C907,H907,B907,"USD","SOFR",I907,J907,0,"Actual360","Simple","Annual","Annual","Annual")</f>
        <v/>
      </c>
      <c r="F907" s="8">
        <f>QS.TRADE.CREATE("trade.905",C907,E907,A907,"Receive")</f>
        <v/>
      </c>
      <c r="G907" s="5"/>
      <c r="H907" s="7" t="s">
        <v>1854</v>
      </c>
      <c r="I907" s="9">
        <v>1090500</v>
      </c>
      <c r="J907" s="10">
        <v>0.0355</v>
      </c>
    </row>
    <row r="908" spans="1:10">
      <c r="A908" s="7" t="s">
        <v>1842</v>
      </c>
      <c r="B908" s="7" t="s">
        <v>1855</v>
      </c>
      <c r="C908" s="8">
        <f>QS.CONTEXT.CREATE("market.906",A908,"USD","SOFR")</f>
        <v/>
      </c>
      <c r="D908" s="8">
        <f>QS.CONTEXT.ADD.CURVE(C908,"SOFR",$K$2:$K$7,$L$2:$L$7,,,"Actual360","LogLinear",TRUE)</f>
        <v/>
      </c>
      <c r="E908" s="8">
        <f>QS.INSTRUMENT.SWAP("swap.906",C908,H908,B908,"USD","SOFR",I908,J908,0,"Actual360","Simple","Annual","Annual","Annual")</f>
        <v/>
      </c>
      <c r="F908" s="8">
        <f>QS.TRADE.CREATE("trade.906",C908,E908,A908,"Receive")</f>
        <v/>
      </c>
      <c r="G908" s="5"/>
      <c r="H908" s="7" t="s">
        <v>1856</v>
      </c>
      <c r="I908" s="9">
        <v>1090600</v>
      </c>
      <c r="J908" s="10">
        <v>0.03560000000000001</v>
      </c>
    </row>
    <row r="909" spans="1:10">
      <c r="A909" s="7" t="s">
        <v>1844</v>
      </c>
      <c r="B909" s="7" t="s">
        <v>1857</v>
      </c>
      <c r="C909" s="8">
        <f>QS.CONTEXT.CREATE("market.907",A909,"USD","SOFR")</f>
        <v/>
      </c>
      <c r="D909" s="8">
        <f>QS.CONTEXT.ADD.CURVE(C909,"SOFR",$K$2:$K$7,$L$2:$L$7,,,"Actual360","LogLinear",TRUE)</f>
        <v/>
      </c>
      <c r="E909" s="8">
        <f>QS.INSTRUMENT.SWAP("swap.907",C909,H909,B909,"USD","SOFR",I909,J909,0,"Actual360","Simple","Annual","Annual","Annual")</f>
        <v/>
      </c>
      <c r="F909" s="8">
        <f>QS.TRADE.CREATE("trade.907",C909,E909,A909,"Receive")</f>
        <v/>
      </c>
      <c r="G909" s="5"/>
      <c r="H909" s="7" t="s">
        <v>1858</v>
      </c>
      <c r="I909" s="9">
        <v>1090700</v>
      </c>
      <c r="J909" s="10">
        <v>0.0357</v>
      </c>
    </row>
    <row r="910" spans="1:10">
      <c r="A910" s="7" t="s">
        <v>1846</v>
      </c>
      <c r="B910" s="7" t="s">
        <v>1859</v>
      </c>
      <c r="C910" s="8">
        <f>QS.CONTEXT.CREATE("market.908",A910,"USD","SOFR")</f>
        <v/>
      </c>
      <c r="D910" s="8">
        <f>QS.CONTEXT.ADD.CURVE(C910,"SOFR",$K$2:$K$7,$L$2:$L$7,,,"Actual360","LogLinear",TRUE)</f>
        <v/>
      </c>
      <c r="E910" s="8">
        <f>QS.INSTRUMENT.SWAP("swap.908",C910,H910,B910,"USD","SOFR",I910,J910,0,"Actual360","Simple","Annual","Annual","Annual")</f>
        <v/>
      </c>
      <c r="F910" s="8">
        <f>QS.TRADE.CREATE("trade.908",C910,E910,A910,"Receive")</f>
        <v/>
      </c>
      <c r="G910" s="5"/>
      <c r="H910" s="7" t="s">
        <v>1860</v>
      </c>
      <c r="I910" s="9">
        <v>1090800</v>
      </c>
      <c r="J910" s="10">
        <v>0.03580000000000001</v>
      </c>
    </row>
    <row r="911" spans="1:10">
      <c r="A911" s="7" t="s">
        <v>1848</v>
      </c>
      <c r="B911" s="7" t="s">
        <v>1861</v>
      </c>
      <c r="C911" s="8">
        <f>QS.CONTEXT.CREATE("market.909",A911,"USD","SOFR")</f>
        <v/>
      </c>
      <c r="D911" s="8">
        <f>QS.CONTEXT.ADD.CURVE(C911,"SOFR",$K$2:$K$7,$L$2:$L$7,,,"Actual360","LogLinear",TRUE)</f>
        <v/>
      </c>
      <c r="E911" s="8">
        <f>QS.INSTRUMENT.SWAP("swap.909",C911,H911,B911,"USD","SOFR",I911,J911,0,"Actual360","Simple","Annual","Annual","Annual")</f>
        <v/>
      </c>
      <c r="F911" s="8">
        <f>QS.TRADE.CREATE("trade.909",C911,E911,A911,"Receive")</f>
        <v/>
      </c>
      <c r="G911" s="5"/>
      <c r="H911" s="7" t="s">
        <v>1862</v>
      </c>
      <c r="I911" s="9">
        <v>1090900</v>
      </c>
      <c r="J911" s="10">
        <v>0.0359</v>
      </c>
    </row>
    <row r="912" spans="1:10">
      <c r="A912" s="7" t="s">
        <v>1850</v>
      </c>
      <c r="B912" s="7" t="s">
        <v>1863</v>
      </c>
      <c r="C912" s="8">
        <f>QS.CONTEXT.CREATE("market.910",A912,"USD","SOFR")</f>
        <v/>
      </c>
      <c r="D912" s="8">
        <f>QS.CONTEXT.ADD.CURVE(C912,"SOFR",$K$2:$K$7,$L$2:$L$7,,,"Actual360","LogLinear",TRUE)</f>
        <v/>
      </c>
      <c r="E912" s="8">
        <f>QS.INSTRUMENT.SWAP("swap.910",C912,H912,B912,"USD","SOFR",I912,J912,0,"Actual360","Simple","Annual","Annual","Annual")</f>
        <v/>
      </c>
      <c r="F912" s="8">
        <f>QS.TRADE.CREATE("trade.910",C912,E912,A912,"Receive")</f>
        <v/>
      </c>
      <c r="G912" s="5"/>
      <c r="H912" s="7" t="s">
        <v>1864</v>
      </c>
      <c r="I912" s="9">
        <v>1091000</v>
      </c>
      <c r="J912" s="10">
        <v>0.036</v>
      </c>
    </row>
    <row r="913" spans="1:10">
      <c r="A913" s="7" t="s">
        <v>1852</v>
      </c>
      <c r="B913" s="7" t="s">
        <v>1865</v>
      </c>
      <c r="C913" s="8">
        <f>QS.CONTEXT.CREATE("market.911",A913,"USD","SOFR")</f>
        <v/>
      </c>
      <c r="D913" s="8">
        <f>QS.CONTEXT.ADD.CURVE(C913,"SOFR",$K$2:$K$7,$L$2:$L$7,,,"Actual360","LogLinear",TRUE)</f>
        <v/>
      </c>
      <c r="E913" s="8">
        <f>QS.INSTRUMENT.SWAP("swap.911",C913,H913,B913,"USD","SOFR",I913,J913,0,"Actual360","Simple","Annual","Annual","Annual")</f>
        <v/>
      </c>
      <c r="F913" s="8">
        <f>QS.TRADE.CREATE("trade.911",C913,E913,A913,"Receive")</f>
        <v/>
      </c>
      <c r="G913" s="5"/>
      <c r="H913" s="7" t="s">
        <v>1866</v>
      </c>
      <c r="I913" s="9">
        <v>1091100</v>
      </c>
      <c r="J913" s="10">
        <v>0.0361</v>
      </c>
    </row>
    <row r="914" spans="1:10">
      <c r="A914" s="7" t="s">
        <v>1854</v>
      </c>
      <c r="B914" s="7" t="s">
        <v>1867</v>
      </c>
      <c r="C914" s="8">
        <f>QS.CONTEXT.CREATE("market.912",A914,"USD","SOFR")</f>
        <v/>
      </c>
      <c r="D914" s="8">
        <f>QS.CONTEXT.ADD.CURVE(C914,"SOFR",$K$2:$K$7,$L$2:$L$7,,,"Actual360","LogLinear",TRUE)</f>
        <v/>
      </c>
      <c r="E914" s="8">
        <f>QS.INSTRUMENT.SWAP("swap.912",C914,H914,B914,"USD","SOFR",I914,J914,0,"Actual360","Simple","Annual","Annual","Annual")</f>
        <v/>
      </c>
      <c r="F914" s="8">
        <f>QS.TRADE.CREATE("trade.912",C914,E914,A914,"Receive")</f>
        <v/>
      </c>
      <c r="G914" s="5"/>
      <c r="H914" s="7" t="s">
        <v>1868</v>
      </c>
      <c r="I914" s="9">
        <v>1091200</v>
      </c>
      <c r="J914" s="10">
        <v>0.0362</v>
      </c>
    </row>
    <row r="915" spans="1:10">
      <c r="A915" s="7" t="s">
        <v>1856</v>
      </c>
      <c r="B915" s="7" t="s">
        <v>1869</v>
      </c>
      <c r="C915" s="8">
        <f>QS.CONTEXT.CREATE("market.913",A915,"USD","SOFR")</f>
        <v/>
      </c>
      <c r="D915" s="8">
        <f>QS.CONTEXT.ADD.CURVE(C915,"SOFR",$K$2:$K$7,$L$2:$L$7,,,"Actual360","LogLinear",TRUE)</f>
        <v/>
      </c>
      <c r="E915" s="8">
        <f>QS.INSTRUMENT.SWAP("swap.913",C915,H915,B915,"USD","SOFR",I915,J915,0,"Actual360","Simple","Annual","Annual","Annual")</f>
        <v/>
      </c>
      <c r="F915" s="8">
        <f>QS.TRADE.CREATE("trade.913",C915,E915,A915,"Receive")</f>
        <v/>
      </c>
      <c r="G915" s="5"/>
      <c r="H915" s="7" t="s">
        <v>1870</v>
      </c>
      <c r="I915" s="9">
        <v>1091300</v>
      </c>
      <c r="J915" s="10">
        <v>0.03630000000000001</v>
      </c>
    </row>
    <row r="916" spans="1:10">
      <c r="A916" s="7" t="s">
        <v>1858</v>
      </c>
      <c r="B916" s="7" t="s">
        <v>1871</v>
      </c>
      <c r="C916" s="8">
        <f>QS.CONTEXT.CREATE("market.914",A916,"USD","SOFR")</f>
        <v/>
      </c>
      <c r="D916" s="8">
        <f>QS.CONTEXT.ADD.CURVE(C916,"SOFR",$K$2:$K$7,$L$2:$L$7,,,"Actual360","LogLinear",TRUE)</f>
        <v/>
      </c>
      <c r="E916" s="8">
        <f>QS.INSTRUMENT.SWAP("swap.914",C916,H916,B916,"USD","SOFR",I916,J916,0,"Actual360","Simple","Annual","Annual","Annual")</f>
        <v/>
      </c>
      <c r="F916" s="8">
        <f>QS.TRADE.CREATE("trade.914",C916,E916,A916,"Receive")</f>
        <v/>
      </c>
      <c r="G916" s="5"/>
      <c r="H916" s="7" t="s">
        <v>1872</v>
      </c>
      <c r="I916" s="9">
        <v>1091400</v>
      </c>
      <c r="J916" s="10">
        <v>0.0364</v>
      </c>
    </row>
    <row r="917" spans="1:10">
      <c r="A917" s="7" t="s">
        <v>1860</v>
      </c>
      <c r="B917" s="7" t="s">
        <v>1873</v>
      </c>
      <c r="C917" s="8">
        <f>QS.CONTEXT.CREATE("market.915",A917,"USD","SOFR")</f>
        <v/>
      </c>
      <c r="D917" s="8">
        <f>QS.CONTEXT.ADD.CURVE(C917,"SOFR",$K$2:$K$7,$L$2:$L$7,,,"Actual360","LogLinear",TRUE)</f>
        <v/>
      </c>
      <c r="E917" s="8">
        <f>QS.INSTRUMENT.SWAP("swap.915",C917,H917,B917,"USD","SOFR",I917,J917,0,"Actual360","Simple","Annual","Annual","Annual")</f>
        <v/>
      </c>
      <c r="F917" s="8">
        <f>QS.TRADE.CREATE("trade.915",C917,E917,A917,"Receive")</f>
        <v/>
      </c>
      <c r="G917" s="5"/>
      <c r="H917" s="7" t="s">
        <v>1874</v>
      </c>
      <c r="I917" s="9">
        <v>1091500</v>
      </c>
      <c r="J917" s="10">
        <v>0.0365</v>
      </c>
    </row>
    <row r="918" spans="1:10">
      <c r="A918" s="7" t="s">
        <v>1862</v>
      </c>
      <c r="B918" s="7" t="s">
        <v>1875</v>
      </c>
      <c r="C918" s="8">
        <f>QS.CONTEXT.CREATE("market.916",A918,"USD","SOFR")</f>
        <v/>
      </c>
      <c r="D918" s="8">
        <f>QS.CONTEXT.ADD.CURVE(C918,"SOFR",$K$2:$K$7,$L$2:$L$7,,,"Actual360","LogLinear",TRUE)</f>
        <v/>
      </c>
      <c r="E918" s="8">
        <f>QS.INSTRUMENT.SWAP("swap.916",C918,H918,B918,"USD","SOFR",I918,J918,0,"Actual360","Simple","Annual","Annual","Annual")</f>
        <v/>
      </c>
      <c r="F918" s="8">
        <f>QS.TRADE.CREATE("trade.916",C918,E918,A918,"Receive")</f>
        <v/>
      </c>
      <c r="G918" s="5"/>
      <c r="H918" s="7" t="s">
        <v>1876</v>
      </c>
      <c r="I918" s="9">
        <v>1091600</v>
      </c>
      <c r="J918" s="10">
        <v>0.0366</v>
      </c>
    </row>
    <row r="919" spans="1:10">
      <c r="A919" s="7" t="s">
        <v>1864</v>
      </c>
      <c r="B919" s="7" t="s">
        <v>1877</v>
      </c>
      <c r="C919" s="8">
        <f>QS.CONTEXT.CREATE("market.917",A919,"USD","SOFR")</f>
        <v/>
      </c>
      <c r="D919" s="8">
        <f>QS.CONTEXT.ADD.CURVE(C919,"SOFR",$K$2:$K$7,$L$2:$L$7,,,"Actual360","LogLinear",TRUE)</f>
        <v/>
      </c>
      <c r="E919" s="8">
        <f>QS.INSTRUMENT.SWAP("swap.917",C919,H919,B919,"USD","SOFR",I919,J919,0,"Actual360","Simple","Annual","Annual","Annual")</f>
        <v/>
      </c>
      <c r="F919" s="8">
        <f>QS.TRADE.CREATE("trade.917",C919,E919,A919,"Receive")</f>
        <v/>
      </c>
      <c r="G919" s="5"/>
      <c r="H919" s="7" t="s">
        <v>1878</v>
      </c>
      <c r="I919" s="9">
        <v>1091700</v>
      </c>
      <c r="J919" s="10">
        <v>0.0367</v>
      </c>
    </row>
    <row r="920" spans="1:10">
      <c r="A920" s="7" t="s">
        <v>1866</v>
      </c>
      <c r="B920" s="7" t="s">
        <v>1879</v>
      </c>
      <c r="C920" s="8">
        <f>QS.CONTEXT.CREATE("market.918",A920,"USD","SOFR")</f>
        <v/>
      </c>
      <c r="D920" s="8">
        <f>QS.CONTEXT.ADD.CURVE(C920,"SOFR",$K$2:$K$7,$L$2:$L$7,,,"Actual360","LogLinear",TRUE)</f>
        <v/>
      </c>
      <c r="E920" s="8">
        <f>QS.INSTRUMENT.SWAP("swap.918",C920,H920,B920,"USD","SOFR",I920,J920,0,"Actual360","Simple","Annual","Annual","Annual")</f>
        <v/>
      </c>
      <c r="F920" s="8">
        <f>QS.TRADE.CREATE("trade.918",C920,E920,A920,"Receive")</f>
        <v/>
      </c>
      <c r="G920" s="5"/>
      <c r="H920" s="7" t="s">
        <v>1880</v>
      </c>
      <c r="I920" s="9">
        <v>1091800</v>
      </c>
      <c r="J920" s="10">
        <v>0.03680000000000001</v>
      </c>
    </row>
    <row r="921" spans="1:10">
      <c r="A921" s="7" t="s">
        <v>1868</v>
      </c>
      <c r="B921" s="7" t="s">
        <v>1881</v>
      </c>
      <c r="C921" s="8">
        <f>QS.CONTEXT.CREATE("market.919",A921,"USD","SOFR")</f>
        <v/>
      </c>
      <c r="D921" s="8">
        <f>QS.CONTEXT.ADD.CURVE(C921,"SOFR",$K$2:$K$7,$L$2:$L$7,,,"Actual360","LogLinear",TRUE)</f>
        <v/>
      </c>
      <c r="E921" s="8">
        <f>QS.INSTRUMENT.SWAP("swap.919",C921,H921,B921,"USD","SOFR",I921,J921,0,"Actual360","Simple","Annual","Annual","Annual")</f>
        <v/>
      </c>
      <c r="F921" s="8">
        <f>QS.TRADE.CREATE("trade.919",C921,E921,A921,"Receive")</f>
        <v/>
      </c>
      <c r="G921" s="5"/>
      <c r="H921" s="7" t="s">
        <v>1882</v>
      </c>
      <c r="I921" s="9">
        <v>1091900</v>
      </c>
      <c r="J921" s="10">
        <v>0.0369</v>
      </c>
    </row>
    <row r="922" spans="1:10">
      <c r="A922" s="7" t="s">
        <v>1870</v>
      </c>
      <c r="B922" s="7" t="s">
        <v>1883</v>
      </c>
      <c r="C922" s="8">
        <f>QS.CONTEXT.CREATE("market.920",A922,"USD","SOFR")</f>
        <v/>
      </c>
      <c r="D922" s="8">
        <f>QS.CONTEXT.ADD.CURVE(C922,"SOFR",$K$2:$K$7,$L$2:$L$7,,,"Actual360","LogLinear",TRUE)</f>
        <v/>
      </c>
      <c r="E922" s="8">
        <f>QS.INSTRUMENT.SWAP("swap.920",C922,H922,B922,"USD","SOFR",I922,J922,0,"Actual360","Simple","Annual","Annual","Annual")</f>
        <v/>
      </c>
      <c r="F922" s="8">
        <f>QS.TRADE.CREATE("trade.920",C922,E922,A922,"Receive")</f>
        <v/>
      </c>
      <c r="G922" s="5"/>
      <c r="H922" s="7" t="s">
        <v>1884</v>
      </c>
      <c r="I922" s="9">
        <v>1092000</v>
      </c>
      <c r="J922" s="10">
        <v>0.03700000000000001</v>
      </c>
    </row>
    <row r="923" spans="1:10">
      <c r="A923" s="7" t="s">
        <v>1872</v>
      </c>
      <c r="B923" s="7" t="s">
        <v>1885</v>
      </c>
      <c r="C923" s="8">
        <f>QS.CONTEXT.CREATE("market.921",A923,"USD","SOFR")</f>
        <v/>
      </c>
      <c r="D923" s="8">
        <f>QS.CONTEXT.ADD.CURVE(C923,"SOFR",$K$2:$K$7,$L$2:$L$7,,,"Actual360","LogLinear",TRUE)</f>
        <v/>
      </c>
      <c r="E923" s="8">
        <f>QS.INSTRUMENT.SWAP("swap.921",C923,H923,B923,"USD","SOFR",I923,J923,0,"Actual360","Simple","Annual","Annual","Annual")</f>
        <v/>
      </c>
      <c r="F923" s="8">
        <f>QS.TRADE.CREATE("trade.921",C923,E923,A923,"Receive")</f>
        <v/>
      </c>
      <c r="G923" s="5"/>
      <c r="H923" s="7" t="s">
        <v>1886</v>
      </c>
      <c r="I923" s="9">
        <v>1092100</v>
      </c>
      <c r="J923" s="10">
        <v>0.0371</v>
      </c>
    </row>
    <row r="924" spans="1:10">
      <c r="A924" s="7" t="s">
        <v>1874</v>
      </c>
      <c r="B924" s="7" t="s">
        <v>1887</v>
      </c>
      <c r="C924" s="8">
        <f>QS.CONTEXT.CREATE("market.922",A924,"USD","SOFR")</f>
        <v/>
      </c>
      <c r="D924" s="8">
        <f>QS.CONTEXT.ADD.CURVE(C924,"SOFR",$K$2:$K$7,$L$2:$L$7,,,"Actual360","LogLinear",TRUE)</f>
        <v/>
      </c>
      <c r="E924" s="8">
        <f>QS.INSTRUMENT.SWAP("swap.922",C924,H924,B924,"USD","SOFR",I924,J924,0,"Actual360","Simple","Annual","Annual","Annual")</f>
        <v/>
      </c>
      <c r="F924" s="8">
        <f>QS.TRADE.CREATE("trade.922",C924,E924,A924,"Receive")</f>
        <v/>
      </c>
      <c r="G924" s="5"/>
      <c r="H924" s="7" t="s">
        <v>1888</v>
      </c>
      <c r="I924" s="9">
        <v>1092200</v>
      </c>
      <c r="J924" s="10">
        <v>0.0372</v>
      </c>
    </row>
    <row r="925" spans="1:10">
      <c r="A925" s="7" t="s">
        <v>1876</v>
      </c>
      <c r="B925" s="7" t="s">
        <v>1889</v>
      </c>
      <c r="C925" s="8">
        <f>QS.CONTEXT.CREATE("market.923",A925,"USD","SOFR")</f>
        <v/>
      </c>
      <c r="D925" s="8">
        <f>QS.CONTEXT.ADD.CURVE(C925,"SOFR",$K$2:$K$7,$L$2:$L$7,,,"Actual360","LogLinear",TRUE)</f>
        <v/>
      </c>
      <c r="E925" s="8">
        <f>QS.INSTRUMENT.SWAP("swap.923",C925,H925,B925,"USD","SOFR",I925,J925,0,"Actual360","Simple","Annual","Annual","Annual")</f>
        <v/>
      </c>
      <c r="F925" s="8">
        <f>QS.TRADE.CREATE("trade.923",C925,E925,A925,"Receive")</f>
        <v/>
      </c>
      <c r="G925" s="5"/>
      <c r="H925" s="7" t="s">
        <v>1890</v>
      </c>
      <c r="I925" s="9">
        <v>1092300</v>
      </c>
      <c r="J925" s="10">
        <v>0.0373</v>
      </c>
    </row>
    <row r="926" spans="1:10">
      <c r="A926" s="7" t="s">
        <v>1878</v>
      </c>
      <c r="B926" s="7" t="s">
        <v>1891</v>
      </c>
      <c r="C926" s="8">
        <f>QS.CONTEXT.CREATE("market.924",A926,"USD","SOFR")</f>
        <v/>
      </c>
      <c r="D926" s="8">
        <f>QS.CONTEXT.ADD.CURVE(C926,"SOFR",$K$2:$K$7,$L$2:$L$7,,,"Actual360","LogLinear",TRUE)</f>
        <v/>
      </c>
      <c r="E926" s="8">
        <f>QS.INSTRUMENT.SWAP("swap.924",C926,H926,B926,"USD","SOFR",I926,J926,0,"Actual360","Simple","Annual","Annual","Annual")</f>
        <v/>
      </c>
      <c r="F926" s="8">
        <f>QS.TRADE.CREATE("trade.924",C926,E926,A926,"Receive")</f>
        <v/>
      </c>
      <c r="G926" s="5"/>
      <c r="H926" s="7" t="s">
        <v>1892</v>
      </c>
      <c r="I926" s="9">
        <v>1092400</v>
      </c>
      <c r="J926" s="10">
        <v>0.0374</v>
      </c>
    </row>
    <row r="927" spans="1:10">
      <c r="A927" s="7" t="s">
        <v>1880</v>
      </c>
      <c r="B927" s="7" t="s">
        <v>1893</v>
      </c>
      <c r="C927" s="8">
        <f>QS.CONTEXT.CREATE("market.925",A927,"USD","SOFR")</f>
        <v/>
      </c>
      <c r="D927" s="8">
        <f>QS.CONTEXT.ADD.CURVE(C927,"SOFR",$K$2:$K$7,$L$2:$L$7,,,"Actual360","LogLinear",TRUE)</f>
        <v/>
      </c>
      <c r="E927" s="8">
        <f>QS.INSTRUMENT.SWAP("swap.925",C927,H927,B927,"USD","SOFR",I927,J927,0,"Actual360","Simple","Annual","Annual","Annual")</f>
        <v/>
      </c>
      <c r="F927" s="8">
        <f>QS.TRADE.CREATE("trade.925",C927,E927,A927,"Receive")</f>
        <v/>
      </c>
      <c r="G927" s="5"/>
      <c r="H927" s="7" t="s">
        <v>1894</v>
      </c>
      <c r="I927" s="9">
        <v>1092500</v>
      </c>
      <c r="J927" s="10">
        <v>0.03750000000000001</v>
      </c>
    </row>
    <row r="928" spans="1:10">
      <c r="A928" s="7" t="s">
        <v>1882</v>
      </c>
      <c r="B928" s="7" t="s">
        <v>1895</v>
      </c>
      <c r="C928" s="8">
        <f>QS.CONTEXT.CREATE("market.926",A928,"USD","SOFR")</f>
        <v/>
      </c>
      <c r="D928" s="8">
        <f>QS.CONTEXT.ADD.CURVE(C928,"SOFR",$K$2:$K$7,$L$2:$L$7,,,"Actual360","LogLinear",TRUE)</f>
        <v/>
      </c>
      <c r="E928" s="8">
        <f>QS.INSTRUMENT.SWAP("swap.926",C928,H928,B928,"USD","SOFR",I928,J928,0,"Actual360","Simple","Annual","Annual","Annual")</f>
        <v/>
      </c>
      <c r="F928" s="8">
        <f>QS.TRADE.CREATE("trade.926",C928,E928,A928,"Receive")</f>
        <v/>
      </c>
      <c r="G928" s="5"/>
      <c r="H928" s="7" t="s">
        <v>1896</v>
      </c>
      <c r="I928" s="9">
        <v>1092600</v>
      </c>
      <c r="J928" s="10">
        <v>0.0376</v>
      </c>
    </row>
    <row r="929" spans="1:10">
      <c r="A929" s="7" t="s">
        <v>1884</v>
      </c>
      <c r="B929" s="7" t="s">
        <v>1897</v>
      </c>
      <c r="C929" s="8">
        <f>QS.CONTEXT.CREATE("market.927",A929,"USD","SOFR")</f>
        <v/>
      </c>
      <c r="D929" s="8">
        <f>QS.CONTEXT.ADD.CURVE(C929,"SOFR",$K$2:$K$7,$L$2:$L$7,,,"Actual360","LogLinear",TRUE)</f>
        <v/>
      </c>
      <c r="E929" s="8">
        <f>QS.INSTRUMENT.SWAP("swap.927",C929,H929,B929,"USD","SOFR",I929,J929,0,"Actual360","Simple","Annual","Annual","Annual")</f>
        <v/>
      </c>
      <c r="F929" s="8">
        <f>QS.TRADE.CREATE("trade.927",C929,E929,A929,"Receive")</f>
        <v/>
      </c>
      <c r="G929" s="5"/>
      <c r="H929" s="7" t="s">
        <v>1898</v>
      </c>
      <c r="I929" s="9">
        <v>1092700</v>
      </c>
      <c r="J929" s="10">
        <v>0.0377</v>
      </c>
    </row>
    <row r="930" spans="1:10">
      <c r="A930" s="7" t="s">
        <v>1886</v>
      </c>
      <c r="B930" s="7" t="s">
        <v>1899</v>
      </c>
      <c r="C930" s="8">
        <f>QS.CONTEXT.CREATE("market.928",A930,"USD","SOFR")</f>
        <v/>
      </c>
      <c r="D930" s="8">
        <f>QS.CONTEXT.ADD.CURVE(C930,"SOFR",$K$2:$K$7,$L$2:$L$7,,,"Actual360","LogLinear",TRUE)</f>
        <v/>
      </c>
      <c r="E930" s="8">
        <f>QS.INSTRUMENT.SWAP("swap.928",C930,H930,B930,"USD","SOFR",I930,J930,0,"Actual360","Simple","Annual","Annual","Annual")</f>
        <v/>
      </c>
      <c r="F930" s="8">
        <f>QS.TRADE.CREATE("trade.928",C930,E930,A930,"Receive")</f>
        <v/>
      </c>
      <c r="G930" s="5"/>
      <c r="H930" s="7" t="s">
        <v>1900</v>
      </c>
      <c r="I930" s="9">
        <v>1092800</v>
      </c>
      <c r="J930" s="10">
        <v>0.0378</v>
      </c>
    </row>
    <row r="931" spans="1:10">
      <c r="A931" s="7" t="s">
        <v>1888</v>
      </c>
      <c r="B931" s="7" t="s">
        <v>1901</v>
      </c>
      <c r="C931" s="8">
        <f>QS.CONTEXT.CREATE("market.929",A931,"USD","SOFR")</f>
        <v/>
      </c>
      <c r="D931" s="8">
        <f>QS.CONTEXT.ADD.CURVE(C931,"SOFR",$K$2:$K$7,$L$2:$L$7,,,"Actual360","LogLinear",TRUE)</f>
        <v/>
      </c>
      <c r="E931" s="8">
        <f>QS.INSTRUMENT.SWAP("swap.929",C931,H931,B931,"USD","SOFR",I931,J931,0,"Actual360","Simple","Annual","Annual","Annual")</f>
        <v/>
      </c>
      <c r="F931" s="8">
        <f>QS.TRADE.CREATE("trade.929",C931,E931,A931,"Receive")</f>
        <v/>
      </c>
      <c r="G931" s="5"/>
      <c r="H931" s="7" t="s">
        <v>1902</v>
      </c>
      <c r="I931" s="9">
        <v>1092900</v>
      </c>
      <c r="J931" s="10">
        <v>0.0379</v>
      </c>
    </row>
    <row r="932" spans="1:10">
      <c r="A932" s="7" t="s">
        <v>1890</v>
      </c>
      <c r="B932" s="7" t="s">
        <v>1903</v>
      </c>
      <c r="C932" s="8">
        <f>QS.CONTEXT.CREATE("market.930",A932,"USD","SOFR")</f>
        <v/>
      </c>
      <c r="D932" s="8">
        <f>QS.CONTEXT.ADD.CURVE(C932,"SOFR",$K$2:$K$7,$L$2:$L$7,,,"Actual360","LogLinear",TRUE)</f>
        <v/>
      </c>
      <c r="E932" s="8">
        <f>QS.INSTRUMENT.SWAP("swap.930",C932,H932,B932,"USD","SOFR",I932,J932,0,"Actual360","Simple","Annual","Annual","Annual")</f>
        <v/>
      </c>
      <c r="F932" s="8">
        <f>QS.TRADE.CREATE("trade.930",C932,E932,A932,"Receive")</f>
        <v/>
      </c>
      <c r="G932" s="5"/>
      <c r="H932" s="7" t="s">
        <v>1904</v>
      </c>
      <c r="I932" s="9">
        <v>1093000</v>
      </c>
      <c r="J932" s="10">
        <v>0.03800000000000001</v>
      </c>
    </row>
    <row r="933" spans="1:10">
      <c r="A933" s="7" t="s">
        <v>1892</v>
      </c>
      <c r="B933" s="7" t="s">
        <v>1905</v>
      </c>
      <c r="C933" s="8">
        <f>QS.CONTEXT.CREATE("market.931",A933,"USD","SOFR")</f>
        <v/>
      </c>
      <c r="D933" s="8">
        <f>QS.CONTEXT.ADD.CURVE(C933,"SOFR",$K$2:$K$7,$L$2:$L$7,,,"Actual360","LogLinear",TRUE)</f>
        <v/>
      </c>
      <c r="E933" s="8">
        <f>QS.INSTRUMENT.SWAP("swap.931",C933,H933,B933,"USD","SOFR",I933,J933,0,"Actual360","Simple","Annual","Annual","Annual")</f>
        <v/>
      </c>
      <c r="F933" s="8">
        <f>QS.TRADE.CREATE("trade.931",C933,E933,A933,"Receive")</f>
        <v/>
      </c>
      <c r="G933" s="5"/>
      <c r="H933" s="7" t="s">
        <v>1906</v>
      </c>
      <c r="I933" s="9">
        <v>1093100</v>
      </c>
      <c r="J933" s="10">
        <v>0.0381</v>
      </c>
    </row>
    <row r="934" spans="1:10">
      <c r="A934" s="7" t="s">
        <v>1894</v>
      </c>
      <c r="B934" s="7" t="s">
        <v>1907</v>
      </c>
      <c r="C934" s="8">
        <f>QS.CONTEXT.CREATE("market.932",A934,"USD","SOFR")</f>
        <v/>
      </c>
      <c r="D934" s="8">
        <f>QS.CONTEXT.ADD.CURVE(C934,"SOFR",$K$2:$K$7,$L$2:$L$7,,,"Actual360","LogLinear",TRUE)</f>
        <v/>
      </c>
      <c r="E934" s="8">
        <f>QS.INSTRUMENT.SWAP("swap.932",C934,H934,B934,"USD","SOFR",I934,J934,0,"Actual360","Simple","Annual","Annual","Annual")</f>
        <v/>
      </c>
      <c r="F934" s="8">
        <f>QS.TRADE.CREATE("trade.932",C934,E934,A934,"Receive")</f>
        <v/>
      </c>
      <c r="G934" s="5"/>
      <c r="H934" s="7" t="s">
        <v>1908</v>
      </c>
      <c r="I934" s="9">
        <v>1093200</v>
      </c>
      <c r="J934" s="10">
        <v>0.0382</v>
      </c>
    </row>
    <row r="935" spans="1:10">
      <c r="A935" s="7" t="s">
        <v>1896</v>
      </c>
      <c r="B935" s="7" t="s">
        <v>1909</v>
      </c>
      <c r="C935" s="8">
        <f>QS.CONTEXT.CREATE("market.933",A935,"USD","SOFR")</f>
        <v/>
      </c>
      <c r="D935" s="8">
        <f>QS.CONTEXT.ADD.CURVE(C935,"SOFR",$K$2:$K$7,$L$2:$L$7,,,"Actual360","LogLinear",TRUE)</f>
        <v/>
      </c>
      <c r="E935" s="8">
        <f>QS.INSTRUMENT.SWAP("swap.933",C935,H935,B935,"USD","SOFR",I935,J935,0,"Actual360","Simple","Annual","Annual","Annual")</f>
        <v/>
      </c>
      <c r="F935" s="8">
        <f>QS.TRADE.CREATE("trade.933",C935,E935,A935,"Receive")</f>
        <v/>
      </c>
      <c r="G935" s="5"/>
      <c r="H935" s="7" t="s">
        <v>1910</v>
      </c>
      <c r="I935" s="9">
        <v>1093300</v>
      </c>
      <c r="J935" s="10">
        <v>0.0383</v>
      </c>
    </row>
    <row r="936" spans="1:10">
      <c r="A936" s="7" t="s">
        <v>1898</v>
      </c>
      <c r="B936" s="7" t="s">
        <v>1911</v>
      </c>
      <c r="C936" s="8">
        <f>QS.CONTEXT.CREATE("market.934",A936,"USD","SOFR")</f>
        <v/>
      </c>
      <c r="D936" s="8">
        <f>QS.CONTEXT.ADD.CURVE(C936,"SOFR",$K$2:$K$7,$L$2:$L$7,,,"Actual360","LogLinear",TRUE)</f>
        <v/>
      </c>
      <c r="E936" s="8">
        <f>QS.INSTRUMENT.SWAP("swap.934",C936,H936,B936,"USD","SOFR",I936,J936,0,"Actual360","Simple","Annual","Annual","Annual")</f>
        <v/>
      </c>
      <c r="F936" s="8">
        <f>QS.TRADE.CREATE("trade.934",C936,E936,A936,"Receive")</f>
        <v/>
      </c>
      <c r="G936" s="5"/>
      <c r="H936" s="7" t="s">
        <v>1912</v>
      </c>
      <c r="I936" s="9">
        <v>1093400</v>
      </c>
      <c r="J936" s="10">
        <v>0.0384</v>
      </c>
    </row>
    <row r="937" spans="1:10">
      <c r="A937" s="7" t="s">
        <v>1900</v>
      </c>
      <c r="B937" s="7" t="s">
        <v>1913</v>
      </c>
      <c r="C937" s="8">
        <f>QS.CONTEXT.CREATE("market.935",A937,"USD","SOFR")</f>
        <v/>
      </c>
      <c r="D937" s="8">
        <f>QS.CONTEXT.ADD.CURVE(C937,"SOFR",$K$2:$K$7,$L$2:$L$7,,,"Actual360","LogLinear",TRUE)</f>
        <v/>
      </c>
      <c r="E937" s="8">
        <f>QS.INSTRUMENT.SWAP("swap.935",C937,H937,B937,"USD","SOFR",I937,J937,0,"Actual360","Simple","Annual","Annual","Annual")</f>
        <v/>
      </c>
      <c r="F937" s="8">
        <f>QS.TRADE.CREATE("trade.935",C937,E937,A937,"Receive")</f>
        <v/>
      </c>
      <c r="G937" s="5"/>
      <c r="H937" s="7" t="s">
        <v>1914</v>
      </c>
      <c r="I937" s="9">
        <v>1093500</v>
      </c>
      <c r="J937" s="10">
        <v>0.03850000000000001</v>
      </c>
    </row>
    <row r="938" spans="1:10">
      <c r="A938" s="7" t="s">
        <v>1902</v>
      </c>
      <c r="B938" s="7" t="s">
        <v>1915</v>
      </c>
      <c r="C938" s="8">
        <f>QS.CONTEXT.CREATE("market.936",A938,"USD","SOFR")</f>
        <v/>
      </c>
      <c r="D938" s="8">
        <f>QS.CONTEXT.ADD.CURVE(C938,"SOFR",$K$2:$K$7,$L$2:$L$7,,,"Actual360","LogLinear",TRUE)</f>
        <v/>
      </c>
      <c r="E938" s="8">
        <f>QS.INSTRUMENT.SWAP("swap.936",C938,H938,B938,"USD","SOFR",I938,J938,0,"Actual360","Simple","Annual","Annual","Annual")</f>
        <v/>
      </c>
      <c r="F938" s="8">
        <f>QS.TRADE.CREATE("trade.936",C938,E938,A938,"Receive")</f>
        <v/>
      </c>
      <c r="G938" s="5"/>
      <c r="H938" s="7" t="s">
        <v>1916</v>
      </c>
      <c r="I938" s="9">
        <v>1093600</v>
      </c>
      <c r="J938" s="10">
        <v>0.0386</v>
      </c>
    </row>
    <row r="939" spans="1:10">
      <c r="A939" s="7" t="s">
        <v>1904</v>
      </c>
      <c r="B939" s="7" t="s">
        <v>1917</v>
      </c>
      <c r="C939" s="8">
        <f>QS.CONTEXT.CREATE("market.937",A939,"USD","SOFR")</f>
        <v/>
      </c>
      <c r="D939" s="8">
        <f>QS.CONTEXT.ADD.CURVE(C939,"SOFR",$K$2:$K$7,$L$2:$L$7,,,"Actual360","LogLinear",TRUE)</f>
        <v/>
      </c>
      <c r="E939" s="8">
        <f>QS.INSTRUMENT.SWAP("swap.937",C939,H939,B939,"USD","SOFR",I939,J939,0,"Actual360","Simple","Annual","Annual","Annual")</f>
        <v/>
      </c>
      <c r="F939" s="8">
        <f>QS.TRADE.CREATE("trade.937",C939,E939,A939,"Receive")</f>
        <v/>
      </c>
      <c r="G939" s="5"/>
      <c r="H939" s="7" t="s">
        <v>1918</v>
      </c>
      <c r="I939" s="9">
        <v>1093700</v>
      </c>
      <c r="J939" s="10">
        <v>0.03870000000000001</v>
      </c>
    </row>
    <row r="940" spans="1:10">
      <c r="A940" s="7" t="s">
        <v>1906</v>
      </c>
      <c r="B940" s="7" t="s">
        <v>1919</v>
      </c>
      <c r="C940" s="8">
        <f>QS.CONTEXT.CREATE("market.938",A940,"USD","SOFR")</f>
        <v/>
      </c>
      <c r="D940" s="8">
        <f>QS.CONTEXT.ADD.CURVE(C940,"SOFR",$K$2:$K$7,$L$2:$L$7,,,"Actual360","LogLinear",TRUE)</f>
        <v/>
      </c>
      <c r="E940" s="8">
        <f>QS.INSTRUMENT.SWAP("swap.938",C940,H940,B940,"USD","SOFR",I940,J940,0,"Actual360","Simple","Annual","Annual","Annual")</f>
        <v/>
      </c>
      <c r="F940" s="8">
        <f>QS.TRADE.CREATE("trade.938",C940,E940,A940,"Receive")</f>
        <v/>
      </c>
      <c r="G940" s="5"/>
      <c r="H940" s="7" t="s">
        <v>1920</v>
      </c>
      <c r="I940" s="9">
        <v>1093800</v>
      </c>
      <c r="J940" s="10">
        <v>0.0388</v>
      </c>
    </row>
    <row r="941" spans="1:10">
      <c r="A941" s="7" t="s">
        <v>1908</v>
      </c>
      <c r="B941" s="7" t="s">
        <v>1921</v>
      </c>
      <c r="C941" s="8">
        <f>QS.CONTEXT.CREATE("market.939",A941,"USD","SOFR")</f>
        <v/>
      </c>
      <c r="D941" s="8">
        <f>QS.CONTEXT.ADD.CURVE(C941,"SOFR",$K$2:$K$7,$L$2:$L$7,,,"Actual360","LogLinear",TRUE)</f>
        <v/>
      </c>
      <c r="E941" s="8">
        <f>QS.INSTRUMENT.SWAP("swap.939",C941,H941,B941,"USD","SOFR",I941,J941,0,"Actual360","Simple","Annual","Annual","Annual")</f>
        <v/>
      </c>
      <c r="F941" s="8">
        <f>QS.TRADE.CREATE("trade.939",C941,E941,A941,"Receive")</f>
        <v/>
      </c>
      <c r="G941" s="5"/>
      <c r="H941" s="7" t="s">
        <v>1922</v>
      </c>
      <c r="I941" s="9">
        <v>1093900</v>
      </c>
      <c r="J941" s="10">
        <v>0.0389</v>
      </c>
    </row>
    <row r="942" spans="1:10">
      <c r="A942" s="7" t="s">
        <v>1910</v>
      </c>
      <c r="B942" s="7" t="s">
        <v>1923</v>
      </c>
      <c r="C942" s="8">
        <f>QS.CONTEXT.CREATE("market.940",A942,"USD","SOFR")</f>
        <v/>
      </c>
      <c r="D942" s="8">
        <f>QS.CONTEXT.ADD.CURVE(C942,"SOFR",$K$2:$K$7,$L$2:$L$7,,,"Actual360","LogLinear",TRUE)</f>
        <v/>
      </c>
      <c r="E942" s="8">
        <f>QS.INSTRUMENT.SWAP("swap.940",C942,H942,B942,"USD","SOFR",I942,J942,0,"Actual360","Simple","Annual","Annual","Annual")</f>
        <v/>
      </c>
      <c r="F942" s="8">
        <f>QS.TRADE.CREATE("trade.940",C942,E942,A942,"Receive")</f>
        <v/>
      </c>
      <c r="G942" s="5"/>
      <c r="H942" s="7" t="s">
        <v>1924</v>
      </c>
      <c r="I942" s="9">
        <v>1094000</v>
      </c>
      <c r="J942" s="10">
        <v>0.03900000000000001</v>
      </c>
    </row>
    <row r="943" spans="1:10">
      <c r="A943" s="7" t="s">
        <v>1912</v>
      </c>
      <c r="B943" s="7" t="s">
        <v>1925</v>
      </c>
      <c r="C943" s="8">
        <f>QS.CONTEXT.CREATE("market.941",A943,"USD","SOFR")</f>
        <v/>
      </c>
      <c r="D943" s="8">
        <f>QS.CONTEXT.ADD.CURVE(C943,"SOFR",$K$2:$K$7,$L$2:$L$7,,,"Actual360","LogLinear",TRUE)</f>
        <v/>
      </c>
      <c r="E943" s="8">
        <f>QS.INSTRUMENT.SWAP("swap.941",C943,H943,B943,"USD","SOFR",I943,J943,0,"Actual360","Simple","Annual","Annual","Annual")</f>
        <v/>
      </c>
      <c r="F943" s="8">
        <f>QS.TRADE.CREATE("trade.941",C943,E943,A943,"Receive")</f>
        <v/>
      </c>
      <c r="G943" s="5"/>
      <c r="H943" s="7" t="s">
        <v>1926</v>
      </c>
      <c r="I943" s="9">
        <v>1094100</v>
      </c>
      <c r="J943" s="10">
        <v>0.0391</v>
      </c>
    </row>
    <row r="944" spans="1:10">
      <c r="A944" s="7" t="s">
        <v>1914</v>
      </c>
      <c r="B944" s="7" t="s">
        <v>1927</v>
      </c>
      <c r="C944" s="8">
        <f>QS.CONTEXT.CREATE("market.942",A944,"USD","SOFR")</f>
        <v/>
      </c>
      <c r="D944" s="8">
        <f>QS.CONTEXT.ADD.CURVE(C944,"SOFR",$K$2:$K$7,$L$2:$L$7,,,"Actual360","LogLinear",TRUE)</f>
        <v/>
      </c>
      <c r="E944" s="8">
        <f>QS.INSTRUMENT.SWAP("swap.942",C944,H944,B944,"USD","SOFR",I944,J944,0,"Actual360","Simple","Annual","Annual","Annual")</f>
        <v/>
      </c>
      <c r="F944" s="8">
        <f>QS.TRADE.CREATE("trade.942",C944,E944,A944,"Receive")</f>
        <v/>
      </c>
      <c r="G944" s="5"/>
      <c r="H944" s="7" t="s">
        <v>1928</v>
      </c>
      <c r="I944" s="9">
        <v>1094200</v>
      </c>
      <c r="J944" s="10">
        <v>0.03920000000000001</v>
      </c>
    </row>
    <row r="945" spans="1:10">
      <c r="A945" s="7" t="s">
        <v>1916</v>
      </c>
      <c r="B945" s="7" t="s">
        <v>1929</v>
      </c>
      <c r="C945" s="8">
        <f>QS.CONTEXT.CREATE("market.943",A945,"USD","SOFR")</f>
        <v/>
      </c>
      <c r="D945" s="8">
        <f>QS.CONTEXT.ADD.CURVE(C945,"SOFR",$K$2:$K$7,$L$2:$L$7,,,"Actual360","LogLinear",TRUE)</f>
        <v/>
      </c>
      <c r="E945" s="8">
        <f>QS.INSTRUMENT.SWAP("swap.943",C945,H945,B945,"USD","SOFR",I945,J945,0,"Actual360","Simple","Annual","Annual","Annual")</f>
        <v/>
      </c>
      <c r="F945" s="8">
        <f>QS.TRADE.CREATE("trade.943",C945,E945,A945,"Receive")</f>
        <v/>
      </c>
      <c r="G945" s="5"/>
      <c r="H945" s="7" t="s">
        <v>1930</v>
      </c>
      <c r="I945" s="9">
        <v>1094300</v>
      </c>
      <c r="J945" s="10">
        <v>0.0393</v>
      </c>
    </row>
    <row r="946" spans="1:10">
      <c r="A946" s="7" t="s">
        <v>1918</v>
      </c>
      <c r="B946" s="7" t="s">
        <v>1931</v>
      </c>
      <c r="C946" s="8">
        <f>QS.CONTEXT.CREATE("market.944",A946,"USD","SOFR")</f>
        <v/>
      </c>
      <c r="D946" s="8">
        <f>QS.CONTEXT.ADD.CURVE(C946,"SOFR",$K$2:$K$7,$L$2:$L$7,,,"Actual360","LogLinear",TRUE)</f>
        <v/>
      </c>
      <c r="E946" s="8">
        <f>QS.INSTRUMENT.SWAP("swap.944",C946,H946,B946,"USD","SOFR",I946,J946,0,"Actual360","Simple","Annual","Annual","Annual")</f>
        <v/>
      </c>
      <c r="F946" s="8">
        <f>QS.TRADE.CREATE("trade.944",C946,E946,A946,"Receive")</f>
        <v/>
      </c>
      <c r="G946" s="5"/>
      <c r="H946" s="7" t="s">
        <v>1932</v>
      </c>
      <c r="I946" s="9">
        <v>1094400</v>
      </c>
      <c r="J946" s="10">
        <v>0.0394</v>
      </c>
    </row>
    <row r="947" spans="1:10">
      <c r="A947" s="7" t="s">
        <v>1920</v>
      </c>
      <c r="B947" s="7" t="s">
        <v>1933</v>
      </c>
      <c r="C947" s="8">
        <f>QS.CONTEXT.CREATE("market.945",A947,"USD","SOFR")</f>
        <v/>
      </c>
      <c r="D947" s="8">
        <f>QS.CONTEXT.ADD.CURVE(C947,"SOFR",$K$2:$K$7,$L$2:$L$7,,,"Actual360","LogLinear",TRUE)</f>
        <v/>
      </c>
      <c r="E947" s="8">
        <f>QS.INSTRUMENT.SWAP("swap.945",C947,H947,B947,"USD","SOFR",I947,J947,0,"Actual360","Simple","Annual","Annual","Annual")</f>
        <v/>
      </c>
      <c r="F947" s="8">
        <f>QS.TRADE.CREATE("trade.945",C947,E947,A947,"Receive")</f>
        <v/>
      </c>
      <c r="G947" s="5"/>
      <c r="H947" s="7" t="s">
        <v>1934</v>
      </c>
      <c r="I947" s="9">
        <v>1094500</v>
      </c>
      <c r="J947" s="10">
        <v>0.03950000000000001</v>
      </c>
    </row>
    <row r="948" spans="1:10">
      <c r="A948" s="7" t="s">
        <v>1922</v>
      </c>
      <c r="B948" s="7" t="s">
        <v>1935</v>
      </c>
      <c r="C948" s="8">
        <f>QS.CONTEXT.CREATE("market.946",A948,"USD","SOFR")</f>
        <v/>
      </c>
      <c r="D948" s="8">
        <f>QS.CONTEXT.ADD.CURVE(C948,"SOFR",$K$2:$K$7,$L$2:$L$7,,,"Actual360","LogLinear",TRUE)</f>
        <v/>
      </c>
      <c r="E948" s="8">
        <f>QS.INSTRUMENT.SWAP("swap.946",C948,H948,B948,"USD","SOFR",I948,J948,0,"Actual360","Simple","Annual","Annual","Annual")</f>
        <v/>
      </c>
      <c r="F948" s="8">
        <f>QS.TRADE.CREATE("trade.946",C948,E948,A948,"Receive")</f>
        <v/>
      </c>
      <c r="G948" s="5"/>
      <c r="H948" s="7" t="s">
        <v>1936</v>
      </c>
      <c r="I948" s="9">
        <v>1094600</v>
      </c>
      <c r="J948" s="10">
        <v>0.0396</v>
      </c>
    </row>
    <row r="949" spans="1:10">
      <c r="A949" s="7" t="s">
        <v>1924</v>
      </c>
      <c r="B949" s="7" t="s">
        <v>1937</v>
      </c>
      <c r="C949" s="8">
        <f>QS.CONTEXT.CREATE("market.947",A949,"USD","SOFR")</f>
        <v/>
      </c>
      <c r="D949" s="8">
        <f>QS.CONTEXT.ADD.CURVE(C949,"SOFR",$K$2:$K$7,$L$2:$L$7,,,"Actual360","LogLinear",TRUE)</f>
        <v/>
      </c>
      <c r="E949" s="8">
        <f>QS.INSTRUMENT.SWAP("swap.947",C949,H949,B949,"USD","SOFR",I949,J949,0,"Actual360","Simple","Annual","Annual","Annual")</f>
        <v/>
      </c>
      <c r="F949" s="8">
        <f>QS.TRADE.CREATE("trade.947",C949,E949,A949,"Receive")</f>
        <v/>
      </c>
      <c r="G949" s="5"/>
      <c r="H949" s="7" t="s">
        <v>1938</v>
      </c>
      <c r="I949" s="9">
        <v>1094700</v>
      </c>
      <c r="J949" s="10">
        <v>0.03970000000000001</v>
      </c>
    </row>
    <row r="950" spans="1:10">
      <c r="A950" s="7" t="s">
        <v>1926</v>
      </c>
      <c r="B950" s="7" t="s">
        <v>1939</v>
      </c>
      <c r="C950" s="8">
        <f>QS.CONTEXT.CREATE("market.948",A950,"USD","SOFR")</f>
        <v/>
      </c>
      <c r="D950" s="8">
        <f>QS.CONTEXT.ADD.CURVE(C950,"SOFR",$K$2:$K$7,$L$2:$L$7,,,"Actual360","LogLinear",TRUE)</f>
        <v/>
      </c>
      <c r="E950" s="8">
        <f>QS.INSTRUMENT.SWAP("swap.948",C950,H950,B950,"USD","SOFR",I950,J950,0,"Actual360","Simple","Annual","Annual","Annual")</f>
        <v/>
      </c>
      <c r="F950" s="8">
        <f>QS.TRADE.CREATE("trade.948",C950,E950,A950,"Receive")</f>
        <v/>
      </c>
      <c r="G950" s="5"/>
      <c r="H950" s="7" t="s">
        <v>1940</v>
      </c>
      <c r="I950" s="9">
        <v>1094800</v>
      </c>
      <c r="J950" s="10">
        <v>0.0398</v>
      </c>
    </row>
    <row r="951" spans="1:10">
      <c r="A951" s="7" t="s">
        <v>1928</v>
      </c>
      <c r="B951" s="7" t="s">
        <v>1941</v>
      </c>
      <c r="C951" s="8">
        <f>QS.CONTEXT.CREATE("market.949",A951,"USD","SOFR")</f>
        <v/>
      </c>
      <c r="D951" s="8">
        <f>QS.CONTEXT.ADD.CURVE(C951,"SOFR",$K$2:$K$7,$L$2:$L$7,,,"Actual360","LogLinear",TRUE)</f>
        <v/>
      </c>
      <c r="E951" s="8">
        <f>QS.INSTRUMENT.SWAP("swap.949",C951,H951,B951,"USD","SOFR",I951,J951,0,"Actual360","Simple","Annual","Annual","Annual")</f>
        <v/>
      </c>
      <c r="F951" s="8">
        <f>QS.TRADE.CREATE("trade.949",C951,E951,A951,"Receive")</f>
        <v/>
      </c>
      <c r="G951" s="5"/>
      <c r="H951" s="7" t="s">
        <v>1942</v>
      </c>
      <c r="I951" s="9">
        <v>1094900</v>
      </c>
      <c r="J951" s="10">
        <v>0.0399</v>
      </c>
    </row>
    <row r="952" spans="1:10">
      <c r="A952" s="7" t="s">
        <v>1930</v>
      </c>
      <c r="B952" s="7" t="s">
        <v>1943</v>
      </c>
      <c r="C952" s="8">
        <f>QS.CONTEXT.CREATE("market.950",A952,"USD","SOFR")</f>
        <v/>
      </c>
      <c r="D952" s="8">
        <f>QS.CONTEXT.ADD.CURVE(C952,"SOFR",$K$2:$K$7,$L$2:$L$7,,,"Actual360","LogLinear",TRUE)</f>
        <v/>
      </c>
      <c r="E952" s="8">
        <f>QS.INSTRUMENT.SWAP("swap.950",C952,H952,B952,"USD","SOFR",I952,J952,0,"Actual360","Simple","Annual","Annual","Annual")</f>
        <v/>
      </c>
      <c r="F952" s="8">
        <f>QS.TRADE.CREATE("trade.950",C952,E952,A952,"Receive")</f>
        <v/>
      </c>
      <c r="G952" s="5"/>
      <c r="H952" s="7" t="s">
        <v>1944</v>
      </c>
      <c r="I952" s="9">
        <v>1095000</v>
      </c>
      <c r="J952" s="10">
        <v>0.035</v>
      </c>
    </row>
    <row r="953" spans="1:10">
      <c r="A953" s="7" t="s">
        <v>1932</v>
      </c>
      <c r="B953" s="7" t="s">
        <v>1945</v>
      </c>
      <c r="C953" s="8">
        <f>QS.CONTEXT.CREATE("market.951",A953,"USD","SOFR")</f>
        <v/>
      </c>
      <c r="D953" s="8">
        <f>QS.CONTEXT.ADD.CURVE(C953,"SOFR",$K$2:$K$7,$L$2:$L$7,,,"Actual360","LogLinear",TRUE)</f>
        <v/>
      </c>
      <c r="E953" s="8">
        <f>QS.INSTRUMENT.SWAP("swap.951",C953,H953,B953,"USD","SOFR",I953,J953,0,"Actual360","Simple","Annual","Annual","Annual")</f>
        <v/>
      </c>
      <c r="F953" s="8">
        <f>QS.TRADE.CREATE("trade.951",C953,E953,A953,"Receive")</f>
        <v/>
      </c>
      <c r="G953" s="5"/>
      <c r="H953" s="7" t="s">
        <v>1946</v>
      </c>
      <c r="I953" s="9">
        <v>1095100</v>
      </c>
      <c r="J953" s="10">
        <v>0.03510000000000001</v>
      </c>
    </row>
    <row r="954" spans="1:10">
      <c r="A954" s="7" t="s">
        <v>1934</v>
      </c>
      <c r="B954" s="7" t="s">
        <v>1947</v>
      </c>
      <c r="C954" s="8">
        <f>QS.CONTEXT.CREATE("market.952",A954,"USD","SOFR")</f>
        <v/>
      </c>
      <c r="D954" s="8">
        <f>QS.CONTEXT.ADD.CURVE(C954,"SOFR",$K$2:$K$7,$L$2:$L$7,,,"Actual360","LogLinear",TRUE)</f>
        <v/>
      </c>
      <c r="E954" s="8">
        <f>QS.INSTRUMENT.SWAP("swap.952",C954,H954,B954,"USD","SOFR",I954,J954,0,"Actual360","Simple","Annual","Annual","Annual")</f>
        <v/>
      </c>
      <c r="F954" s="8">
        <f>QS.TRADE.CREATE("trade.952",C954,E954,A954,"Receive")</f>
        <v/>
      </c>
      <c r="G954" s="5"/>
      <c r="H954" s="7" t="s">
        <v>1948</v>
      </c>
      <c r="I954" s="9">
        <v>1095200</v>
      </c>
      <c r="J954" s="10">
        <v>0.0352</v>
      </c>
    </row>
    <row r="955" spans="1:10">
      <c r="A955" s="7" t="s">
        <v>1936</v>
      </c>
      <c r="B955" s="7" t="s">
        <v>1949</v>
      </c>
      <c r="C955" s="8">
        <f>QS.CONTEXT.CREATE("market.953",A955,"USD","SOFR")</f>
        <v/>
      </c>
      <c r="D955" s="8">
        <f>QS.CONTEXT.ADD.CURVE(C955,"SOFR",$K$2:$K$7,$L$2:$L$7,,,"Actual360","LogLinear",TRUE)</f>
        <v/>
      </c>
      <c r="E955" s="8">
        <f>QS.INSTRUMENT.SWAP("swap.953",C955,H955,B955,"USD","SOFR",I955,J955,0,"Actual360","Simple","Annual","Annual","Annual")</f>
        <v/>
      </c>
      <c r="F955" s="8">
        <f>QS.TRADE.CREATE("trade.953",C955,E955,A955,"Receive")</f>
        <v/>
      </c>
      <c r="G955" s="5"/>
      <c r="H955" s="7" t="s">
        <v>1950</v>
      </c>
      <c r="I955" s="9">
        <v>1095300</v>
      </c>
      <c r="J955" s="10">
        <v>0.0353</v>
      </c>
    </row>
    <row r="956" spans="1:10">
      <c r="A956" s="7" t="s">
        <v>1938</v>
      </c>
      <c r="B956" s="7" t="s">
        <v>1951</v>
      </c>
      <c r="C956" s="8">
        <f>QS.CONTEXT.CREATE("market.954",A956,"USD","SOFR")</f>
        <v/>
      </c>
      <c r="D956" s="8">
        <f>QS.CONTEXT.ADD.CURVE(C956,"SOFR",$K$2:$K$7,$L$2:$L$7,,,"Actual360","LogLinear",TRUE)</f>
        <v/>
      </c>
      <c r="E956" s="8">
        <f>QS.INSTRUMENT.SWAP("swap.954",C956,H956,B956,"USD","SOFR",I956,J956,0,"Actual360","Simple","Annual","Annual","Annual")</f>
        <v/>
      </c>
      <c r="F956" s="8">
        <f>QS.TRADE.CREATE("trade.954",C956,E956,A956,"Receive")</f>
        <v/>
      </c>
      <c r="G956" s="5"/>
      <c r="H956" s="7" t="s">
        <v>1952</v>
      </c>
      <c r="I956" s="9">
        <v>1095400</v>
      </c>
      <c r="J956" s="10">
        <v>0.0354</v>
      </c>
    </row>
    <row r="957" spans="1:10">
      <c r="A957" s="7" t="s">
        <v>1940</v>
      </c>
      <c r="B957" s="7" t="s">
        <v>1953</v>
      </c>
      <c r="C957" s="8">
        <f>QS.CONTEXT.CREATE("market.955",A957,"USD","SOFR")</f>
        <v/>
      </c>
      <c r="D957" s="8">
        <f>QS.CONTEXT.ADD.CURVE(C957,"SOFR",$K$2:$K$7,$L$2:$L$7,,,"Actual360","LogLinear",TRUE)</f>
        <v/>
      </c>
      <c r="E957" s="8">
        <f>QS.INSTRUMENT.SWAP("swap.955",C957,H957,B957,"USD","SOFR",I957,J957,0,"Actual360","Simple","Annual","Annual","Annual")</f>
        <v/>
      </c>
      <c r="F957" s="8">
        <f>QS.TRADE.CREATE("trade.955",C957,E957,A957,"Receive")</f>
        <v/>
      </c>
      <c r="G957" s="5"/>
      <c r="H957" s="7" t="s">
        <v>1954</v>
      </c>
      <c r="I957" s="9">
        <v>1095500</v>
      </c>
      <c r="J957" s="10">
        <v>0.0355</v>
      </c>
    </row>
    <row r="958" spans="1:10">
      <c r="A958" s="7" t="s">
        <v>1942</v>
      </c>
      <c r="B958" s="7" t="s">
        <v>1955</v>
      </c>
      <c r="C958" s="8">
        <f>QS.CONTEXT.CREATE("market.956",A958,"USD","SOFR")</f>
        <v/>
      </c>
      <c r="D958" s="8">
        <f>QS.CONTEXT.ADD.CURVE(C958,"SOFR",$K$2:$K$7,$L$2:$L$7,,,"Actual360","LogLinear",TRUE)</f>
        <v/>
      </c>
      <c r="E958" s="8">
        <f>QS.INSTRUMENT.SWAP("swap.956",C958,H958,B958,"USD","SOFR",I958,J958,0,"Actual360","Simple","Annual","Annual","Annual")</f>
        <v/>
      </c>
      <c r="F958" s="8">
        <f>QS.TRADE.CREATE("trade.956",C958,E958,A958,"Receive")</f>
        <v/>
      </c>
      <c r="G958" s="5"/>
      <c r="H958" s="7" t="s">
        <v>1956</v>
      </c>
      <c r="I958" s="9">
        <v>1095600</v>
      </c>
      <c r="J958" s="10">
        <v>0.03560000000000001</v>
      </c>
    </row>
    <row r="959" spans="1:10">
      <c r="A959" s="7" t="s">
        <v>1944</v>
      </c>
      <c r="B959" s="7" t="s">
        <v>1957</v>
      </c>
      <c r="C959" s="8">
        <f>QS.CONTEXT.CREATE("market.957",A959,"USD","SOFR")</f>
        <v/>
      </c>
      <c r="D959" s="8">
        <f>QS.CONTEXT.ADD.CURVE(C959,"SOFR",$K$2:$K$7,$L$2:$L$7,,,"Actual360","LogLinear",TRUE)</f>
        <v/>
      </c>
      <c r="E959" s="8">
        <f>QS.INSTRUMENT.SWAP("swap.957",C959,H959,B959,"USD","SOFR",I959,J959,0,"Actual360","Simple","Annual","Annual","Annual")</f>
        <v/>
      </c>
      <c r="F959" s="8">
        <f>QS.TRADE.CREATE("trade.957",C959,E959,A959,"Receive")</f>
        <v/>
      </c>
      <c r="G959" s="5"/>
      <c r="H959" s="7" t="s">
        <v>1958</v>
      </c>
      <c r="I959" s="9">
        <v>1095700</v>
      </c>
      <c r="J959" s="10">
        <v>0.0357</v>
      </c>
    </row>
    <row r="960" spans="1:10">
      <c r="A960" s="7" t="s">
        <v>1946</v>
      </c>
      <c r="B960" s="7" t="s">
        <v>1959</v>
      </c>
      <c r="C960" s="8">
        <f>QS.CONTEXT.CREATE("market.958",A960,"USD","SOFR")</f>
        <v/>
      </c>
      <c r="D960" s="8">
        <f>QS.CONTEXT.ADD.CURVE(C960,"SOFR",$K$2:$K$7,$L$2:$L$7,,,"Actual360","LogLinear",TRUE)</f>
        <v/>
      </c>
      <c r="E960" s="8">
        <f>QS.INSTRUMENT.SWAP("swap.958",C960,H960,B960,"USD","SOFR",I960,J960,0,"Actual360","Simple","Annual","Annual","Annual")</f>
        <v/>
      </c>
      <c r="F960" s="8">
        <f>QS.TRADE.CREATE("trade.958",C960,E960,A960,"Receive")</f>
        <v/>
      </c>
      <c r="G960" s="5"/>
      <c r="H960" s="7" t="s">
        <v>1960</v>
      </c>
      <c r="I960" s="9">
        <v>1095800</v>
      </c>
      <c r="J960" s="10">
        <v>0.03580000000000001</v>
      </c>
    </row>
    <row r="961" spans="1:10">
      <c r="A961" s="7" t="s">
        <v>1948</v>
      </c>
      <c r="B961" s="7" t="s">
        <v>1961</v>
      </c>
      <c r="C961" s="8">
        <f>QS.CONTEXT.CREATE("market.959",A961,"USD","SOFR")</f>
        <v/>
      </c>
      <c r="D961" s="8">
        <f>QS.CONTEXT.ADD.CURVE(C961,"SOFR",$K$2:$K$7,$L$2:$L$7,,,"Actual360","LogLinear",TRUE)</f>
        <v/>
      </c>
      <c r="E961" s="8">
        <f>QS.INSTRUMENT.SWAP("swap.959",C961,H961,B961,"USD","SOFR",I961,J961,0,"Actual360","Simple","Annual","Annual","Annual")</f>
        <v/>
      </c>
      <c r="F961" s="8">
        <f>QS.TRADE.CREATE("trade.959",C961,E961,A961,"Receive")</f>
        <v/>
      </c>
      <c r="G961" s="5"/>
      <c r="H961" s="7" t="s">
        <v>1962</v>
      </c>
      <c r="I961" s="9">
        <v>1095900</v>
      </c>
      <c r="J961" s="10">
        <v>0.0359</v>
      </c>
    </row>
    <row r="962" spans="1:10">
      <c r="A962" s="7" t="s">
        <v>1950</v>
      </c>
      <c r="B962" s="7" t="s">
        <v>1963</v>
      </c>
      <c r="C962" s="8">
        <f>QS.CONTEXT.CREATE("market.960",A962,"USD","SOFR")</f>
        <v/>
      </c>
      <c r="D962" s="8">
        <f>QS.CONTEXT.ADD.CURVE(C962,"SOFR",$K$2:$K$7,$L$2:$L$7,,,"Actual360","LogLinear",TRUE)</f>
        <v/>
      </c>
      <c r="E962" s="8">
        <f>QS.INSTRUMENT.SWAP("swap.960",C962,H962,B962,"USD","SOFR",I962,J962,0,"Actual360","Simple","Annual","Annual","Annual")</f>
        <v/>
      </c>
      <c r="F962" s="8">
        <f>QS.TRADE.CREATE("trade.960",C962,E962,A962,"Receive")</f>
        <v/>
      </c>
      <c r="G962" s="5"/>
      <c r="H962" s="7" t="s">
        <v>1964</v>
      </c>
      <c r="I962" s="9">
        <v>1096000</v>
      </c>
      <c r="J962" s="10">
        <v>0.036</v>
      </c>
    </row>
    <row r="963" spans="1:10">
      <c r="A963" s="7" t="s">
        <v>1952</v>
      </c>
      <c r="B963" s="7" t="s">
        <v>1965</v>
      </c>
      <c r="C963" s="8">
        <f>QS.CONTEXT.CREATE("market.961",A963,"USD","SOFR")</f>
        <v/>
      </c>
      <c r="D963" s="8">
        <f>QS.CONTEXT.ADD.CURVE(C963,"SOFR",$K$2:$K$7,$L$2:$L$7,,,"Actual360","LogLinear",TRUE)</f>
        <v/>
      </c>
      <c r="E963" s="8">
        <f>QS.INSTRUMENT.SWAP("swap.961",C963,H963,B963,"USD","SOFR",I963,J963,0,"Actual360","Simple","Annual","Annual","Annual")</f>
        <v/>
      </c>
      <c r="F963" s="8">
        <f>QS.TRADE.CREATE("trade.961",C963,E963,A963,"Receive")</f>
        <v/>
      </c>
      <c r="G963" s="5"/>
      <c r="H963" s="7" t="s">
        <v>1966</v>
      </c>
      <c r="I963" s="9">
        <v>1096100</v>
      </c>
      <c r="J963" s="10">
        <v>0.0361</v>
      </c>
    </row>
    <row r="964" spans="1:10">
      <c r="A964" s="7" t="s">
        <v>1954</v>
      </c>
      <c r="B964" s="7" t="s">
        <v>1967</v>
      </c>
      <c r="C964" s="8">
        <f>QS.CONTEXT.CREATE("market.962",A964,"USD","SOFR")</f>
        <v/>
      </c>
      <c r="D964" s="8">
        <f>QS.CONTEXT.ADD.CURVE(C964,"SOFR",$K$2:$K$7,$L$2:$L$7,,,"Actual360","LogLinear",TRUE)</f>
        <v/>
      </c>
      <c r="E964" s="8">
        <f>QS.INSTRUMENT.SWAP("swap.962",C964,H964,B964,"USD","SOFR",I964,J964,0,"Actual360","Simple","Annual","Annual","Annual")</f>
        <v/>
      </c>
      <c r="F964" s="8">
        <f>QS.TRADE.CREATE("trade.962",C964,E964,A964,"Receive")</f>
        <v/>
      </c>
      <c r="G964" s="5"/>
      <c r="H964" s="7" t="s">
        <v>1968</v>
      </c>
      <c r="I964" s="9">
        <v>1096200</v>
      </c>
      <c r="J964" s="10">
        <v>0.0362</v>
      </c>
    </row>
    <row r="965" spans="1:10">
      <c r="A965" s="7" t="s">
        <v>1956</v>
      </c>
      <c r="B965" s="7" t="s">
        <v>1969</v>
      </c>
      <c r="C965" s="8">
        <f>QS.CONTEXT.CREATE("market.963",A965,"USD","SOFR")</f>
        <v/>
      </c>
      <c r="D965" s="8">
        <f>QS.CONTEXT.ADD.CURVE(C965,"SOFR",$K$2:$K$7,$L$2:$L$7,,,"Actual360","LogLinear",TRUE)</f>
        <v/>
      </c>
      <c r="E965" s="8">
        <f>QS.INSTRUMENT.SWAP("swap.963",C965,H965,B965,"USD","SOFR",I965,J965,0,"Actual360","Simple","Annual","Annual","Annual")</f>
        <v/>
      </c>
      <c r="F965" s="8">
        <f>QS.TRADE.CREATE("trade.963",C965,E965,A965,"Receive")</f>
        <v/>
      </c>
      <c r="G965" s="5"/>
      <c r="H965" s="7" t="s">
        <v>1970</v>
      </c>
      <c r="I965" s="9">
        <v>1096300</v>
      </c>
      <c r="J965" s="10">
        <v>0.03630000000000001</v>
      </c>
    </row>
    <row r="966" spans="1:10">
      <c r="A966" s="7" t="s">
        <v>1958</v>
      </c>
      <c r="B966" s="7" t="s">
        <v>1971</v>
      </c>
      <c r="C966" s="8">
        <f>QS.CONTEXT.CREATE("market.964",A966,"USD","SOFR")</f>
        <v/>
      </c>
      <c r="D966" s="8">
        <f>QS.CONTEXT.ADD.CURVE(C966,"SOFR",$K$2:$K$7,$L$2:$L$7,,,"Actual360","LogLinear",TRUE)</f>
        <v/>
      </c>
      <c r="E966" s="8">
        <f>QS.INSTRUMENT.SWAP("swap.964",C966,H966,B966,"USD","SOFR",I966,J966,0,"Actual360","Simple","Annual","Annual","Annual")</f>
        <v/>
      </c>
      <c r="F966" s="8">
        <f>QS.TRADE.CREATE("trade.964",C966,E966,A966,"Receive")</f>
        <v/>
      </c>
      <c r="G966" s="5"/>
      <c r="H966" s="7" t="s">
        <v>1972</v>
      </c>
      <c r="I966" s="9">
        <v>1096400</v>
      </c>
      <c r="J966" s="10">
        <v>0.0364</v>
      </c>
    </row>
    <row r="967" spans="1:10">
      <c r="A967" s="7" t="s">
        <v>1960</v>
      </c>
      <c r="B967" s="7" t="s">
        <v>1973</v>
      </c>
      <c r="C967" s="8">
        <f>QS.CONTEXT.CREATE("market.965",A967,"USD","SOFR")</f>
        <v/>
      </c>
      <c r="D967" s="8">
        <f>QS.CONTEXT.ADD.CURVE(C967,"SOFR",$K$2:$K$7,$L$2:$L$7,,,"Actual360","LogLinear",TRUE)</f>
        <v/>
      </c>
      <c r="E967" s="8">
        <f>QS.INSTRUMENT.SWAP("swap.965",C967,H967,B967,"USD","SOFR",I967,J967,0,"Actual360","Simple","Annual","Annual","Annual")</f>
        <v/>
      </c>
      <c r="F967" s="8">
        <f>QS.TRADE.CREATE("trade.965",C967,E967,A967,"Receive")</f>
        <v/>
      </c>
      <c r="G967" s="5"/>
      <c r="H967" s="7" t="s">
        <v>1974</v>
      </c>
      <c r="I967" s="9">
        <v>1096500</v>
      </c>
      <c r="J967" s="10">
        <v>0.0365</v>
      </c>
    </row>
    <row r="968" spans="1:10">
      <c r="A968" s="7" t="s">
        <v>1962</v>
      </c>
      <c r="B968" s="7" t="s">
        <v>1975</v>
      </c>
      <c r="C968" s="8">
        <f>QS.CONTEXT.CREATE("market.966",A968,"USD","SOFR")</f>
        <v/>
      </c>
      <c r="D968" s="8">
        <f>QS.CONTEXT.ADD.CURVE(C968,"SOFR",$K$2:$K$7,$L$2:$L$7,,,"Actual360","LogLinear",TRUE)</f>
        <v/>
      </c>
      <c r="E968" s="8">
        <f>QS.INSTRUMENT.SWAP("swap.966",C968,H968,B968,"USD","SOFR",I968,J968,0,"Actual360","Simple","Annual","Annual","Annual")</f>
        <v/>
      </c>
      <c r="F968" s="8">
        <f>QS.TRADE.CREATE("trade.966",C968,E968,A968,"Receive")</f>
        <v/>
      </c>
      <c r="G968" s="5"/>
      <c r="H968" s="7" t="s">
        <v>1976</v>
      </c>
      <c r="I968" s="9">
        <v>1096600</v>
      </c>
      <c r="J968" s="10">
        <v>0.0366</v>
      </c>
    </row>
    <row r="969" spans="1:10">
      <c r="A969" s="7" t="s">
        <v>1964</v>
      </c>
      <c r="B969" s="7" t="s">
        <v>1977</v>
      </c>
      <c r="C969" s="8">
        <f>QS.CONTEXT.CREATE("market.967",A969,"USD","SOFR")</f>
        <v/>
      </c>
      <c r="D969" s="8">
        <f>QS.CONTEXT.ADD.CURVE(C969,"SOFR",$K$2:$K$7,$L$2:$L$7,,,"Actual360","LogLinear",TRUE)</f>
        <v/>
      </c>
      <c r="E969" s="8">
        <f>QS.INSTRUMENT.SWAP("swap.967",C969,H969,B969,"USD","SOFR",I969,J969,0,"Actual360","Simple","Annual","Annual","Annual")</f>
        <v/>
      </c>
      <c r="F969" s="8">
        <f>QS.TRADE.CREATE("trade.967",C969,E969,A969,"Receive")</f>
        <v/>
      </c>
      <c r="G969" s="5"/>
      <c r="H969" s="7" t="s">
        <v>1978</v>
      </c>
      <c r="I969" s="9">
        <v>1096700</v>
      </c>
      <c r="J969" s="10">
        <v>0.0367</v>
      </c>
    </row>
    <row r="970" spans="1:10">
      <c r="A970" s="7" t="s">
        <v>1966</v>
      </c>
      <c r="B970" s="7" t="s">
        <v>1979</v>
      </c>
      <c r="C970" s="8">
        <f>QS.CONTEXT.CREATE("market.968",A970,"USD","SOFR")</f>
        <v/>
      </c>
      <c r="D970" s="8">
        <f>QS.CONTEXT.ADD.CURVE(C970,"SOFR",$K$2:$K$7,$L$2:$L$7,,,"Actual360","LogLinear",TRUE)</f>
        <v/>
      </c>
      <c r="E970" s="8">
        <f>QS.INSTRUMENT.SWAP("swap.968",C970,H970,B970,"USD","SOFR",I970,J970,0,"Actual360","Simple","Annual","Annual","Annual")</f>
        <v/>
      </c>
      <c r="F970" s="8">
        <f>QS.TRADE.CREATE("trade.968",C970,E970,A970,"Receive")</f>
        <v/>
      </c>
      <c r="G970" s="5"/>
      <c r="H970" s="7" t="s">
        <v>1980</v>
      </c>
      <c r="I970" s="9">
        <v>1096800</v>
      </c>
      <c r="J970" s="10">
        <v>0.03680000000000001</v>
      </c>
    </row>
    <row r="971" spans="1:10">
      <c r="A971" s="7" t="s">
        <v>1968</v>
      </c>
      <c r="B971" s="7" t="s">
        <v>1981</v>
      </c>
      <c r="C971" s="8">
        <f>QS.CONTEXT.CREATE("market.969",A971,"USD","SOFR")</f>
        <v/>
      </c>
      <c r="D971" s="8">
        <f>QS.CONTEXT.ADD.CURVE(C971,"SOFR",$K$2:$K$7,$L$2:$L$7,,,"Actual360","LogLinear",TRUE)</f>
        <v/>
      </c>
      <c r="E971" s="8">
        <f>QS.INSTRUMENT.SWAP("swap.969",C971,H971,B971,"USD","SOFR",I971,J971,0,"Actual360","Simple","Annual","Annual","Annual")</f>
        <v/>
      </c>
      <c r="F971" s="8">
        <f>QS.TRADE.CREATE("trade.969",C971,E971,A971,"Receive")</f>
        <v/>
      </c>
      <c r="G971" s="5"/>
      <c r="H971" s="7" t="s">
        <v>1982</v>
      </c>
      <c r="I971" s="9">
        <v>1096900</v>
      </c>
      <c r="J971" s="10">
        <v>0.0369</v>
      </c>
    </row>
    <row r="972" spans="1:10">
      <c r="A972" s="7" t="s">
        <v>1970</v>
      </c>
      <c r="B972" s="7" t="s">
        <v>1983</v>
      </c>
      <c r="C972" s="8">
        <f>QS.CONTEXT.CREATE("market.970",A972,"USD","SOFR")</f>
        <v/>
      </c>
      <c r="D972" s="8">
        <f>QS.CONTEXT.ADD.CURVE(C972,"SOFR",$K$2:$K$7,$L$2:$L$7,,,"Actual360","LogLinear",TRUE)</f>
        <v/>
      </c>
      <c r="E972" s="8">
        <f>QS.INSTRUMENT.SWAP("swap.970",C972,H972,B972,"USD","SOFR",I972,J972,0,"Actual360","Simple","Annual","Annual","Annual")</f>
        <v/>
      </c>
      <c r="F972" s="8">
        <f>QS.TRADE.CREATE("trade.970",C972,E972,A972,"Receive")</f>
        <v/>
      </c>
      <c r="G972" s="5"/>
      <c r="H972" s="7" t="s">
        <v>1984</v>
      </c>
      <c r="I972" s="9">
        <v>1097000</v>
      </c>
      <c r="J972" s="10">
        <v>0.03700000000000001</v>
      </c>
    </row>
    <row r="973" spans="1:10">
      <c r="A973" s="7" t="s">
        <v>1972</v>
      </c>
      <c r="B973" s="7" t="s">
        <v>1985</v>
      </c>
      <c r="C973" s="8">
        <f>QS.CONTEXT.CREATE("market.971",A973,"USD","SOFR")</f>
        <v/>
      </c>
      <c r="D973" s="8">
        <f>QS.CONTEXT.ADD.CURVE(C973,"SOFR",$K$2:$K$7,$L$2:$L$7,,,"Actual360","LogLinear",TRUE)</f>
        <v/>
      </c>
      <c r="E973" s="8">
        <f>QS.INSTRUMENT.SWAP("swap.971",C973,H973,B973,"USD","SOFR",I973,J973,0,"Actual360","Simple","Annual","Annual","Annual")</f>
        <v/>
      </c>
      <c r="F973" s="8">
        <f>QS.TRADE.CREATE("trade.971",C973,E973,A973,"Receive")</f>
        <v/>
      </c>
      <c r="G973" s="5"/>
      <c r="H973" s="7" t="s">
        <v>1986</v>
      </c>
      <c r="I973" s="9">
        <v>1097100</v>
      </c>
      <c r="J973" s="10">
        <v>0.0371</v>
      </c>
    </row>
    <row r="974" spans="1:10">
      <c r="A974" s="7" t="s">
        <v>1974</v>
      </c>
      <c r="B974" s="7" t="s">
        <v>1987</v>
      </c>
      <c r="C974" s="8">
        <f>QS.CONTEXT.CREATE("market.972",A974,"USD","SOFR")</f>
        <v/>
      </c>
      <c r="D974" s="8">
        <f>QS.CONTEXT.ADD.CURVE(C974,"SOFR",$K$2:$K$7,$L$2:$L$7,,,"Actual360","LogLinear",TRUE)</f>
        <v/>
      </c>
      <c r="E974" s="8">
        <f>QS.INSTRUMENT.SWAP("swap.972",C974,H974,B974,"USD","SOFR",I974,J974,0,"Actual360","Simple","Annual","Annual","Annual")</f>
        <v/>
      </c>
      <c r="F974" s="8">
        <f>QS.TRADE.CREATE("trade.972",C974,E974,A974,"Receive")</f>
        <v/>
      </c>
      <c r="G974" s="5"/>
      <c r="H974" s="7" t="s">
        <v>1988</v>
      </c>
      <c r="I974" s="9">
        <v>1097200</v>
      </c>
      <c r="J974" s="10">
        <v>0.0372</v>
      </c>
    </row>
    <row r="975" spans="1:10">
      <c r="A975" s="7" t="s">
        <v>1976</v>
      </c>
      <c r="B975" s="7" t="s">
        <v>1989</v>
      </c>
      <c r="C975" s="8">
        <f>QS.CONTEXT.CREATE("market.973",A975,"USD","SOFR")</f>
        <v/>
      </c>
      <c r="D975" s="8">
        <f>QS.CONTEXT.ADD.CURVE(C975,"SOFR",$K$2:$K$7,$L$2:$L$7,,,"Actual360","LogLinear",TRUE)</f>
        <v/>
      </c>
      <c r="E975" s="8">
        <f>QS.INSTRUMENT.SWAP("swap.973",C975,H975,B975,"USD","SOFR",I975,J975,0,"Actual360","Simple","Annual","Annual","Annual")</f>
        <v/>
      </c>
      <c r="F975" s="8">
        <f>QS.TRADE.CREATE("trade.973",C975,E975,A975,"Receive")</f>
        <v/>
      </c>
      <c r="G975" s="5"/>
      <c r="H975" s="7" t="s">
        <v>1990</v>
      </c>
      <c r="I975" s="9">
        <v>1097300</v>
      </c>
      <c r="J975" s="10">
        <v>0.0373</v>
      </c>
    </row>
    <row r="976" spans="1:10">
      <c r="A976" s="7" t="s">
        <v>1978</v>
      </c>
      <c r="B976" s="7" t="s">
        <v>1991</v>
      </c>
      <c r="C976" s="8">
        <f>QS.CONTEXT.CREATE("market.974",A976,"USD","SOFR")</f>
        <v/>
      </c>
      <c r="D976" s="8">
        <f>QS.CONTEXT.ADD.CURVE(C976,"SOFR",$K$2:$K$7,$L$2:$L$7,,,"Actual360","LogLinear",TRUE)</f>
        <v/>
      </c>
      <c r="E976" s="8">
        <f>QS.INSTRUMENT.SWAP("swap.974",C976,H976,B976,"USD","SOFR",I976,J976,0,"Actual360","Simple","Annual","Annual","Annual")</f>
        <v/>
      </c>
      <c r="F976" s="8">
        <f>QS.TRADE.CREATE("trade.974",C976,E976,A976,"Receive")</f>
        <v/>
      </c>
      <c r="G976" s="5"/>
      <c r="H976" s="7" t="s">
        <v>1992</v>
      </c>
      <c r="I976" s="9">
        <v>1097400</v>
      </c>
      <c r="J976" s="10">
        <v>0.0374</v>
      </c>
    </row>
    <row r="977" spans="1:10">
      <c r="A977" s="7" t="s">
        <v>1980</v>
      </c>
      <c r="B977" s="7" t="s">
        <v>1993</v>
      </c>
      <c r="C977" s="8">
        <f>QS.CONTEXT.CREATE("market.975",A977,"USD","SOFR")</f>
        <v/>
      </c>
      <c r="D977" s="8">
        <f>QS.CONTEXT.ADD.CURVE(C977,"SOFR",$K$2:$K$7,$L$2:$L$7,,,"Actual360","LogLinear",TRUE)</f>
        <v/>
      </c>
      <c r="E977" s="8">
        <f>QS.INSTRUMENT.SWAP("swap.975",C977,H977,B977,"USD","SOFR",I977,J977,0,"Actual360","Simple","Annual","Annual","Annual")</f>
        <v/>
      </c>
      <c r="F977" s="8">
        <f>QS.TRADE.CREATE("trade.975",C977,E977,A977,"Receive")</f>
        <v/>
      </c>
      <c r="G977" s="5"/>
      <c r="H977" s="7" t="s">
        <v>1994</v>
      </c>
      <c r="I977" s="9">
        <v>1097500</v>
      </c>
      <c r="J977" s="10">
        <v>0.03750000000000001</v>
      </c>
    </row>
    <row r="978" spans="1:10">
      <c r="A978" s="7" t="s">
        <v>1982</v>
      </c>
      <c r="B978" s="7" t="s">
        <v>1995</v>
      </c>
      <c r="C978" s="8">
        <f>QS.CONTEXT.CREATE("market.976",A978,"USD","SOFR")</f>
        <v/>
      </c>
      <c r="D978" s="8">
        <f>QS.CONTEXT.ADD.CURVE(C978,"SOFR",$K$2:$K$7,$L$2:$L$7,,,"Actual360","LogLinear",TRUE)</f>
        <v/>
      </c>
      <c r="E978" s="8">
        <f>QS.INSTRUMENT.SWAP("swap.976",C978,H978,B978,"USD","SOFR",I978,J978,0,"Actual360","Simple","Annual","Annual","Annual")</f>
        <v/>
      </c>
      <c r="F978" s="8">
        <f>QS.TRADE.CREATE("trade.976",C978,E978,A978,"Receive")</f>
        <v/>
      </c>
      <c r="G978" s="5"/>
      <c r="H978" s="7" t="s">
        <v>1996</v>
      </c>
      <c r="I978" s="9">
        <v>1097600</v>
      </c>
      <c r="J978" s="10">
        <v>0.0376</v>
      </c>
    </row>
    <row r="979" spans="1:10">
      <c r="A979" s="7" t="s">
        <v>1984</v>
      </c>
      <c r="B979" s="7" t="s">
        <v>1997</v>
      </c>
      <c r="C979" s="8">
        <f>QS.CONTEXT.CREATE("market.977",A979,"USD","SOFR")</f>
        <v/>
      </c>
      <c r="D979" s="8">
        <f>QS.CONTEXT.ADD.CURVE(C979,"SOFR",$K$2:$K$7,$L$2:$L$7,,,"Actual360","LogLinear",TRUE)</f>
        <v/>
      </c>
      <c r="E979" s="8">
        <f>QS.INSTRUMENT.SWAP("swap.977",C979,H979,B979,"USD","SOFR",I979,J979,0,"Actual360","Simple","Annual","Annual","Annual")</f>
        <v/>
      </c>
      <c r="F979" s="8">
        <f>QS.TRADE.CREATE("trade.977",C979,E979,A979,"Receive")</f>
        <v/>
      </c>
      <c r="G979" s="5"/>
      <c r="H979" s="7" t="s">
        <v>1998</v>
      </c>
      <c r="I979" s="9">
        <v>1097700</v>
      </c>
      <c r="J979" s="10">
        <v>0.0377</v>
      </c>
    </row>
    <row r="980" spans="1:10">
      <c r="A980" s="7" t="s">
        <v>1986</v>
      </c>
      <c r="B980" s="7" t="s">
        <v>1999</v>
      </c>
      <c r="C980" s="8">
        <f>QS.CONTEXT.CREATE("market.978",A980,"USD","SOFR")</f>
        <v/>
      </c>
      <c r="D980" s="8">
        <f>QS.CONTEXT.ADD.CURVE(C980,"SOFR",$K$2:$K$7,$L$2:$L$7,,,"Actual360","LogLinear",TRUE)</f>
        <v/>
      </c>
      <c r="E980" s="8">
        <f>QS.INSTRUMENT.SWAP("swap.978",C980,H980,B980,"USD","SOFR",I980,J980,0,"Actual360","Simple","Annual","Annual","Annual")</f>
        <v/>
      </c>
      <c r="F980" s="8">
        <f>QS.TRADE.CREATE("trade.978",C980,E980,A980,"Receive")</f>
        <v/>
      </c>
      <c r="G980" s="5"/>
      <c r="H980" s="7" t="s">
        <v>2000</v>
      </c>
      <c r="I980" s="9">
        <v>1097800</v>
      </c>
      <c r="J980" s="10">
        <v>0.0378</v>
      </c>
    </row>
    <row r="981" spans="1:10">
      <c r="A981" s="7" t="s">
        <v>1988</v>
      </c>
      <c r="B981" s="7" t="s">
        <v>2001</v>
      </c>
      <c r="C981" s="8">
        <f>QS.CONTEXT.CREATE("market.979",A981,"USD","SOFR")</f>
        <v/>
      </c>
      <c r="D981" s="8">
        <f>QS.CONTEXT.ADD.CURVE(C981,"SOFR",$K$2:$K$7,$L$2:$L$7,,,"Actual360","LogLinear",TRUE)</f>
        <v/>
      </c>
      <c r="E981" s="8">
        <f>QS.INSTRUMENT.SWAP("swap.979",C981,H981,B981,"USD","SOFR",I981,J981,0,"Actual360","Simple","Annual","Annual","Annual")</f>
        <v/>
      </c>
      <c r="F981" s="8">
        <f>QS.TRADE.CREATE("trade.979",C981,E981,A981,"Receive")</f>
        <v/>
      </c>
      <c r="G981" s="5"/>
      <c r="H981" s="7" t="s">
        <v>2002</v>
      </c>
      <c r="I981" s="9">
        <v>1097900</v>
      </c>
      <c r="J981" s="10">
        <v>0.0379</v>
      </c>
    </row>
    <row r="982" spans="1:10">
      <c r="A982" s="7" t="s">
        <v>1990</v>
      </c>
      <c r="B982" s="7" t="s">
        <v>2003</v>
      </c>
      <c r="C982" s="8">
        <f>QS.CONTEXT.CREATE("market.980",A982,"USD","SOFR")</f>
        <v/>
      </c>
      <c r="D982" s="8">
        <f>QS.CONTEXT.ADD.CURVE(C982,"SOFR",$K$2:$K$7,$L$2:$L$7,,,"Actual360","LogLinear",TRUE)</f>
        <v/>
      </c>
      <c r="E982" s="8">
        <f>QS.INSTRUMENT.SWAP("swap.980",C982,H982,B982,"USD","SOFR",I982,J982,0,"Actual360","Simple","Annual","Annual","Annual")</f>
        <v/>
      </c>
      <c r="F982" s="8">
        <f>QS.TRADE.CREATE("trade.980",C982,E982,A982,"Receive")</f>
        <v/>
      </c>
      <c r="G982" s="5"/>
      <c r="H982" s="7" t="s">
        <v>2004</v>
      </c>
      <c r="I982" s="9">
        <v>1098000</v>
      </c>
      <c r="J982" s="10">
        <v>0.03800000000000001</v>
      </c>
    </row>
    <row r="983" spans="1:10">
      <c r="A983" s="7" t="s">
        <v>1992</v>
      </c>
      <c r="B983" s="7" t="s">
        <v>2005</v>
      </c>
      <c r="C983" s="8">
        <f>QS.CONTEXT.CREATE("market.981",A983,"USD","SOFR")</f>
        <v/>
      </c>
      <c r="D983" s="8">
        <f>QS.CONTEXT.ADD.CURVE(C983,"SOFR",$K$2:$K$7,$L$2:$L$7,,,"Actual360","LogLinear",TRUE)</f>
        <v/>
      </c>
      <c r="E983" s="8">
        <f>QS.INSTRUMENT.SWAP("swap.981",C983,H983,B983,"USD","SOFR",I983,J983,0,"Actual360","Simple","Annual","Annual","Annual")</f>
        <v/>
      </c>
      <c r="F983" s="8">
        <f>QS.TRADE.CREATE("trade.981",C983,E983,A983,"Receive")</f>
        <v/>
      </c>
      <c r="G983" s="5"/>
      <c r="H983" s="7" t="s">
        <v>2006</v>
      </c>
      <c r="I983" s="9">
        <v>1098100</v>
      </c>
      <c r="J983" s="10">
        <v>0.0381</v>
      </c>
    </row>
    <row r="984" spans="1:10">
      <c r="A984" s="7" t="s">
        <v>1994</v>
      </c>
      <c r="B984" s="7" t="s">
        <v>2007</v>
      </c>
      <c r="C984" s="8">
        <f>QS.CONTEXT.CREATE("market.982",A984,"USD","SOFR")</f>
        <v/>
      </c>
      <c r="D984" s="8">
        <f>QS.CONTEXT.ADD.CURVE(C984,"SOFR",$K$2:$K$7,$L$2:$L$7,,,"Actual360","LogLinear",TRUE)</f>
        <v/>
      </c>
      <c r="E984" s="8">
        <f>QS.INSTRUMENT.SWAP("swap.982",C984,H984,B984,"USD","SOFR",I984,J984,0,"Actual360","Simple","Annual","Annual","Annual")</f>
        <v/>
      </c>
      <c r="F984" s="8">
        <f>QS.TRADE.CREATE("trade.982",C984,E984,A984,"Receive")</f>
        <v/>
      </c>
      <c r="G984" s="5"/>
      <c r="H984" s="7" t="s">
        <v>2008</v>
      </c>
      <c r="I984" s="9">
        <v>1098200</v>
      </c>
      <c r="J984" s="10">
        <v>0.0382</v>
      </c>
    </row>
    <row r="985" spans="1:10">
      <c r="A985" s="7" t="s">
        <v>1996</v>
      </c>
      <c r="B985" s="7" t="s">
        <v>2009</v>
      </c>
      <c r="C985" s="8">
        <f>QS.CONTEXT.CREATE("market.983",A985,"USD","SOFR")</f>
        <v/>
      </c>
      <c r="D985" s="8">
        <f>QS.CONTEXT.ADD.CURVE(C985,"SOFR",$K$2:$K$7,$L$2:$L$7,,,"Actual360","LogLinear",TRUE)</f>
        <v/>
      </c>
      <c r="E985" s="8">
        <f>QS.INSTRUMENT.SWAP("swap.983",C985,H985,B985,"USD","SOFR",I985,J985,0,"Actual360","Simple","Annual","Annual","Annual")</f>
        <v/>
      </c>
      <c r="F985" s="8">
        <f>QS.TRADE.CREATE("trade.983",C985,E985,A985,"Receive")</f>
        <v/>
      </c>
      <c r="G985" s="5"/>
      <c r="H985" s="7" t="s">
        <v>2010</v>
      </c>
      <c r="I985" s="9">
        <v>1098300</v>
      </c>
      <c r="J985" s="10">
        <v>0.0383</v>
      </c>
    </row>
    <row r="986" spans="1:10">
      <c r="A986" s="7" t="s">
        <v>1998</v>
      </c>
      <c r="B986" s="7" t="s">
        <v>2011</v>
      </c>
      <c r="C986" s="8">
        <f>QS.CONTEXT.CREATE("market.984",A986,"USD","SOFR")</f>
        <v/>
      </c>
      <c r="D986" s="8">
        <f>QS.CONTEXT.ADD.CURVE(C986,"SOFR",$K$2:$K$7,$L$2:$L$7,,,"Actual360","LogLinear",TRUE)</f>
        <v/>
      </c>
      <c r="E986" s="8">
        <f>QS.INSTRUMENT.SWAP("swap.984",C986,H986,B986,"USD","SOFR",I986,J986,0,"Actual360","Simple","Annual","Annual","Annual")</f>
        <v/>
      </c>
      <c r="F986" s="8">
        <f>QS.TRADE.CREATE("trade.984",C986,E986,A986,"Receive")</f>
        <v/>
      </c>
      <c r="G986" s="5"/>
      <c r="H986" s="7" t="s">
        <v>2012</v>
      </c>
      <c r="I986" s="9">
        <v>1098400</v>
      </c>
      <c r="J986" s="10">
        <v>0.0384</v>
      </c>
    </row>
    <row r="987" spans="1:10">
      <c r="A987" s="7" t="s">
        <v>2000</v>
      </c>
      <c r="B987" s="7" t="s">
        <v>2013</v>
      </c>
      <c r="C987" s="8">
        <f>QS.CONTEXT.CREATE("market.985",A987,"USD","SOFR")</f>
        <v/>
      </c>
      <c r="D987" s="8">
        <f>QS.CONTEXT.ADD.CURVE(C987,"SOFR",$K$2:$K$7,$L$2:$L$7,,,"Actual360","LogLinear",TRUE)</f>
        <v/>
      </c>
      <c r="E987" s="8">
        <f>QS.INSTRUMENT.SWAP("swap.985",C987,H987,B987,"USD","SOFR",I987,J987,0,"Actual360","Simple","Annual","Annual","Annual")</f>
        <v/>
      </c>
      <c r="F987" s="8">
        <f>QS.TRADE.CREATE("trade.985",C987,E987,A987,"Receive")</f>
        <v/>
      </c>
      <c r="G987" s="5"/>
      <c r="H987" s="7" t="s">
        <v>2014</v>
      </c>
      <c r="I987" s="9">
        <v>1098500</v>
      </c>
      <c r="J987" s="10">
        <v>0.03850000000000001</v>
      </c>
    </row>
    <row r="988" spans="1:10">
      <c r="A988" s="7" t="s">
        <v>2002</v>
      </c>
      <c r="B988" s="7" t="s">
        <v>2015</v>
      </c>
      <c r="C988" s="8">
        <f>QS.CONTEXT.CREATE("market.986",A988,"USD","SOFR")</f>
        <v/>
      </c>
      <c r="D988" s="8">
        <f>QS.CONTEXT.ADD.CURVE(C988,"SOFR",$K$2:$K$7,$L$2:$L$7,,,"Actual360","LogLinear",TRUE)</f>
        <v/>
      </c>
      <c r="E988" s="8">
        <f>QS.INSTRUMENT.SWAP("swap.986",C988,H988,B988,"USD","SOFR",I988,J988,0,"Actual360","Simple","Annual","Annual","Annual")</f>
        <v/>
      </c>
      <c r="F988" s="8">
        <f>QS.TRADE.CREATE("trade.986",C988,E988,A988,"Receive")</f>
        <v/>
      </c>
      <c r="G988" s="5"/>
      <c r="H988" s="7" t="s">
        <v>2016</v>
      </c>
      <c r="I988" s="9">
        <v>1098600</v>
      </c>
      <c r="J988" s="10">
        <v>0.0386</v>
      </c>
    </row>
    <row r="989" spans="1:10">
      <c r="A989" s="7" t="s">
        <v>2004</v>
      </c>
      <c r="B989" s="7" t="s">
        <v>2017</v>
      </c>
      <c r="C989" s="8">
        <f>QS.CONTEXT.CREATE("market.987",A989,"USD","SOFR")</f>
        <v/>
      </c>
      <c r="D989" s="8">
        <f>QS.CONTEXT.ADD.CURVE(C989,"SOFR",$K$2:$K$7,$L$2:$L$7,,,"Actual360","LogLinear",TRUE)</f>
        <v/>
      </c>
      <c r="E989" s="8">
        <f>QS.INSTRUMENT.SWAP("swap.987",C989,H989,B989,"USD","SOFR",I989,J989,0,"Actual360","Simple","Annual","Annual","Annual")</f>
        <v/>
      </c>
      <c r="F989" s="8">
        <f>QS.TRADE.CREATE("trade.987",C989,E989,A989,"Receive")</f>
        <v/>
      </c>
      <c r="G989" s="5"/>
      <c r="H989" s="7" t="s">
        <v>2018</v>
      </c>
      <c r="I989" s="9">
        <v>1098700</v>
      </c>
      <c r="J989" s="10">
        <v>0.03870000000000001</v>
      </c>
    </row>
    <row r="990" spans="1:10">
      <c r="A990" s="7" t="s">
        <v>2006</v>
      </c>
      <c r="B990" s="7" t="s">
        <v>2019</v>
      </c>
      <c r="C990" s="8">
        <f>QS.CONTEXT.CREATE("market.988",A990,"USD","SOFR")</f>
        <v/>
      </c>
      <c r="D990" s="8">
        <f>QS.CONTEXT.ADD.CURVE(C990,"SOFR",$K$2:$K$7,$L$2:$L$7,,,"Actual360","LogLinear",TRUE)</f>
        <v/>
      </c>
      <c r="E990" s="8">
        <f>QS.INSTRUMENT.SWAP("swap.988",C990,H990,B990,"USD","SOFR",I990,J990,0,"Actual360","Simple","Annual","Annual","Annual")</f>
        <v/>
      </c>
      <c r="F990" s="8">
        <f>QS.TRADE.CREATE("trade.988",C990,E990,A990,"Receive")</f>
        <v/>
      </c>
      <c r="G990" s="5"/>
      <c r="H990" s="7" t="s">
        <v>2020</v>
      </c>
      <c r="I990" s="9">
        <v>1098800</v>
      </c>
      <c r="J990" s="10">
        <v>0.0388</v>
      </c>
    </row>
    <row r="991" spans="1:10">
      <c r="A991" s="7" t="s">
        <v>2008</v>
      </c>
      <c r="B991" s="7" t="s">
        <v>2021</v>
      </c>
      <c r="C991" s="8">
        <f>QS.CONTEXT.CREATE("market.989",A991,"USD","SOFR")</f>
        <v/>
      </c>
      <c r="D991" s="8">
        <f>QS.CONTEXT.ADD.CURVE(C991,"SOFR",$K$2:$K$7,$L$2:$L$7,,,"Actual360","LogLinear",TRUE)</f>
        <v/>
      </c>
      <c r="E991" s="8">
        <f>QS.INSTRUMENT.SWAP("swap.989",C991,H991,B991,"USD","SOFR",I991,J991,0,"Actual360","Simple","Annual","Annual","Annual")</f>
        <v/>
      </c>
      <c r="F991" s="8">
        <f>QS.TRADE.CREATE("trade.989",C991,E991,A991,"Receive")</f>
        <v/>
      </c>
      <c r="G991" s="5"/>
      <c r="H991" s="7" t="s">
        <v>2022</v>
      </c>
      <c r="I991" s="9">
        <v>1098900</v>
      </c>
      <c r="J991" s="10">
        <v>0.0389</v>
      </c>
    </row>
    <row r="992" spans="1:10">
      <c r="A992" s="7" t="s">
        <v>2010</v>
      </c>
      <c r="B992" s="7" t="s">
        <v>2023</v>
      </c>
      <c r="C992" s="8">
        <f>QS.CONTEXT.CREATE("market.990",A992,"USD","SOFR")</f>
        <v/>
      </c>
      <c r="D992" s="8">
        <f>QS.CONTEXT.ADD.CURVE(C992,"SOFR",$K$2:$K$7,$L$2:$L$7,,,"Actual360","LogLinear",TRUE)</f>
        <v/>
      </c>
      <c r="E992" s="8">
        <f>QS.INSTRUMENT.SWAP("swap.990",C992,H992,B992,"USD","SOFR",I992,J992,0,"Actual360","Simple","Annual","Annual","Annual")</f>
        <v/>
      </c>
      <c r="F992" s="8">
        <f>QS.TRADE.CREATE("trade.990",C992,E992,A992,"Receive")</f>
        <v/>
      </c>
      <c r="G992" s="5"/>
      <c r="H992" s="7" t="s">
        <v>2024</v>
      </c>
      <c r="I992" s="9">
        <v>1099000</v>
      </c>
      <c r="J992" s="10">
        <v>0.03900000000000001</v>
      </c>
    </row>
    <row r="993" spans="1:10">
      <c r="A993" s="7" t="s">
        <v>2012</v>
      </c>
      <c r="B993" s="7" t="s">
        <v>2025</v>
      </c>
      <c r="C993" s="8">
        <f>QS.CONTEXT.CREATE("market.991",A993,"USD","SOFR")</f>
        <v/>
      </c>
      <c r="D993" s="8">
        <f>QS.CONTEXT.ADD.CURVE(C993,"SOFR",$K$2:$K$7,$L$2:$L$7,,,"Actual360","LogLinear",TRUE)</f>
        <v/>
      </c>
      <c r="E993" s="8">
        <f>QS.INSTRUMENT.SWAP("swap.991",C993,H993,B993,"USD","SOFR",I993,J993,0,"Actual360","Simple","Annual","Annual","Annual")</f>
        <v/>
      </c>
      <c r="F993" s="8">
        <f>QS.TRADE.CREATE("trade.991",C993,E993,A993,"Receive")</f>
        <v/>
      </c>
      <c r="G993" s="5"/>
      <c r="H993" s="7" t="s">
        <v>2026</v>
      </c>
      <c r="I993" s="9">
        <v>1099100</v>
      </c>
      <c r="J993" s="10">
        <v>0.0391</v>
      </c>
    </row>
    <row r="994" spans="1:10">
      <c r="A994" s="7" t="s">
        <v>2014</v>
      </c>
      <c r="B994" s="7" t="s">
        <v>2027</v>
      </c>
      <c r="C994" s="8">
        <f>QS.CONTEXT.CREATE("market.992",A994,"USD","SOFR")</f>
        <v/>
      </c>
      <c r="D994" s="8">
        <f>QS.CONTEXT.ADD.CURVE(C994,"SOFR",$K$2:$K$7,$L$2:$L$7,,,"Actual360","LogLinear",TRUE)</f>
        <v/>
      </c>
      <c r="E994" s="8">
        <f>QS.INSTRUMENT.SWAP("swap.992",C994,H994,B994,"USD","SOFR",I994,J994,0,"Actual360","Simple","Annual","Annual","Annual")</f>
        <v/>
      </c>
      <c r="F994" s="8">
        <f>QS.TRADE.CREATE("trade.992",C994,E994,A994,"Receive")</f>
        <v/>
      </c>
      <c r="G994" s="5"/>
      <c r="H994" s="7" t="s">
        <v>2028</v>
      </c>
      <c r="I994" s="9">
        <v>1099200</v>
      </c>
      <c r="J994" s="10">
        <v>0.03920000000000001</v>
      </c>
    </row>
    <row r="995" spans="1:10">
      <c r="A995" s="7" t="s">
        <v>2016</v>
      </c>
      <c r="B995" s="7" t="s">
        <v>2029</v>
      </c>
      <c r="C995" s="8">
        <f>QS.CONTEXT.CREATE("market.993",A995,"USD","SOFR")</f>
        <v/>
      </c>
      <c r="D995" s="8">
        <f>QS.CONTEXT.ADD.CURVE(C995,"SOFR",$K$2:$K$7,$L$2:$L$7,,,"Actual360","LogLinear",TRUE)</f>
        <v/>
      </c>
      <c r="E995" s="8">
        <f>QS.INSTRUMENT.SWAP("swap.993",C995,H995,B995,"USD","SOFR",I995,J995,0,"Actual360","Simple","Annual","Annual","Annual")</f>
        <v/>
      </c>
      <c r="F995" s="8">
        <f>QS.TRADE.CREATE("trade.993",C995,E995,A995,"Receive")</f>
        <v/>
      </c>
      <c r="G995" s="5"/>
      <c r="H995" s="7" t="s">
        <v>2030</v>
      </c>
      <c r="I995" s="9">
        <v>1099300</v>
      </c>
      <c r="J995" s="10">
        <v>0.0393</v>
      </c>
    </row>
    <row r="996" spans="1:10">
      <c r="A996" s="7" t="s">
        <v>2018</v>
      </c>
      <c r="B996" s="7" t="s">
        <v>2031</v>
      </c>
      <c r="C996" s="8">
        <f>QS.CONTEXT.CREATE("market.994",A996,"USD","SOFR")</f>
        <v/>
      </c>
      <c r="D996" s="8">
        <f>QS.CONTEXT.ADD.CURVE(C996,"SOFR",$K$2:$K$7,$L$2:$L$7,,,"Actual360","LogLinear",TRUE)</f>
        <v/>
      </c>
      <c r="E996" s="8">
        <f>QS.INSTRUMENT.SWAP("swap.994",C996,H996,B996,"USD","SOFR",I996,J996,0,"Actual360","Simple","Annual","Annual","Annual")</f>
        <v/>
      </c>
      <c r="F996" s="8">
        <f>QS.TRADE.CREATE("trade.994",C996,E996,A996,"Receive")</f>
        <v/>
      </c>
      <c r="G996" s="5"/>
      <c r="H996" s="7" t="s">
        <v>2032</v>
      </c>
      <c r="I996" s="9">
        <v>1099400</v>
      </c>
      <c r="J996" s="10">
        <v>0.0394</v>
      </c>
    </row>
    <row r="997" spans="1:10">
      <c r="A997" s="7" t="s">
        <v>2020</v>
      </c>
      <c r="B997" s="7" t="s">
        <v>2033</v>
      </c>
      <c r="C997" s="8">
        <f>QS.CONTEXT.CREATE("market.995",A997,"USD","SOFR")</f>
        <v/>
      </c>
      <c r="D997" s="8">
        <f>QS.CONTEXT.ADD.CURVE(C997,"SOFR",$K$2:$K$7,$L$2:$L$7,,,"Actual360","LogLinear",TRUE)</f>
        <v/>
      </c>
      <c r="E997" s="8">
        <f>QS.INSTRUMENT.SWAP("swap.995",C997,H997,B997,"USD","SOFR",I997,J997,0,"Actual360","Simple","Annual","Annual","Annual")</f>
        <v/>
      </c>
      <c r="F997" s="8">
        <f>QS.TRADE.CREATE("trade.995",C997,E997,A997,"Receive")</f>
        <v/>
      </c>
      <c r="G997" s="5"/>
      <c r="H997" s="7" t="s">
        <v>2034</v>
      </c>
      <c r="I997" s="9">
        <v>1099500</v>
      </c>
      <c r="J997" s="10">
        <v>0.03950000000000001</v>
      </c>
    </row>
    <row r="998" spans="1:10">
      <c r="A998" s="7" t="s">
        <v>2022</v>
      </c>
      <c r="B998" s="7" t="s">
        <v>2035</v>
      </c>
      <c r="C998" s="8">
        <f>QS.CONTEXT.CREATE("market.996",A998,"USD","SOFR")</f>
        <v/>
      </c>
      <c r="D998" s="8">
        <f>QS.CONTEXT.ADD.CURVE(C998,"SOFR",$K$2:$K$7,$L$2:$L$7,,,"Actual360","LogLinear",TRUE)</f>
        <v/>
      </c>
      <c r="E998" s="8">
        <f>QS.INSTRUMENT.SWAP("swap.996",C998,H998,B998,"USD","SOFR",I998,J998,0,"Actual360","Simple","Annual","Annual","Annual")</f>
        <v/>
      </c>
      <c r="F998" s="8">
        <f>QS.TRADE.CREATE("trade.996",C998,E998,A998,"Receive")</f>
        <v/>
      </c>
      <c r="G998" s="5"/>
      <c r="H998" s="7" t="s">
        <v>2036</v>
      </c>
      <c r="I998" s="9">
        <v>1099600</v>
      </c>
      <c r="J998" s="10">
        <v>0.0396</v>
      </c>
    </row>
    <row r="999" spans="1:10">
      <c r="A999" s="7" t="s">
        <v>2024</v>
      </c>
      <c r="B999" s="7" t="s">
        <v>2037</v>
      </c>
      <c r="C999" s="8">
        <f>QS.CONTEXT.CREATE("market.997",A999,"USD","SOFR")</f>
        <v/>
      </c>
      <c r="D999" s="8">
        <f>QS.CONTEXT.ADD.CURVE(C999,"SOFR",$K$2:$K$7,$L$2:$L$7,,,"Actual360","LogLinear",TRUE)</f>
        <v/>
      </c>
      <c r="E999" s="8">
        <f>QS.INSTRUMENT.SWAP("swap.997",C999,H999,B999,"USD","SOFR",I999,J999,0,"Actual360","Simple","Annual","Annual","Annual")</f>
        <v/>
      </c>
      <c r="F999" s="8">
        <f>QS.TRADE.CREATE("trade.997",C999,E999,A999,"Receive")</f>
        <v/>
      </c>
      <c r="G999" s="5"/>
      <c r="H999" s="7" t="s">
        <v>2038</v>
      </c>
      <c r="I999" s="9">
        <v>1099700</v>
      </c>
      <c r="J999" s="10">
        <v>0.03970000000000001</v>
      </c>
    </row>
    <row r="1000" spans="1:10">
      <c r="A1000" s="7" t="s">
        <v>2026</v>
      </c>
      <c r="B1000" s="7" t="s">
        <v>2039</v>
      </c>
      <c r="C1000" s="8">
        <f>QS.CONTEXT.CREATE("market.998",A1000,"USD","SOFR")</f>
        <v/>
      </c>
      <c r="D1000" s="8">
        <f>QS.CONTEXT.ADD.CURVE(C1000,"SOFR",$K$2:$K$7,$L$2:$L$7,,,"Actual360","LogLinear",TRUE)</f>
        <v/>
      </c>
      <c r="E1000" s="8">
        <f>QS.INSTRUMENT.SWAP("swap.998",C1000,H1000,B1000,"USD","SOFR",I1000,J1000,0,"Actual360","Simple","Annual","Annual","Annual")</f>
        <v/>
      </c>
      <c r="F1000" s="8">
        <f>QS.TRADE.CREATE("trade.998",C1000,E1000,A1000,"Receive")</f>
        <v/>
      </c>
      <c r="G1000" s="5"/>
      <c r="H1000" s="7" t="s">
        <v>2040</v>
      </c>
      <c r="I1000" s="9">
        <v>1099800</v>
      </c>
      <c r="J1000" s="10">
        <v>0.0398</v>
      </c>
    </row>
    <row r="1001" spans="1:10">
      <c r="A1001" s="7" t="s">
        <v>2028</v>
      </c>
      <c r="B1001" s="7" t="s">
        <v>2041</v>
      </c>
      <c r="C1001" s="8">
        <f>QS.CONTEXT.CREATE("market.999",A1001,"USD","SOFR")</f>
        <v/>
      </c>
      <c r="D1001" s="8">
        <f>QS.CONTEXT.ADD.CURVE(C1001,"SOFR",$K$2:$K$7,$L$2:$L$7,,,"Actual360","LogLinear",TRUE)</f>
        <v/>
      </c>
      <c r="E1001" s="8">
        <f>QS.INSTRUMENT.SWAP("swap.999",C1001,H1001,B1001,"USD","SOFR",I1001,J1001,0,"Actual360","Simple","Annual","Annual","Annual")</f>
        <v/>
      </c>
      <c r="F1001" s="8">
        <f>QS.TRADE.CREATE("trade.999",C1001,E1001,A1001,"Receive")</f>
        <v/>
      </c>
      <c r="G1001" s="5"/>
      <c r="H1001" s="7" t="s">
        <v>2042</v>
      </c>
      <c r="I1001" s="9">
        <v>1099900</v>
      </c>
      <c r="J1001" s="10">
        <v>0.0399</v>
      </c>
    </row>
    <row r="1002" spans="1:10">
      <c r="A1002" s="7" t="s">
        <v>2030</v>
      </c>
      <c r="B1002" s="7" t="s">
        <v>2043</v>
      </c>
      <c r="C1002" s="8">
        <f>QS.CONTEXT.CREATE("market.1000",A1002,"USD","SOFR")</f>
        <v/>
      </c>
      <c r="D1002" s="8">
        <f>QS.CONTEXT.ADD.CURVE(C1002,"SOFR",$K$2:$K$7,$L$2:$L$7,,,"Actual360","LogLinear",TRUE)</f>
        <v/>
      </c>
      <c r="E1002" s="8">
        <f>QS.INSTRUMENT.SWAP("swap.1000",C1002,H1002,B1002,"USD","SOFR",I1002,J1002,0,"Actual360","Simple","Annual","Annual","Annual")</f>
        <v/>
      </c>
      <c r="F1002" s="8">
        <f>QS.TRADE.CREATE("trade.1000",C1002,E1002,A1002,"Receive")</f>
        <v/>
      </c>
      <c r="G1002" s="5"/>
      <c r="H1002" s="7" t="s">
        <v>2044</v>
      </c>
      <c r="I1002" s="9">
        <v>1100000</v>
      </c>
      <c r="J1002" s="10">
        <v>0.035</v>
      </c>
    </row>
    <row r="1003" spans="1:10">
      <c r="A1003" s="7" t="s">
        <v>2032</v>
      </c>
      <c r="B1003" s="7" t="s">
        <v>2045</v>
      </c>
      <c r="C1003" s="8">
        <f>QS.CONTEXT.CREATE("market.1001",A1003,"USD","SOFR")</f>
        <v/>
      </c>
      <c r="D1003" s="8">
        <f>QS.CONTEXT.ADD.CURVE(C1003,"SOFR",$K$2:$K$7,$L$2:$L$7,,,"Actual360","LogLinear",TRUE)</f>
        <v/>
      </c>
      <c r="E1003" s="8">
        <f>QS.INSTRUMENT.SWAP("swap.1001",C1003,H1003,B1003,"USD","SOFR",I1003,J1003,0,"Actual360","Simple","Annual","Annual","Annual")</f>
        <v/>
      </c>
      <c r="F1003" s="8">
        <f>QS.TRADE.CREATE("trade.1001",C1003,E1003,A1003,"Receive")</f>
        <v/>
      </c>
      <c r="G1003" s="5"/>
      <c r="H1003" s="7" t="s">
        <v>2046</v>
      </c>
      <c r="I1003" s="9">
        <v>1100100</v>
      </c>
      <c r="J1003" s="10">
        <v>0.03510000000000001</v>
      </c>
    </row>
    <row r="1004" spans="1:10">
      <c r="A1004" s="7" t="s">
        <v>2034</v>
      </c>
      <c r="B1004" s="7" t="s">
        <v>2047</v>
      </c>
      <c r="C1004" s="8">
        <f>QS.CONTEXT.CREATE("market.1002",A1004,"USD","SOFR")</f>
        <v/>
      </c>
      <c r="D1004" s="8">
        <f>QS.CONTEXT.ADD.CURVE(C1004,"SOFR",$K$2:$K$7,$L$2:$L$7,,,"Actual360","LogLinear",TRUE)</f>
        <v/>
      </c>
      <c r="E1004" s="8">
        <f>QS.INSTRUMENT.SWAP("swap.1002",C1004,H1004,B1004,"USD","SOFR",I1004,J1004,0,"Actual360","Simple","Annual","Annual","Annual")</f>
        <v/>
      </c>
      <c r="F1004" s="8">
        <f>QS.TRADE.CREATE("trade.1002",C1004,E1004,A1004,"Receive")</f>
        <v/>
      </c>
      <c r="G1004" s="5"/>
      <c r="H1004" s="7" t="s">
        <v>2048</v>
      </c>
      <c r="I1004" s="9">
        <v>1100200</v>
      </c>
      <c r="J1004" s="10">
        <v>0.0352</v>
      </c>
    </row>
    <row r="1005" spans="1:10">
      <c r="A1005" s="7" t="s">
        <v>2036</v>
      </c>
      <c r="B1005" s="7" t="s">
        <v>2049</v>
      </c>
      <c r="C1005" s="8">
        <f>QS.CONTEXT.CREATE("market.1003",A1005,"USD","SOFR")</f>
        <v/>
      </c>
      <c r="D1005" s="8">
        <f>QS.CONTEXT.ADD.CURVE(C1005,"SOFR",$K$2:$K$7,$L$2:$L$7,,,"Actual360","LogLinear",TRUE)</f>
        <v/>
      </c>
      <c r="E1005" s="8">
        <f>QS.INSTRUMENT.SWAP("swap.1003",C1005,H1005,B1005,"USD","SOFR",I1005,J1005,0,"Actual360","Simple","Annual","Annual","Annual")</f>
        <v/>
      </c>
      <c r="F1005" s="8">
        <f>QS.TRADE.CREATE("trade.1003",C1005,E1005,A1005,"Receive")</f>
        <v/>
      </c>
      <c r="G1005" s="5"/>
      <c r="H1005" s="7" t="s">
        <v>2050</v>
      </c>
      <c r="I1005" s="9">
        <v>1100300</v>
      </c>
      <c r="J1005" s="10">
        <v>0.0353</v>
      </c>
    </row>
    <row r="1006" spans="1:10">
      <c r="A1006" s="7" t="s">
        <v>2038</v>
      </c>
      <c r="B1006" s="7" t="s">
        <v>2051</v>
      </c>
      <c r="C1006" s="8">
        <f>QS.CONTEXT.CREATE("market.1004",A1006,"USD","SOFR")</f>
        <v/>
      </c>
      <c r="D1006" s="8">
        <f>QS.CONTEXT.ADD.CURVE(C1006,"SOFR",$K$2:$K$7,$L$2:$L$7,,,"Actual360","LogLinear",TRUE)</f>
        <v/>
      </c>
      <c r="E1006" s="8">
        <f>QS.INSTRUMENT.SWAP("swap.1004",C1006,H1006,B1006,"USD","SOFR",I1006,J1006,0,"Actual360","Simple","Annual","Annual","Annual")</f>
        <v/>
      </c>
      <c r="F1006" s="8">
        <f>QS.TRADE.CREATE("trade.1004",C1006,E1006,A1006,"Receive")</f>
        <v/>
      </c>
      <c r="G1006" s="5"/>
      <c r="H1006" s="7" t="s">
        <v>2052</v>
      </c>
      <c r="I1006" s="9">
        <v>1100400</v>
      </c>
      <c r="J1006" s="10">
        <v>0.0354</v>
      </c>
    </row>
    <row r="1007" spans="1:10">
      <c r="A1007" s="7" t="s">
        <v>2040</v>
      </c>
      <c r="B1007" s="7" t="s">
        <v>2053</v>
      </c>
      <c r="C1007" s="8">
        <f>QS.CONTEXT.CREATE("market.1005",A1007,"USD","SOFR")</f>
        <v/>
      </c>
      <c r="D1007" s="8">
        <f>QS.CONTEXT.ADD.CURVE(C1007,"SOFR",$K$2:$K$7,$L$2:$L$7,,,"Actual360","LogLinear",TRUE)</f>
        <v/>
      </c>
      <c r="E1007" s="8">
        <f>QS.INSTRUMENT.SWAP("swap.1005",C1007,H1007,B1007,"USD","SOFR",I1007,J1007,0,"Actual360","Simple","Annual","Annual","Annual")</f>
        <v/>
      </c>
      <c r="F1007" s="8">
        <f>QS.TRADE.CREATE("trade.1005",C1007,E1007,A1007,"Receive")</f>
        <v/>
      </c>
      <c r="G1007" s="5"/>
      <c r="H1007" s="7" t="s">
        <v>2054</v>
      </c>
      <c r="I1007" s="9">
        <v>1100500</v>
      </c>
      <c r="J1007" s="10">
        <v>0.0355</v>
      </c>
    </row>
    <row r="1008" spans="1:10">
      <c r="A1008" s="7" t="s">
        <v>2042</v>
      </c>
      <c r="B1008" s="7" t="s">
        <v>2055</v>
      </c>
      <c r="C1008" s="8">
        <f>QS.CONTEXT.CREATE("market.1006",A1008,"USD","SOFR")</f>
        <v/>
      </c>
      <c r="D1008" s="8">
        <f>QS.CONTEXT.ADD.CURVE(C1008,"SOFR",$K$2:$K$7,$L$2:$L$7,,,"Actual360","LogLinear",TRUE)</f>
        <v/>
      </c>
      <c r="E1008" s="8">
        <f>QS.INSTRUMENT.SWAP("swap.1006",C1008,H1008,B1008,"USD","SOFR",I1008,J1008,0,"Actual360","Simple","Annual","Annual","Annual")</f>
        <v/>
      </c>
      <c r="F1008" s="8">
        <f>QS.TRADE.CREATE("trade.1006",C1008,E1008,A1008,"Receive")</f>
        <v/>
      </c>
      <c r="G1008" s="5"/>
      <c r="H1008" s="7" t="s">
        <v>2056</v>
      </c>
      <c r="I1008" s="9">
        <v>1100600</v>
      </c>
      <c r="J1008" s="10">
        <v>0.03560000000000001</v>
      </c>
    </row>
    <row r="1009" spans="1:10">
      <c r="A1009" s="7" t="s">
        <v>2044</v>
      </c>
      <c r="B1009" s="7" t="s">
        <v>2057</v>
      </c>
      <c r="C1009" s="8">
        <f>QS.CONTEXT.CREATE("market.1007",A1009,"USD","SOFR")</f>
        <v/>
      </c>
      <c r="D1009" s="8">
        <f>QS.CONTEXT.ADD.CURVE(C1009,"SOFR",$K$2:$K$7,$L$2:$L$7,,,"Actual360","LogLinear",TRUE)</f>
        <v/>
      </c>
      <c r="E1009" s="8">
        <f>QS.INSTRUMENT.SWAP("swap.1007",C1009,H1009,B1009,"USD","SOFR",I1009,J1009,0,"Actual360","Simple","Annual","Annual","Annual")</f>
        <v/>
      </c>
      <c r="F1009" s="8">
        <f>QS.TRADE.CREATE("trade.1007",C1009,E1009,A1009,"Receive")</f>
        <v/>
      </c>
      <c r="G1009" s="5"/>
      <c r="H1009" s="7" t="s">
        <v>2058</v>
      </c>
      <c r="I1009" s="9">
        <v>1100700</v>
      </c>
      <c r="J1009" s="10">
        <v>0.0357</v>
      </c>
    </row>
    <row r="1010" spans="1:10">
      <c r="A1010" s="7" t="s">
        <v>2046</v>
      </c>
      <c r="B1010" s="7" t="s">
        <v>2059</v>
      </c>
      <c r="C1010" s="8">
        <f>QS.CONTEXT.CREATE("market.1008",A1010,"USD","SOFR")</f>
        <v/>
      </c>
      <c r="D1010" s="8">
        <f>QS.CONTEXT.ADD.CURVE(C1010,"SOFR",$K$2:$K$7,$L$2:$L$7,,,"Actual360","LogLinear",TRUE)</f>
        <v/>
      </c>
      <c r="E1010" s="8">
        <f>QS.INSTRUMENT.SWAP("swap.1008",C1010,H1010,B1010,"USD","SOFR",I1010,J1010,0,"Actual360","Simple","Annual","Annual","Annual")</f>
        <v/>
      </c>
      <c r="F1010" s="8">
        <f>QS.TRADE.CREATE("trade.1008",C1010,E1010,A1010,"Receive")</f>
        <v/>
      </c>
      <c r="G1010" s="5"/>
      <c r="H1010" s="7" t="s">
        <v>2060</v>
      </c>
      <c r="I1010" s="9">
        <v>1100800</v>
      </c>
      <c r="J1010" s="10">
        <v>0.03580000000000001</v>
      </c>
    </row>
    <row r="1011" spans="1:10">
      <c r="A1011" s="7" t="s">
        <v>2048</v>
      </c>
      <c r="B1011" s="7" t="s">
        <v>2061</v>
      </c>
      <c r="C1011" s="8">
        <f>QS.CONTEXT.CREATE("market.1009",A1011,"USD","SOFR")</f>
        <v/>
      </c>
      <c r="D1011" s="8">
        <f>QS.CONTEXT.ADD.CURVE(C1011,"SOFR",$K$2:$K$7,$L$2:$L$7,,,"Actual360","LogLinear",TRUE)</f>
        <v/>
      </c>
      <c r="E1011" s="8">
        <f>QS.INSTRUMENT.SWAP("swap.1009",C1011,H1011,B1011,"USD","SOFR",I1011,J1011,0,"Actual360","Simple","Annual","Annual","Annual")</f>
        <v/>
      </c>
      <c r="F1011" s="8">
        <f>QS.TRADE.CREATE("trade.1009",C1011,E1011,A1011,"Receive")</f>
        <v/>
      </c>
      <c r="G1011" s="5"/>
      <c r="H1011" s="7" t="s">
        <v>2062</v>
      </c>
      <c r="I1011" s="9">
        <v>1100900</v>
      </c>
      <c r="J1011" s="10">
        <v>0.0359</v>
      </c>
    </row>
    <row r="1012" spans="1:10">
      <c r="A1012" s="7" t="s">
        <v>2050</v>
      </c>
      <c r="B1012" s="7" t="s">
        <v>2063</v>
      </c>
      <c r="C1012" s="8">
        <f>QS.CONTEXT.CREATE("market.1010",A1012,"USD","SOFR")</f>
        <v/>
      </c>
      <c r="D1012" s="8">
        <f>QS.CONTEXT.ADD.CURVE(C1012,"SOFR",$K$2:$K$7,$L$2:$L$7,,,"Actual360","LogLinear",TRUE)</f>
        <v/>
      </c>
      <c r="E1012" s="8">
        <f>QS.INSTRUMENT.SWAP("swap.1010",C1012,H1012,B1012,"USD","SOFR",I1012,J1012,0,"Actual360","Simple","Annual","Annual","Annual")</f>
        <v/>
      </c>
      <c r="F1012" s="8">
        <f>QS.TRADE.CREATE("trade.1010",C1012,E1012,A1012,"Receive")</f>
        <v/>
      </c>
      <c r="G1012" s="5"/>
      <c r="H1012" s="7" t="s">
        <v>2064</v>
      </c>
      <c r="I1012" s="9">
        <v>1101000</v>
      </c>
      <c r="J1012" s="10">
        <v>0.036</v>
      </c>
    </row>
    <row r="1013" spans="1:10">
      <c r="A1013" s="7" t="s">
        <v>2052</v>
      </c>
      <c r="B1013" s="7" t="s">
        <v>2065</v>
      </c>
      <c r="C1013" s="8">
        <f>QS.CONTEXT.CREATE("market.1011",A1013,"USD","SOFR")</f>
        <v/>
      </c>
      <c r="D1013" s="8">
        <f>QS.CONTEXT.ADD.CURVE(C1013,"SOFR",$K$2:$K$7,$L$2:$L$7,,,"Actual360","LogLinear",TRUE)</f>
        <v/>
      </c>
      <c r="E1013" s="8">
        <f>QS.INSTRUMENT.SWAP("swap.1011",C1013,H1013,B1013,"USD","SOFR",I1013,J1013,0,"Actual360","Simple","Annual","Annual","Annual")</f>
        <v/>
      </c>
      <c r="F1013" s="8">
        <f>QS.TRADE.CREATE("trade.1011",C1013,E1013,A1013,"Receive")</f>
        <v/>
      </c>
      <c r="G1013" s="5"/>
      <c r="H1013" s="7" t="s">
        <v>2066</v>
      </c>
      <c r="I1013" s="9">
        <v>1101100</v>
      </c>
      <c r="J1013" s="10">
        <v>0.0361</v>
      </c>
    </row>
    <row r="1014" spans="1:10">
      <c r="A1014" s="7" t="s">
        <v>2054</v>
      </c>
      <c r="B1014" s="7" t="s">
        <v>2067</v>
      </c>
      <c r="C1014" s="8">
        <f>QS.CONTEXT.CREATE("market.1012",A1014,"USD","SOFR")</f>
        <v/>
      </c>
      <c r="D1014" s="8">
        <f>QS.CONTEXT.ADD.CURVE(C1014,"SOFR",$K$2:$K$7,$L$2:$L$7,,,"Actual360","LogLinear",TRUE)</f>
        <v/>
      </c>
      <c r="E1014" s="8">
        <f>QS.INSTRUMENT.SWAP("swap.1012",C1014,H1014,B1014,"USD","SOFR",I1014,J1014,0,"Actual360","Simple","Annual","Annual","Annual")</f>
        <v/>
      </c>
      <c r="F1014" s="8">
        <f>QS.TRADE.CREATE("trade.1012",C1014,E1014,A1014,"Receive")</f>
        <v/>
      </c>
      <c r="G1014" s="5"/>
      <c r="H1014" s="7" t="s">
        <v>2068</v>
      </c>
      <c r="I1014" s="9">
        <v>1101200</v>
      </c>
      <c r="J1014" s="10">
        <v>0.0362</v>
      </c>
    </row>
    <row r="1015" spans="1:10">
      <c r="A1015" s="7" t="s">
        <v>2056</v>
      </c>
      <c r="B1015" s="7" t="s">
        <v>2069</v>
      </c>
      <c r="C1015" s="8">
        <f>QS.CONTEXT.CREATE("market.1013",A1015,"USD","SOFR")</f>
        <v/>
      </c>
      <c r="D1015" s="8">
        <f>QS.CONTEXT.ADD.CURVE(C1015,"SOFR",$K$2:$K$7,$L$2:$L$7,,,"Actual360","LogLinear",TRUE)</f>
        <v/>
      </c>
      <c r="E1015" s="8">
        <f>QS.INSTRUMENT.SWAP("swap.1013",C1015,H1015,B1015,"USD","SOFR",I1015,J1015,0,"Actual360","Simple","Annual","Annual","Annual")</f>
        <v/>
      </c>
      <c r="F1015" s="8">
        <f>QS.TRADE.CREATE("trade.1013",C1015,E1015,A1015,"Receive")</f>
        <v/>
      </c>
      <c r="G1015" s="5"/>
      <c r="H1015" s="7" t="s">
        <v>2070</v>
      </c>
      <c r="I1015" s="9">
        <v>1101300</v>
      </c>
      <c r="J1015" s="10">
        <v>0.03630000000000001</v>
      </c>
    </row>
    <row r="1016" spans="1:10">
      <c r="A1016" s="7" t="s">
        <v>2058</v>
      </c>
      <c r="B1016" s="7" t="s">
        <v>2071</v>
      </c>
      <c r="C1016" s="8">
        <f>QS.CONTEXT.CREATE("market.1014",A1016,"USD","SOFR")</f>
        <v/>
      </c>
      <c r="D1016" s="8">
        <f>QS.CONTEXT.ADD.CURVE(C1016,"SOFR",$K$2:$K$7,$L$2:$L$7,,,"Actual360","LogLinear",TRUE)</f>
        <v/>
      </c>
      <c r="E1016" s="8">
        <f>QS.INSTRUMENT.SWAP("swap.1014",C1016,H1016,B1016,"USD","SOFR",I1016,J1016,0,"Actual360","Simple","Annual","Annual","Annual")</f>
        <v/>
      </c>
      <c r="F1016" s="8">
        <f>QS.TRADE.CREATE("trade.1014",C1016,E1016,A1016,"Receive")</f>
        <v/>
      </c>
      <c r="G1016" s="5"/>
      <c r="H1016" s="7" t="s">
        <v>2072</v>
      </c>
      <c r="I1016" s="9">
        <v>1101400</v>
      </c>
      <c r="J1016" s="10">
        <v>0.0364</v>
      </c>
    </row>
    <row r="1017" spans="1:10">
      <c r="A1017" s="7" t="s">
        <v>2060</v>
      </c>
      <c r="B1017" s="7" t="s">
        <v>2073</v>
      </c>
      <c r="C1017" s="8">
        <f>QS.CONTEXT.CREATE("market.1015",A1017,"USD","SOFR")</f>
        <v/>
      </c>
      <c r="D1017" s="8">
        <f>QS.CONTEXT.ADD.CURVE(C1017,"SOFR",$K$2:$K$7,$L$2:$L$7,,,"Actual360","LogLinear",TRUE)</f>
        <v/>
      </c>
      <c r="E1017" s="8">
        <f>QS.INSTRUMENT.SWAP("swap.1015",C1017,H1017,B1017,"USD","SOFR",I1017,J1017,0,"Actual360","Simple","Annual","Annual","Annual")</f>
        <v/>
      </c>
      <c r="F1017" s="8">
        <f>QS.TRADE.CREATE("trade.1015",C1017,E1017,A1017,"Receive")</f>
        <v/>
      </c>
      <c r="G1017" s="5"/>
      <c r="H1017" s="7" t="s">
        <v>2074</v>
      </c>
      <c r="I1017" s="9">
        <v>1101500</v>
      </c>
      <c r="J1017" s="10">
        <v>0.0365</v>
      </c>
    </row>
    <row r="1018" spans="1:10">
      <c r="A1018" s="7" t="s">
        <v>2062</v>
      </c>
      <c r="B1018" s="7" t="s">
        <v>2075</v>
      </c>
      <c r="C1018" s="8">
        <f>QS.CONTEXT.CREATE("market.1016",A1018,"USD","SOFR")</f>
        <v/>
      </c>
      <c r="D1018" s="8">
        <f>QS.CONTEXT.ADD.CURVE(C1018,"SOFR",$K$2:$K$7,$L$2:$L$7,,,"Actual360","LogLinear",TRUE)</f>
        <v/>
      </c>
      <c r="E1018" s="8">
        <f>QS.INSTRUMENT.SWAP("swap.1016",C1018,H1018,B1018,"USD","SOFR",I1018,J1018,0,"Actual360","Simple","Annual","Annual","Annual")</f>
        <v/>
      </c>
      <c r="F1018" s="8">
        <f>QS.TRADE.CREATE("trade.1016",C1018,E1018,A1018,"Receive")</f>
        <v/>
      </c>
      <c r="G1018" s="5"/>
      <c r="H1018" s="7" t="s">
        <v>2076</v>
      </c>
      <c r="I1018" s="9">
        <v>1101600</v>
      </c>
      <c r="J1018" s="10">
        <v>0.0366</v>
      </c>
    </row>
    <row r="1019" spans="1:10">
      <c r="A1019" s="7" t="s">
        <v>2064</v>
      </c>
      <c r="B1019" s="7" t="s">
        <v>2077</v>
      </c>
      <c r="C1019" s="8">
        <f>QS.CONTEXT.CREATE("market.1017",A1019,"USD","SOFR")</f>
        <v/>
      </c>
      <c r="D1019" s="8">
        <f>QS.CONTEXT.ADD.CURVE(C1019,"SOFR",$K$2:$K$7,$L$2:$L$7,,,"Actual360","LogLinear",TRUE)</f>
        <v/>
      </c>
      <c r="E1019" s="8">
        <f>QS.INSTRUMENT.SWAP("swap.1017",C1019,H1019,B1019,"USD","SOFR",I1019,J1019,0,"Actual360","Simple","Annual","Annual","Annual")</f>
        <v/>
      </c>
      <c r="F1019" s="8">
        <f>QS.TRADE.CREATE("trade.1017",C1019,E1019,A1019,"Receive")</f>
        <v/>
      </c>
      <c r="G1019" s="5"/>
      <c r="H1019" s="7" t="s">
        <v>2078</v>
      </c>
      <c r="I1019" s="9">
        <v>1101700</v>
      </c>
      <c r="J1019" s="10">
        <v>0.0367</v>
      </c>
    </row>
    <row r="1020" spans="1:10">
      <c r="A1020" s="7" t="s">
        <v>2066</v>
      </c>
      <c r="B1020" s="7" t="s">
        <v>2079</v>
      </c>
      <c r="C1020" s="8">
        <f>QS.CONTEXT.CREATE("market.1018",A1020,"USD","SOFR")</f>
        <v/>
      </c>
      <c r="D1020" s="8">
        <f>QS.CONTEXT.ADD.CURVE(C1020,"SOFR",$K$2:$K$7,$L$2:$L$7,,,"Actual360","LogLinear",TRUE)</f>
        <v/>
      </c>
      <c r="E1020" s="8">
        <f>QS.INSTRUMENT.SWAP("swap.1018",C1020,H1020,B1020,"USD","SOFR",I1020,J1020,0,"Actual360","Simple","Annual","Annual","Annual")</f>
        <v/>
      </c>
      <c r="F1020" s="8">
        <f>QS.TRADE.CREATE("trade.1018",C1020,E1020,A1020,"Receive")</f>
        <v/>
      </c>
      <c r="G1020" s="5"/>
      <c r="H1020" s="7" t="s">
        <v>2080</v>
      </c>
      <c r="I1020" s="9">
        <v>1101800</v>
      </c>
      <c r="J1020" s="10">
        <v>0.03680000000000001</v>
      </c>
    </row>
    <row r="1021" spans="1:10">
      <c r="A1021" s="7" t="s">
        <v>2068</v>
      </c>
      <c r="B1021" s="7" t="s">
        <v>2081</v>
      </c>
      <c r="C1021" s="8">
        <f>QS.CONTEXT.CREATE("market.1019",A1021,"USD","SOFR")</f>
        <v/>
      </c>
      <c r="D1021" s="8">
        <f>QS.CONTEXT.ADD.CURVE(C1021,"SOFR",$K$2:$K$7,$L$2:$L$7,,,"Actual360","LogLinear",TRUE)</f>
        <v/>
      </c>
      <c r="E1021" s="8">
        <f>QS.INSTRUMENT.SWAP("swap.1019",C1021,H1021,B1021,"USD","SOFR",I1021,J1021,0,"Actual360","Simple","Annual","Annual","Annual")</f>
        <v/>
      </c>
      <c r="F1021" s="8">
        <f>QS.TRADE.CREATE("trade.1019",C1021,E1021,A1021,"Receive")</f>
        <v/>
      </c>
      <c r="G1021" s="5"/>
      <c r="H1021" s="7" t="s">
        <v>2082</v>
      </c>
      <c r="I1021" s="9">
        <v>1101900</v>
      </c>
      <c r="J1021" s="10">
        <v>0.0369</v>
      </c>
    </row>
    <row r="1022" spans="1:10">
      <c r="A1022" s="7" t="s">
        <v>2070</v>
      </c>
      <c r="B1022" s="7" t="s">
        <v>2083</v>
      </c>
      <c r="C1022" s="8">
        <f>QS.CONTEXT.CREATE("market.1020",A1022,"USD","SOFR")</f>
        <v/>
      </c>
      <c r="D1022" s="8">
        <f>QS.CONTEXT.ADD.CURVE(C1022,"SOFR",$K$2:$K$7,$L$2:$L$7,,,"Actual360","LogLinear",TRUE)</f>
        <v/>
      </c>
      <c r="E1022" s="8">
        <f>QS.INSTRUMENT.SWAP("swap.1020",C1022,H1022,B1022,"USD","SOFR",I1022,J1022,0,"Actual360","Simple","Annual","Annual","Annual")</f>
        <v/>
      </c>
      <c r="F1022" s="8">
        <f>QS.TRADE.CREATE("trade.1020",C1022,E1022,A1022,"Receive")</f>
        <v/>
      </c>
      <c r="G1022" s="5"/>
      <c r="H1022" s="7" t="s">
        <v>2084</v>
      </c>
      <c r="I1022" s="9">
        <v>1102000</v>
      </c>
      <c r="J1022" s="10">
        <v>0.03700000000000001</v>
      </c>
    </row>
    <row r="1023" spans="1:10">
      <c r="A1023" s="7" t="s">
        <v>2072</v>
      </c>
      <c r="B1023" s="7" t="s">
        <v>2085</v>
      </c>
      <c r="C1023" s="8">
        <f>QS.CONTEXT.CREATE("market.1021",A1023,"USD","SOFR")</f>
        <v/>
      </c>
      <c r="D1023" s="8">
        <f>QS.CONTEXT.ADD.CURVE(C1023,"SOFR",$K$2:$K$7,$L$2:$L$7,,,"Actual360","LogLinear",TRUE)</f>
        <v/>
      </c>
      <c r="E1023" s="8">
        <f>QS.INSTRUMENT.SWAP("swap.1021",C1023,H1023,B1023,"USD","SOFR",I1023,J1023,0,"Actual360","Simple","Annual","Annual","Annual")</f>
        <v/>
      </c>
      <c r="F1023" s="8">
        <f>QS.TRADE.CREATE("trade.1021",C1023,E1023,A1023,"Receive")</f>
        <v/>
      </c>
      <c r="G1023" s="5"/>
      <c r="H1023" s="7" t="s">
        <v>2086</v>
      </c>
      <c r="I1023" s="9">
        <v>1102100</v>
      </c>
      <c r="J1023" s="10">
        <v>0.0371</v>
      </c>
    </row>
    <row r="1024" spans="1:10">
      <c r="A1024" s="7" t="s">
        <v>2074</v>
      </c>
      <c r="B1024" s="7" t="s">
        <v>2087</v>
      </c>
      <c r="C1024" s="8">
        <f>QS.CONTEXT.CREATE("market.1022",A1024,"USD","SOFR")</f>
        <v/>
      </c>
      <c r="D1024" s="8">
        <f>QS.CONTEXT.ADD.CURVE(C1024,"SOFR",$K$2:$K$7,$L$2:$L$7,,,"Actual360","LogLinear",TRUE)</f>
        <v/>
      </c>
      <c r="E1024" s="8">
        <f>QS.INSTRUMENT.SWAP("swap.1022",C1024,H1024,B1024,"USD","SOFR",I1024,J1024,0,"Actual360","Simple","Annual","Annual","Annual")</f>
        <v/>
      </c>
      <c r="F1024" s="8">
        <f>QS.TRADE.CREATE("trade.1022",C1024,E1024,A1024,"Receive")</f>
        <v/>
      </c>
      <c r="G1024" s="5"/>
      <c r="H1024" s="7" t="s">
        <v>2088</v>
      </c>
      <c r="I1024" s="9">
        <v>1102200</v>
      </c>
      <c r="J1024" s="10">
        <v>0.0372</v>
      </c>
    </row>
    <row r="1025" spans="1:10">
      <c r="A1025" s="7" t="s">
        <v>2076</v>
      </c>
      <c r="B1025" s="7" t="s">
        <v>2089</v>
      </c>
      <c r="C1025" s="8">
        <f>QS.CONTEXT.CREATE("market.1023",A1025,"USD","SOFR")</f>
        <v/>
      </c>
      <c r="D1025" s="8">
        <f>QS.CONTEXT.ADD.CURVE(C1025,"SOFR",$K$2:$K$7,$L$2:$L$7,,,"Actual360","LogLinear",TRUE)</f>
        <v/>
      </c>
      <c r="E1025" s="8">
        <f>QS.INSTRUMENT.SWAP("swap.1023",C1025,H1025,B1025,"USD","SOFR",I1025,J1025,0,"Actual360","Simple","Annual","Annual","Annual")</f>
        <v/>
      </c>
      <c r="F1025" s="8">
        <f>QS.TRADE.CREATE("trade.1023",C1025,E1025,A1025,"Receive")</f>
        <v/>
      </c>
      <c r="G1025" s="5"/>
      <c r="H1025" s="7" t="s">
        <v>2090</v>
      </c>
      <c r="I1025" s="9">
        <v>1102300</v>
      </c>
      <c r="J1025" s="10">
        <v>0.0373</v>
      </c>
    </row>
    <row r="1026" spans="1:10">
      <c r="A1026" s="7" t="s">
        <v>2078</v>
      </c>
      <c r="B1026" s="7" t="s">
        <v>2091</v>
      </c>
      <c r="C1026" s="8">
        <f>QS.CONTEXT.CREATE("market.1024",A1026,"USD","SOFR")</f>
        <v/>
      </c>
      <c r="D1026" s="8">
        <f>QS.CONTEXT.ADD.CURVE(C1026,"SOFR",$K$2:$K$7,$L$2:$L$7,,,"Actual360","LogLinear",TRUE)</f>
        <v/>
      </c>
      <c r="E1026" s="8">
        <f>QS.INSTRUMENT.SWAP("swap.1024",C1026,H1026,B1026,"USD","SOFR",I1026,J1026,0,"Actual360","Simple","Annual","Annual","Annual")</f>
        <v/>
      </c>
      <c r="F1026" s="8">
        <f>QS.TRADE.CREATE("trade.1024",C1026,E1026,A1026,"Receive")</f>
        <v/>
      </c>
      <c r="G1026" s="5"/>
      <c r="H1026" s="7" t="s">
        <v>2092</v>
      </c>
      <c r="I1026" s="9">
        <v>1102400</v>
      </c>
      <c r="J1026" s="10">
        <v>0.0374</v>
      </c>
    </row>
    <row r="1027" spans="1:10">
      <c r="A1027" s="7" t="s">
        <v>2080</v>
      </c>
      <c r="B1027" s="7" t="s">
        <v>2093</v>
      </c>
      <c r="C1027" s="8">
        <f>QS.CONTEXT.CREATE("market.1025",A1027,"USD","SOFR")</f>
        <v/>
      </c>
      <c r="D1027" s="8">
        <f>QS.CONTEXT.ADD.CURVE(C1027,"SOFR",$K$2:$K$7,$L$2:$L$7,,,"Actual360","LogLinear",TRUE)</f>
        <v/>
      </c>
      <c r="E1027" s="8">
        <f>QS.INSTRUMENT.SWAP("swap.1025",C1027,H1027,B1027,"USD","SOFR",I1027,J1027,0,"Actual360","Simple","Annual","Annual","Annual")</f>
        <v/>
      </c>
      <c r="F1027" s="8">
        <f>QS.TRADE.CREATE("trade.1025",C1027,E1027,A1027,"Receive")</f>
        <v/>
      </c>
      <c r="G1027" s="5"/>
      <c r="H1027" s="7" t="s">
        <v>2094</v>
      </c>
      <c r="I1027" s="9">
        <v>1102500</v>
      </c>
      <c r="J1027" s="10">
        <v>0.03750000000000001</v>
      </c>
    </row>
    <row r="1028" spans="1:10">
      <c r="A1028" s="7" t="s">
        <v>2082</v>
      </c>
      <c r="B1028" s="7" t="s">
        <v>2095</v>
      </c>
      <c r="C1028" s="8">
        <f>QS.CONTEXT.CREATE("market.1026",A1028,"USD","SOFR")</f>
        <v/>
      </c>
      <c r="D1028" s="8">
        <f>QS.CONTEXT.ADD.CURVE(C1028,"SOFR",$K$2:$K$7,$L$2:$L$7,,,"Actual360","LogLinear",TRUE)</f>
        <v/>
      </c>
      <c r="E1028" s="8">
        <f>QS.INSTRUMENT.SWAP("swap.1026",C1028,H1028,B1028,"USD","SOFR",I1028,J1028,0,"Actual360","Simple","Annual","Annual","Annual")</f>
        <v/>
      </c>
      <c r="F1028" s="8">
        <f>QS.TRADE.CREATE("trade.1026",C1028,E1028,A1028,"Receive")</f>
        <v/>
      </c>
      <c r="G1028" s="5"/>
      <c r="H1028" s="7" t="s">
        <v>2096</v>
      </c>
      <c r="I1028" s="9">
        <v>1102600</v>
      </c>
      <c r="J1028" s="10">
        <v>0.0376</v>
      </c>
    </row>
    <row r="1029" spans="1:10">
      <c r="A1029" s="7" t="s">
        <v>2084</v>
      </c>
      <c r="B1029" s="7" t="s">
        <v>2097</v>
      </c>
      <c r="C1029" s="8">
        <f>QS.CONTEXT.CREATE("market.1027",A1029,"USD","SOFR")</f>
        <v/>
      </c>
      <c r="D1029" s="8">
        <f>QS.CONTEXT.ADD.CURVE(C1029,"SOFR",$K$2:$K$7,$L$2:$L$7,,,"Actual360","LogLinear",TRUE)</f>
        <v/>
      </c>
      <c r="E1029" s="8">
        <f>QS.INSTRUMENT.SWAP("swap.1027",C1029,H1029,B1029,"USD","SOFR",I1029,J1029,0,"Actual360","Simple","Annual","Annual","Annual")</f>
        <v/>
      </c>
      <c r="F1029" s="8">
        <f>QS.TRADE.CREATE("trade.1027",C1029,E1029,A1029,"Receive")</f>
        <v/>
      </c>
      <c r="G1029" s="5"/>
      <c r="H1029" s="7" t="s">
        <v>2098</v>
      </c>
      <c r="I1029" s="9">
        <v>1102700</v>
      </c>
      <c r="J1029" s="10">
        <v>0.0377</v>
      </c>
    </row>
    <row r="1030" spans="1:10">
      <c r="A1030" s="7" t="s">
        <v>2086</v>
      </c>
      <c r="B1030" s="7" t="s">
        <v>2099</v>
      </c>
      <c r="C1030" s="8">
        <f>QS.CONTEXT.CREATE("market.1028",A1030,"USD","SOFR")</f>
        <v/>
      </c>
      <c r="D1030" s="8">
        <f>QS.CONTEXT.ADD.CURVE(C1030,"SOFR",$K$2:$K$7,$L$2:$L$7,,,"Actual360","LogLinear",TRUE)</f>
        <v/>
      </c>
      <c r="E1030" s="8">
        <f>QS.INSTRUMENT.SWAP("swap.1028",C1030,H1030,B1030,"USD","SOFR",I1030,J1030,0,"Actual360","Simple","Annual","Annual","Annual")</f>
        <v/>
      </c>
      <c r="F1030" s="8">
        <f>QS.TRADE.CREATE("trade.1028",C1030,E1030,A1030,"Receive")</f>
        <v/>
      </c>
      <c r="G1030" s="5"/>
      <c r="H1030" s="7" t="s">
        <v>2100</v>
      </c>
      <c r="I1030" s="9">
        <v>1102800</v>
      </c>
      <c r="J1030" s="10">
        <v>0.0378</v>
      </c>
    </row>
    <row r="1031" spans="1:10">
      <c r="A1031" s="7" t="s">
        <v>2088</v>
      </c>
      <c r="B1031" s="7" t="s">
        <v>2101</v>
      </c>
      <c r="C1031" s="8">
        <f>QS.CONTEXT.CREATE("market.1029",A1031,"USD","SOFR")</f>
        <v/>
      </c>
      <c r="D1031" s="8">
        <f>QS.CONTEXT.ADD.CURVE(C1031,"SOFR",$K$2:$K$7,$L$2:$L$7,,,"Actual360","LogLinear",TRUE)</f>
        <v/>
      </c>
      <c r="E1031" s="8">
        <f>QS.INSTRUMENT.SWAP("swap.1029",C1031,H1031,B1031,"USD","SOFR",I1031,J1031,0,"Actual360","Simple","Annual","Annual","Annual")</f>
        <v/>
      </c>
      <c r="F1031" s="8">
        <f>QS.TRADE.CREATE("trade.1029",C1031,E1031,A1031,"Receive")</f>
        <v/>
      </c>
      <c r="G1031" s="5"/>
      <c r="H1031" s="7" t="s">
        <v>2102</v>
      </c>
      <c r="I1031" s="9">
        <v>1102900</v>
      </c>
      <c r="J1031" s="10">
        <v>0.0379</v>
      </c>
    </row>
    <row r="1032" spans="1:10">
      <c r="A1032" s="7" t="s">
        <v>2090</v>
      </c>
      <c r="B1032" s="7" t="s">
        <v>2103</v>
      </c>
      <c r="C1032" s="8">
        <f>QS.CONTEXT.CREATE("market.1030",A1032,"USD","SOFR")</f>
        <v/>
      </c>
      <c r="D1032" s="8">
        <f>QS.CONTEXT.ADD.CURVE(C1032,"SOFR",$K$2:$K$7,$L$2:$L$7,,,"Actual360","LogLinear",TRUE)</f>
        <v/>
      </c>
      <c r="E1032" s="8">
        <f>QS.INSTRUMENT.SWAP("swap.1030",C1032,H1032,B1032,"USD","SOFR",I1032,J1032,0,"Actual360","Simple","Annual","Annual","Annual")</f>
        <v/>
      </c>
      <c r="F1032" s="8">
        <f>QS.TRADE.CREATE("trade.1030",C1032,E1032,A1032,"Receive")</f>
        <v/>
      </c>
      <c r="G1032" s="5"/>
      <c r="H1032" s="7" t="s">
        <v>2104</v>
      </c>
      <c r="I1032" s="9">
        <v>1103000</v>
      </c>
      <c r="J1032" s="10">
        <v>0.03800000000000001</v>
      </c>
    </row>
    <row r="1033" spans="1:10">
      <c r="A1033" s="7" t="s">
        <v>2092</v>
      </c>
      <c r="B1033" s="7" t="s">
        <v>2105</v>
      </c>
      <c r="C1033" s="8">
        <f>QS.CONTEXT.CREATE("market.1031",A1033,"USD","SOFR")</f>
        <v/>
      </c>
      <c r="D1033" s="8">
        <f>QS.CONTEXT.ADD.CURVE(C1033,"SOFR",$K$2:$K$7,$L$2:$L$7,,,"Actual360","LogLinear",TRUE)</f>
        <v/>
      </c>
      <c r="E1033" s="8">
        <f>QS.INSTRUMENT.SWAP("swap.1031",C1033,H1033,B1033,"USD","SOFR",I1033,J1033,0,"Actual360","Simple","Annual","Annual","Annual")</f>
        <v/>
      </c>
      <c r="F1033" s="8">
        <f>QS.TRADE.CREATE("trade.1031",C1033,E1033,A1033,"Receive")</f>
        <v/>
      </c>
      <c r="G1033" s="5"/>
      <c r="H1033" s="7" t="s">
        <v>2106</v>
      </c>
      <c r="I1033" s="9">
        <v>1103100</v>
      </c>
      <c r="J1033" s="10">
        <v>0.0381</v>
      </c>
    </row>
    <row r="1034" spans="1:10">
      <c r="A1034" s="7" t="s">
        <v>2094</v>
      </c>
      <c r="B1034" s="7" t="s">
        <v>2107</v>
      </c>
      <c r="C1034" s="8">
        <f>QS.CONTEXT.CREATE("market.1032",A1034,"USD","SOFR")</f>
        <v/>
      </c>
      <c r="D1034" s="8">
        <f>QS.CONTEXT.ADD.CURVE(C1034,"SOFR",$K$2:$K$7,$L$2:$L$7,,,"Actual360","LogLinear",TRUE)</f>
        <v/>
      </c>
      <c r="E1034" s="8">
        <f>QS.INSTRUMENT.SWAP("swap.1032",C1034,H1034,B1034,"USD","SOFR",I1034,J1034,0,"Actual360","Simple","Annual","Annual","Annual")</f>
        <v/>
      </c>
      <c r="F1034" s="8">
        <f>QS.TRADE.CREATE("trade.1032",C1034,E1034,A1034,"Receive")</f>
        <v/>
      </c>
      <c r="G1034" s="5"/>
      <c r="H1034" s="7" t="s">
        <v>2108</v>
      </c>
      <c r="I1034" s="9">
        <v>1103200</v>
      </c>
      <c r="J1034" s="10">
        <v>0.0382</v>
      </c>
    </row>
    <row r="1035" spans="1:10">
      <c r="A1035" s="7" t="s">
        <v>2096</v>
      </c>
      <c r="B1035" s="7" t="s">
        <v>2109</v>
      </c>
      <c r="C1035" s="8">
        <f>QS.CONTEXT.CREATE("market.1033",A1035,"USD","SOFR")</f>
        <v/>
      </c>
      <c r="D1035" s="8">
        <f>QS.CONTEXT.ADD.CURVE(C1035,"SOFR",$K$2:$K$7,$L$2:$L$7,,,"Actual360","LogLinear",TRUE)</f>
        <v/>
      </c>
      <c r="E1035" s="8">
        <f>QS.INSTRUMENT.SWAP("swap.1033",C1035,H1035,B1035,"USD","SOFR",I1035,J1035,0,"Actual360","Simple","Annual","Annual","Annual")</f>
        <v/>
      </c>
      <c r="F1035" s="8">
        <f>QS.TRADE.CREATE("trade.1033",C1035,E1035,A1035,"Receive")</f>
        <v/>
      </c>
      <c r="G1035" s="5"/>
      <c r="H1035" s="7" t="s">
        <v>2110</v>
      </c>
      <c r="I1035" s="9">
        <v>1103300</v>
      </c>
      <c r="J1035" s="10">
        <v>0.0383</v>
      </c>
    </row>
    <row r="1036" spans="1:10">
      <c r="A1036" s="7" t="s">
        <v>2098</v>
      </c>
      <c r="B1036" s="7" t="s">
        <v>2111</v>
      </c>
      <c r="C1036" s="8">
        <f>QS.CONTEXT.CREATE("market.1034",A1036,"USD","SOFR")</f>
        <v/>
      </c>
      <c r="D1036" s="8">
        <f>QS.CONTEXT.ADD.CURVE(C1036,"SOFR",$K$2:$K$7,$L$2:$L$7,,,"Actual360","LogLinear",TRUE)</f>
        <v/>
      </c>
      <c r="E1036" s="8">
        <f>QS.INSTRUMENT.SWAP("swap.1034",C1036,H1036,B1036,"USD","SOFR",I1036,J1036,0,"Actual360","Simple","Annual","Annual","Annual")</f>
        <v/>
      </c>
      <c r="F1036" s="8">
        <f>QS.TRADE.CREATE("trade.1034",C1036,E1036,A1036,"Receive")</f>
        <v/>
      </c>
      <c r="G1036" s="5"/>
      <c r="H1036" s="7" t="s">
        <v>2112</v>
      </c>
      <c r="I1036" s="9">
        <v>1103400</v>
      </c>
      <c r="J1036" s="10">
        <v>0.0384</v>
      </c>
    </row>
    <row r="1037" spans="1:10">
      <c r="A1037" s="7" t="s">
        <v>2100</v>
      </c>
      <c r="B1037" s="7" t="s">
        <v>2113</v>
      </c>
      <c r="C1037" s="8">
        <f>QS.CONTEXT.CREATE("market.1035",A1037,"USD","SOFR")</f>
        <v/>
      </c>
      <c r="D1037" s="8">
        <f>QS.CONTEXT.ADD.CURVE(C1037,"SOFR",$K$2:$K$7,$L$2:$L$7,,,"Actual360","LogLinear",TRUE)</f>
        <v/>
      </c>
      <c r="E1037" s="8">
        <f>QS.INSTRUMENT.SWAP("swap.1035",C1037,H1037,B1037,"USD","SOFR",I1037,J1037,0,"Actual360","Simple","Annual","Annual","Annual")</f>
        <v/>
      </c>
      <c r="F1037" s="8">
        <f>QS.TRADE.CREATE("trade.1035",C1037,E1037,A1037,"Receive")</f>
        <v/>
      </c>
      <c r="G1037" s="5"/>
      <c r="H1037" s="7" t="s">
        <v>2114</v>
      </c>
      <c r="I1037" s="9">
        <v>1103500</v>
      </c>
      <c r="J1037" s="10">
        <v>0.03850000000000001</v>
      </c>
    </row>
    <row r="1038" spans="1:10">
      <c r="A1038" s="7" t="s">
        <v>2102</v>
      </c>
      <c r="B1038" s="7" t="s">
        <v>2115</v>
      </c>
      <c r="C1038" s="8">
        <f>QS.CONTEXT.CREATE("market.1036",A1038,"USD","SOFR")</f>
        <v/>
      </c>
      <c r="D1038" s="8">
        <f>QS.CONTEXT.ADD.CURVE(C1038,"SOFR",$K$2:$K$7,$L$2:$L$7,,,"Actual360","LogLinear",TRUE)</f>
        <v/>
      </c>
      <c r="E1038" s="8">
        <f>QS.INSTRUMENT.SWAP("swap.1036",C1038,H1038,B1038,"USD","SOFR",I1038,J1038,0,"Actual360","Simple","Annual","Annual","Annual")</f>
        <v/>
      </c>
      <c r="F1038" s="8">
        <f>QS.TRADE.CREATE("trade.1036",C1038,E1038,A1038,"Receive")</f>
        <v/>
      </c>
      <c r="G1038" s="5"/>
      <c r="H1038" s="7" t="s">
        <v>2116</v>
      </c>
      <c r="I1038" s="9">
        <v>1103600</v>
      </c>
      <c r="J1038" s="10">
        <v>0.0386</v>
      </c>
    </row>
    <row r="1039" spans="1:10">
      <c r="A1039" s="7" t="s">
        <v>2104</v>
      </c>
      <c r="B1039" s="7" t="s">
        <v>2117</v>
      </c>
      <c r="C1039" s="8">
        <f>QS.CONTEXT.CREATE("market.1037",A1039,"USD","SOFR")</f>
        <v/>
      </c>
      <c r="D1039" s="8">
        <f>QS.CONTEXT.ADD.CURVE(C1039,"SOFR",$K$2:$K$7,$L$2:$L$7,,,"Actual360","LogLinear",TRUE)</f>
        <v/>
      </c>
      <c r="E1039" s="8">
        <f>QS.INSTRUMENT.SWAP("swap.1037",C1039,H1039,B1039,"USD","SOFR",I1039,J1039,0,"Actual360","Simple","Annual","Annual","Annual")</f>
        <v/>
      </c>
      <c r="F1039" s="8">
        <f>QS.TRADE.CREATE("trade.1037",C1039,E1039,A1039,"Receive")</f>
        <v/>
      </c>
      <c r="G1039" s="5"/>
      <c r="H1039" s="7" t="s">
        <v>2118</v>
      </c>
      <c r="I1039" s="9">
        <v>1103700</v>
      </c>
      <c r="J1039" s="10">
        <v>0.03870000000000001</v>
      </c>
    </row>
    <row r="1040" spans="1:10">
      <c r="A1040" s="7" t="s">
        <v>2106</v>
      </c>
      <c r="B1040" s="7" t="s">
        <v>2119</v>
      </c>
      <c r="C1040" s="8">
        <f>QS.CONTEXT.CREATE("market.1038",A1040,"USD","SOFR")</f>
        <v/>
      </c>
      <c r="D1040" s="8">
        <f>QS.CONTEXT.ADD.CURVE(C1040,"SOFR",$K$2:$K$7,$L$2:$L$7,,,"Actual360","LogLinear",TRUE)</f>
        <v/>
      </c>
      <c r="E1040" s="8">
        <f>QS.INSTRUMENT.SWAP("swap.1038",C1040,H1040,B1040,"USD","SOFR",I1040,J1040,0,"Actual360","Simple","Annual","Annual","Annual")</f>
        <v/>
      </c>
      <c r="F1040" s="8">
        <f>QS.TRADE.CREATE("trade.1038",C1040,E1040,A1040,"Receive")</f>
        <v/>
      </c>
      <c r="G1040" s="5"/>
      <c r="H1040" s="7" t="s">
        <v>2120</v>
      </c>
      <c r="I1040" s="9">
        <v>1103800</v>
      </c>
      <c r="J1040" s="10">
        <v>0.0388</v>
      </c>
    </row>
    <row r="1041" spans="1:10">
      <c r="A1041" s="7" t="s">
        <v>2108</v>
      </c>
      <c r="B1041" s="7" t="s">
        <v>2121</v>
      </c>
      <c r="C1041" s="8">
        <f>QS.CONTEXT.CREATE("market.1039",A1041,"USD","SOFR")</f>
        <v/>
      </c>
      <c r="D1041" s="8">
        <f>QS.CONTEXT.ADD.CURVE(C1041,"SOFR",$K$2:$K$7,$L$2:$L$7,,,"Actual360","LogLinear",TRUE)</f>
        <v/>
      </c>
      <c r="E1041" s="8">
        <f>QS.INSTRUMENT.SWAP("swap.1039",C1041,H1041,B1041,"USD","SOFR",I1041,J1041,0,"Actual360","Simple","Annual","Annual","Annual")</f>
        <v/>
      </c>
      <c r="F1041" s="8">
        <f>QS.TRADE.CREATE("trade.1039",C1041,E1041,A1041,"Receive")</f>
        <v/>
      </c>
      <c r="G1041" s="5"/>
      <c r="H1041" s="7" t="s">
        <v>2122</v>
      </c>
      <c r="I1041" s="9">
        <v>1103900</v>
      </c>
      <c r="J1041" s="10">
        <v>0.0389</v>
      </c>
    </row>
    <row r="1042" spans="1:10">
      <c r="A1042" s="7" t="s">
        <v>2110</v>
      </c>
      <c r="B1042" s="7" t="s">
        <v>2123</v>
      </c>
      <c r="C1042" s="8">
        <f>QS.CONTEXT.CREATE("market.1040",A1042,"USD","SOFR")</f>
        <v/>
      </c>
      <c r="D1042" s="8">
        <f>QS.CONTEXT.ADD.CURVE(C1042,"SOFR",$K$2:$K$7,$L$2:$L$7,,,"Actual360","LogLinear",TRUE)</f>
        <v/>
      </c>
      <c r="E1042" s="8">
        <f>QS.INSTRUMENT.SWAP("swap.1040",C1042,H1042,B1042,"USD","SOFR",I1042,J1042,0,"Actual360","Simple","Annual","Annual","Annual")</f>
        <v/>
      </c>
      <c r="F1042" s="8">
        <f>QS.TRADE.CREATE("trade.1040",C1042,E1042,A1042,"Receive")</f>
        <v/>
      </c>
      <c r="G1042" s="5"/>
      <c r="H1042" s="7" t="s">
        <v>2124</v>
      </c>
      <c r="I1042" s="9">
        <v>1104000</v>
      </c>
      <c r="J1042" s="10">
        <v>0.03900000000000001</v>
      </c>
    </row>
    <row r="1043" spans="1:10">
      <c r="A1043" s="7" t="s">
        <v>2112</v>
      </c>
      <c r="B1043" s="7" t="s">
        <v>2125</v>
      </c>
      <c r="C1043" s="8">
        <f>QS.CONTEXT.CREATE("market.1041",A1043,"USD","SOFR")</f>
        <v/>
      </c>
      <c r="D1043" s="8">
        <f>QS.CONTEXT.ADD.CURVE(C1043,"SOFR",$K$2:$K$7,$L$2:$L$7,,,"Actual360","LogLinear",TRUE)</f>
        <v/>
      </c>
      <c r="E1043" s="8">
        <f>QS.INSTRUMENT.SWAP("swap.1041",C1043,H1043,B1043,"USD","SOFR",I1043,J1043,0,"Actual360","Simple","Annual","Annual","Annual")</f>
        <v/>
      </c>
      <c r="F1043" s="8">
        <f>QS.TRADE.CREATE("trade.1041",C1043,E1043,A1043,"Receive")</f>
        <v/>
      </c>
      <c r="G1043" s="5"/>
      <c r="H1043" s="7" t="s">
        <v>2126</v>
      </c>
      <c r="I1043" s="9">
        <v>1104100</v>
      </c>
      <c r="J1043" s="10">
        <v>0.0391</v>
      </c>
    </row>
    <row r="1044" spans="1:10">
      <c r="A1044" s="7" t="s">
        <v>2114</v>
      </c>
      <c r="B1044" s="7" t="s">
        <v>2127</v>
      </c>
      <c r="C1044" s="8">
        <f>QS.CONTEXT.CREATE("market.1042",A1044,"USD","SOFR")</f>
        <v/>
      </c>
      <c r="D1044" s="8">
        <f>QS.CONTEXT.ADD.CURVE(C1044,"SOFR",$K$2:$K$7,$L$2:$L$7,,,"Actual360","LogLinear",TRUE)</f>
        <v/>
      </c>
      <c r="E1044" s="8">
        <f>QS.INSTRUMENT.SWAP("swap.1042",C1044,H1044,B1044,"USD","SOFR",I1044,J1044,0,"Actual360","Simple","Annual","Annual","Annual")</f>
        <v/>
      </c>
      <c r="F1044" s="8">
        <f>QS.TRADE.CREATE("trade.1042",C1044,E1044,A1044,"Receive")</f>
        <v/>
      </c>
      <c r="G1044" s="5"/>
      <c r="H1044" s="7" t="s">
        <v>2128</v>
      </c>
      <c r="I1044" s="9">
        <v>1104200</v>
      </c>
      <c r="J1044" s="10">
        <v>0.03920000000000001</v>
      </c>
    </row>
    <row r="1045" spans="1:10">
      <c r="A1045" s="7" t="s">
        <v>2116</v>
      </c>
      <c r="B1045" s="7" t="s">
        <v>2129</v>
      </c>
      <c r="C1045" s="8">
        <f>QS.CONTEXT.CREATE("market.1043",A1045,"USD","SOFR")</f>
        <v/>
      </c>
      <c r="D1045" s="8">
        <f>QS.CONTEXT.ADD.CURVE(C1045,"SOFR",$K$2:$K$7,$L$2:$L$7,,,"Actual360","LogLinear",TRUE)</f>
        <v/>
      </c>
      <c r="E1045" s="8">
        <f>QS.INSTRUMENT.SWAP("swap.1043",C1045,H1045,B1045,"USD","SOFR",I1045,J1045,0,"Actual360","Simple","Annual","Annual","Annual")</f>
        <v/>
      </c>
      <c r="F1045" s="8">
        <f>QS.TRADE.CREATE("trade.1043",C1045,E1045,A1045,"Receive")</f>
        <v/>
      </c>
      <c r="G1045" s="5"/>
      <c r="H1045" s="7" t="s">
        <v>2130</v>
      </c>
      <c r="I1045" s="9">
        <v>1104300</v>
      </c>
      <c r="J1045" s="10">
        <v>0.0393</v>
      </c>
    </row>
    <row r="1046" spans="1:10">
      <c r="A1046" s="7" t="s">
        <v>2118</v>
      </c>
      <c r="B1046" s="7" t="s">
        <v>2131</v>
      </c>
      <c r="C1046" s="8">
        <f>QS.CONTEXT.CREATE("market.1044",A1046,"USD","SOFR")</f>
        <v/>
      </c>
      <c r="D1046" s="8">
        <f>QS.CONTEXT.ADD.CURVE(C1046,"SOFR",$K$2:$K$7,$L$2:$L$7,,,"Actual360","LogLinear",TRUE)</f>
        <v/>
      </c>
      <c r="E1046" s="8">
        <f>QS.INSTRUMENT.SWAP("swap.1044",C1046,H1046,B1046,"USD","SOFR",I1046,J1046,0,"Actual360","Simple","Annual","Annual","Annual")</f>
        <v/>
      </c>
      <c r="F1046" s="8">
        <f>QS.TRADE.CREATE("trade.1044",C1046,E1046,A1046,"Receive")</f>
        <v/>
      </c>
      <c r="G1046" s="5"/>
      <c r="H1046" s="7" t="s">
        <v>2132</v>
      </c>
      <c r="I1046" s="9">
        <v>1104400</v>
      </c>
      <c r="J1046" s="10">
        <v>0.0394</v>
      </c>
    </row>
    <row r="1047" spans="1:10">
      <c r="A1047" s="7" t="s">
        <v>2120</v>
      </c>
      <c r="B1047" s="7" t="s">
        <v>2133</v>
      </c>
      <c r="C1047" s="8">
        <f>QS.CONTEXT.CREATE("market.1045",A1047,"USD","SOFR")</f>
        <v/>
      </c>
      <c r="D1047" s="8">
        <f>QS.CONTEXT.ADD.CURVE(C1047,"SOFR",$K$2:$K$7,$L$2:$L$7,,,"Actual360","LogLinear",TRUE)</f>
        <v/>
      </c>
      <c r="E1047" s="8">
        <f>QS.INSTRUMENT.SWAP("swap.1045",C1047,H1047,B1047,"USD","SOFR",I1047,J1047,0,"Actual360","Simple","Annual","Annual","Annual")</f>
        <v/>
      </c>
      <c r="F1047" s="8">
        <f>QS.TRADE.CREATE("trade.1045",C1047,E1047,A1047,"Receive")</f>
        <v/>
      </c>
      <c r="G1047" s="5"/>
      <c r="H1047" s="7" t="s">
        <v>2134</v>
      </c>
      <c r="I1047" s="9">
        <v>1104500</v>
      </c>
      <c r="J1047" s="10">
        <v>0.03950000000000001</v>
      </c>
    </row>
    <row r="1048" spans="1:10">
      <c r="A1048" s="7" t="s">
        <v>2122</v>
      </c>
      <c r="B1048" s="7" t="s">
        <v>2135</v>
      </c>
      <c r="C1048" s="8">
        <f>QS.CONTEXT.CREATE("market.1046",A1048,"USD","SOFR")</f>
        <v/>
      </c>
      <c r="D1048" s="8">
        <f>QS.CONTEXT.ADD.CURVE(C1048,"SOFR",$K$2:$K$7,$L$2:$L$7,,,"Actual360","LogLinear",TRUE)</f>
        <v/>
      </c>
      <c r="E1048" s="8">
        <f>QS.INSTRUMENT.SWAP("swap.1046",C1048,H1048,B1048,"USD","SOFR",I1048,J1048,0,"Actual360","Simple","Annual","Annual","Annual")</f>
        <v/>
      </c>
      <c r="F1048" s="8">
        <f>QS.TRADE.CREATE("trade.1046",C1048,E1048,A1048,"Receive")</f>
        <v/>
      </c>
      <c r="G1048" s="5"/>
      <c r="H1048" s="7" t="s">
        <v>2136</v>
      </c>
      <c r="I1048" s="9">
        <v>1104600</v>
      </c>
      <c r="J1048" s="10">
        <v>0.0396</v>
      </c>
    </row>
    <row r="1049" spans="1:10">
      <c r="A1049" s="7" t="s">
        <v>2124</v>
      </c>
      <c r="B1049" s="7" t="s">
        <v>2137</v>
      </c>
      <c r="C1049" s="8">
        <f>QS.CONTEXT.CREATE("market.1047",A1049,"USD","SOFR")</f>
        <v/>
      </c>
      <c r="D1049" s="8">
        <f>QS.CONTEXT.ADD.CURVE(C1049,"SOFR",$K$2:$K$7,$L$2:$L$7,,,"Actual360","LogLinear",TRUE)</f>
        <v/>
      </c>
      <c r="E1049" s="8">
        <f>QS.INSTRUMENT.SWAP("swap.1047",C1049,H1049,B1049,"USD","SOFR",I1049,J1049,0,"Actual360","Simple","Annual","Annual","Annual")</f>
        <v/>
      </c>
      <c r="F1049" s="8">
        <f>QS.TRADE.CREATE("trade.1047",C1049,E1049,A1049,"Receive")</f>
        <v/>
      </c>
      <c r="G1049" s="5"/>
      <c r="H1049" s="7" t="s">
        <v>2138</v>
      </c>
      <c r="I1049" s="9">
        <v>1104700</v>
      </c>
      <c r="J1049" s="10">
        <v>0.03970000000000001</v>
      </c>
    </row>
    <row r="1050" spans="1:10">
      <c r="A1050" s="7" t="s">
        <v>2126</v>
      </c>
      <c r="B1050" s="7" t="s">
        <v>2139</v>
      </c>
      <c r="C1050" s="8">
        <f>QS.CONTEXT.CREATE("market.1048",A1050,"USD","SOFR")</f>
        <v/>
      </c>
      <c r="D1050" s="8">
        <f>QS.CONTEXT.ADD.CURVE(C1050,"SOFR",$K$2:$K$7,$L$2:$L$7,,,"Actual360","LogLinear",TRUE)</f>
        <v/>
      </c>
      <c r="E1050" s="8">
        <f>QS.INSTRUMENT.SWAP("swap.1048",C1050,H1050,B1050,"USD","SOFR",I1050,J1050,0,"Actual360","Simple","Annual","Annual","Annual")</f>
        <v/>
      </c>
      <c r="F1050" s="8">
        <f>QS.TRADE.CREATE("trade.1048",C1050,E1050,A1050,"Receive")</f>
        <v/>
      </c>
      <c r="G1050" s="5"/>
      <c r="H1050" s="7" t="s">
        <v>2140</v>
      </c>
      <c r="I1050" s="9">
        <v>1104800</v>
      </c>
      <c r="J1050" s="10">
        <v>0.0398</v>
      </c>
    </row>
    <row r="1051" spans="1:10">
      <c r="A1051" s="7" t="s">
        <v>2128</v>
      </c>
      <c r="B1051" s="7" t="s">
        <v>2141</v>
      </c>
      <c r="C1051" s="8">
        <f>QS.CONTEXT.CREATE("market.1049",A1051,"USD","SOFR")</f>
        <v/>
      </c>
      <c r="D1051" s="8">
        <f>QS.CONTEXT.ADD.CURVE(C1051,"SOFR",$K$2:$K$7,$L$2:$L$7,,,"Actual360","LogLinear",TRUE)</f>
        <v/>
      </c>
      <c r="E1051" s="8">
        <f>QS.INSTRUMENT.SWAP("swap.1049",C1051,H1051,B1051,"USD","SOFR",I1051,J1051,0,"Actual360","Simple","Annual","Annual","Annual")</f>
        <v/>
      </c>
      <c r="F1051" s="8">
        <f>QS.TRADE.CREATE("trade.1049",C1051,E1051,A1051,"Receive")</f>
        <v/>
      </c>
      <c r="G1051" s="5"/>
      <c r="H1051" s="7" t="s">
        <v>2142</v>
      </c>
      <c r="I1051" s="9">
        <v>1104900</v>
      </c>
      <c r="J1051" s="10">
        <v>0.0399</v>
      </c>
    </row>
    <row r="1052" spans="1:10">
      <c r="A1052" s="7" t="s">
        <v>2130</v>
      </c>
      <c r="B1052" s="7" t="s">
        <v>2143</v>
      </c>
      <c r="C1052" s="8">
        <f>QS.CONTEXT.CREATE("market.1050",A1052,"USD","SOFR")</f>
        <v/>
      </c>
      <c r="D1052" s="8">
        <f>QS.CONTEXT.ADD.CURVE(C1052,"SOFR",$K$2:$K$7,$L$2:$L$7,,,"Actual360","LogLinear",TRUE)</f>
        <v/>
      </c>
      <c r="E1052" s="8">
        <f>QS.INSTRUMENT.SWAP("swap.1050",C1052,H1052,B1052,"USD","SOFR",I1052,J1052,0,"Actual360","Simple","Annual","Annual","Annual")</f>
        <v/>
      </c>
      <c r="F1052" s="8">
        <f>QS.TRADE.CREATE("trade.1050",C1052,E1052,A1052,"Receive")</f>
        <v/>
      </c>
      <c r="G1052" s="5"/>
      <c r="H1052" s="7" t="s">
        <v>2144</v>
      </c>
      <c r="I1052" s="9">
        <v>1105000</v>
      </c>
      <c r="J1052" s="10">
        <v>0.035</v>
      </c>
    </row>
    <row r="1053" spans="1:10">
      <c r="A1053" s="7" t="s">
        <v>2132</v>
      </c>
      <c r="B1053" s="7" t="s">
        <v>2145</v>
      </c>
      <c r="C1053" s="8">
        <f>QS.CONTEXT.CREATE("market.1051",A1053,"USD","SOFR")</f>
        <v/>
      </c>
      <c r="D1053" s="8">
        <f>QS.CONTEXT.ADD.CURVE(C1053,"SOFR",$K$2:$K$7,$L$2:$L$7,,,"Actual360","LogLinear",TRUE)</f>
        <v/>
      </c>
      <c r="E1053" s="8">
        <f>QS.INSTRUMENT.SWAP("swap.1051",C1053,H1053,B1053,"USD","SOFR",I1053,J1053,0,"Actual360","Simple","Annual","Annual","Annual")</f>
        <v/>
      </c>
      <c r="F1053" s="8">
        <f>QS.TRADE.CREATE("trade.1051",C1053,E1053,A1053,"Receive")</f>
        <v/>
      </c>
      <c r="G1053" s="5"/>
      <c r="H1053" s="7" t="s">
        <v>2146</v>
      </c>
      <c r="I1053" s="9">
        <v>1105100</v>
      </c>
      <c r="J1053" s="10">
        <v>0.03510000000000001</v>
      </c>
    </row>
    <row r="1054" spans="1:10">
      <c r="A1054" s="7" t="s">
        <v>2134</v>
      </c>
      <c r="B1054" s="7" t="s">
        <v>2147</v>
      </c>
      <c r="C1054" s="8">
        <f>QS.CONTEXT.CREATE("market.1052",A1054,"USD","SOFR")</f>
        <v/>
      </c>
      <c r="D1054" s="8">
        <f>QS.CONTEXT.ADD.CURVE(C1054,"SOFR",$K$2:$K$7,$L$2:$L$7,,,"Actual360","LogLinear",TRUE)</f>
        <v/>
      </c>
      <c r="E1054" s="8">
        <f>QS.INSTRUMENT.SWAP("swap.1052",C1054,H1054,B1054,"USD","SOFR",I1054,J1054,0,"Actual360","Simple","Annual","Annual","Annual")</f>
        <v/>
      </c>
      <c r="F1054" s="8">
        <f>QS.TRADE.CREATE("trade.1052",C1054,E1054,A1054,"Receive")</f>
        <v/>
      </c>
      <c r="G1054" s="5"/>
      <c r="H1054" s="7" t="s">
        <v>2148</v>
      </c>
      <c r="I1054" s="9">
        <v>1105200</v>
      </c>
      <c r="J1054" s="10">
        <v>0.0352</v>
      </c>
    </row>
    <row r="1055" spans="1:10">
      <c r="A1055" s="7" t="s">
        <v>2136</v>
      </c>
      <c r="B1055" s="7" t="s">
        <v>2149</v>
      </c>
      <c r="C1055" s="8">
        <f>QS.CONTEXT.CREATE("market.1053",A1055,"USD","SOFR")</f>
        <v/>
      </c>
      <c r="D1055" s="8">
        <f>QS.CONTEXT.ADD.CURVE(C1055,"SOFR",$K$2:$K$7,$L$2:$L$7,,,"Actual360","LogLinear",TRUE)</f>
        <v/>
      </c>
      <c r="E1055" s="8">
        <f>QS.INSTRUMENT.SWAP("swap.1053",C1055,H1055,B1055,"USD","SOFR",I1055,J1055,0,"Actual360","Simple","Annual","Annual","Annual")</f>
        <v/>
      </c>
      <c r="F1055" s="8">
        <f>QS.TRADE.CREATE("trade.1053",C1055,E1055,A1055,"Receive")</f>
        <v/>
      </c>
      <c r="G1055" s="5"/>
      <c r="H1055" s="7" t="s">
        <v>2150</v>
      </c>
      <c r="I1055" s="9">
        <v>1105300</v>
      </c>
      <c r="J1055" s="10">
        <v>0.0353</v>
      </c>
    </row>
    <row r="1056" spans="1:10">
      <c r="A1056" s="7" t="s">
        <v>2138</v>
      </c>
      <c r="B1056" s="7" t="s">
        <v>2151</v>
      </c>
      <c r="C1056" s="8">
        <f>QS.CONTEXT.CREATE("market.1054",A1056,"USD","SOFR")</f>
        <v/>
      </c>
      <c r="D1056" s="8">
        <f>QS.CONTEXT.ADD.CURVE(C1056,"SOFR",$K$2:$K$7,$L$2:$L$7,,,"Actual360","LogLinear",TRUE)</f>
        <v/>
      </c>
      <c r="E1056" s="8">
        <f>QS.INSTRUMENT.SWAP("swap.1054",C1056,H1056,B1056,"USD","SOFR",I1056,J1056,0,"Actual360","Simple","Annual","Annual","Annual")</f>
        <v/>
      </c>
      <c r="F1056" s="8">
        <f>QS.TRADE.CREATE("trade.1054",C1056,E1056,A1056,"Receive")</f>
        <v/>
      </c>
      <c r="G1056" s="5"/>
      <c r="H1056" s="7" t="s">
        <v>2152</v>
      </c>
      <c r="I1056" s="9">
        <v>1105400</v>
      </c>
      <c r="J1056" s="10">
        <v>0.0354</v>
      </c>
    </row>
    <row r="1057" spans="1:10">
      <c r="A1057" s="7" t="s">
        <v>2140</v>
      </c>
      <c r="B1057" s="7" t="s">
        <v>2153</v>
      </c>
      <c r="C1057" s="8">
        <f>QS.CONTEXT.CREATE("market.1055",A1057,"USD","SOFR")</f>
        <v/>
      </c>
      <c r="D1057" s="8">
        <f>QS.CONTEXT.ADD.CURVE(C1057,"SOFR",$K$2:$K$7,$L$2:$L$7,,,"Actual360","LogLinear",TRUE)</f>
        <v/>
      </c>
      <c r="E1057" s="8">
        <f>QS.INSTRUMENT.SWAP("swap.1055",C1057,H1057,B1057,"USD","SOFR",I1057,J1057,0,"Actual360","Simple","Annual","Annual","Annual")</f>
        <v/>
      </c>
      <c r="F1057" s="8">
        <f>QS.TRADE.CREATE("trade.1055",C1057,E1057,A1057,"Receive")</f>
        <v/>
      </c>
      <c r="G1057" s="5"/>
      <c r="H1057" s="7" t="s">
        <v>2154</v>
      </c>
      <c r="I1057" s="9">
        <v>1105500</v>
      </c>
      <c r="J1057" s="10">
        <v>0.0355</v>
      </c>
    </row>
    <row r="1058" spans="1:10">
      <c r="A1058" s="7" t="s">
        <v>2142</v>
      </c>
      <c r="B1058" s="7" t="s">
        <v>2155</v>
      </c>
      <c r="C1058" s="8">
        <f>QS.CONTEXT.CREATE("market.1056",A1058,"USD","SOFR")</f>
        <v/>
      </c>
      <c r="D1058" s="8">
        <f>QS.CONTEXT.ADD.CURVE(C1058,"SOFR",$K$2:$K$7,$L$2:$L$7,,,"Actual360","LogLinear",TRUE)</f>
        <v/>
      </c>
      <c r="E1058" s="8">
        <f>QS.INSTRUMENT.SWAP("swap.1056",C1058,H1058,B1058,"USD","SOFR",I1058,J1058,0,"Actual360","Simple","Annual","Annual","Annual")</f>
        <v/>
      </c>
      <c r="F1058" s="8">
        <f>QS.TRADE.CREATE("trade.1056",C1058,E1058,A1058,"Receive")</f>
        <v/>
      </c>
      <c r="G1058" s="5"/>
      <c r="H1058" s="7" t="s">
        <v>2156</v>
      </c>
      <c r="I1058" s="9">
        <v>1105600</v>
      </c>
      <c r="J1058" s="10">
        <v>0.03560000000000001</v>
      </c>
    </row>
    <row r="1059" spans="1:10">
      <c r="A1059" s="7" t="s">
        <v>2144</v>
      </c>
      <c r="B1059" s="7" t="s">
        <v>2157</v>
      </c>
      <c r="C1059" s="8">
        <f>QS.CONTEXT.CREATE("market.1057",A1059,"USD","SOFR")</f>
        <v/>
      </c>
      <c r="D1059" s="8">
        <f>QS.CONTEXT.ADD.CURVE(C1059,"SOFR",$K$2:$K$7,$L$2:$L$7,,,"Actual360","LogLinear",TRUE)</f>
        <v/>
      </c>
      <c r="E1059" s="8">
        <f>QS.INSTRUMENT.SWAP("swap.1057",C1059,H1059,B1059,"USD","SOFR",I1059,J1059,0,"Actual360","Simple","Annual","Annual","Annual")</f>
        <v/>
      </c>
      <c r="F1059" s="8">
        <f>QS.TRADE.CREATE("trade.1057",C1059,E1059,A1059,"Receive")</f>
        <v/>
      </c>
      <c r="G1059" s="5"/>
      <c r="H1059" s="7" t="s">
        <v>2158</v>
      </c>
      <c r="I1059" s="9">
        <v>1105700</v>
      </c>
      <c r="J1059" s="10">
        <v>0.0357</v>
      </c>
    </row>
    <row r="1060" spans="1:10">
      <c r="A1060" s="7" t="s">
        <v>2146</v>
      </c>
      <c r="B1060" s="7" t="s">
        <v>2159</v>
      </c>
      <c r="C1060" s="8">
        <f>QS.CONTEXT.CREATE("market.1058",A1060,"USD","SOFR")</f>
        <v/>
      </c>
      <c r="D1060" s="8">
        <f>QS.CONTEXT.ADD.CURVE(C1060,"SOFR",$K$2:$K$7,$L$2:$L$7,,,"Actual360","LogLinear",TRUE)</f>
        <v/>
      </c>
      <c r="E1060" s="8">
        <f>QS.INSTRUMENT.SWAP("swap.1058",C1060,H1060,B1060,"USD","SOFR",I1060,J1060,0,"Actual360","Simple","Annual","Annual","Annual")</f>
        <v/>
      </c>
      <c r="F1060" s="8">
        <f>QS.TRADE.CREATE("trade.1058",C1060,E1060,A1060,"Receive")</f>
        <v/>
      </c>
      <c r="G1060" s="5"/>
      <c r="H1060" s="7" t="s">
        <v>2160</v>
      </c>
      <c r="I1060" s="9">
        <v>1105800</v>
      </c>
      <c r="J1060" s="10">
        <v>0.03580000000000001</v>
      </c>
    </row>
    <row r="1061" spans="1:10">
      <c r="A1061" s="7" t="s">
        <v>2148</v>
      </c>
      <c r="B1061" s="7" t="s">
        <v>2161</v>
      </c>
      <c r="C1061" s="8">
        <f>QS.CONTEXT.CREATE("market.1059",A1061,"USD","SOFR")</f>
        <v/>
      </c>
      <c r="D1061" s="8">
        <f>QS.CONTEXT.ADD.CURVE(C1061,"SOFR",$K$2:$K$7,$L$2:$L$7,,,"Actual360","LogLinear",TRUE)</f>
        <v/>
      </c>
      <c r="E1061" s="8">
        <f>QS.INSTRUMENT.SWAP("swap.1059",C1061,H1061,B1061,"USD","SOFR",I1061,J1061,0,"Actual360","Simple","Annual","Annual","Annual")</f>
        <v/>
      </c>
      <c r="F1061" s="8">
        <f>QS.TRADE.CREATE("trade.1059",C1061,E1061,A1061,"Receive")</f>
        <v/>
      </c>
      <c r="G1061" s="5"/>
      <c r="H1061" s="7" t="s">
        <v>2162</v>
      </c>
      <c r="I1061" s="9">
        <v>1105900</v>
      </c>
      <c r="J1061" s="10">
        <v>0.0359</v>
      </c>
    </row>
    <row r="1062" spans="1:10">
      <c r="A1062" s="7" t="s">
        <v>2150</v>
      </c>
      <c r="B1062" s="7" t="s">
        <v>2163</v>
      </c>
      <c r="C1062" s="8">
        <f>QS.CONTEXT.CREATE("market.1060",A1062,"USD","SOFR")</f>
        <v/>
      </c>
      <c r="D1062" s="8">
        <f>QS.CONTEXT.ADD.CURVE(C1062,"SOFR",$K$2:$K$7,$L$2:$L$7,,,"Actual360","LogLinear",TRUE)</f>
        <v/>
      </c>
      <c r="E1062" s="8">
        <f>QS.INSTRUMENT.SWAP("swap.1060",C1062,H1062,B1062,"USD","SOFR",I1062,J1062,0,"Actual360","Simple","Annual","Annual","Annual")</f>
        <v/>
      </c>
      <c r="F1062" s="8">
        <f>QS.TRADE.CREATE("trade.1060",C1062,E1062,A1062,"Receive")</f>
        <v/>
      </c>
      <c r="G1062" s="5"/>
      <c r="H1062" s="7" t="s">
        <v>2164</v>
      </c>
      <c r="I1062" s="9">
        <v>1106000</v>
      </c>
      <c r="J1062" s="10">
        <v>0.036</v>
      </c>
    </row>
    <row r="1063" spans="1:10">
      <c r="A1063" s="7" t="s">
        <v>2152</v>
      </c>
      <c r="B1063" s="7" t="s">
        <v>2165</v>
      </c>
      <c r="C1063" s="8">
        <f>QS.CONTEXT.CREATE("market.1061",A1063,"USD","SOFR")</f>
        <v/>
      </c>
      <c r="D1063" s="8">
        <f>QS.CONTEXT.ADD.CURVE(C1063,"SOFR",$K$2:$K$7,$L$2:$L$7,,,"Actual360","LogLinear",TRUE)</f>
        <v/>
      </c>
      <c r="E1063" s="8">
        <f>QS.INSTRUMENT.SWAP("swap.1061",C1063,H1063,B1063,"USD","SOFR",I1063,J1063,0,"Actual360","Simple","Annual","Annual","Annual")</f>
        <v/>
      </c>
      <c r="F1063" s="8">
        <f>QS.TRADE.CREATE("trade.1061",C1063,E1063,A1063,"Receive")</f>
        <v/>
      </c>
      <c r="G1063" s="5"/>
      <c r="H1063" s="7" t="s">
        <v>2166</v>
      </c>
      <c r="I1063" s="9">
        <v>1106100</v>
      </c>
      <c r="J1063" s="10">
        <v>0.0361</v>
      </c>
    </row>
    <row r="1064" spans="1:10">
      <c r="A1064" s="7" t="s">
        <v>2154</v>
      </c>
      <c r="B1064" s="7" t="s">
        <v>2167</v>
      </c>
      <c r="C1064" s="8">
        <f>QS.CONTEXT.CREATE("market.1062",A1064,"USD","SOFR")</f>
        <v/>
      </c>
      <c r="D1064" s="8">
        <f>QS.CONTEXT.ADD.CURVE(C1064,"SOFR",$K$2:$K$7,$L$2:$L$7,,,"Actual360","LogLinear",TRUE)</f>
        <v/>
      </c>
      <c r="E1064" s="8">
        <f>QS.INSTRUMENT.SWAP("swap.1062",C1064,H1064,B1064,"USD","SOFR",I1064,J1064,0,"Actual360","Simple","Annual","Annual","Annual")</f>
        <v/>
      </c>
      <c r="F1064" s="8">
        <f>QS.TRADE.CREATE("trade.1062",C1064,E1064,A1064,"Receive")</f>
        <v/>
      </c>
      <c r="G1064" s="5"/>
      <c r="H1064" s="7" t="s">
        <v>2168</v>
      </c>
      <c r="I1064" s="9">
        <v>1106200</v>
      </c>
      <c r="J1064" s="10">
        <v>0.0362</v>
      </c>
    </row>
    <row r="1065" spans="1:10">
      <c r="A1065" s="7" t="s">
        <v>2156</v>
      </c>
      <c r="B1065" s="7" t="s">
        <v>2169</v>
      </c>
      <c r="C1065" s="8">
        <f>QS.CONTEXT.CREATE("market.1063",A1065,"USD","SOFR")</f>
        <v/>
      </c>
      <c r="D1065" s="8">
        <f>QS.CONTEXT.ADD.CURVE(C1065,"SOFR",$K$2:$K$7,$L$2:$L$7,,,"Actual360","LogLinear",TRUE)</f>
        <v/>
      </c>
      <c r="E1065" s="8">
        <f>QS.INSTRUMENT.SWAP("swap.1063",C1065,H1065,B1065,"USD","SOFR",I1065,J1065,0,"Actual360","Simple","Annual","Annual","Annual")</f>
        <v/>
      </c>
      <c r="F1065" s="8">
        <f>QS.TRADE.CREATE("trade.1063",C1065,E1065,A1065,"Receive")</f>
        <v/>
      </c>
      <c r="G1065" s="5"/>
      <c r="H1065" s="7" t="s">
        <v>2170</v>
      </c>
      <c r="I1065" s="9">
        <v>1106300</v>
      </c>
      <c r="J1065" s="10">
        <v>0.03630000000000001</v>
      </c>
    </row>
    <row r="1066" spans="1:10">
      <c r="A1066" s="7" t="s">
        <v>2158</v>
      </c>
      <c r="B1066" s="7" t="s">
        <v>2171</v>
      </c>
      <c r="C1066" s="8">
        <f>QS.CONTEXT.CREATE("market.1064",A1066,"USD","SOFR")</f>
        <v/>
      </c>
      <c r="D1066" s="8">
        <f>QS.CONTEXT.ADD.CURVE(C1066,"SOFR",$K$2:$K$7,$L$2:$L$7,,,"Actual360","LogLinear",TRUE)</f>
        <v/>
      </c>
      <c r="E1066" s="8">
        <f>QS.INSTRUMENT.SWAP("swap.1064",C1066,H1066,B1066,"USD","SOFR",I1066,J1066,0,"Actual360","Simple","Annual","Annual","Annual")</f>
        <v/>
      </c>
      <c r="F1066" s="8">
        <f>QS.TRADE.CREATE("trade.1064",C1066,E1066,A1066,"Receive")</f>
        <v/>
      </c>
      <c r="G1066" s="5"/>
      <c r="H1066" s="7" t="s">
        <v>2172</v>
      </c>
      <c r="I1066" s="9">
        <v>1106400</v>
      </c>
      <c r="J1066" s="10">
        <v>0.0364</v>
      </c>
    </row>
    <row r="1067" spans="1:10">
      <c r="A1067" s="7" t="s">
        <v>2160</v>
      </c>
      <c r="B1067" s="7" t="s">
        <v>2173</v>
      </c>
      <c r="C1067" s="8">
        <f>QS.CONTEXT.CREATE("market.1065",A1067,"USD","SOFR")</f>
        <v/>
      </c>
      <c r="D1067" s="8">
        <f>QS.CONTEXT.ADD.CURVE(C1067,"SOFR",$K$2:$K$7,$L$2:$L$7,,,"Actual360","LogLinear",TRUE)</f>
        <v/>
      </c>
      <c r="E1067" s="8">
        <f>QS.INSTRUMENT.SWAP("swap.1065",C1067,H1067,B1067,"USD","SOFR",I1067,J1067,0,"Actual360","Simple","Annual","Annual","Annual")</f>
        <v/>
      </c>
      <c r="F1067" s="8">
        <f>QS.TRADE.CREATE("trade.1065",C1067,E1067,A1067,"Receive")</f>
        <v/>
      </c>
      <c r="G1067" s="5"/>
      <c r="H1067" s="7" t="s">
        <v>2174</v>
      </c>
      <c r="I1067" s="9">
        <v>1106500</v>
      </c>
      <c r="J1067" s="10">
        <v>0.0365</v>
      </c>
    </row>
    <row r="1068" spans="1:10">
      <c r="A1068" s="7" t="s">
        <v>2162</v>
      </c>
      <c r="B1068" s="7" t="s">
        <v>2175</v>
      </c>
      <c r="C1068" s="8">
        <f>QS.CONTEXT.CREATE("market.1066",A1068,"USD","SOFR")</f>
        <v/>
      </c>
      <c r="D1068" s="8">
        <f>QS.CONTEXT.ADD.CURVE(C1068,"SOFR",$K$2:$K$7,$L$2:$L$7,,,"Actual360","LogLinear",TRUE)</f>
        <v/>
      </c>
      <c r="E1068" s="8">
        <f>QS.INSTRUMENT.SWAP("swap.1066",C1068,H1068,B1068,"USD","SOFR",I1068,J1068,0,"Actual360","Simple","Annual","Annual","Annual")</f>
        <v/>
      </c>
      <c r="F1068" s="8">
        <f>QS.TRADE.CREATE("trade.1066",C1068,E1068,A1068,"Receive")</f>
        <v/>
      </c>
      <c r="G1068" s="5"/>
      <c r="H1068" s="7" t="s">
        <v>2176</v>
      </c>
      <c r="I1068" s="9">
        <v>1106600</v>
      </c>
      <c r="J1068" s="10">
        <v>0.0366</v>
      </c>
    </row>
    <row r="1069" spans="1:10">
      <c r="A1069" s="7" t="s">
        <v>2164</v>
      </c>
      <c r="B1069" s="7" t="s">
        <v>2177</v>
      </c>
      <c r="C1069" s="8">
        <f>QS.CONTEXT.CREATE("market.1067",A1069,"USD","SOFR")</f>
        <v/>
      </c>
      <c r="D1069" s="8">
        <f>QS.CONTEXT.ADD.CURVE(C1069,"SOFR",$K$2:$K$7,$L$2:$L$7,,,"Actual360","LogLinear",TRUE)</f>
        <v/>
      </c>
      <c r="E1069" s="8">
        <f>QS.INSTRUMENT.SWAP("swap.1067",C1069,H1069,B1069,"USD","SOFR",I1069,J1069,0,"Actual360","Simple","Annual","Annual","Annual")</f>
        <v/>
      </c>
      <c r="F1069" s="8">
        <f>QS.TRADE.CREATE("trade.1067",C1069,E1069,A1069,"Receive")</f>
        <v/>
      </c>
      <c r="G1069" s="5"/>
      <c r="H1069" s="7" t="s">
        <v>2178</v>
      </c>
      <c r="I1069" s="9">
        <v>1106700</v>
      </c>
      <c r="J1069" s="10">
        <v>0.0367</v>
      </c>
    </row>
    <row r="1070" spans="1:10">
      <c r="A1070" s="7" t="s">
        <v>2166</v>
      </c>
      <c r="B1070" s="7" t="s">
        <v>2179</v>
      </c>
      <c r="C1070" s="8">
        <f>QS.CONTEXT.CREATE("market.1068",A1070,"USD","SOFR")</f>
        <v/>
      </c>
      <c r="D1070" s="8">
        <f>QS.CONTEXT.ADD.CURVE(C1070,"SOFR",$K$2:$K$7,$L$2:$L$7,,,"Actual360","LogLinear",TRUE)</f>
        <v/>
      </c>
      <c r="E1070" s="8">
        <f>QS.INSTRUMENT.SWAP("swap.1068",C1070,H1070,B1070,"USD","SOFR",I1070,J1070,0,"Actual360","Simple","Annual","Annual","Annual")</f>
        <v/>
      </c>
      <c r="F1070" s="8">
        <f>QS.TRADE.CREATE("trade.1068",C1070,E1070,A1070,"Receive")</f>
        <v/>
      </c>
      <c r="G1070" s="5"/>
      <c r="H1070" s="7" t="s">
        <v>2180</v>
      </c>
      <c r="I1070" s="9">
        <v>1106800</v>
      </c>
      <c r="J1070" s="10">
        <v>0.03680000000000001</v>
      </c>
    </row>
    <row r="1071" spans="1:10">
      <c r="A1071" s="7" t="s">
        <v>2168</v>
      </c>
      <c r="B1071" s="7" t="s">
        <v>2181</v>
      </c>
      <c r="C1071" s="8">
        <f>QS.CONTEXT.CREATE("market.1069",A1071,"USD","SOFR")</f>
        <v/>
      </c>
      <c r="D1071" s="8">
        <f>QS.CONTEXT.ADD.CURVE(C1071,"SOFR",$K$2:$K$7,$L$2:$L$7,,,"Actual360","LogLinear",TRUE)</f>
        <v/>
      </c>
      <c r="E1071" s="8">
        <f>QS.INSTRUMENT.SWAP("swap.1069",C1071,H1071,B1071,"USD","SOFR",I1071,J1071,0,"Actual360","Simple","Annual","Annual","Annual")</f>
        <v/>
      </c>
      <c r="F1071" s="8">
        <f>QS.TRADE.CREATE("trade.1069",C1071,E1071,A1071,"Receive")</f>
        <v/>
      </c>
      <c r="G1071" s="5"/>
      <c r="H1071" s="7" t="s">
        <v>2182</v>
      </c>
      <c r="I1071" s="9">
        <v>1106900</v>
      </c>
      <c r="J1071" s="10">
        <v>0.0369</v>
      </c>
    </row>
    <row r="1072" spans="1:10">
      <c r="A1072" s="7" t="s">
        <v>2170</v>
      </c>
      <c r="B1072" s="7" t="s">
        <v>2183</v>
      </c>
      <c r="C1072" s="8">
        <f>QS.CONTEXT.CREATE("market.1070",A1072,"USD","SOFR")</f>
        <v/>
      </c>
      <c r="D1072" s="8">
        <f>QS.CONTEXT.ADD.CURVE(C1072,"SOFR",$K$2:$K$7,$L$2:$L$7,,,"Actual360","LogLinear",TRUE)</f>
        <v/>
      </c>
      <c r="E1072" s="8">
        <f>QS.INSTRUMENT.SWAP("swap.1070",C1072,H1072,B1072,"USD","SOFR",I1072,J1072,0,"Actual360","Simple","Annual","Annual","Annual")</f>
        <v/>
      </c>
      <c r="F1072" s="8">
        <f>QS.TRADE.CREATE("trade.1070",C1072,E1072,A1072,"Receive")</f>
        <v/>
      </c>
      <c r="G1072" s="5"/>
      <c r="H1072" s="7" t="s">
        <v>2184</v>
      </c>
      <c r="I1072" s="9">
        <v>1107000</v>
      </c>
      <c r="J1072" s="10">
        <v>0.03700000000000001</v>
      </c>
    </row>
    <row r="1073" spans="1:10">
      <c r="A1073" s="7" t="s">
        <v>2172</v>
      </c>
      <c r="B1073" s="7" t="s">
        <v>2185</v>
      </c>
      <c r="C1073" s="8">
        <f>QS.CONTEXT.CREATE("market.1071",A1073,"USD","SOFR")</f>
        <v/>
      </c>
      <c r="D1073" s="8">
        <f>QS.CONTEXT.ADD.CURVE(C1073,"SOFR",$K$2:$K$7,$L$2:$L$7,,,"Actual360","LogLinear",TRUE)</f>
        <v/>
      </c>
      <c r="E1073" s="8">
        <f>QS.INSTRUMENT.SWAP("swap.1071",C1073,H1073,B1073,"USD","SOFR",I1073,J1073,0,"Actual360","Simple","Annual","Annual","Annual")</f>
        <v/>
      </c>
      <c r="F1073" s="8">
        <f>QS.TRADE.CREATE("trade.1071",C1073,E1073,A1073,"Receive")</f>
        <v/>
      </c>
      <c r="G1073" s="5"/>
      <c r="H1073" s="7" t="s">
        <v>2186</v>
      </c>
      <c r="I1073" s="9">
        <v>1107100</v>
      </c>
      <c r="J1073" s="10">
        <v>0.0371</v>
      </c>
    </row>
    <row r="1074" spans="1:10">
      <c r="A1074" s="7" t="s">
        <v>2174</v>
      </c>
      <c r="B1074" s="7" t="s">
        <v>2187</v>
      </c>
      <c r="C1074" s="8">
        <f>QS.CONTEXT.CREATE("market.1072",A1074,"USD","SOFR")</f>
        <v/>
      </c>
      <c r="D1074" s="8">
        <f>QS.CONTEXT.ADD.CURVE(C1074,"SOFR",$K$2:$K$7,$L$2:$L$7,,,"Actual360","LogLinear",TRUE)</f>
        <v/>
      </c>
      <c r="E1074" s="8">
        <f>QS.INSTRUMENT.SWAP("swap.1072",C1074,H1074,B1074,"USD","SOFR",I1074,J1074,0,"Actual360","Simple","Annual","Annual","Annual")</f>
        <v/>
      </c>
      <c r="F1074" s="8">
        <f>QS.TRADE.CREATE("trade.1072",C1074,E1074,A1074,"Receive")</f>
        <v/>
      </c>
      <c r="G1074" s="5"/>
      <c r="H1074" s="7" t="s">
        <v>2188</v>
      </c>
      <c r="I1074" s="9">
        <v>1107200</v>
      </c>
      <c r="J1074" s="10">
        <v>0.0372</v>
      </c>
    </row>
    <row r="1075" spans="1:10">
      <c r="A1075" s="7" t="s">
        <v>2176</v>
      </c>
      <c r="B1075" s="7" t="s">
        <v>2189</v>
      </c>
      <c r="C1075" s="8">
        <f>QS.CONTEXT.CREATE("market.1073",A1075,"USD","SOFR")</f>
        <v/>
      </c>
      <c r="D1075" s="8">
        <f>QS.CONTEXT.ADD.CURVE(C1075,"SOFR",$K$2:$K$7,$L$2:$L$7,,,"Actual360","LogLinear",TRUE)</f>
        <v/>
      </c>
      <c r="E1075" s="8">
        <f>QS.INSTRUMENT.SWAP("swap.1073",C1075,H1075,B1075,"USD","SOFR",I1075,J1075,0,"Actual360","Simple","Annual","Annual","Annual")</f>
        <v/>
      </c>
      <c r="F1075" s="8">
        <f>QS.TRADE.CREATE("trade.1073",C1075,E1075,A1075,"Receive")</f>
        <v/>
      </c>
      <c r="G1075" s="5"/>
      <c r="H1075" s="7" t="s">
        <v>2190</v>
      </c>
      <c r="I1075" s="9">
        <v>1107300</v>
      </c>
      <c r="J1075" s="10">
        <v>0.0373</v>
      </c>
    </row>
    <row r="1076" spans="1:10">
      <c r="A1076" s="7" t="s">
        <v>2178</v>
      </c>
      <c r="B1076" s="7" t="s">
        <v>2191</v>
      </c>
      <c r="C1076" s="8">
        <f>QS.CONTEXT.CREATE("market.1074",A1076,"USD","SOFR")</f>
        <v/>
      </c>
      <c r="D1076" s="8">
        <f>QS.CONTEXT.ADD.CURVE(C1076,"SOFR",$K$2:$K$7,$L$2:$L$7,,,"Actual360","LogLinear",TRUE)</f>
        <v/>
      </c>
      <c r="E1076" s="8">
        <f>QS.INSTRUMENT.SWAP("swap.1074",C1076,H1076,B1076,"USD","SOFR",I1076,J1076,0,"Actual360","Simple","Annual","Annual","Annual")</f>
        <v/>
      </c>
      <c r="F1076" s="8">
        <f>QS.TRADE.CREATE("trade.1074",C1076,E1076,A1076,"Receive")</f>
        <v/>
      </c>
      <c r="G1076" s="5"/>
      <c r="H1076" s="7" t="s">
        <v>2192</v>
      </c>
      <c r="I1076" s="9">
        <v>1107400</v>
      </c>
      <c r="J1076" s="10">
        <v>0.0374</v>
      </c>
    </row>
    <row r="1077" spans="1:10">
      <c r="A1077" s="7" t="s">
        <v>2180</v>
      </c>
      <c r="B1077" s="7" t="s">
        <v>2193</v>
      </c>
      <c r="C1077" s="8">
        <f>QS.CONTEXT.CREATE("market.1075",A1077,"USD","SOFR")</f>
        <v/>
      </c>
      <c r="D1077" s="8">
        <f>QS.CONTEXT.ADD.CURVE(C1077,"SOFR",$K$2:$K$7,$L$2:$L$7,,,"Actual360","LogLinear",TRUE)</f>
        <v/>
      </c>
      <c r="E1077" s="8">
        <f>QS.INSTRUMENT.SWAP("swap.1075",C1077,H1077,B1077,"USD","SOFR",I1077,J1077,0,"Actual360","Simple","Annual","Annual","Annual")</f>
        <v/>
      </c>
      <c r="F1077" s="8">
        <f>QS.TRADE.CREATE("trade.1075",C1077,E1077,A1077,"Receive")</f>
        <v/>
      </c>
      <c r="G1077" s="5"/>
      <c r="H1077" s="7" t="s">
        <v>2194</v>
      </c>
      <c r="I1077" s="9">
        <v>1107500</v>
      </c>
      <c r="J1077" s="10">
        <v>0.03750000000000001</v>
      </c>
    </row>
    <row r="1078" spans="1:10">
      <c r="A1078" s="7" t="s">
        <v>2182</v>
      </c>
      <c r="B1078" s="7" t="s">
        <v>2195</v>
      </c>
      <c r="C1078" s="8">
        <f>QS.CONTEXT.CREATE("market.1076",A1078,"USD","SOFR")</f>
        <v/>
      </c>
      <c r="D1078" s="8">
        <f>QS.CONTEXT.ADD.CURVE(C1078,"SOFR",$K$2:$K$7,$L$2:$L$7,,,"Actual360","LogLinear",TRUE)</f>
        <v/>
      </c>
      <c r="E1078" s="8">
        <f>QS.INSTRUMENT.SWAP("swap.1076",C1078,H1078,B1078,"USD","SOFR",I1078,J1078,0,"Actual360","Simple","Annual","Annual","Annual")</f>
        <v/>
      </c>
      <c r="F1078" s="8">
        <f>QS.TRADE.CREATE("trade.1076",C1078,E1078,A1078,"Receive")</f>
        <v/>
      </c>
      <c r="G1078" s="5"/>
      <c r="H1078" s="7" t="s">
        <v>2196</v>
      </c>
      <c r="I1078" s="9">
        <v>1107600</v>
      </c>
      <c r="J1078" s="10">
        <v>0.0376</v>
      </c>
    </row>
    <row r="1079" spans="1:10">
      <c r="A1079" s="7" t="s">
        <v>2184</v>
      </c>
      <c r="B1079" s="7" t="s">
        <v>2197</v>
      </c>
      <c r="C1079" s="8">
        <f>QS.CONTEXT.CREATE("market.1077",A1079,"USD","SOFR")</f>
        <v/>
      </c>
      <c r="D1079" s="8">
        <f>QS.CONTEXT.ADD.CURVE(C1079,"SOFR",$K$2:$K$7,$L$2:$L$7,,,"Actual360","LogLinear",TRUE)</f>
        <v/>
      </c>
      <c r="E1079" s="8">
        <f>QS.INSTRUMENT.SWAP("swap.1077",C1079,H1079,B1079,"USD","SOFR",I1079,J1079,0,"Actual360","Simple","Annual","Annual","Annual")</f>
        <v/>
      </c>
      <c r="F1079" s="8">
        <f>QS.TRADE.CREATE("trade.1077",C1079,E1079,A1079,"Receive")</f>
        <v/>
      </c>
      <c r="G1079" s="5"/>
      <c r="H1079" s="7" t="s">
        <v>2198</v>
      </c>
      <c r="I1079" s="9">
        <v>1107700</v>
      </c>
      <c r="J1079" s="10">
        <v>0.0377</v>
      </c>
    </row>
    <row r="1080" spans="1:10">
      <c r="A1080" s="7" t="s">
        <v>2186</v>
      </c>
      <c r="B1080" s="7" t="s">
        <v>2199</v>
      </c>
      <c r="C1080" s="8">
        <f>QS.CONTEXT.CREATE("market.1078",A1080,"USD","SOFR")</f>
        <v/>
      </c>
      <c r="D1080" s="8">
        <f>QS.CONTEXT.ADD.CURVE(C1080,"SOFR",$K$2:$K$7,$L$2:$L$7,,,"Actual360","LogLinear",TRUE)</f>
        <v/>
      </c>
      <c r="E1080" s="8">
        <f>QS.INSTRUMENT.SWAP("swap.1078",C1080,H1080,B1080,"USD","SOFR",I1080,J1080,0,"Actual360","Simple","Annual","Annual","Annual")</f>
        <v/>
      </c>
      <c r="F1080" s="8">
        <f>QS.TRADE.CREATE("trade.1078",C1080,E1080,A1080,"Receive")</f>
        <v/>
      </c>
      <c r="G1080" s="5"/>
      <c r="H1080" s="7" t="s">
        <v>2200</v>
      </c>
      <c r="I1080" s="9">
        <v>1107800</v>
      </c>
      <c r="J1080" s="10">
        <v>0.0378</v>
      </c>
    </row>
    <row r="1081" spans="1:10">
      <c r="A1081" s="7" t="s">
        <v>2188</v>
      </c>
      <c r="B1081" s="7" t="s">
        <v>2201</v>
      </c>
      <c r="C1081" s="8">
        <f>QS.CONTEXT.CREATE("market.1079",A1081,"USD","SOFR")</f>
        <v/>
      </c>
      <c r="D1081" s="8">
        <f>QS.CONTEXT.ADD.CURVE(C1081,"SOFR",$K$2:$K$7,$L$2:$L$7,,,"Actual360","LogLinear",TRUE)</f>
        <v/>
      </c>
      <c r="E1081" s="8">
        <f>QS.INSTRUMENT.SWAP("swap.1079",C1081,H1081,B1081,"USD","SOFR",I1081,J1081,0,"Actual360","Simple","Annual","Annual","Annual")</f>
        <v/>
      </c>
      <c r="F1081" s="8">
        <f>QS.TRADE.CREATE("trade.1079",C1081,E1081,A1081,"Receive")</f>
        <v/>
      </c>
      <c r="G1081" s="5"/>
      <c r="H1081" s="7" t="s">
        <v>2202</v>
      </c>
      <c r="I1081" s="9">
        <v>1107900</v>
      </c>
      <c r="J1081" s="10">
        <v>0.0379</v>
      </c>
    </row>
    <row r="1082" spans="1:10">
      <c r="A1082" s="7" t="s">
        <v>2190</v>
      </c>
      <c r="B1082" s="7" t="s">
        <v>2203</v>
      </c>
      <c r="C1082" s="8">
        <f>QS.CONTEXT.CREATE("market.1080",A1082,"USD","SOFR")</f>
        <v/>
      </c>
      <c r="D1082" s="8">
        <f>QS.CONTEXT.ADD.CURVE(C1082,"SOFR",$K$2:$K$7,$L$2:$L$7,,,"Actual360","LogLinear",TRUE)</f>
        <v/>
      </c>
      <c r="E1082" s="8">
        <f>QS.INSTRUMENT.SWAP("swap.1080",C1082,H1082,B1082,"USD","SOFR",I1082,J1082,0,"Actual360","Simple","Annual","Annual","Annual")</f>
        <v/>
      </c>
      <c r="F1082" s="8">
        <f>QS.TRADE.CREATE("trade.1080",C1082,E1082,A1082,"Receive")</f>
        <v/>
      </c>
      <c r="G1082" s="5"/>
      <c r="H1082" s="7" t="s">
        <v>2204</v>
      </c>
      <c r="I1082" s="9">
        <v>1108000</v>
      </c>
      <c r="J1082" s="10">
        <v>0.03800000000000001</v>
      </c>
    </row>
    <row r="1083" spans="1:10">
      <c r="A1083" s="7" t="s">
        <v>2192</v>
      </c>
      <c r="B1083" s="7" t="s">
        <v>2205</v>
      </c>
      <c r="C1083" s="8">
        <f>QS.CONTEXT.CREATE("market.1081",A1083,"USD","SOFR")</f>
        <v/>
      </c>
      <c r="D1083" s="8">
        <f>QS.CONTEXT.ADD.CURVE(C1083,"SOFR",$K$2:$K$7,$L$2:$L$7,,,"Actual360","LogLinear",TRUE)</f>
        <v/>
      </c>
      <c r="E1083" s="8">
        <f>QS.INSTRUMENT.SWAP("swap.1081",C1083,H1083,B1083,"USD","SOFR",I1083,J1083,0,"Actual360","Simple","Annual","Annual","Annual")</f>
        <v/>
      </c>
      <c r="F1083" s="8">
        <f>QS.TRADE.CREATE("trade.1081",C1083,E1083,A1083,"Receive")</f>
        <v/>
      </c>
      <c r="G1083" s="5"/>
      <c r="H1083" s="7" t="s">
        <v>2206</v>
      </c>
      <c r="I1083" s="9">
        <v>1108100</v>
      </c>
      <c r="J1083" s="10">
        <v>0.0381</v>
      </c>
    </row>
    <row r="1084" spans="1:10">
      <c r="A1084" s="7" t="s">
        <v>2194</v>
      </c>
      <c r="B1084" s="7" t="s">
        <v>2207</v>
      </c>
      <c r="C1084" s="8">
        <f>QS.CONTEXT.CREATE("market.1082",A1084,"USD","SOFR")</f>
        <v/>
      </c>
      <c r="D1084" s="8">
        <f>QS.CONTEXT.ADD.CURVE(C1084,"SOFR",$K$2:$K$7,$L$2:$L$7,,,"Actual360","LogLinear",TRUE)</f>
        <v/>
      </c>
      <c r="E1084" s="8">
        <f>QS.INSTRUMENT.SWAP("swap.1082",C1084,H1084,B1084,"USD","SOFR",I1084,J1084,0,"Actual360","Simple","Annual","Annual","Annual")</f>
        <v/>
      </c>
      <c r="F1084" s="8">
        <f>QS.TRADE.CREATE("trade.1082",C1084,E1084,A1084,"Receive")</f>
        <v/>
      </c>
      <c r="G1084" s="5"/>
      <c r="H1084" s="7" t="s">
        <v>2208</v>
      </c>
      <c r="I1084" s="9">
        <v>1108200</v>
      </c>
      <c r="J1084" s="10">
        <v>0.0382</v>
      </c>
    </row>
    <row r="1085" spans="1:10">
      <c r="A1085" s="7" t="s">
        <v>2196</v>
      </c>
      <c r="B1085" s="7" t="s">
        <v>2209</v>
      </c>
      <c r="C1085" s="8">
        <f>QS.CONTEXT.CREATE("market.1083",A1085,"USD","SOFR")</f>
        <v/>
      </c>
      <c r="D1085" s="8">
        <f>QS.CONTEXT.ADD.CURVE(C1085,"SOFR",$K$2:$K$7,$L$2:$L$7,,,"Actual360","LogLinear",TRUE)</f>
        <v/>
      </c>
      <c r="E1085" s="8">
        <f>QS.INSTRUMENT.SWAP("swap.1083",C1085,H1085,B1085,"USD","SOFR",I1085,J1085,0,"Actual360","Simple","Annual","Annual","Annual")</f>
        <v/>
      </c>
      <c r="F1085" s="8">
        <f>QS.TRADE.CREATE("trade.1083",C1085,E1085,A1085,"Receive")</f>
        <v/>
      </c>
      <c r="G1085" s="5"/>
      <c r="H1085" s="7" t="s">
        <v>2210</v>
      </c>
      <c r="I1085" s="9">
        <v>1108300</v>
      </c>
      <c r="J1085" s="10">
        <v>0.0383</v>
      </c>
    </row>
    <row r="1086" spans="1:10">
      <c r="A1086" s="7" t="s">
        <v>2198</v>
      </c>
      <c r="B1086" s="7" t="s">
        <v>2211</v>
      </c>
      <c r="C1086" s="8">
        <f>QS.CONTEXT.CREATE("market.1084",A1086,"USD","SOFR")</f>
        <v/>
      </c>
      <c r="D1086" s="8">
        <f>QS.CONTEXT.ADD.CURVE(C1086,"SOFR",$K$2:$K$7,$L$2:$L$7,,,"Actual360","LogLinear",TRUE)</f>
        <v/>
      </c>
      <c r="E1086" s="8">
        <f>QS.INSTRUMENT.SWAP("swap.1084",C1086,H1086,B1086,"USD","SOFR",I1086,J1086,0,"Actual360","Simple","Annual","Annual","Annual")</f>
        <v/>
      </c>
      <c r="F1086" s="8">
        <f>QS.TRADE.CREATE("trade.1084",C1086,E1086,A1086,"Receive")</f>
        <v/>
      </c>
      <c r="G1086" s="5"/>
      <c r="H1086" s="7" t="s">
        <v>2212</v>
      </c>
      <c r="I1086" s="9">
        <v>1108400</v>
      </c>
      <c r="J1086" s="10">
        <v>0.0384</v>
      </c>
    </row>
    <row r="1087" spans="1:10">
      <c r="A1087" s="7" t="s">
        <v>2200</v>
      </c>
      <c r="B1087" s="7" t="s">
        <v>2213</v>
      </c>
      <c r="C1087" s="8">
        <f>QS.CONTEXT.CREATE("market.1085",A1087,"USD","SOFR")</f>
        <v/>
      </c>
      <c r="D1087" s="8">
        <f>QS.CONTEXT.ADD.CURVE(C1087,"SOFR",$K$2:$K$7,$L$2:$L$7,,,"Actual360","LogLinear",TRUE)</f>
        <v/>
      </c>
      <c r="E1087" s="8">
        <f>QS.INSTRUMENT.SWAP("swap.1085",C1087,H1087,B1087,"USD","SOFR",I1087,J1087,0,"Actual360","Simple","Annual","Annual","Annual")</f>
        <v/>
      </c>
      <c r="F1087" s="8">
        <f>QS.TRADE.CREATE("trade.1085",C1087,E1087,A1087,"Receive")</f>
        <v/>
      </c>
      <c r="G1087" s="5"/>
      <c r="H1087" s="7" t="s">
        <v>2214</v>
      </c>
      <c r="I1087" s="9">
        <v>1108500</v>
      </c>
      <c r="J1087" s="10">
        <v>0.03850000000000001</v>
      </c>
    </row>
    <row r="1088" spans="1:10">
      <c r="A1088" s="7" t="s">
        <v>2202</v>
      </c>
      <c r="B1088" s="7" t="s">
        <v>2215</v>
      </c>
      <c r="C1088" s="8">
        <f>QS.CONTEXT.CREATE("market.1086",A1088,"USD","SOFR")</f>
        <v/>
      </c>
      <c r="D1088" s="8">
        <f>QS.CONTEXT.ADD.CURVE(C1088,"SOFR",$K$2:$K$7,$L$2:$L$7,,,"Actual360","LogLinear",TRUE)</f>
        <v/>
      </c>
      <c r="E1088" s="8">
        <f>QS.INSTRUMENT.SWAP("swap.1086",C1088,H1088,B1088,"USD","SOFR",I1088,J1088,0,"Actual360","Simple","Annual","Annual","Annual")</f>
        <v/>
      </c>
      <c r="F1088" s="8">
        <f>QS.TRADE.CREATE("trade.1086",C1088,E1088,A1088,"Receive")</f>
        <v/>
      </c>
      <c r="G1088" s="5"/>
      <c r="H1088" s="7" t="s">
        <v>2216</v>
      </c>
      <c r="I1088" s="9">
        <v>1108600</v>
      </c>
      <c r="J1088" s="10">
        <v>0.0386</v>
      </c>
    </row>
    <row r="1089" spans="1:10">
      <c r="A1089" s="7" t="s">
        <v>2204</v>
      </c>
      <c r="B1089" s="7" t="s">
        <v>2217</v>
      </c>
      <c r="C1089" s="8">
        <f>QS.CONTEXT.CREATE("market.1087",A1089,"USD","SOFR")</f>
        <v/>
      </c>
      <c r="D1089" s="8">
        <f>QS.CONTEXT.ADD.CURVE(C1089,"SOFR",$K$2:$K$7,$L$2:$L$7,,,"Actual360","LogLinear",TRUE)</f>
        <v/>
      </c>
      <c r="E1089" s="8">
        <f>QS.INSTRUMENT.SWAP("swap.1087",C1089,H1089,B1089,"USD","SOFR",I1089,J1089,0,"Actual360","Simple","Annual","Annual","Annual")</f>
        <v/>
      </c>
      <c r="F1089" s="8">
        <f>QS.TRADE.CREATE("trade.1087",C1089,E1089,A1089,"Receive")</f>
        <v/>
      </c>
      <c r="G1089" s="5"/>
      <c r="H1089" s="7" t="s">
        <v>2218</v>
      </c>
      <c r="I1089" s="9">
        <v>1108700</v>
      </c>
      <c r="J1089" s="10">
        <v>0.03870000000000001</v>
      </c>
    </row>
    <row r="1090" spans="1:10">
      <c r="A1090" s="7" t="s">
        <v>2206</v>
      </c>
      <c r="B1090" s="7" t="s">
        <v>2219</v>
      </c>
      <c r="C1090" s="8">
        <f>QS.CONTEXT.CREATE("market.1088",A1090,"USD","SOFR")</f>
        <v/>
      </c>
      <c r="D1090" s="8">
        <f>QS.CONTEXT.ADD.CURVE(C1090,"SOFR",$K$2:$K$7,$L$2:$L$7,,,"Actual360","LogLinear",TRUE)</f>
        <v/>
      </c>
      <c r="E1090" s="8">
        <f>QS.INSTRUMENT.SWAP("swap.1088",C1090,H1090,B1090,"USD","SOFR",I1090,J1090,0,"Actual360","Simple","Annual","Annual","Annual")</f>
        <v/>
      </c>
      <c r="F1090" s="8">
        <f>QS.TRADE.CREATE("trade.1088",C1090,E1090,A1090,"Receive")</f>
        <v/>
      </c>
      <c r="G1090" s="5"/>
      <c r="H1090" s="7" t="s">
        <v>2220</v>
      </c>
      <c r="I1090" s="9">
        <v>1108800</v>
      </c>
      <c r="J1090" s="10">
        <v>0.0388</v>
      </c>
    </row>
    <row r="1091" spans="1:10">
      <c r="A1091" s="7" t="s">
        <v>2208</v>
      </c>
      <c r="B1091" s="7" t="s">
        <v>2221</v>
      </c>
      <c r="C1091" s="8">
        <f>QS.CONTEXT.CREATE("market.1089",A1091,"USD","SOFR")</f>
        <v/>
      </c>
      <c r="D1091" s="8">
        <f>QS.CONTEXT.ADD.CURVE(C1091,"SOFR",$K$2:$K$7,$L$2:$L$7,,,"Actual360","LogLinear",TRUE)</f>
        <v/>
      </c>
      <c r="E1091" s="8">
        <f>QS.INSTRUMENT.SWAP("swap.1089",C1091,H1091,B1091,"USD","SOFR",I1091,J1091,0,"Actual360","Simple","Annual","Annual","Annual")</f>
        <v/>
      </c>
      <c r="F1091" s="8">
        <f>QS.TRADE.CREATE("trade.1089",C1091,E1091,A1091,"Receive")</f>
        <v/>
      </c>
      <c r="G1091" s="5"/>
      <c r="H1091" s="7" t="s">
        <v>2222</v>
      </c>
      <c r="I1091" s="9">
        <v>1108900</v>
      </c>
      <c r="J1091" s="10">
        <v>0.0389</v>
      </c>
    </row>
    <row r="1092" spans="1:10">
      <c r="A1092" s="7" t="s">
        <v>2210</v>
      </c>
      <c r="B1092" s="7" t="s">
        <v>2223</v>
      </c>
      <c r="C1092" s="8">
        <f>QS.CONTEXT.CREATE("market.1090",A1092,"USD","SOFR")</f>
        <v/>
      </c>
      <c r="D1092" s="8">
        <f>QS.CONTEXT.ADD.CURVE(C1092,"SOFR",$K$2:$K$7,$L$2:$L$7,,,"Actual360","LogLinear",TRUE)</f>
        <v/>
      </c>
      <c r="E1092" s="8">
        <f>QS.INSTRUMENT.SWAP("swap.1090",C1092,H1092,B1092,"USD","SOFR",I1092,J1092,0,"Actual360","Simple","Annual","Annual","Annual")</f>
        <v/>
      </c>
      <c r="F1092" s="8">
        <f>QS.TRADE.CREATE("trade.1090",C1092,E1092,A1092,"Receive")</f>
        <v/>
      </c>
      <c r="G1092" s="5"/>
      <c r="H1092" s="7" t="s">
        <v>2224</v>
      </c>
      <c r="I1092" s="9">
        <v>1109000</v>
      </c>
      <c r="J1092" s="10">
        <v>0.03900000000000001</v>
      </c>
    </row>
    <row r="1093" spans="1:10">
      <c r="A1093" s="7" t="s">
        <v>2212</v>
      </c>
      <c r="B1093" s="7" t="s">
        <v>2225</v>
      </c>
      <c r="C1093" s="8">
        <f>QS.CONTEXT.CREATE("market.1091",A1093,"USD","SOFR")</f>
        <v/>
      </c>
      <c r="D1093" s="8">
        <f>QS.CONTEXT.ADD.CURVE(C1093,"SOFR",$K$2:$K$7,$L$2:$L$7,,,"Actual360","LogLinear",TRUE)</f>
        <v/>
      </c>
      <c r="E1093" s="8">
        <f>QS.INSTRUMENT.SWAP("swap.1091",C1093,H1093,B1093,"USD","SOFR",I1093,J1093,0,"Actual360","Simple","Annual","Annual","Annual")</f>
        <v/>
      </c>
      <c r="F1093" s="8">
        <f>QS.TRADE.CREATE("trade.1091",C1093,E1093,A1093,"Receive")</f>
        <v/>
      </c>
      <c r="G1093" s="5"/>
      <c r="H1093" s="7" t="s">
        <v>2226</v>
      </c>
      <c r="I1093" s="9">
        <v>1109100</v>
      </c>
      <c r="J1093" s="10">
        <v>0.0391</v>
      </c>
    </row>
    <row r="1094" spans="1:10">
      <c r="A1094" s="7" t="s">
        <v>2214</v>
      </c>
      <c r="B1094" s="7" t="s">
        <v>2227</v>
      </c>
      <c r="C1094" s="8">
        <f>QS.CONTEXT.CREATE("market.1092",A1094,"USD","SOFR")</f>
        <v/>
      </c>
      <c r="D1094" s="8">
        <f>QS.CONTEXT.ADD.CURVE(C1094,"SOFR",$K$2:$K$7,$L$2:$L$7,,,"Actual360","LogLinear",TRUE)</f>
        <v/>
      </c>
      <c r="E1094" s="8">
        <f>QS.INSTRUMENT.SWAP("swap.1092",C1094,H1094,B1094,"USD","SOFR",I1094,J1094,0,"Actual360","Simple","Annual","Annual","Annual")</f>
        <v/>
      </c>
      <c r="F1094" s="8">
        <f>QS.TRADE.CREATE("trade.1092",C1094,E1094,A1094,"Receive")</f>
        <v/>
      </c>
      <c r="G1094" s="5"/>
      <c r="H1094" s="7" t="s">
        <v>2228</v>
      </c>
      <c r="I1094" s="9">
        <v>1109200</v>
      </c>
      <c r="J1094" s="10">
        <v>0.03920000000000001</v>
      </c>
    </row>
    <row r="1095" spans="1:10">
      <c r="A1095" s="7" t="s">
        <v>2216</v>
      </c>
      <c r="B1095" s="7" t="s">
        <v>2229</v>
      </c>
      <c r="C1095" s="8">
        <f>QS.CONTEXT.CREATE("market.1093",A1095,"USD","SOFR")</f>
        <v/>
      </c>
      <c r="D1095" s="8">
        <f>QS.CONTEXT.ADD.CURVE(C1095,"SOFR",$K$2:$K$7,$L$2:$L$7,,,"Actual360","LogLinear",TRUE)</f>
        <v/>
      </c>
      <c r="E1095" s="8">
        <f>QS.INSTRUMENT.SWAP("swap.1093",C1095,H1095,B1095,"USD","SOFR",I1095,J1095,0,"Actual360","Simple","Annual","Annual","Annual")</f>
        <v/>
      </c>
      <c r="F1095" s="8">
        <f>QS.TRADE.CREATE("trade.1093",C1095,E1095,A1095,"Receive")</f>
        <v/>
      </c>
      <c r="G1095" s="5"/>
      <c r="H1095" s="7" t="s">
        <v>2230</v>
      </c>
      <c r="I1095" s="9">
        <v>1109300</v>
      </c>
      <c r="J1095" s="10">
        <v>0.0393</v>
      </c>
    </row>
    <row r="1096" spans="1:10">
      <c r="A1096" s="7" t="s">
        <v>2218</v>
      </c>
      <c r="B1096" s="7" t="s">
        <v>2231</v>
      </c>
      <c r="C1096" s="8">
        <f>QS.CONTEXT.CREATE("market.1094",A1096,"USD","SOFR")</f>
        <v/>
      </c>
      <c r="D1096" s="8">
        <f>QS.CONTEXT.ADD.CURVE(C1096,"SOFR",$K$2:$K$7,$L$2:$L$7,,,"Actual360","LogLinear",TRUE)</f>
        <v/>
      </c>
      <c r="E1096" s="8">
        <f>QS.INSTRUMENT.SWAP("swap.1094",C1096,H1096,B1096,"USD","SOFR",I1096,J1096,0,"Actual360","Simple","Annual","Annual","Annual")</f>
        <v/>
      </c>
      <c r="F1096" s="8">
        <f>QS.TRADE.CREATE("trade.1094",C1096,E1096,A1096,"Receive")</f>
        <v/>
      </c>
      <c r="G1096" s="5"/>
      <c r="H1096" s="7" t="s">
        <v>2232</v>
      </c>
      <c r="I1096" s="9">
        <v>1109400</v>
      </c>
      <c r="J1096" s="10">
        <v>0.0394</v>
      </c>
    </row>
    <row r="1097" spans="1:10">
      <c r="A1097" s="7" t="s">
        <v>2220</v>
      </c>
      <c r="B1097" s="7" t="s">
        <v>2233</v>
      </c>
      <c r="C1097" s="8">
        <f>QS.CONTEXT.CREATE("market.1095",A1097,"USD","SOFR")</f>
        <v/>
      </c>
      <c r="D1097" s="8">
        <f>QS.CONTEXT.ADD.CURVE(C1097,"SOFR",$K$2:$K$7,$L$2:$L$7,,,"Actual360","LogLinear",TRUE)</f>
        <v/>
      </c>
      <c r="E1097" s="8">
        <f>QS.INSTRUMENT.SWAP("swap.1095",C1097,H1097,B1097,"USD","SOFR",I1097,J1097,0,"Actual360","Simple","Annual","Annual","Annual")</f>
        <v/>
      </c>
      <c r="F1097" s="8">
        <f>QS.TRADE.CREATE("trade.1095",C1097,E1097,A1097,"Receive")</f>
        <v/>
      </c>
      <c r="G1097" s="5"/>
      <c r="H1097" s="7" t="s">
        <v>2234</v>
      </c>
      <c r="I1097" s="9">
        <v>1109500</v>
      </c>
      <c r="J1097" s="10">
        <v>0.03950000000000001</v>
      </c>
    </row>
    <row r="1098" spans="1:10">
      <c r="A1098" s="7" t="s">
        <v>2222</v>
      </c>
      <c r="B1098" s="7" t="s">
        <v>2235</v>
      </c>
      <c r="C1098" s="8">
        <f>QS.CONTEXT.CREATE("market.1096",A1098,"USD","SOFR")</f>
        <v/>
      </c>
      <c r="D1098" s="8">
        <f>QS.CONTEXT.ADD.CURVE(C1098,"SOFR",$K$2:$K$7,$L$2:$L$7,,,"Actual360","LogLinear",TRUE)</f>
        <v/>
      </c>
      <c r="E1098" s="8">
        <f>QS.INSTRUMENT.SWAP("swap.1096",C1098,H1098,B1098,"USD","SOFR",I1098,J1098,0,"Actual360","Simple","Annual","Annual","Annual")</f>
        <v/>
      </c>
      <c r="F1098" s="8">
        <f>QS.TRADE.CREATE("trade.1096",C1098,E1098,A1098,"Receive")</f>
        <v/>
      </c>
      <c r="G1098" s="5"/>
      <c r="H1098" s="7" t="s">
        <v>2236</v>
      </c>
      <c r="I1098" s="9">
        <v>1109600</v>
      </c>
      <c r="J1098" s="10">
        <v>0.0396</v>
      </c>
    </row>
    <row r="1099" spans="1:10">
      <c r="A1099" s="7" t="s">
        <v>2224</v>
      </c>
      <c r="B1099" s="7" t="s">
        <v>2237</v>
      </c>
      <c r="C1099" s="8">
        <f>QS.CONTEXT.CREATE("market.1097",A1099,"USD","SOFR")</f>
        <v/>
      </c>
      <c r="D1099" s="8">
        <f>QS.CONTEXT.ADD.CURVE(C1099,"SOFR",$K$2:$K$7,$L$2:$L$7,,,"Actual360","LogLinear",TRUE)</f>
        <v/>
      </c>
      <c r="E1099" s="8">
        <f>QS.INSTRUMENT.SWAP("swap.1097",C1099,H1099,B1099,"USD","SOFR",I1099,J1099,0,"Actual360","Simple","Annual","Annual","Annual")</f>
        <v/>
      </c>
      <c r="F1099" s="8">
        <f>QS.TRADE.CREATE("trade.1097",C1099,E1099,A1099,"Receive")</f>
        <v/>
      </c>
      <c r="G1099" s="5"/>
      <c r="H1099" s="7" t="s">
        <v>2238</v>
      </c>
      <c r="I1099" s="9">
        <v>1109700</v>
      </c>
      <c r="J1099" s="10">
        <v>0.03970000000000001</v>
      </c>
    </row>
    <row r="1100" spans="1:10">
      <c r="A1100" s="7" t="s">
        <v>2226</v>
      </c>
      <c r="B1100" s="7" t="s">
        <v>2239</v>
      </c>
      <c r="C1100" s="8">
        <f>QS.CONTEXT.CREATE("market.1098",A1100,"USD","SOFR")</f>
        <v/>
      </c>
      <c r="D1100" s="8">
        <f>QS.CONTEXT.ADD.CURVE(C1100,"SOFR",$K$2:$K$7,$L$2:$L$7,,,"Actual360","LogLinear",TRUE)</f>
        <v/>
      </c>
      <c r="E1100" s="8">
        <f>QS.INSTRUMENT.SWAP("swap.1098",C1100,H1100,B1100,"USD","SOFR",I1100,J1100,0,"Actual360","Simple","Annual","Annual","Annual")</f>
        <v/>
      </c>
      <c r="F1100" s="8">
        <f>QS.TRADE.CREATE("trade.1098",C1100,E1100,A1100,"Receive")</f>
        <v/>
      </c>
      <c r="G1100" s="5"/>
      <c r="H1100" s="7" t="s">
        <v>2240</v>
      </c>
      <c r="I1100" s="9">
        <v>1109800</v>
      </c>
      <c r="J1100" s="10">
        <v>0.0398</v>
      </c>
    </row>
    <row r="1101" spans="1:10">
      <c r="A1101" s="7" t="s">
        <v>2228</v>
      </c>
      <c r="B1101" s="7" t="s">
        <v>2241</v>
      </c>
      <c r="C1101" s="8">
        <f>QS.CONTEXT.CREATE("market.1099",A1101,"USD","SOFR")</f>
        <v/>
      </c>
      <c r="D1101" s="8">
        <f>QS.CONTEXT.ADD.CURVE(C1101,"SOFR",$K$2:$K$7,$L$2:$L$7,,,"Actual360","LogLinear",TRUE)</f>
        <v/>
      </c>
      <c r="E1101" s="8">
        <f>QS.INSTRUMENT.SWAP("swap.1099",C1101,H1101,B1101,"USD","SOFR",I1101,J1101,0,"Actual360","Simple","Annual","Annual","Annual")</f>
        <v/>
      </c>
      <c r="F1101" s="8">
        <f>QS.TRADE.CREATE("trade.1099",C1101,E1101,A1101,"Receive")</f>
        <v/>
      </c>
      <c r="G1101" s="5"/>
      <c r="H1101" s="7" t="s">
        <v>2242</v>
      </c>
      <c r="I1101" s="9">
        <v>1109900</v>
      </c>
      <c r="J1101" s="10">
        <v>0.0399</v>
      </c>
    </row>
    <row r="1102" spans="1:10">
      <c r="A1102" s="7" t="s">
        <v>2230</v>
      </c>
      <c r="B1102" s="7" t="s">
        <v>2243</v>
      </c>
      <c r="C1102" s="8">
        <f>QS.CONTEXT.CREATE("market.1100",A1102,"USD","SOFR")</f>
        <v/>
      </c>
      <c r="D1102" s="8">
        <f>QS.CONTEXT.ADD.CURVE(C1102,"SOFR",$K$2:$K$7,$L$2:$L$7,,,"Actual360","LogLinear",TRUE)</f>
        <v/>
      </c>
      <c r="E1102" s="8">
        <f>QS.INSTRUMENT.SWAP("swap.1100",C1102,H1102,B1102,"USD","SOFR",I1102,J1102,0,"Actual360","Simple","Annual","Annual","Annual")</f>
        <v/>
      </c>
      <c r="F1102" s="8">
        <f>QS.TRADE.CREATE("trade.1100",C1102,E1102,A1102,"Receive")</f>
        <v/>
      </c>
      <c r="G1102" s="5"/>
      <c r="H1102" s="7" t="s">
        <v>2244</v>
      </c>
      <c r="I1102" s="9">
        <v>1110000</v>
      </c>
      <c r="J1102" s="10">
        <v>0.035</v>
      </c>
    </row>
    <row r="1103" spans="1:10">
      <c r="A1103" s="7" t="s">
        <v>2232</v>
      </c>
      <c r="B1103" s="7" t="s">
        <v>2245</v>
      </c>
      <c r="C1103" s="8">
        <f>QS.CONTEXT.CREATE("market.1101",A1103,"USD","SOFR")</f>
        <v/>
      </c>
      <c r="D1103" s="8">
        <f>QS.CONTEXT.ADD.CURVE(C1103,"SOFR",$K$2:$K$7,$L$2:$L$7,,,"Actual360","LogLinear",TRUE)</f>
        <v/>
      </c>
      <c r="E1103" s="8">
        <f>QS.INSTRUMENT.SWAP("swap.1101",C1103,H1103,B1103,"USD","SOFR",I1103,J1103,0,"Actual360","Simple","Annual","Annual","Annual")</f>
        <v/>
      </c>
      <c r="F1103" s="8">
        <f>QS.TRADE.CREATE("trade.1101",C1103,E1103,A1103,"Receive")</f>
        <v/>
      </c>
      <c r="G1103" s="5"/>
      <c r="H1103" s="7" t="s">
        <v>2246</v>
      </c>
      <c r="I1103" s="9">
        <v>1110100</v>
      </c>
      <c r="J1103" s="10">
        <v>0.03510000000000001</v>
      </c>
    </row>
    <row r="1104" spans="1:10">
      <c r="A1104" s="7" t="s">
        <v>2234</v>
      </c>
      <c r="B1104" s="7" t="s">
        <v>2247</v>
      </c>
      <c r="C1104" s="8">
        <f>QS.CONTEXT.CREATE("market.1102",A1104,"USD","SOFR")</f>
        <v/>
      </c>
      <c r="D1104" s="8">
        <f>QS.CONTEXT.ADD.CURVE(C1104,"SOFR",$K$2:$K$7,$L$2:$L$7,,,"Actual360","LogLinear",TRUE)</f>
        <v/>
      </c>
      <c r="E1104" s="8">
        <f>QS.INSTRUMENT.SWAP("swap.1102",C1104,H1104,B1104,"USD","SOFR",I1104,J1104,0,"Actual360","Simple","Annual","Annual","Annual")</f>
        <v/>
      </c>
      <c r="F1104" s="8">
        <f>QS.TRADE.CREATE("trade.1102",C1104,E1104,A1104,"Receive")</f>
        <v/>
      </c>
      <c r="G1104" s="5"/>
      <c r="H1104" s="7" t="s">
        <v>2248</v>
      </c>
      <c r="I1104" s="9">
        <v>1110200</v>
      </c>
      <c r="J1104" s="10">
        <v>0.0352</v>
      </c>
    </row>
    <row r="1105" spans="1:10">
      <c r="A1105" s="7" t="s">
        <v>2236</v>
      </c>
      <c r="B1105" s="7" t="s">
        <v>2249</v>
      </c>
      <c r="C1105" s="8">
        <f>QS.CONTEXT.CREATE("market.1103",A1105,"USD","SOFR")</f>
        <v/>
      </c>
      <c r="D1105" s="8">
        <f>QS.CONTEXT.ADD.CURVE(C1105,"SOFR",$K$2:$K$7,$L$2:$L$7,,,"Actual360","LogLinear",TRUE)</f>
        <v/>
      </c>
      <c r="E1105" s="8">
        <f>QS.INSTRUMENT.SWAP("swap.1103",C1105,H1105,B1105,"USD","SOFR",I1105,J1105,0,"Actual360","Simple","Annual","Annual","Annual")</f>
        <v/>
      </c>
      <c r="F1105" s="8">
        <f>QS.TRADE.CREATE("trade.1103",C1105,E1105,A1105,"Receive")</f>
        <v/>
      </c>
      <c r="G1105" s="5"/>
      <c r="H1105" s="7" t="s">
        <v>2250</v>
      </c>
      <c r="I1105" s="9">
        <v>1110300</v>
      </c>
      <c r="J1105" s="10">
        <v>0.0353</v>
      </c>
    </row>
    <row r="1106" spans="1:10">
      <c r="A1106" s="7" t="s">
        <v>2238</v>
      </c>
      <c r="B1106" s="7" t="s">
        <v>2251</v>
      </c>
      <c r="C1106" s="8">
        <f>QS.CONTEXT.CREATE("market.1104",A1106,"USD","SOFR")</f>
        <v/>
      </c>
      <c r="D1106" s="8">
        <f>QS.CONTEXT.ADD.CURVE(C1106,"SOFR",$K$2:$K$7,$L$2:$L$7,,,"Actual360","LogLinear",TRUE)</f>
        <v/>
      </c>
      <c r="E1106" s="8">
        <f>QS.INSTRUMENT.SWAP("swap.1104",C1106,H1106,B1106,"USD","SOFR",I1106,J1106,0,"Actual360","Simple","Annual","Annual","Annual")</f>
        <v/>
      </c>
      <c r="F1106" s="8">
        <f>QS.TRADE.CREATE("trade.1104",C1106,E1106,A1106,"Receive")</f>
        <v/>
      </c>
      <c r="G1106" s="5"/>
      <c r="H1106" s="7" t="s">
        <v>2252</v>
      </c>
      <c r="I1106" s="9">
        <v>1110400</v>
      </c>
      <c r="J1106" s="10">
        <v>0.0354</v>
      </c>
    </row>
    <row r="1107" spans="1:10">
      <c r="A1107" s="7" t="s">
        <v>2240</v>
      </c>
      <c r="B1107" s="7" t="s">
        <v>2253</v>
      </c>
      <c r="C1107" s="8">
        <f>QS.CONTEXT.CREATE("market.1105",A1107,"USD","SOFR")</f>
        <v/>
      </c>
      <c r="D1107" s="8">
        <f>QS.CONTEXT.ADD.CURVE(C1107,"SOFR",$K$2:$K$7,$L$2:$L$7,,,"Actual360","LogLinear",TRUE)</f>
        <v/>
      </c>
      <c r="E1107" s="8">
        <f>QS.INSTRUMENT.SWAP("swap.1105",C1107,H1107,B1107,"USD","SOFR",I1107,J1107,0,"Actual360","Simple","Annual","Annual","Annual")</f>
        <v/>
      </c>
      <c r="F1107" s="8">
        <f>QS.TRADE.CREATE("trade.1105",C1107,E1107,A1107,"Receive")</f>
        <v/>
      </c>
      <c r="G1107" s="5"/>
      <c r="H1107" s="7" t="s">
        <v>2254</v>
      </c>
      <c r="I1107" s="9">
        <v>1110500</v>
      </c>
      <c r="J1107" s="10">
        <v>0.0355</v>
      </c>
    </row>
    <row r="1108" spans="1:10">
      <c r="A1108" s="7" t="s">
        <v>2242</v>
      </c>
      <c r="B1108" s="7" t="s">
        <v>2255</v>
      </c>
      <c r="C1108" s="8">
        <f>QS.CONTEXT.CREATE("market.1106",A1108,"USD","SOFR")</f>
        <v/>
      </c>
      <c r="D1108" s="8">
        <f>QS.CONTEXT.ADD.CURVE(C1108,"SOFR",$K$2:$K$7,$L$2:$L$7,,,"Actual360","LogLinear",TRUE)</f>
        <v/>
      </c>
      <c r="E1108" s="8">
        <f>QS.INSTRUMENT.SWAP("swap.1106",C1108,H1108,B1108,"USD","SOFR",I1108,J1108,0,"Actual360","Simple","Annual","Annual","Annual")</f>
        <v/>
      </c>
      <c r="F1108" s="8">
        <f>QS.TRADE.CREATE("trade.1106",C1108,E1108,A1108,"Receive")</f>
        <v/>
      </c>
      <c r="G1108" s="5"/>
      <c r="H1108" s="7" t="s">
        <v>2256</v>
      </c>
      <c r="I1108" s="9">
        <v>1110600</v>
      </c>
      <c r="J1108" s="10">
        <v>0.03560000000000001</v>
      </c>
    </row>
    <row r="1109" spans="1:10">
      <c r="A1109" s="7" t="s">
        <v>2244</v>
      </c>
      <c r="B1109" s="7" t="s">
        <v>2257</v>
      </c>
      <c r="C1109" s="8">
        <f>QS.CONTEXT.CREATE("market.1107",A1109,"USD","SOFR")</f>
        <v/>
      </c>
      <c r="D1109" s="8">
        <f>QS.CONTEXT.ADD.CURVE(C1109,"SOFR",$K$2:$K$7,$L$2:$L$7,,,"Actual360","LogLinear",TRUE)</f>
        <v/>
      </c>
      <c r="E1109" s="8">
        <f>QS.INSTRUMENT.SWAP("swap.1107",C1109,H1109,B1109,"USD","SOFR",I1109,J1109,0,"Actual360","Simple","Annual","Annual","Annual")</f>
        <v/>
      </c>
      <c r="F1109" s="8">
        <f>QS.TRADE.CREATE("trade.1107",C1109,E1109,A1109,"Receive")</f>
        <v/>
      </c>
      <c r="G1109" s="5"/>
      <c r="H1109" s="7" t="s">
        <v>2258</v>
      </c>
      <c r="I1109" s="9">
        <v>1110700</v>
      </c>
      <c r="J1109" s="10">
        <v>0.0357</v>
      </c>
    </row>
    <row r="1110" spans="1:10">
      <c r="A1110" s="7" t="s">
        <v>2246</v>
      </c>
      <c r="B1110" s="7" t="s">
        <v>2259</v>
      </c>
      <c r="C1110" s="8">
        <f>QS.CONTEXT.CREATE("market.1108",A1110,"USD","SOFR")</f>
        <v/>
      </c>
      <c r="D1110" s="8">
        <f>QS.CONTEXT.ADD.CURVE(C1110,"SOFR",$K$2:$K$7,$L$2:$L$7,,,"Actual360","LogLinear",TRUE)</f>
        <v/>
      </c>
      <c r="E1110" s="8">
        <f>QS.INSTRUMENT.SWAP("swap.1108",C1110,H1110,B1110,"USD","SOFR",I1110,J1110,0,"Actual360","Simple","Annual","Annual","Annual")</f>
        <v/>
      </c>
      <c r="F1110" s="8">
        <f>QS.TRADE.CREATE("trade.1108",C1110,E1110,A1110,"Receive")</f>
        <v/>
      </c>
      <c r="G1110" s="5"/>
      <c r="H1110" s="7" t="s">
        <v>2260</v>
      </c>
      <c r="I1110" s="9">
        <v>1110800</v>
      </c>
      <c r="J1110" s="10">
        <v>0.03580000000000001</v>
      </c>
    </row>
    <row r="1111" spans="1:10">
      <c r="A1111" s="7" t="s">
        <v>2248</v>
      </c>
      <c r="B1111" s="7" t="s">
        <v>2261</v>
      </c>
      <c r="C1111" s="8">
        <f>QS.CONTEXT.CREATE("market.1109",A1111,"USD","SOFR")</f>
        <v/>
      </c>
      <c r="D1111" s="8">
        <f>QS.CONTEXT.ADD.CURVE(C1111,"SOFR",$K$2:$K$7,$L$2:$L$7,,,"Actual360","LogLinear",TRUE)</f>
        <v/>
      </c>
      <c r="E1111" s="8">
        <f>QS.INSTRUMENT.SWAP("swap.1109",C1111,H1111,B1111,"USD","SOFR",I1111,J1111,0,"Actual360","Simple","Annual","Annual","Annual")</f>
        <v/>
      </c>
      <c r="F1111" s="8">
        <f>QS.TRADE.CREATE("trade.1109",C1111,E1111,A1111,"Receive")</f>
        <v/>
      </c>
      <c r="G1111" s="5"/>
      <c r="H1111" s="7" t="s">
        <v>2262</v>
      </c>
      <c r="I1111" s="9">
        <v>1110900</v>
      </c>
      <c r="J1111" s="10">
        <v>0.0359</v>
      </c>
    </row>
    <row r="1112" spans="1:10">
      <c r="A1112" s="7" t="s">
        <v>2250</v>
      </c>
      <c r="B1112" s="7" t="s">
        <v>2263</v>
      </c>
      <c r="C1112" s="8">
        <f>QS.CONTEXT.CREATE("market.1110",A1112,"USD","SOFR")</f>
        <v/>
      </c>
      <c r="D1112" s="8">
        <f>QS.CONTEXT.ADD.CURVE(C1112,"SOFR",$K$2:$K$7,$L$2:$L$7,,,"Actual360","LogLinear",TRUE)</f>
        <v/>
      </c>
      <c r="E1112" s="8">
        <f>QS.INSTRUMENT.SWAP("swap.1110",C1112,H1112,B1112,"USD","SOFR",I1112,J1112,0,"Actual360","Simple","Annual","Annual","Annual")</f>
        <v/>
      </c>
      <c r="F1112" s="8">
        <f>QS.TRADE.CREATE("trade.1110",C1112,E1112,A1112,"Receive")</f>
        <v/>
      </c>
      <c r="G1112" s="5"/>
      <c r="H1112" s="7" t="s">
        <v>2264</v>
      </c>
      <c r="I1112" s="9">
        <v>1111000</v>
      </c>
      <c r="J1112" s="10">
        <v>0.036</v>
      </c>
    </row>
    <row r="1113" spans="1:10">
      <c r="A1113" s="7" t="s">
        <v>2252</v>
      </c>
      <c r="B1113" s="7" t="s">
        <v>2265</v>
      </c>
      <c r="C1113" s="8">
        <f>QS.CONTEXT.CREATE("market.1111",A1113,"USD","SOFR")</f>
        <v/>
      </c>
      <c r="D1113" s="8">
        <f>QS.CONTEXT.ADD.CURVE(C1113,"SOFR",$K$2:$K$7,$L$2:$L$7,,,"Actual360","LogLinear",TRUE)</f>
        <v/>
      </c>
      <c r="E1113" s="8">
        <f>QS.INSTRUMENT.SWAP("swap.1111",C1113,H1113,B1113,"USD","SOFR",I1113,J1113,0,"Actual360","Simple","Annual","Annual","Annual")</f>
        <v/>
      </c>
      <c r="F1113" s="8">
        <f>QS.TRADE.CREATE("trade.1111",C1113,E1113,A1113,"Receive")</f>
        <v/>
      </c>
      <c r="G1113" s="5"/>
      <c r="H1113" s="7" t="s">
        <v>2266</v>
      </c>
      <c r="I1113" s="9">
        <v>1111100</v>
      </c>
      <c r="J1113" s="10">
        <v>0.0361</v>
      </c>
    </row>
    <row r="1114" spans="1:10">
      <c r="A1114" s="7" t="s">
        <v>2254</v>
      </c>
      <c r="B1114" s="7" t="s">
        <v>2267</v>
      </c>
      <c r="C1114" s="8">
        <f>QS.CONTEXT.CREATE("market.1112",A1114,"USD","SOFR")</f>
        <v/>
      </c>
      <c r="D1114" s="8">
        <f>QS.CONTEXT.ADD.CURVE(C1114,"SOFR",$K$2:$K$7,$L$2:$L$7,,,"Actual360","LogLinear",TRUE)</f>
        <v/>
      </c>
      <c r="E1114" s="8">
        <f>QS.INSTRUMENT.SWAP("swap.1112",C1114,H1114,B1114,"USD","SOFR",I1114,J1114,0,"Actual360","Simple","Annual","Annual","Annual")</f>
        <v/>
      </c>
      <c r="F1114" s="8">
        <f>QS.TRADE.CREATE("trade.1112",C1114,E1114,A1114,"Receive")</f>
        <v/>
      </c>
      <c r="G1114" s="5"/>
      <c r="H1114" s="7" t="s">
        <v>2268</v>
      </c>
      <c r="I1114" s="9">
        <v>1111200</v>
      </c>
      <c r="J1114" s="10">
        <v>0.0362</v>
      </c>
    </row>
    <row r="1115" spans="1:10">
      <c r="A1115" s="7" t="s">
        <v>2256</v>
      </c>
      <c r="B1115" s="7" t="s">
        <v>2269</v>
      </c>
      <c r="C1115" s="8">
        <f>QS.CONTEXT.CREATE("market.1113",A1115,"USD","SOFR")</f>
        <v/>
      </c>
      <c r="D1115" s="8">
        <f>QS.CONTEXT.ADD.CURVE(C1115,"SOFR",$K$2:$K$7,$L$2:$L$7,,,"Actual360","LogLinear",TRUE)</f>
        <v/>
      </c>
      <c r="E1115" s="8">
        <f>QS.INSTRUMENT.SWAP("swap.1113",C1115,H1115,B1115,"USD","SOFR",I1115,J1115,0,"Actual360","Simple","Annual","Annual","Annual")</f>
        <v/>
      </c>
      <c r="F1115" s="8">
        <f>QS.TRADE.CREATE("trade.1113",C1115,E1115,A1115,"Receive")</f>
        <v/>
      </c>
      <c r="G1115" s="5"/>
      <c r="H1115" s="7" t="s">
        <v>2270</v>
      </c>
      <c r="I1115" s="9">
        <v>1111300</v>
      </c>
      <c r="J1115" s="10">
        <v>0.03630000000000001</v>
      </c>
    </row>
    <row r="1116" spans="1:10">
      <c r="A1116" s="7" t="s">
        <v>2258</v>
      </c>
      <c r="B1116" s="7" t="s">
        <v>2271</v>
      </c>
      <c r="C1116" s="8">
        <f>QS.CONTEXT.CREATE("market.1114",A1116,"USD","SOFR")</f>
        <v/>
      </c>
      <c r="D1116" s="8">
        <f>QS.CONTEXT.ADD.CURVE(C1116,"SOFR",$K$2:$K$7,$L$2:$L$7,,,"Actual360","LogLinear",TRUE)</f>
        <v/>
      </c>
      <c r="E1116" s="8">
        <f>QS.INSTRUMENT.SWAP("swap.1114",C1116,H1116,B1116,"USD","SOFR",I1116,J1116,0,"Actual360","Simple","Annual","Annual","Annual")</f>
        <v/>
      </c>
      <c r="F1116" s="8">
        <f>QS.TRADE.CREATE("trade.1114",C1116,E1116,A1116,"Receive")</f>
        <v/>
      </c>
      <c r="G1116" s="5"/>
      <c r="H1116" s="7" t="s">
        <v>2272</v>
      </c>
      <c r="I1116" s="9">
        <v>1111400</v>
      </c>
      <c r="J1116" s="10">
        <v>0.0364</v>
      </c>
    </row>
    <row r="1117" spans="1:10">
      <c r="A1117" s="7" t="s">
        <v>2260</v>
      </c>
      <c r="B1117" s="7" t="s">
        <v>2273</v>
      </c>
      <c r="C1117" s="8">
        <f>QS.CONTEXT.CREATE("market.1115",A1117,"USD","SOFR")</f>
        <v/>
      </c>
      <c r="D1117" s="8">
        <f>QS.CONTEXT.ADD.CURVE(C1117,"SOFR",$K$2:$K$7,$L$2:$L$7,,,"Actual360","LogLinear",TRUE)</f>
        <v/>
      </c>
      <c r="E1117" s="8">
        <f>QS.INSTRUMENT.SWAP("swap.1115",C1117,H1117,B1117,"USD","SOFR",I1117,J1117,0,"Actual360","Simple","Annual","Annual","Annual")</f>
        <v/>
      </c>
      <c r="F1117" s="8">
        <f>QS.TRADE.CREATE("trade.1115",C1117,E1117,A1117,"Receive")</f>
        <v/>
      </c>
      <c r="G1117" s="5"/>
      <c r="H1117" s="7" t="s">
        <v>2274</v>
      </c>
      <c r="I1117" s="9">
        <v>1111500</v>
      </c>
      <c r="J1117" s="10">
        <v>0.0365</v>
      </c>
    </row>
    <row r="1118" spans="1:10">
      <c r="A1118" s="7" t="s">
        <v>2262</v>
      </c>
      <c r="B1118" s="7" t="s">
        <v>2275</v>
      </c>
      <c r="C1118" s="8">
        <f>QS.CONTEXT.CREATE("market.1116",A1118,"USD","SOFR")</f>
        <v/>
      </c>
      <c r="D1118" s="8">
        <f>QS.CONTEXT.ADD.CURVE(C1118,"SOFR",$K$2:$K$7,$L$2:$L$7,,,"Actual360","LogLinear",TRUE)</f>
        <v/>
      </c>
      <c r="E1118" s="8">
        <f>QS.INSTRUMENT.SWAP("swap.1116",C1118,H1118,B1118,"USD","SOFR",I1118,J1118,0,"Actual360","Simple","Annual","Annual","Annual")</f>
        <v/>
      </c>
      <c r="F1118" s="8">
        <f>QS.TRADE.CREATE("trade.1116",C1118,E1118,A1118,"Receive")</f>
        <v/>
      </c>
      <c r="G1118" s="5"/>
      <c r="H1118" s="7" t="s">
        <v>2276</v>
      </c>
      <c r="I1118" s="9">
        <v>1111600</v>
      </c>
      <c r="J1118" s="10">
        <v>0.0366</v>
      </c>
    </row>
    <row r="1119" spans="1:10">
      <c r="A1119" s="7" t="s">
        <v>2264</v>
      </c>
      <c r="B1119" s="7" t="s">
        <v>2277</v>
      </c>
      <c r="C1119" s="8">
        <f>QS.CONTEXT.CREATE("market.1117",A1119,"USD","SOFR")</f>
        <v/>
      </c>
      <c r="D1119" s="8">
        <f>QS.CONTEXT.ADD.CURVE(C1119,"SOFR",$K$2:$K$7,$L$2:$L$7,,,"Actual360","LogLinear",TRUE)</f>
        <v/>
      </c>
      <c r="E1119" s="8">
        <f>QS.INSTRUMENT.SWAP("swap.1117",C1119,H1119,B1119,"USD","SOFR",I1119,J1119,0,"Actual360","Simple","Annual","Annual","Annual")</f>
        <v/>
      </c>
      <c r="F1119" s="8">
        <f>QS.TRADE.CREATE("trade.1117",C1119,E1119,A1119,"Receive")</f>
        <v/>
      </c>
      <c r="G1119" s="5"/>
      <c r="H1119" s="7" t="s">
        <v>2278</v>
      </c>
      <c r="I1119" s="9">
        <v>1111700</v>
      </c>
      <c r="J1119" s="10">
        <v>0.0367</v>
      </c>
    </row>
    <row r="1120" spans="1:10">
      <c r="A1120" s="7" t="s">
        <v>2266</v>
      </c>
      <c r="B1120" s="7" t="s">
        <v>2279</v>
      </c>
      <c r="C1120" s="8">
        <f>QS.CONTEXT.CREATE("market.1118",A1120,"USD","SOFR")</f>
        <v/>
      </c>
      <c r="D1120" s="8">
        <f>QS.CONTEXT.ADD.CURVE(C1120,"SOFR",$K$2:$K$7,$L$2:$L$7,,,"Actual360","LogLinear",TRUE)</f>
        <v/>
      </c>
      <c r="E1120" s="8">
        <f>QS.INSTRUMENT.SWAP("swap.1118",C1120,H1120,B1120,"USD","SOFR",I1120,J1120,0,"Actual360","Simple","Annual","Annual","Annual")</f>
        <v/>
      </c>
      <c r="F1120" s="8">
        <f>QS.TRADE.CREATE("trade.1118",C1120,E1120,A1120,"Receive")</f>
        <v/>
      </c>
      <c r="G1120" s="5"/>
      <c r="H1120" s="7" t="s">
        <v>2280</v>
      </c>
      <c r="I1120" s="9">
        <v>1111800</v>
      </c>
      <c r="J1120" s="10">
        <v>0.03680000000000001</v>
      </c>
    </row>
    <row r="1121" spans="1:10">
      <c r="A1121" s="7" t="s">
        <v>2268</v>
      </c>
      <c r="B1121" s="7" t="s">
        <v>2281</v>
      </c>
      <c r="C1121" s="8">
        <f>QS.CONTEXT.CREATE("market.1119",A1121,"USD","SOFR")</f>
        <v/>
      </c>
      <c r="D1121" s="8">
        <f>QS.CONTEXT.ADD.CURVE(C1121,"SOFR",$K$2:$K$7,$L$2:$L$7,,,"Actual360","LogLinear",TRUE)</f>
        <v/>
      </c>
      <c r="E1121" s="8">
        <f>QS.INSTRUMENT.SWAP("swap.1119",C1121,H1121,B1121,"USD","SOFR",I1121,J1121,0,"Actual360","Simple","Annual","Annual","Annual")</f>
        <v/>
      </c>
      <c r="F1121" s="8">
        <f>QS.TRADE.CREATE("trade.1119",C1121,E1121,A1121,"Receive")</f>
        <v/>
      </c>
      <c r="G1121" s="5"/>
      <c r="H1121" s="7" t="s">
        <v>2282</v>
      </c>
      <c r="I1121" s="9">
        <v>1111900</v>
      </c>
      <c r="J1121" s="10">
        <v>0.0369</v>
      </c>
    </row>
    <row r="1122" spans="1:10">
      <c r="A1122" s="7" t="s">
        <v>2270</v>
      </c>
      <c r="B1122" s="7" t="s">
        <v>2283</v>
      </c>
      <c r="C1122" s="8">
        <f>QS.CONTEXT.CREATE("market.1120",A1122,"USD","SOFR")</f>
        <v/>
      </c>
      <c r="D1122" s="8">
        <f>QS.CONTEXT.ADD.CURVE(C1122,"SOFR",$K$2:$K$7,$L$2:$L$7,,,"Actual360","LogLinear",TRUE)</f>
        <v/>
      </c>
      <c r="E1122" s="8">
        <f>QS.INSTRUMENT.SWAP("swap.1120",C1122,H1122,B1122,"USD","SOFR",I1122,J1122,0,"Actual360","Simple","Annual","Annual","Annual")</f>
        <v/>
      </c>
      <c r="F1122" s="8">
        <f>QS.TRADE.CREATE("trade.1120",C1122,E1122,A1122,"Receive")</f>
        <v/>
      </c>
      <c r="G1122" s="5"/>
      <c r="H1122" s="7" t="s">
        <v>2284</v>
      </c>
      <c r="I1122" s="9">
        <v>1112000</v>
      </c>
      <c r="J1122" s="10">
        <v>0.03700000000000001</v>
      </c>
    </row>
    <row r="1123" spans="1:10">
      <c r="A1123" s="7" t="s">
        <v>2272</v>
      </c>
      <c r="B1123" s="7" t="s">
        <v>2285</v>
      </c>
      <c r="C1123" s="8">
        <f>QS.CONTEXT.CREATE("market.1121",A1123,"USD","SOFR")</f>
        <v/>
      </c>
      <c r="D1123" s="8">
        <f>QS.CONTEXT.ADD.CURVE(C1123,"SOFR",$K$2:$K$7,$L$2:$L$7,,,"Actual360","LogLinear",TRUE)</f>
        <v/>
      </c>
      <c r="E1123" s="8">
        <f>QS.INSTRUMENT.SWAP("swap.1121",C1123,H1123,B1123,"USD","SOFR",I1123,J1123,0,"Actual360","Simple","Annual","Annual","Annual")</f>
        <v/>
      </c>
      <c r="F1123" s="8">
        <f>QS.TRADE.CREATE("trade.1121",C1123,E1123,A1123,"Receive")</f>
        <v/>
      </c>
      <c r="G1123" s="5"/>
      <c r="H1123" s="7" t="s">
        <v>2286</v>
      </c>
      <c r="I1123" s="9">
        <v>1112100</v>
      </c>
      <c r="J1123" s="10">
        <v>0.0371</v>
      </c>
    </row>
    <row r="1124" spans="1:10">
      <c r="A1124" s="7" t="s">
        <v>2274</v>
      </c>
      <c r="B1124" s="7" t="s">
        <v>2287</v>
      </c>
      <c r="C1124" s="8">
        <f>QS.CONTEXT.CREATE("market.1122",A1124,"USD","SOFR")</f>
        <v/>
      </c>
      <c r="D1124" s="8">
        <f>QS.CONTEXT.ADD.CURVE(C1124,"SOFR",$K$2:$K$7,$L$2:$L$7,,,"Actual360","LogLinear",TRUE)</f>
        <v/>
      </c>
      <c r="E1124" s="8">
        <f>QS.INSTRUMENT.SWAP("swap.1122",C1124,H1124,B1124,"USD","SOFR",I1124,J1124,0,"Actual360","Simple","Annual","Annual","Annual")</f>
        <v/>
      </c>
      <c r="F1124" s="8">
        <f>QS.TRADE.CREATE("trade.1122",C1124,E1124,A1124,"Receive")</f>
        <v/>
      </c>
      <c r="G1124" s="5"/>
      <c r="H1124" s="7" t="s">
        <v>2288</v>
      </c>
      <c r="I1124" s="9">
        <v>1112200</v>
      </c>
      <c r="J1124" s="10">
        <v>0.0372</v>
      </c>
    </row>
    <row r="1125" spans="1:10">
      <c r="A1125" s="7" t="s">
        <v>2276</v>
      </c>
      <c r="B1125" s="7" t="s">
        <v>2289</v>
      </c>
      <c r="C1125" s="8">
        <f>QS.CONTEXT.CREATE("market.1123",A1125,"USD","SOFR")</f>
        <v/>
      </c>
      <c r="D1125" s="8">
        <f>QS.CONTEXT.ADD.CURVE(C1125,"SOFR",$K$2:$K$7,$L$2:$L$7,,,"Actual360","LogLinear",TRUE)</f>
        <v/>
      </c>
      <c r="E1125" s="8">
        <f>QS.INSTRUMENT.SWAP("swap.1123",C1125,H1125,B1125,"USD","SOFR",I1125,J1125,0,"Actual360","Simple","Annual","Annual","Annual")</f>
        <v/>
      </c>
      <c r="F1125" s="8">
        <f>QS.TRADE.CREATE("trade.1123",C1125,E1125,A1125,"Receive")</f>
        <v/>
      </c>
      <c r="G1125" s="5"/>
      <c r="H1125" s="7" t="s">
        <v>2290</v>
      </c>
      <c r="I1125" s="9">
        <v>1112300</v>
      </c>
      <c r="J1125" s="10">
        <v>0.0373</v>
      </c>
    </row>
    <row r="1126" spans="1:10">
      <c r="A1126" s="7" t="s">
        <v>2278</v>
      </c>
      <c r="B1126" s="7" t="s">
        <v>2291</v>
      </c>
      <c r="C1126" s="8">
        <f>QS.CONTEXT.CREATE("market.1124",A1126,"USD","SOFR")</f>
        <v/>
      </c>
      <c r="D1126" s="8">
        <f>QS.CONTEXT.ADD.CURVE(C1126,"SOFR",$K$2:$K$7,$L$2:$L$7,,,"Actual360","LogLinear",TRUE)</f>
        <v/>
      </c>
      <c r="E1126" s="8">
        <f>QS.INSTRUMENT.SWAP("swap.1124",C1126,H1126,B1126,"USD","SOFR",I1126,J1126,0,"Actual360","Simple","Annual","Annual","Annual")</f>
        <v/>
      </c>
      <c r="F1126" s="8">
        <f>QS.TRADE.CREATE("trade.1124",C1126,E1126,A1126,"Receive")</f>
        <v/>
      </c>
      <c r="G1126" s="5"/>
      <c r="H1126" s="7" t="s">
        <v>2292</v>
      </c>
      <c r="I1126" s="9">
        <v>1112400</v>
      </c>
      <c r="J1126" s="10">
        <v>0.0374</v>
      </c>
    </row>
    <row r="1127" spans="1:10">
      <c r="A1127" s="7" t="s">
        <v>2280</v>
      </c>
      <c r="B1127" s="7" t="s">
        <v>2293</v>
      </c>
      <c r="C1127" s="8">
        <f>QS.CONTEXT.CREATE("market.1125",A1127,"USD","SOFR")</f>
        <v/>
      </c>
      <c r="D1127" s="8">
        <f>QS.CONTEXT.ADD.CURVE(C1127,"SOFR",$K$2:$K$7,$L$2:$L$7,,,"Actual360","LogLinear",TRUE)</f>
        <v/>
      </c>
      <c r="E1127" s="8">
        <f>QS.INSTRUMENT.SWAP("swap.1125",C1127,H1127,B1127,"USD","SOFR",I1127,J1127,0,"Actual360","Simple","Annual","Annual","Annual")</f>
        <v/>
      </c>
      <c r="F1127" s="8">
        <f>QS.TRADE.CREATE("trade.1125",C1127,E1127,A1127,"Receive")</f>
        <v/>
      </c>
      <c r="G1127" s="5"/>
      <c r="H1127" s="7" t="s">
        <v>2294</v>
      </c>
      <c r="I1127" s="9">
        <v>1112500</v>
      </c>
      <c r="J1127" s="10">
        <v>0.03750000000000001</v>
      </c>
    </row>
    <row r="1128" spans="1:10">
      <c r="A1128" s="7" t="s">
        <v>2282</v>
      </c>
      <c r="B1128" s="7" t="s">
        <v>2295</v>
      </c>
      <c r="C1128" s="8">
        <f>QS.CONTEXT.CREATE("market.1126",A1128,"USD","SOFR")</f>
        <v/>
      </c>
      <c r="D1128" s="8">
        <f>QS.CONTEXT.ADD.CURVE(C1128,"SOFR",$K$2:$K$7,$L$2:$L$7,,,"Actual360","LogLinear",TRUE)</f>
        <v/>
      </c>
      <c r="E1128" s="8">
        <f>QS.INSTRUMENT.SWAP("swap.1126",C1128,H1128,B1128,"USD","SOFR",I1128,J1128,0,"Actual360","Simple","Annual","Annual","Annual")</f>
        <v/>
      </c>
      <c r="F1128" s="8">
        <f>QS.TRADE.CREATE("trade.1126",C1128,E1128,A1128,"Receive")</f>
        <v/>
      </c>
      <c r="G1128" s="5"/>
      <c r="H1128" s="7" t="s">
        <v>2296</v>
      </c>
      <c r="I1128" s="9">
        <v>1112600</v>
      </c>
      <c r="J1128" s="10">
        <v>0.0376</v>
      </c>
    </row>
    <row r="1129" spans="1:10">
      <c r="A1129" s="7" t="s">
        <v>2284</v>
      </c>
      <c r="B1129" s="7" t="s">
        <v>2297</v>
      </c>
      <c r="C1129" s="8">
        <f>QS.CONTEXT.CREATE("market.1127",A1129,"USD","SOFR")</f>
        <v/>
      </c>
      <c r="D1129" s="8">
        <f>QS.CONTEXT.ADD.CURVE(C1129,"SOFR",$K$2:$K$7,$L$2:$L$7,,,"Actual360","LogLinear",TRUE)</f>
        <v/>
      </c>
      <c r="E1129" s="8">
        <f>QS.INSTRUMENT.SWAP("swap.1127",C1129,H1129,B1129,"USD","SOFR",I1129,J1129,0,"Actual360","Simple","Annual","Annual","Annual")</f>
        <v/>
      </c>
      <c r="F1129" s="8">
        <f>QS.TRADE.CREATE("trade.1127",C1129,E1129,A1129,"Receive")</f>
        <v/>
      </c>
      <c r="G1129" s="5"/>
      <c r="H1129" s="7" t="s">
        <v>2298</v>
      </c>
      <c r="I1129" s="9">
        <v>1112700</v>
      </c>
      <c r="J1129" s="10">
        <v>0.0377</v>
      </c>
    </row>
    <row r="1130" spans="1:10">
      <c r="A1130" s="7" t="s">
        <v>2286</v>
      </c>
      <c r="B1130" s="7" t="s">
        <v>2299</v>
      </c>
      <c r="C1130" s="8">
        <f>QS.CONTEXT.CREATE("market.1128",A1130,"USD","SOFR")</f>
        <v/>
      </c>
      <c r="D1130" s="8">
        <f>QS.CONTEXT.ADD.CURVE(C1130,"SOFR",$K$2:$K$7,$L$2:$L$7,,,"Actual360","LogLinear",TRUE)</f>
        <v/>
      </c>
      <c r="E1130" s="8">
        <f>QS.INSTRUMENT.SWAP("swap.1128",C1130,H1130,B1130,"USD","SOFR",I1130,J1130,0,"Actual360","Simple","Annual","Annual","Annual")</f>
        <v/>
      </c>
      <c r="F1130" s="8">
        <f>QS.TRADE.CREATE("trade.1128",C1130,E1130,A1130,"Receive")</f>
        <v/>
      </c>
      <c r="G1130" s="5"/>
      <c r="H1130" s="7" t="s">
        <v>2300</v>
      </c>
      <c r="I1130" s="9">
        <v>1112800</v>
      </c>
      <c r="J1130" s="10">
        <v>0.0378</v>
      </c>
    </row>
    <row r="1131" spans="1:10">
      <c r="A1131" s="7" t="s">
        <v>2288</v>
      </c>
      <c r="B1131" s="7" t="s">
        <v>2301</v>
      </c>
      <c r="C1131" s="8">
        <f>QS.CONTEXT.CREATE("market.1129",A1131,"USD","SOFR")</f>
        <v/>
      </c>
      <c r="D1131" s="8">
        <f>QS.CONTEXT.ADD.CURVE(C1131,"SOFR",$K$2:$K$7,$L$2:$L$7,,,"Actual360","LogLinear",TRUE)</f>
        <v/>
      </c>
      <c r="E1131" s="8">
        <f>QS.INSTRUMENT.SWAP("swap.1129",C1131,H1131,B1131,"USD","SOFR",I1131,J1131,0,"Actual360","Simple","Annual","Annual","Annual")</f>
        <v/>
      </c>
      <c r="F1131" s="8">
        <f>QS.TRADE.CREATE("trade.1129",C1131,E1131,A1131,"Receive")</f>
        <v/>
      </c>
      <c r="G1131" s="5"/>
      <c r="H1131" s="7" t="s">
        <v>2302</v>
      </c>
      <c r="I1131" s="9">
        <v>1112900</v>
      </c>
      <c r="J1131" s="10">
        <v>0.0379</v>
      </c>
    </row>
    <row r="1132" spans="1:10">
      <c r="A1132" s="7" t="s">
        <v>2290</v>
      </c>
      <c r="B1132" s="7" t="s">
        <v>2303</v>
      </c>
      <c r="C1132" s="8">
        <f>QS.CONTEXT.CREATE("market.1130",A1132,"USD","SOFR")</f>
        <v/>
      </c>
      <c r="D1132" s="8">
        <f>QS.CONTEXT.ADD.CURVE(C1132,"SOFR",$K$2:$K$7,$L$2:$L$7,,,"Actual360","LogLinear",TRUE)</f>
        <v/>
      </c>
      <c r="E1132" s="8">
        <f>QS.INSTRUMENT.SWAP("swap.1130",C1132,H1132,B1132,"USD","SOFR",I1132,J1132,0,"Actual360","Simple","Annual","Annual","Annual")</f>
        <v/>
      </c>
      <c r="F1132" s="8">
        <f>QS.TRADE.CREATE("trade.1130",C1132,E1132,A1132,"Receive")</f>
        <v/>
      </c>
      <c r="G1132" s="5"/>
      <c r="H1132" s="7" t="s">
        <v>2304</v>
      </c>
      <c r="I1132" s="9">
        <v>1113000</v>
      </c>
      <c r="J1132" s="10">
        <v>0.03800000000000001</v>
      </c>
    </row>
    <row r="1133" spans="1:10">
      <c r="A1133" s="7" t="s">
        <v>2292</v>
      </c>
      <c r="B1133" s="7" t="s">
        <v>2305</v>
      </c>
      <c r="C1133" s="8">
        <f>QS.CONTEXT.CREATE("market.1131",A1133,"USD","SOFR")</f>
        <v/>
      </c>
      <c r="D1133" s="8">
        <f>QS.CONTEXT.ADD.CURVE(C1133,"SOFR",$K$2:$K$7,$L$2:$L$7,,,"Actual360","LogLinear",TRUE)</f>
        <v/>
      </c>
      <c r="E1133" s="8">
        <f>QS.INSTRUMENT.SWAP("swap.1131",C1133,H1133,B1133,"USD","SOFR",I1133,J1133,0,"Actual360","Simple","Annual","Annual","Annual")</f>
        <v/>
      </c>
      <c r="F1133" s="8">
        <f>QS.TRADE.CREATE("trade.1131",C1133,E1133,A1133,"Receive")</f>
        <v/>
      </c>
      <c r="G1133" s="5"/>
      <c r="H1133" s="7" t="s">
        <v>2306</v>
      </c>
      <c r="I1133" s="9">
        <v>1113100</v>
      </c>
      <c r="J1133" s="10">
        <v>0.0381</v>
      </c>
    </row>
    <row r="1134" spans="1:10">
      <c r="A1134" s="7" t="s">
        <v>2294</v>
      </c>
      <c r="B1134" s="7" t="s">
        <v>2307</v>
      </c>
      <c r="C1134" s="8">
        <f>QS.CONTEXT.CREATE("market.1132",A1134,"USD","SOFR")</f>
        <v/>
      </c>
      <c r="D1134" s="8">
        <f>QS.CONTEXT.ADD.CURVE(C1134,"SOFR",$K$2:$K$7,$L$2:$L$7,,,"Actual360","LogLinear",TRUE)</f>
        <v/>
      </c>
      <c r="E1134" s="8">
        <f>QS.INSTRUMENT.SWAP("swap.1132",C1134,H1134,B1134,"USD","SOFR",I1134,J1134,0,"Actual360","Simple","Annual","Annual","Annual")</f>
        <v/>
      </c>
      <c r="F1134" s="8">
        <f>QS.TRADE.CREATE("trade.1132",C1134,E1134,A1134,"Receive")</f>
        <v/>
      </c>
      <c r="G1134" s="5"/>
      <c r="H1134" s="7" t="s">
        <v>2308</v>
      </c>
      <c r="I1134" s="9">
        <v>1113200</v>
      </c>
      <c r="J1134" s="10">
        <v>0.0382</v>
      </c>
    </row>
    <row r="1135" spans="1:10">
      <c r="A1135" s="7" t="s">
        <v>2296</v>
      </c>
      <c r="B1135" s="7" t="s">
        <v>2309</v>
      </c>
      <c r="C1135" s="8">
        <f>QS.CONTEXT.CREATE("market.1133",A1135,"USD","SOFR")</f>
        <v/>
      </c>
      <c r="D1135" s="8">
        <f>QS.CONTEXT.ADD.CURVE(C1135,"SOFR",$K$2:$K$7,$L$2:$L$7,,,"Actual360","LogLinear",TRUE)</f>
        <v/>
      </c>
      <c r="E1135" s="8">
        <f>QS.INSTRUMENT.SWAP("swap.1133",C1135,H1135,B1135,"USD","SOFR",I1135,J1135,0,"Actual360","Simple","Annual","Annual","Annual")</f>
        <v/>
      </c>
      <c r="F1135" s="8">
        <f>QS.TRADE.CREATE("trade.1133",C1135,E1135,A1135,"Receive")</f>
        <v/>
      </c>
      <c r="G1135" s="5"/>
      <c r="H1135" s="7" t="s">
        <v>2310</v>
      </c>
      <c r="I1135" s="9">
        <v>1113300</v>
      </c>
      <c r="J1135" s="10">
        <v>0.0383</v>
      </c>
    </row>
    <row r="1136" spans="1:10">
      <c r="A1136" s="7" t="s">
        <v>2298</v>
      </c>
      <c r="B1136" s="7" t="s">
        <v>2311</v>
      </c>
      <c r="C1136" s="8">
        <f>QS.CONTEXT.CREATE("market.1134",A1136,"USD","SOFR")</f>
        <v/>
      </c>
      <c r="D1136" s="8">
        <f>QS.CONTEXT.ADD.CURVE(C1136,"SOFR",$K$2:$K$7,$L$2:$L$7,,,"Actual360","LogLinear",TRUE)</f>
        <v/>
      </c>
      <c r="E1136" s="8">
        <f>QS.INSTRUMENT.SWAP("swap.1134",C1136,H1136,B1136,"USD","SOFR",I1136,J1136,0,"Actual360","Simple","Annual","Annual","Annual")</f>
        <v/>
      </c>
      <c r="F1136" s="8">
        <f>QS.TRADE.CREATE("trade.1134",C1136,E1136,A1136,"Receive")</f>
        <v/>
      </c>
      <c r="G1136" s="5"/>
      <c r="H1136" s="7" t="s">
        <v>2312</v>
      </c>
      <c r="I1136" s="9">
        <v>1113400</v>
      </c>
      <c r="J1136" s="10">
        <v>0.0384</v>
      </c>
    </row>
    <row r="1137" spans="1:10">
      <c r="A1137" s="7" t="s">
        <v>2300</v>
      </c>
      <c r="B1137" s="7" t="s">
        <v>2313</v>
      </c>
      <c r="C1137" s="8">
        <f>QS.CONTEXT.CREATE("market.1135",A1137,"USD","SOFR")</f>
        <v/>
      </c>
      <c r="D1137" s="8">
        <f>QS.CONTEXT.ADD.CURVE(C1137,"SOFR",$K$2:$K$7,$L$2:$L$7,,,"Actual360","LogLinear",TRUE)</f>
        <v/>
      </c>
      <c r="E1137" s="8">
        <f>QS.INSTRUMENT.SWAP("swap.1135",C1137,H1137,B1137,"USD","SOFR",I1137,J1137,0,"Actual360","Simple","Annual","Annual","Annual")</f>
        <v/>
      </c>
      <c r="F1137" s="8">
        <f>QS.TRADE.CREATE("trade.1135",C1137,E1137,A1137,"Receive")</f>
        <v/>
      </c>
      <c r="G1137" s="5"/>
      <c r="H1137" s="7" t="s">
        <v>2314</v>
      </c>
      <c r="I1137" s="9">
        <v>1113500</v>
      </c>
      <c r="J1137" s="10">
        <v>0.03850000000000001</v>
      </c>
    </row>
    <row r="1138" spans="1:10">
      <c r="A1138" s="7" t="s">
        <v>2302</v>
      </c>
      <c r="B1138" s="7" t="s">
        <v>2315</v>
      </c>
      <c r="C1138" s="8">
        <f>QS.CONTEXT.CREATE("market.1136",A1138,"USD","SOFR")</f>
        <v/>
      </c>
      <c r="D1138" s="8">
        <f>QS.CONTEXT.ADD.CURVE(C1138,"SOFR",$K$2:$K$7,$L$2:$L$7,,,"Actual360","LogLinear",TRUE)</f>
        <v/>
      </c>
      <c r="E1138" s="8">
        <f>QS.INSTRUMENT.SWAP("swap.1136",C1138,H1138,B1138,"USD","SOFR",I1138,J1138,0,"Actual360","Simple","Annual","Annual","Annual")</f>
        <v/>
      </c>
      <c r="F1138" s="8">
        <f>QS.TRADE.CREATE("trade.1136",C1138,E1138,A1138,"Receive")</f>
        <v/>
      </c>
      <c r="G1138" s="5"/>
      <c r="H1138" s="7" t="s">
        <v>2316</v>
      </c>
      <c r="I1138" s="9">
        <v>1113600</v>
      </c>
      <c r="J1138" s="10">
        <v>0.0386</v>
      </c>
    </row>
    <row r="1139" spans="1:10">
      <c r="A1139" s="7" t="s">
        <v>2304</v>
      </c>
      <c r="B1139" s="7" t="s">
        <v>2317</v>
      </c>
      <c r="C1139" s="8">
        <f>QS.CONTEXT.CREATE("market.1137",A1139,"USD","SOFR")</f>
        <v/>
      </c>
      <c r="D1139" s="8">
        <f>QS.CONTEXT.ADD.CURVE(C1139,"SOFR",$K$2:$K$7,$L$2:$L$7,,,"Actual360","LogLinear",TRUE)</f>
        <v/>
      </c>
      <c r="E1139" s="8">
        <f>QS.INSTRUMENT.SWAP("swap.1137",C1139,H1139,B1139,"USD","SOFR",I1139,J1139,0,"Actual360","Simple","Annual","Annual","Annual")</f>
        <v/>
      </c>
      <c r="F1139" s="8">
        <f>QS.TRADE.CREATE("trade.1137",C1139,E1139,A1139,"Receive")</f>
        <v/>
      </c>
      <c r="G1139" s="5"/>
      <c r="H1139" s="7" t="s">
        <v>2318</v>
      </c>
      <c r="I1139" s="9">
        <v>1113700</v>
      </c>
      <c r="J1139" s="10">
        <v>0.03870000000000001</v>
      </c>
    </row>
    <row r="1140" spans="1:10">
      <c r="A1140" s="7" t="s">
        <v>2306</v>
      </c>
      <c r="B1140" s="7" t="s">
        <v>2319</v>
      </c>
      <c r="C1140" s="8">
        <f>QS.CONTEXT.CREATE("market.1138",A1140,"USD","SOFR")</f>
        <v/>
      </c>
      <c r="D1140" s="8">
        <f>QS.CONTEXT.ADD.CURVE(C1140,"SOFR",$K$2:$K$7,$L$2:$L$7,,,"Actual360","LogLinear",TRUE)</f>
        <v/>
      </c>
      <c r="E1140" s="8">
        <f>QS.INSTRUMENT.SWAP("swap.1138",C1140,H1140,B1140,"USD","SOFR",I1140,J1140,0,"Actual360","Simple","Annual","Annual","Annual")</f>
        <v/>
      </c>
      <c r="F1140" s="8">
        <f>QS.TRADE.CREATE("trade.1138",C1140,E1140,A1140,"Receive")</f>
        <v/>
      </c>
      <c r="G1140" s="5"/>
      <c r="H1140" s="7" t="s">
        <v>2320</v>
      </c>
      <c r="I1140" s="9">
        <v>1113800</v>
      </c>
      <c r="J1140" s="10">
        <v>0.0388</v>
      </c>
    </row>
    <row r="1141" spans="1:10">
      <c r="A1141" s="7" t="s">
        <v>2308</v>
      </c>
      <c r="B1141" s="7" t="s">
        <v>2321</v>
      </c>
      <c r="C1141" s="8">
        <f>QS.CONTEXT.CREATE("market.1139",A1141,"USD","SOFR")</f>
        <v/>
      </c>
      <c r="D1141" s="8">
        <f>QS.CONTEXT.ADD.CURVE(C1141,"SOFR",$K$2:$K$7,$L$2:$L$7,,,"Actual360","LogLinear",TRUE)</f>
        <v/>
      </c>
      <c r="E1141" s="8">
        <f>QS.INSTRUMENT.SWAP("swap.1139",C1141,H1141,B1141,"USD","SOFR",I1141,J1141,0,"Actual360","Simple","Annual","Annual","Annual")</f>
        <v/>
      </c>
      <c r="F1141" s="8">
        <f>QS.TRADE.CREATE("trade.1139",C1141,E1141,A1141,"Receive")</f>
        <v/>
      </c>
      <c r="G1141" s="5"/>
      <c r="H1141" s="7" t="s">
        <v>2322</v>
      </c>
      <c r="I1141" s="9">
        <v>1113900</v>
      </c>
      <c r="J1141" s="10">
        <v>0.0389</v>
      </c>
    </row>
    <row r="1142" spans="1:10">
      <c r="A1142" s="7" t="s">
        <v>2310</v>
      </c>
      <c r="B1142" s="7" t="s">
        <v>2323</v>
      </c>
      <c r="C1142" s="8">
        <f>QS.CONTEXT.CREATE("market.1140",A1142,"USD","SOFR")</f>
        <v/>
      </c>
      <c r="D1142" s="8">
        <f>QS.CONTEXT.ADD.CURVE(C1142,"SOFR",$K$2:$K$7,$L$2:$L$7,,,"Actual360","LogLinear",TRUE)</f>
        <v/>
      </c>
      <c r="E1142" s="8">
        <f>QS.INSTRUMENT.SWAP("swap.1140",C1142,H1142,B1142,"USD","SOFR",I1142,J1142,0,"Actual360","Simple","Annual","Annual","Annual")</f>
        <v/>
      </c>
      <c r="F1142" s="8">
        <f>QS.TRADE.CREATE("trade.1140",C1142,E1142,A1142,"Receive")</f>
        <v/>
      </c>
      <c r="G1142" s="5"/>
      <c r="H1142" s="7" t="s">
        <v>2324</v>
      </c>
      <c r="I1142" s="9">
        <v>1114000</v>
      </c>
      <c r="J1142" s="10">
        <v>0.03900000000000001</v>
      </c>
    </row>
    <row r="1143" spans="1:10">
      <c r="A1143" s="7" t="s">
        <v>2312</v>
      </c>
      <c r="B1143" s="7" t="s">
        <v>2325</v>
      </c>
      <c r="C1143" s="8">
        <f>QS.CONTEXT.CREATE("market.1141",A1143,"USD","SOFR")</f>
        <v/>
      </c>
      <c r="D1143" s="8">
        <f>QS.CONTEXT.ADD.CURVE(C1143,"SOFR",$K$2:$K$7,$L$2:$L$7,,,"Actual360","LogLinear",TRUE)</f>
        <v/>
      </c>
      <c r="E1143" s="8">
        <f>QS.INSTRUMENT.SWAP("swap.1141",C1143,H1143,B1143,"USD","SOFR",I1143,J1143,0,"Actual360","Simple","Annual","Annual","Annual")</f>
        <v/>
      </c>
      <c r="F1143" s="8">
        <f>QS.TRADE.CREATE("trade.1141",C1143,E1143,A1143,"Receive")</f>
        <v/>
      </c>
      <c r="G1143" s="5"/>
      <c r="H1143" s="7" t="s">
        <v>2326</v>
      </c>
      <c r="I1143" s="9">
        <v>1114100</v>
      </c>
      <c r="J1143" s="10">
        <v>0.0391</v>
      </c>
    </row>
    <row r="1144" spans="1:10">
      <c r="A1144" s="7" t="s">
        <v>2314</v>
      </c>
      <c r="B1144" s="7" t="s">
        <v>2327</v>
      </c>
      <c r="C1144" s="8">
        <f>QS.CONTEXT.CREATE("market.1142",A1144,"USD","SOFR")</f>
        <v/>
      </c>
      <c r="D1144" s="8">
        <f>QS.CONTEXT.ADD.CURVE(C1144,"SOFR",$K$2:$K$7,$L$2:$L$7,,,"Actual360","LogLinear",TRUE)</f>
        <v/>
      </c>
      <c r="E1144" s="8">
        <f>QS.INSTRUMENT.SWAP("swap.1142",C1144,H1144,B1144,"USD","SOFR",I1144,J1144,0,"Actual360","Simple","Annual","Annual","Annual")</f>
        <v/>
      </c>
      <c r="F1144" s="8">
        <f>QS.TRADE.CREATE("trade.1142",C1144,E1144,A1144,"Receive")</f>
        <v/>
      </c>
      <c r="G1144" s="5"/>
      <c r="H1144" s="7" t="s">
        <v>2328</v>
      </c>
      <c r="I1144" s="9">
        <v>1114200</v>
      </c>
      <c r="J1144" s="10">
        <v>0.03920000000000001</v>
      </c>
    </row>
    <row r="1145" spans="1:10">
      <c r="A1145" s="7" t="s">
        <v>2316</v>
      </c>
      <c r="B1145" s="7" t="s">
        <v>2329</v>
      </c>
      <c r="C1145" s="8">
        <f>QS.CONTEXT.CREATE("market.1143",A1145,"USD","SOFR")</f>
        <v/>
      </c>
      <c r="D1145" s="8">
        <f>QS.CONTEXT.ADD.CURVE(C1145,"SOFR",$K$2:$K$7,$L$2:$L$7,,,"Actual360","LogLinear",TRUE)</f>
        <v/>
      </c>
      <c r="E1145" s="8">
        <f>QS.INSTRUMENT.SWAP("swap.1143",C1145,H1145,B1145,"USD","SOFR",I1145,J1145,0,"Actual360","Simple","Annual","Annual","Annual")</f>
        <v/>
      </c>
      <c r="F1145" s="8">
        <f>QS.TRADE.CREATE("trade.1143",C1145,E1145,A1145,"Receive")</f>
        <v/>
      </c>
      <c r="G1145" s="5"/>
      <c r="H1145" s="7" t="s">
        <v>2330</v>
      </c>
      <c r="I1145" s="9">
        <v>1114300</v>
      </c>
      <c r="J1145" s="10">
        <v>0.0393</v>
      </c>
    </row>
    <row r="1146" spans="1:10">
      <c r="A1146" s="7" t="s">
        <v>2318</v>
      </c>
      <c r="B1146" s="7" t="s">
        <v>2331</v>
      </c>
      <c r="C1146" s="8">
        <f>QS.CONTEXT.CREATE("market.1144",A1146,"USD","SOFR")</f>
        <v/>
      </c>
      <c r="D1146" s="8">
        <f>QS.CONTEXT.ADD.CURVE(C1146,"SOFR",$K$2:$K$7,$L$2:$L$7,,,"Actual360","LogLinear",TRUE)</f>
        <v/>
      </c>
      <c r="E1146" s="8">
        <f>QS.INSTRUMENT.SWAP("swap.1144",C1146,H1146,B1146,"USD","SOFR",I1146,J1146,0,"Actual360","Simple","Annual","Annual","Annual")</f>
        <v/>
      </c>
      <c r="F1146" s="8">
        <f>QS.TRADE.CREATE("trade.1144",C1146,E1146,A1146,"Receive")</f>
        <v/>
      </c>
      <c r="G1146" s="5"/>
      <c r="H1146" s="7" t="s">
        <v>2332</v>
      </c>
      <c r="I1146" s="9">
        <v>1114400</v>
      </c>
      <c r="J1146" s="10">
        <v>0.0394</v>
      </c>
    </row>
    <row r="1147" spans="1:10">
      <c r="A1147" s="7" t="s">
        <v>2320</v>
      </c>
      <c r="B1147" s="7" t="s">
        <v>2333</v>
      </c>
      <c r="C1147" s="8">
        <f>QS.CONTEXT.CREATE("market.1145",A1147,"USD","SOFR")</f>
        <v/>
      </c>
      <c r="D1147" s="8">
        <f>QS.CONTEXT.ADD.CURVE(C1147,"SOFR",$K$2:$K$7,$L$2:$L$7,,,"Actual360","LogLinear",TRUE)</f>
        <v/>
      </c>
      <c r="E1147" s="8">
        <f>QS.INSTRUMENT.SWAP("swap.1145",C1147,H1147,B1147,"USD","SOFR",I1147,J1147,0,"Actual360","Simple","Annual","Annual","Annual")</f>
        <v/>
      </c>
      <c r="F1147" s="8">
        <f>QS.TRADE.CREATE("trade.1145",C1147,E1147,A1147,"Receive")</f>
        <v/>
      </c>
      <c r="G1147" s="5"/>
      <c r="H1147" s="7" t="s">
        <v>2334</v>
      </c>
      <c r="I1147" s="9">
        <v>1114500</v>
      </c>
      <c r="J1147" s="10">
        <v>0.03950000000000001</v>
      </c>
    </row>
    <row r="1148" spans="1:10">
      <c r="A1148" s="7" t="s">
        <v>2322</v>
      </c>
      <c r="B1148" s="7" t="s">
        <v>2335</v>
      </c>
      <c r="C1148" s="8">
        <f>QS.CONTEXT.CREATE("market.1146",A1148,"USD","SOFR")</f>
        <v/>
      </c>
      <c r="D1148" s="8">
        <f>QS.CONTEXT.ADD.CURVE(C1148,"SOFR",$K$2:$K$7,$L$2:$L$7,,,"Actual360","LogLinear",TRUE)</f>
        <v/>
      </c>
      <c r="E1148" s="8">
        <f>QS.INSTRUMENT.SWAP("swap.1146",C1148,H1148,B1148,"USD","SOFR",I1148,J1148,0,"Actual360","Simple","Annual","Annual","Annual")</f>
        <v/>
      </c>
      <c r="F1148" s="8">
        <f>QS.TRADE.CREATE("trade.1146",C1148,E1148,A1148,"Receive")</f>
        <v/>
      </c>
      <c r="G1148" s="5"/>
      <c r="H1148" s="7" t="s">
        <v>2336</v>
      </c>
      <c r="I1148" s="9">
        <v>1114600</v>
      </c>
      <c r="J1148" s="10">
        <v>0.0396</v>
      </c>
    </row>
    <row r="1149" spans="1:10">
      <c r="A1149" s="7" t="s">
        <v>2324</v>
      </c>
      <c r="B1149" s="7" t="s">
        <v>2337</v>
      </c>
      <c r="C1149" s="8">
        <f>QS.CONTEXT.CREATE("market.1147",A1149,"USD","SOFR")</f>
        <v/>
      </c>
      <c r="D1149" s="8">
        <f>QS.CONTEXT.ADD.CURVE(C1149,"SOFR",$K$2:$K$7,$L$2:$L$7,,,"Actual360","LogLinear",TRUE)</f>
        <v/>
      </c>
      <c r="E1149" s="8">
        <f>QS.INSTRUMENT.SWAP("swap.1147",C1149,H1149,B1149,"USD","SOFR",I1149,J1149,0,"Actual360","Simple","Annual","Annual","Annual")</f>
        <v/>
      </c>
      <c r="F1149" s="8">
        <f>QS.TRADE.CREATE("trade.1147",C1149,E1149,A1149,"Receive")</f>
        <v/>
      </c>
      <c r="G1149" s="5"/>
      <c r="H1149" s="7" t="s">
        <v>2338</v>
      </c>
      <c r="I1149" s="9">
        <v>1114700</v>
      </c>
      <c r="J1149" s="10">
        <v>0.03970000000000001</v>
      </c>
    </row>
    <row r="1150" spans="1:10">
      <c r="A1150" s="7" t="s">
        <v>2326</v>
      </c>
      <c r="B1150" s="7" t="s">
        <v>2339</v>
      </c>
      <c r="C1150" s="8">
        <f>QS.CONTEXT.CREATE("market.1148",A1150,"USD","SOFR")</f>
        <v/>
      </c>
      <c r="D1150" s="8">
        <f>QS.CONTEXT.ADD.CURVE(C1150,"SOFR",$K$2:$K$7,$L$2:$L$7,,,"Actual360","LogLinear",TRUE)</f>
        <v/>
      </c>
      <c r="E1150" s="8">
        <f>QS.INSTRUMENT.SWAP("swap.1148",C1150,H1150,B1150,"USD","SOFR",I1150,J1150,0,"Actual360","Simple","Annual","Annual","Annual")</f>
        <v/>
      </c>
      <c r="F1150" s="8">
        <f>QS.TRADE.CREATE("trade.1148",C1150,E1150,A1150,"Receive")</f>
        <v/>
      </c>
      <c r="G1150" s="5"/>
      <c r="H1150" s="7" t="s">
        <v>2340</v>
      </c>
      <c r="I1150" s="9">
        <v>1114800</v>
      </c>
      <c r="J1150" s="10">
        <v>0.0398</v>
      </c>
    </row>
    <row r="1151" spans="1:10">
      <c r="A1151" s="7" t="s">
        <v>2328</v>
      </c>
      <c r="B1151" s="7" t="s">
        <v>2341</v>
      </c>
      <c r="C1151" s="8">
        <f>QS.CONTEXT.CREATE("market.1149",A1151,"USD","SOFR")</f>
        <v/>
      </c>
      <c r="D1151" s="8">
        <f>QS.CONTEXT.ADD.CURVE(C1151,"SOFR",$K$2:$K$7,$L$2:$L$7,,,"Actual360","LogLinear",TRUE)</f>
        <v/>
      </c>
      <c r="E1151" s="8">
        <f>QS.INSTRUMENT.SWAP("swap.1149",C1151,H1151,B1151,"USD","SOFR",I1151,J1151,0,"Actual360","Simple","Annual","Annual","Annual")</f>
        <v/>
      </c>
      <c r="F1151" s="8">
        <f>QS.TRADE.CREATE("trade.1149",C1151,E1151,A1151,"Receive")</f>
        <v/>
      </c>
      <c r="G1151" s="5"/>
      <c r="H1151" s="7" t="s">
        <v>2342</v>
      </c>
      <c r="I1151" s="9">
        <v>1114900</v>
      </c>
      <c r="J1151" s="10">
        <v>0.0399</v>
      </c>
    </row>
    <row r="1152" spans="1:10">
      <c r="A1152" s="7" t="s">
        <v>2330</v>
      </c>
      <c r="B1152" s="7" t="s">
        <v>2343</v>
      </c>
      <c r="C1152" s="8">
        <f>QS.CONTEXT.CREATE("market.1150",A1152,"USD","SOFR")</f>
        <v/>
      </c>
      <c r="D1152" s="8">
        <f>QS.CONTEXT.ADD.CURVE(C1152,"SOFR",$K$2:$K$7,$L$2:$L$7,,,"Actual360","LogLinear",TRUE)</f>
        <v/>
      </c>
      <c r="E1152" s="8">
        <f>QS.INSTRUMENT.SWAP("swap.1150",C1152,H1152,B1152,"USD","SOFR",I1152,J1152,0,"Actual360","Simple","Annual","Annual","Annual")</f>
        <v/>
      </c>
      <c r="F1152" s="8">
        <f>QS.TRADE.CREATE("trade.1150",C1152,E1152,A1152,"Receive")</f>
        <v/>
      </c>
      <c r="G1152" s="5"/>
      <c r="H1152" s="7" t="s">
        <v>2344</v>
      </c>
      <c r="I1152" s="9">
        <v>1115000</v>
      </c>
      <c r="J1152" s="10">
        <v>0.035</v>
      </c>
    </row>
    <row r="1153" spans="1:10">
      <c r="A1153" s="7" t="s">
        <v>2332</v>
      </c>
      <c r="B1153" s="7" t="s">
        <v>2345</v>
      </c>
      <c r="C1153" s="8">
        <f>QS.CONTEXT.CREATE("market.1151",A1153,"USD","SOFR")</f>
        <v/>
      </c>
      <c r="D1153" s="8">
        <f>QS.CONTEXT.ADD.CURVE(C1153,"SOFR",$K$2:$K$7,$L$2:$L$7,,,"Actual360","LogLinear",TRUE)</f>
        <v/>
      </c>
      <c r="E1153" s="8">
        <f>QS.INSTRUMENT.SWAP("swap.1151",C1153,H1153,B1153,"USD","SOFR",I1153,J1153,0,"Actual360","Simple","Annual","Annual","Annual")</f>
        <v/>
      </c>
      <c r="F1153" s="8">
        <f>QS.TRADE.CREATE("trade.1151",C1153,E1153,A1153,"Receive")</f>
        <v/>
      </c>
      <c r="G1153" s="5"/>
      <c r="H1153" s="7" t="s">
        <v>2346</v>
      </c>
      <c r="I1153" s="9">
        <v>1115100</v>
      </c>
      <c r="J1153" s="10">
        <v>0.03510000000000001</v>
      </c>
    </row>
    <row r="1154" spans="1:10">
      <c r="A1154" s="7" t="s">
        <v>2334</v>
      </c>
      <c r="B1154" s="7" t="s">
        <v>2347</v>
      </c>
      <c r="C1154" s="8">
        <f>QS.CONTEXT.CREATE("market.1152",A1154,"USD","SOFR")</f>
        <v/>
      </c>
      <c r="D1154" s="8">
        <f>QS.CONTEXT.ADD.CURVE(C1154,"SOFR",$K$2:$K$7,$L$2:$L$7,,,"Actual360","LogLinear",TRUE)</f>
        <v/>
      </c>
      <c r="E1154" s="8">
        <f>QS.INSTRUMENT.SWAP("swap.1152",C1154,H1154,B1154,"USD","SOFR",I1154,J1154,0,"Actual360","Simple","Annual","Annual","Annual")</f>
        <v/>
      </c>
      <c r="F1154" s="8">
        <f>QS.TRADE.CREATE("trade.1152",C1154,E1154,A1154,"Receive")</f>
        <v/>
      </c>
      <c r="G1154" s="5"/>
      <c r="H1154" s="7" t="s">
        <v>2348</v>
      </c>
      <c r="I1154" s="9">
        <v>1115200</v>
      </c>
      <c r="J1154" s="10">
        <v>0.0352</v>
      </c>
    </row>
    <row r="1155" spans="1:10">
      <c r="A1155" s="7" t="s">
        <v>2336</v>
      </c>
      <c r="B1155" s="7" t="s">
        <v>2349</v>
      </c>
      <c r="C1155" s="8">
        <f>QS.CONTEXT.CREATE("market.1153",A1155,"USD","SOFR")</f>
        <v/>
      </c>
      <c r="D1155" s="8">
        <f>QS.CONTEXT.ADD.CURVE(C1155,"SOFR",$K$2:$K$7,$L$2:$L$7,,,"Actual360","LogLinear",TRUE)</f>
        <v/>
      </c>
      <c r="E1155" s="8">
        <f>QS.INSTRUMENT.SWAP("swap.1153",C1155,H1155,B1155,"USD","SOFR",I1155,J1155,0,"Actual360","Simple","Annual","Annual","Annual")</f>
        <v/>
      </c>
      <c r="F1155" s="8">
        <f>QS.TRADE.CREATE("trade.1153",C1155,E1155,A1155,"Receive")</f>
        <v/>
      </c>
      <c r="G1155" s="5"/>
      <c r="H1155" s="7" t="s">
        <v>2350</v>
      </c>
      <c r="I1155" s="9">
        <v>1115300</v>
      </c>
      <c r="J1155" s="10">
        <v>0.0353</v>
      </c>
    </row>
    <row r="1156" spans="1:10">
      <c r="A1156" s="7" t="s">
        <v>2338</v>
      </c>
      <c r="B1156" s="7" t="s">
        <v>2351</v>
      </c>
      <c r="C1156" s="8">
        <f>QS.CONTEXT.CREATE("market.1154",A1156,"USD","SOFR")</f>
        <v/>
      </c>
      <c r="D1156" s="8">
        <f>QS.CONTEXT.ADD.CURVE(C1156,"SOFR",$K$2:$K$7,$L$2:$L$7,,,"Actual360","LogLinear",TRUE)</f>
        <v/>
      </c>
      <c r="E1156" s="8">
        <f>QS.INSTRUMENT.SWAP("swap.1154",C1156,H1156,B1156,"USD","SOFR",I1156,J1156,0,"Actual360","Simple","Annual","Annual","Annual")</f>
        <v/>
      </c>
      <c r="F1156" s="8">
        <f>QS.TRADE.CREATE("trade.1154",C1156,E1156,A1156,"Receive")</f>
        <v/>
      </c>
      <c r="G1156" s="5"/>
      <c r="H1156" s="7" t="s">
        <v>2352</v>
      </c>
      <c r="I1156" s="9">
        <v>1115400</v>
      </c>
      <c r="J1156" s="10">
        <v>0.0354</v>
      </c>
    </row>
    <row r="1157" spans="1:10">
      <c r="A1157" s="7" t="s">
        <v>2340</v>
      </c>
      <c r="B1157" s="7" t="s">
        <v>2353</v>
      </c>
      <c r="C1157" s="8">
        <f>QS.CONTEXT.CREATE("market.1155",A1157,"USD","SOFR")</f>
        <v/>
      </c>
      <c r="D1157" s="8">
        <f>QS.CONTEXT.ADD.CURVE(C1157,"SOFR",$K$2:$K$7,$L$2:$L$7,,,"Actual360","LogLinear",TRUE)</f>
        <v/>
      </c>
      <c r="E1157" s="8">
        <f>QS.INSTRUMENT.SWAP("swap.1155",C1157,H1157,B1157,"USD","SOFR",I1157,J1157,0,"Actual360","Simple","Annual","Annual","Annual")</f>
        <v/>
      </c>
      <c r="F1157" s="8">
        <f>QS.TRADE.CREATE("trade.1155",C1157,E1157,A1157,"Receive")</f>
        <v/>
      </c>
      <c r="G1157" s="5"/>
      <c r="H1157" s="7" t="s">
        <v>2354</v>
      </c>
      <c r="I1157" s="9">
        <v>1115500</v>
      </c>
      <c r="J1157" s="10">
        <v>0.0355</v>
      </c>
    </row>
    <row r="1158" spans="1:10">
      <c r="A1158" s="7" t="s">
        <v>2342</v>
      </c>
      <c r="B1158" s="7" t="s">
        <v>2355</v>
      </c>
      <c r="C1158" s="8">
        <f>QS.CONTEXT.CREATE("market.1156",A1158,"USD","SOFR")</f>
        <v/>
      </c>
      <c r="D1158" s="8">
        <f>QS.CONTEXT.ADD.CURVE(C1158,"SOFR",$K$2:$K$7,$L$2:$L$7,,,"Actual360","LogLinear",TRUE)</f>
        <v/>
      </c>
      <c r="E1158" s="8">
        <f>QS.INSTRUMENT.SWAP("swap.1156",C1158,H1158,B1158,"USD","SOFR",I1158,J1158,0,"Actual360","Simple","Annual","Annual","Annual")</f>
        <v/>
      </c>
      <c r="F1158" s="8">
        <f>QS.TRADE.CREATE("trade.1156",C1158,E1158,A1158,"Receive")</f>
        <v/>
      </c>
      <c r="G1158" s="5"/>
      <c r="H1158" s="7" t="s">
        <v>2356</v>
      </c>
      <c r="I1158" s="9">
        <v>1115600</v>
      </c>
      <c r="J1158" s="10">
        <v>0.03560000000000001</v>
      </c>
    </row>
    <row r="1159" spans="1:10">
      <c r="A1159" s="7" t="s">
        <v>2344</v>
      </c>
      <c r="B1159" s="7" t="s">
        <v>2357</v>
      </c>
      <c r="C1159" s="8">
        <f>QS.CONTEXT.CREATE("market.1157",A1159,"USD","SOFR")</f>
        <v/>
      </c>
      <c r="D1159" s="8">
        <f>QS.CONTEXT.ADD.CURVE(C1159,"SOFR",$K$2:$K$7,$L$2:$L$7,,,"Actual360","LogLinear",TRUE)</f>
        <v/>
      </c>
      <c r="E1159" s="8">
        <f>QS.INSTRUMENT.SWAP("swap.1157",C1159,H1159,B1159,"USD","SOFR",I1159,J1159,0,"Actual360","Simple","Annual","Annual","Annual")</f>
        <v/>
      </c>
      <c r="F1159" s="8">
        <f>QS.TRADE.CREATE("trade.1157",C1159,E1159,A1159,"Receive")</f>
        <v/>
      </c>
      <c r="G1159" s="5"/>
      <c r="H1159" s="7" t="s">
        <v>2358</v>
      </c>
      <c r="I1159" s="9">
        <v>1115700</v>
      </c>
      <c r="J1159" s="10">
        <v>0.0357</v>
      </c>
    </row>
    <row r="1160" spans="1:10">
      <c r="A1160" s="7" t="s">
        <v>2346</v>
      </c>
      <c r="B1160" s="7" t="s">
        <v>2359</v>
      </c>
      <c r="C1160" s="8">
        <f>QS.CONTEXT.CREATE("market.1158",A1160,"USD","SOFR")</f>
        <v/>
      </c>
      <c r="D1160" s="8">
        <f>QS.CONTEXT.ADD.CURVE(C1160,"SOFR",$K$2:$K$7,$L$2:$L$7,,,"Actual360","LogLinear",TRUE)</f>
        <v/>
      </c>
      <c r="E1160" s="8">
        <f>QS.INSTRUMENT.SWAP("swap.1158",C1160,H1160,B1160,"USD","SOFR",I1160,J1160,0,"Actual360","Simple","Annual","Annual","Annual")</f>
        <v/>
      </c>
      <c r="F1160" s="8">
        <f>QS.TRADE.CREATE("trade.1158",C1160,E1160,A1160,"Receive")</f>
        <v/>
      </c>
      <c r="G1160" s="5"/>
      <c r="H1160" s="7" t="s">
        <v>2360</v>
      </c>
      <c r="I1160" s="9">
        <v>1115800</v>
      </c>
      <c r="J1160" s="10">
        <v>0.03580000000000001</v>
      </c>
    </row>
    <row r="1161" spans="1:10">
      <c r="A1161" s="7" t="s">
        <v>2348</v>
      </c>
      <c r="B1161" s="7" t="s">
        <v>2361</v>
      </c>
      <c r="C1161" s="8">
        <f>QS.CONTEXT.CREATE("market.1159",A1161,"USD","SOFR")</f>
        <v/>
      </c>
      <c r="D1161" s="8">
        <f>QS.CONTEXT.ADD.CURVE(C1161,"SOFR",$K$2:$K$7,$L$2:$L$7,,,"Actual360","LogLinear",TRUE)</f>
        <v/>
      </c>
      <c r="E1161" s="8">
        <f>QS.INSTRUMENT.SWAP("swap.1159",C1161,H1161,B1161,"USD","SOFR",I1161,J1161,0,"Actual360","Simple","Annual","Annual","Annual")</f>
        <v/>
      </c>
      <c r="F1161" s="8">
        <f>QS.TRADE.CREATE("trade.1159",C1161,E1161,A1161,"Receive")</f>
        <v/>
      </c>
      <c r="G1161" s="5"/>
      <c r="H1161" s="7" t="s">
        <v>2362</v>
      </c>
      <c r="I1161" s="9">
        <v>1115900</v>
      </c>
      <c r="J1161" s="10">
        <v>0.0359</v>
      </c>
    </row>
    <row r="1162" spans="1:10">
      <c r="A1162" s="7" t="s">
        <v>2350</v>
      </c>
      <c r="B1162" s="7" t="s">
        <v>2363</v>
      </c>
      <c r="C1162" s="8">
        <f>QS.CONTEXT.CREATE("market.1160",A1162,"USD","SOFR")</f>
        <v/>
      </c>
      <c r="D1162" s="8">
        <f>QS.CONTEXT.ADD.CURVE(C1162,"SOFR",$K$2:$K$7,$L$2:$L$7,,,"Actual360","LogLinear",TRUE)</f>
        <v/>
      </c>
      <c r="E1162" s="8">
        <f>QS.INSTRUMENT.SWAP("swap.1160",C1162,H1162,B1162,"USD","SOFR",I1162,J1162,0,"Actual360","Simple","Annual","Annual","Annual")</f>
        <v/>
      </c>
      <c r="F1162" s="8">
        <f>QS.TRADE.CREATE("trade.1160",C1162,E1162,A1162,"Receive")</f>
        <v/>
      </c>
      <c r="G1162" s="5"/>
      <c r="H1162" s="7" t="s">
        <v>2364</v>
      </c>
      <c r="I1162" s="9">
        <v>1116000</v>
      </c>
      <c r="J1162" s="10">
        <v>0.036</v>
      </c>
    </row>
    <row r="1163" spans="1:10">
      <c r="A1163" s="7" t="s">
        <v>2352</v>
      </c>
      <c r="B1163" s="7" t="s">
        <v>2365</v>
      </c>
      <c r="C1163" s="8">
        <f>QS.CONTEXT.CREATE("market.1161",A1163,"USD","SOFR")</f>
        <v/>
      </c>
      <c r="D1163" s="8">
        <f>QS.CONTEXT.ADD.CURVE(C1163,"SOFR",$K$2:$K$7,$L$2:$L$7,,,"Actual360","LogLinear",TRUE)</f>
        <v/>
      </c>
      <c r="E1163" s="8">
        <f>QS.INSTRUMENT.SWAP("swap.1161",C1163,H1163,B1163,"USD","SOFR",I1163,J1163,0,"Actual360","Simple","Annual","Annual","Annual")</f>
        <v/>
      </c>
      <c r="F1163" s="8">
        <f>QS.TRADE.CREATE("trade.1161",C1163,E1163,A1163,"Receive")</f>
        <v/>
      </c>
      <c r="G1163" s="5"/>
      <c r="H1163" s="7" t="s">
        <v>2366</v>
      </c>
      <c r="I1163" s="9">
        <v>1116100</v>
      </c>
      <c r="J1163" s="10">
        <v>0.0361</v>
      </c>
    </row>
    <row r="1164" spans="1:10">
      <c r="A1164" s="7" t="s">
        <v>2354</v>
      </c>
      <c r="B1164" s="7" t="s">
        <v>2367</v>
      </c>
      <c r="C1164" s="8">
        <f>QS.CONTEXT.CREATE("market.1162",A1164,"USD","SOFR")</f>
        <v/>
      </c>
      <c r="D1164" s="8">
        <f>QS.CONTEXT.ADD.CURVE(C1164,"SOFR",$K$2:$K$7,$L$2:$L$7,,,"Actual360","LogLinear",TRUE)</f>
        <v/>
      </c>
      <c r="E1164" s="8">
        <f>QS.INSTRUMENT.SWAP("swap.1162",C1164,H1164,B1164,"USD","SOFR",I1164,J1164,0,"Actual360","Simple","Annual","Annual","Annual")</f>
        <v/>
      </c>
      <c r="F1164" s="8">
        <f>QS.TRADE.CREATE("trade.1162",C1164,E1164,A1164,"Receive")</f>
        <v/>
      </c>
      <c r="G1164" s="5"/>
      <c r="H1164" s="7" t="s">
        <v>2368</v>
      </c>
      <c r="I1164" s="9">
        <v>1116200</v>
      </c>
      <c r="J1164" s="10">
        <v>0.0362</v>
      </c>
    </row>
    <row r="1165" spans="1:10">
      <c r="A1165" s="7" t="s">
        <v>2356</v>
      </c>
      <c r="B1165" s="7" t="s">
        <v>2369</v>
      </c>
      <c r="C1165" s="8">
        <f>QS.CONTEXT.CREATE("market.1163",A1165,"USD","SOFR")</f>
        <v/>
      </c>
      <c r="D1165" s="8">
        <f>QS.CONTEXT.ADD.CURVE(C1165,"SOFR",$K$2:$K$7,$L$2:$L$7,,,"Actual360","LogLinear",TRUE)</f>
        <v/>
      </c>
      <c r="E1165" s="8">
        <f>QS.INSTRUMENT.SWAP("swap.1163",C1165,H1165,B1165,"USD","SOFR",I1165,J1165,0,"Actual360","Simple","Annual","Annual","Annual")</f>
        <v/>
      </c>
      <c r="F1165" s="8">
        <f>QS.TRADE.CREATE("trade.1163",C1165,E1165,A1165,"Receive")</f>
        <v/>
      </c>
      <c r="G1165" s="5"/>
      <c r="H1165" s="7" t="s">
        <v>2370</v>
      </c>
      <c r="I1165" s="9">
        <v>1116300</v>
      </c>
      <c r="J1165" s="10">
        <v>0.03630000000000001</v>
      </c>
    </row>
    <row r="1166" spans="1:10">
      <c r="A1166" s="7" t="s">
        <v>2358</v>
      </c>
      <c r="B1166" s="7" t="s">
        <v>2371</v>
      </c>
      <c r="C1166" s="8">
        <f>QS.CONTEXT.CREATE("market.1164",A1166,"USD","SOFR")</f>
        <v/>
      </c>
      <c r="D1166" s="8">
        <f>QS.CONTEXT.ADD.CURVE(C1166,"SOFR",$K$2:$K$7,$L$2:$L$7,,,"Actual360","LogLinear",TRUE)</f>
        <v/>
      </c>
      <c r="E1166" s="8">
        <f>QS.INSTRUMENT.SWAP("swap.1164",C1166,H1166,B1166,"USD","SOFR",I1166,J1166,0,"Actual360","Simple","Annual","Annual","Annual")</f>
        <v/>
      </c>
      <c r="F1166" s="8">
        <f>QS.TRADE.CREATE("trade.1164",C1166,E1166,A1166,"Receive")</f>
        <v/>
      </c>
      <c r="G1166" s="5"/>
      <c r="H1166" s="7" t="s">
        <v>2372</v>
      </c>
      <c r="I1166" s="9">
        <v>1116400</v>
      </c>
      <c r="J1166" s="10">
        <v>0.0364</v>
      </c>
    </row>
    <row r="1167" spans="1:10">
      <c r="A1167" s="7" t="s">
        <v>2360</v>
      </c>
      <c r="B1167" s="7" t="s">
        <v>2373</v>
      </c>
      <c r="C1167" s="8">
        <f>QS.CONTEXT.CREATE("market.1165",A1167,"USD","SOFR")</f>
        <v/>
      </c>
      <c r="D1167" s="8">
        <f>QS.CONTEXT.ADD.CURVE(C1167,"SOFR",$K$2:$K$7,$L$2:$L$7,,,"Actual360","LogLinear",TRUE)</f>
        <v/>
      </c>
      <c r="E1167" s="8">
        <f>QS.INSTRUMENT.SWAP("swap.1165",C1167,H1167,B1167,"USD","SOFR",I1167,J1167,0,"Actual360","Simple","Annual","Annual","Annual")</f>
        <v/>
      </c>
      <c r="F1167" s="8">
        <f>QS.TRADE.CREATE("trade.1165",C1167,E1167,A1167,"Receive")</f>
        <v/>
      </c>
      <c r="G1167" s="5"/>
      <c r="H1167" s="7" t="s">
        <v>2374</v>
      </c>
      <c r="I1167" s="9">
        <v>1116500</v>
      </c>
      <c r="J1167" s="10">
        <v>0.0365</v>
      </c>
    </row>
    <row r="1168" spans="1:10">
      <c r="A1168" s="7" t="s">
        <v>2362</v>
      </c>
      <c r="B1168" s="7" t="s">
        <v>2375</v>
      </c>
      <c r="C1168" s="8">
        <f>QS.CONTEXT.CREATE("market.1166",A1168,"USD","SOFR")</f>
        <v/>
      </c>
      <c r="D1168" s="8">
        <f>QS.CONTEXT.ADD.CURVE(C1168,"SOFR",$K$2:$K$7,$L$2:$L$7,,,"Actual360","LogLinear",TRUE)</f>
        <v/>
      </c>
      <c r="E1168" s="8">
        <f>QS.INSTRUMENT.SWAP("swap.1166",C1168,H1168,B1168,"USD","SOFR",I1168,J1168,0,"Actual360","Simple","Annual","Annual","Annual")</f>
        <v/>
      </c>
      <c r="F1168" s="8">
        <f>QS.TRADE.CREATE("trade.1166",C1168,E1168,A1168,"Receive")</f>
        <v/>
      </c>
      <c r="G1168" s="5"/>
      <c r="H1168" s="7" t="s">
        <v>2376</v>
      </c>
      <c r="I1168" s="9">
        <v>1116600</v>
      </c>
      <c r="J1168" s="10">
        <v>0.0366</v>
      </c>
    </row>
    <row r="1169" spans="1:10">
      <c r="A1169" s="7" t="s">
        <v>2364</v>
      </c>
      <c r="B1169" s="7" t="s">
        <v>2377</v>
      </c>
      <c r="C1169" s="8">
        <f>QS.CONTEXT.CREATE("market.1167",A1169,"USD","SOFR")</f>
        <v/>
      </c>
      <c r="D1169" s="8">
        <f>QS.CONTEXT.ADD.CURVE(C1169,"SOFR",$K$2:$K$7,$L$2:$L$7,,,"Actual360","LogLinear",TRUE)</f>
        <v/>
      </c>
      <c r="E1169" s="8">
        <f>QS.INSTRUMENT.SWAP("swap.1167",C1169,H1169,B1169,"USD","SOFR",I1169,J1169,0,"Actual360","Simple","Annual","Annual","Annual")</f>
        <v/>
      </c>
      <c r="F1169" s="8">
        <f>QS.TRADE.CREATE("trade.1167",C1169,E1169,A1169,"Receive")</f>
        <v/>
      </c>
      <c r="G1169" s="5"/>
      <c r="H1169" s="7" t="s">
        <v>2378</v>
      </c>
      <c r="I1169" s="9">
        <v>1116700</v>
      </c>
      <c r="J1169" s="10">
        <v>0.0367</v>
      </c>
    </row>
    <row r="1170" spans="1:10">
      <c r="A1170" s="7" t="s">
        <v>2366</v>
      </c>
      <c r="B1170" s="7" t="s">
        <v>2379</v>
      </c>
      <c r="C1170" s="8">
        <f>QS.CONTEXT.CREATE("market.1168",A1170,"USD","SOFR")</f>
        <v/>
      </c>
      <c r="D1170" s="8">
        <f>QS.CONTEXT.ADD.CURVE(C1170,"SOFR",$K$2:$K$7,$L$2:$L$7,,,"Actual360","LogLinear",TRUE)</f>
        <v/>
      </c>
      <c r="E1170" s="8">
        <f>QS.INSTRUMENT.SWAP("swap.1168",C1170,H1170,B1170,"USD","SOFR",I1170,J1170,0,"Actual360","Simple","Annual","Annual","Annual")</f>
        <v/>
      </c>
      <c r="F1170" s="8">
        <f>QS.TRADE.CREATE("trade.1168",C1170,E1170,A1170,"Receive")</f>
        <v/>
      </c>
      <c r="G1170" s="5"/>
      <c r="H1170" s="7" t="s">
        <v>2380</v>
      </c>
      <c r="I1170" s="9">
        <v>1116800</v>
      </c>
      <c r="J1170" s="10">
        <v>0.03680000000000001</v>
      </c>
    </row>
    <row r="1171" spans="1:10">
      <c r="A1171" s="7" t="s">
        <v>2368</v>
      </c>
      <c r="B1171" s="7" t="s">
        <v>2381</v>
      </c>
      <c r="C1171" s="8">
        <f>QS.CONTEXT.CREATE("market.1169",A1171,"USD","SOFR")</f>
        <v/>
      </c>
      <c r="D1171" s="8">
        <f>QS.CONTEXT.ADD.CURVE(C1171,"SOFR",$K$2:$K$7,$L$2:$L$7,,,"Actual360","LogLinear",TRUE)</f>
        <v/>
      </c>
      <c r="E1171" s="8">
        <f>QS.INSTRUMENT.SWAP("swap.1169",C1171,H1171,B1171,"USD","SOFR",I1171,J1171,0,"Actual360","Simple","Annual","Annual","Annual")</f>
        <v/>
      </c>
      <c r="F1171" s="8">
        <f>QS.TRADE.CREATE("trade.1169",C1171,E1171,A1171,"Receive")</f>
        <v/>
      </c>
      <c r="G1171" s="5"/>
      <c r="H1171" s="7" t="s">
        <v>2382</v>
      </c>
      <c r="I1171" s="9">
        <v>1116900</v>
      </c>
      <c r="J1171" s="10">
        <v>0.0369</v>
      </c>
    </row>
    <row r="1172" spans="1:10">
      <c r="A1172" s="7" t="s">
        <v>2370</v>
      </c>
      <c r="B1172" s="7" t="s">
        <v>2383</v>
      </c>
      <c r="C1172" s="8">
        <f>QS.CONTEXT.CREATE("market.1170",A1172,"USD","SOFR")</f>
        <v/>
      </c>
      <c r="D1172" s="8">
        <f>QS.CONTEXT.ADD.CURVE(C1172,"SOFR",$K$2:$K$7,$L$2:$L$7,,,"Actual360","LogLinear",TRUE)</f>
        <v/>
      </c>
      <c r="E1172" s="8">
        <f>QS.INSTRUMENT.SWAP("swap.1170",C1172,H1172,B1172,"USD","SOFR",I1172,J1172,0,"Actual360","Simple","Annual","Annual","Annual")</f>
        <v/>
      </c>
      <c r="F1172" s="8">
        <f>QS.TRADE.CREATE("trade.1170",C1172,E1172,A1172,"Receive")</f>
        <v/>
      </c>
      <c r="G1172" s="5"/>
      <c r="H1172" s="7" t="s">
        <v>2384</v>
      </c>
      <c r="I1172" s="9">
        <v>1117000</v>
      </c>
      <c r="J1172" s="10">
        <v>0.03700000000000001</v>
      </c>
    </row>
    <row r="1173" spans="1:10">
      <c r="A1173" s="7" t="s">
        <v>2372</v>
      </c>
      <c r="B1173" s="7" t="s">
        <v>2385</v>
      </c>
      <c r="C1173" s="8">
        <f>QS.CONTEXT.CREATE("market.1171",A1173,"USD","SOFR")</f>
        <v/>
      </c>
      <c r="D1173" s="8">
        <f>QS.CONTEXT.ADD.CURVE(C1173,"SOFR",$K$2:$K$7,$L$2:$L$7,,,"Actual360","LogLinear",TRUE)</f>
        <v/>
      </c>
      <c r="E1173" s="8">
        <f>QS.INSTRUMENT.SWAP("swap.1171",C1173,H1173,B1173,"USD","SOFR",I1173,J1173,0,"Actual360","Simple","Annual","Annual","Annual")</f>
        <v/>
      </c>
      <c r="F1173" s="8">
        <f>QS.TRADE.CREATE("trade.1171",C1173,E1173,A1173,"Receive")</f>
        <v/>
      </c>
      <c r="G1173" s="5"/>
      <c r="H1173" s="7" t="s">
        <v>2386</v>
      </c>
      <c r="I1173" s="9">
        <v>1117100</v>
      </c>
      <c r="J1173" s="10">
        <v>0.0371</v>
      </c>
    </row>
    <row r="1174" spans="1:10">
      <c r="A1174" s="7" t="s">
        <v>2374</v>
      </c>
      <c r="B1174" s="7" t="s">
        <v>2387</v>
      </c>
      <c r="C1174" s="8">
        <f>QS.CONTEXT.CREATE("market.1172",A1174,"USD","SOFR")</f>
        <v/>
      </c>
      <c r="D1174" s="8">
        <f>QS.CONTEXT.ADD.CURVE(C1174,"SOFR",$K$2:$K$7,$L$2:$L$7,,,"Actual360","LogLinear",TRUE)</f>
        <v/>
      </c>
      <c r="E1174" s="8">
        <f>QS.INSTRUMENT.SWAP("swap.1172",C1174,H1174,B1174,"USD","SOFR",I1174,J1174,0,"Actual360","Simple","Annual","Annual","Annual")</f>
        <v/>
      </c>
      <c r="F1174" s="8">
        <f>QS.TRADE.CREATE("trade.1172",C1174,E1174,A1174,"Receive")</f>
        <v/>
      </c>
      <c r="G1174" s="5"/>
      <c r="H1174" s="7" t="s">
        <v>2388</v>
      </c>
      <c r="I1174" s="9">
        <v>1117200</v>
      </c>
      <c r="J1174" s="10">
        <v>0.0372</v>
      </c>
    </row>
    <row r="1175" spans="1:10">
      <c r="A1175" s="7" t="s">
        <v>2376</v>
      </c>
      <c r="B1175" s="7" t="s">
        <v>2389</v>
      </c>
      <c r="C1175" s="8">
        <f>QS.CONTEXT.CREATE("market.1173",A1175,"USD","SOFR")</f>
        <v/>
      </c>
      <c r="D1175" s="8">
        <f>QS.CONTEXT.ADD.CURVE(C1175,"SOFR",$K$2:$K$7,$L$2:$L$7,,,"Actual360","LogLinear",TRUE)</f>
        <v/>
      </c>
      <c r="E1175" s="8">
        <f>QS.INSTRUMENT.SWAP("swap.1173",C1175,H1175,B1175,"USD","SOFR",I1175,J1175,0,"Actual360","Simple","Annual","Annual","Annual")</f>
        <v/>
      </c>
      <c r="F1175" s="8">
        <f>QS.TRADE.CREATE("trade.1173",C1175,E1175,A1175,"Receive")</f>
        <v/>
      </c>
      <c r="G1175" s="5"/>
      <c r="H1175" s="7" t="s">
        <v>2390</v>
      </c>
      <c r="I1175" s="9">
        <v>1117300</v>
      </c>
      <c r="J1175" s="10">
        <v>0.0373</v>
      </c>
    </row>
    <row r="1176" spans="1:10">
      <c r="A1176" s="7" t="s">
        <v>2378</v>
      </c>
      <c r="B1176" s="7" t="s">
        <v>2391</v>
      </c>
      <c r="C1176" s="8">
        <f>QS.CONTEXT.CREATE("market.1174",A1176,"USD","SOFR")</f>
        <v/>
      </c>
      <c r="D1176" s="8">
        <f>QS.CONTEXT.ADD.CURVE(C1176,"SOFR",$K$2:$K$7,$L$2:$L$7,,,"Actual360","LogLinear",TRUE)</f>
        <v/>
      </c>
      <c r="E1176" s="8">
        <f>QS.INSTRUMENT.SWAP("swap.1174",C1176,H1176,B1176,"USD","SOFR",I1176,J1176,0,"Actual360","Simple","Annual","Annual","Annual")</f>
        <v/>
      </c>
      <c r="F1176" s="8">
        <f>QS.TRADE.CREATE("trade.1174",C1176,E1176,A1176,"Receive")</f>
        <v/>
      </c>
      <c r="G1176" s="5"/>
      <c r="H1176" s="7" t="s">
        <v>2392</v>
      </c>
      <c r="I1176" s="9">
        <v>1117400</v>
      </c>
      <c r="J1176" s="10">
        <v>0.0374</v>
      </c>
    </row>
    <row r="1177" spans="1:10">
      <c r="A1177" s="7" t="s">
        <v>2380</v>
      </c>
      <c r="B1177" s="7" t="s">
        <v>2393</v>
      </c>
      <c r="C1177" s="8">
        <f>QS.CONTEXT.CREATE("market.1175",A1177,"USD","SOFR")</f>
        <v/>
      </c>
      <c r="D1177" s="8">
        <f>QS.CONTEXT.ADD.CURVE(C1177,"SOFR",$K$2:$K$7,$L$2:$L$7,,,"Actual360","LogLinear",TRUE)</f>
        <v/>
      </c>
      <c r="E1177" s="8">
        <f>QS.INSTRUMENT.SWAP("swap.1175",C1177,H1177,B1177,"USD","SOFR",I1177,J1177,0,"Actual360","Simple","Annual","Annual","Annual")</f>
        <v/>
      </c>
      <c r="F1177" s="8">
        <f>QS.TRADE.CREATE("trade.1175",C1177,E1177,A1177,"Receive")</f>
        <v/>
      </c>
      <c r="G1177" s="5"/>
      <c r="H1177" s="7" t="s">
        <v>2394</v>
      </c>
      <c r="I1177" s="9">
        <v>1117500</v>
      </c>
      <c r="J1177" s="10">
        <v>0.03750000000000001</v>
      </c>
    </row>
    <row r="1178" spans="1:10">
      <c r="A1178" s="7" t="s">
        <v>2382</v>
      </c>
      <c r="B1178" s="7" t="s">
        <v>2395</v>
      </c>
      <c r="C1178" s="8">
        <f>QS.CONTEXT.CREATE("market.1176",A1178,"USD","SOFR")</f>
        <v/>
      </c>
      <c r="D1178" s="8">
        <f>QS.CONTEXT.ADD.CURVE(C1178,"SOFR",$K$2:$K$7,$L$2:$L$7,,,"Actual360","LogLinear",TRUE)</f>
        <v/>
      </c>
      <c r="E1178" s="8">
        <f>QS.INSTRUMENT.SWAP("swap.1176",C1178,H1178,B1178,"USD","SOFR",I1178,J1178,0,"Actual360","Simple","Annual","Annual","Annual")</f>
        <v/>
      </c>
      <c r="F1178" s="8">
        <f>QS.TRADE.CREATE("trade.1176",C1178,E1178,A1178,"Receive")</f>
        <v/>
      </c>
      <c r="G1178" s="5"/>
      <c r="H1178" s="7" t="s">
        <v>2396</v>
      </c>
      <c r="I1178" s="9">
        <v>1117600</v>
      </c>
      <c r="J1178" s="10">
        <v>0.0376</v>
      </c>
    </row>
    <row r="1179" spans="1:10">
      <c r="A1179" s="7" t="s">
        <v>2384</v>
      </c>
      <c r="B1179" s="7" t="s">
        <v>2397</v>
      </c>
      <c r="C1179" s="8">
        <f>QS.CONTEXT.CREATE("market.1177",A1179,"USD","SOFR")</f>
        <v/>
      </c>
      <c r="D1179" s="8">
        <f>QS.CONTEXT.ADD.CURVE(C1179,"SOFR",$K$2:$K$7,$L$2:$L$7,,,"Actual360","LogLinear",TRUE)</f>
        <v/>
      </c>
      <c r="E1179" s="8">
        <f>QS.INSTRUMENT.SWAP("swap.1177",C1179,H1179,B1179,"USD","SOFR",I1179,J1179,0,"Actual360","Simple","Annual","Annual","Annual")</f>
        <v/>
      </c>
      <c r="F1179" s="8">
        <f>QS.TRADE.CREATE("trade.1177",C1179,E1179,A1179,"Receive")</f>
        <v/>
      </c>
      <c r="G1179" s="5"/>
      <c r="H1179" s="7" t="s">
        <v>2398</v>
      </c>
      <c r="I1179" s="9">
        <v>1117700</v>
      </c>
      <c r="J1179" s="10">
        <v>0.0377</v>
      </c>
    </row>
    <row r="1180" spans="1:10">
      <c r="A1180" s="7" t="s">
        <v>2386</v>
      </c>
      <c r="B1180" s="7" t="s">
        <v>2399</v>
      </c>
      <c r="C1180" s="8">
        <f>QS.CONTEXT.CREATE("market.1178",A1180,"USD","SOFR")</f>
        <v/>
      </c>
      <c r="D1180" s="8">
        <f>QS.CONTEXT.ADD.CURVE(C1180,"SOFR",$K$2:$K$7,$L$2:$L$7,,,"Actual360","LogLinear",TRUE)</f>
        <v/>
      </c>
      <c r="E1180" s="8">
        <f>QS.INSTRUMENT.SWAP("swap.1178",C1180,H1180,B1180,"USD","SOFR",I1180,J1180,0,"Actual360","Simple","Annual","Annual","Annual")</f>
        <v/>
      </c>
      <c r="F1180" s="8">
        <f>QS.TRADE.CREATE("trade.1178",C1180,E1180,A1180,"Receive")</f>
        <v/>
      </c>
      <c r="G1180" s="5"/>
      <c r="H1180" s="7" t="s">
        <v>2400</v>
      </c>
      <c r="I1180" s="9">
        <v>1117800</v>
      </c>
      <c r="J1180" s="10">
        <v>0.0378</v>
      </c>
    </row>
    <row r="1181" spans="1:10">
      <c r="A1181" s="7" t="s">
        <v>2388</v>
      </c>
      <c r="B1181" s="7" t="s">
        <v>2401</v>
      </c>
      <c r="C1181" s="8">
        <f>QS.CONTEXT.CREATE("market.1179",A1181,"USD","SOFR")</f>
        <v/>
      </c>
      <c r="D1181" s="8">
        <f>QS.CONTEXT.ADD.CURVE(C1181,"SOFR",$K$2:$K$7,$L$2:$L$7,,,"Actual360","LogLinear",TRUE)</f>
        <v/>
      </c>
      <c r="E1181" s="8">
        <f>QS.INSTRUMENT.SWAP("swap.1179",C1181,H1181,B1181,"USD","SOFR",I1181,J1181,0,"Actual360","Simple","Annual","Annual","Annual")</f>
        <v/>
      </c>
      <c r="F1181" s="8">
        <f>QS.TRADE.CREATE("trade.1179",C1181,E1181,A1181,"Receive")</f>
        <v/>
      </c>
      <c r="G1181" s="5"/>
      <c r="H1181" s="7" t="s">
        <v>2402</v>
      </c>
      <c r="I1181" s="9">
        <v>1117900</v>
      </c>
      <c r="J1181" s="10">
        <v>0.0379</v>
      </c>
    </row>
    <row r="1182" spans="1:10">
      <c r="A1182" s="7" t="s">
        <v>2390</v>
      </c>
      <c r="B1182" s="7" t="s">
        <v>2403</v>
      </c>
      <c r="C1182" s="8">
        <f>QS.CONTEXT.CREATE("market.1180",A1182,"USD","SOFR")</f>
        <v/>
      </c>
      <c r="D1182" s="8">
        <f>QS.CONTEXT.ADD.CURVE(C1182,"SOFR",$K$2:$K$7,$L$2:$L$7,,,"Actual360","LogLinear",TRUE)</f>
        <v/>
      </c>
      <c r="E1182" s="8">
        <f>QS.INSTRUMENT.SWAP("swap.1180",C1182,H1182,B1182,"USD","SOFR",I1182,J1182,0,"Actual360","Simple","Annual","Annual","Annual")</f>
        <v/>
      </c>
      <c r="F1182" s="8">
        <f>QS.TRADE.CREATE("trade.1180",C1182,E1182,A1182,"Receive")</f>
        <v/>
      </c>
      <c r="G1182" s="5"/>
      <c r="H1182" s="7" t="s">
        <v>2404</v>
      </c>
      <c r="I1182" s="9">
        <v>1118000</v>
      </c>
      <c r="J1182" s="10">
        <v>0.03800000000000001</v>
      </c>
    </row>
    <row r="1183" spans="1:10">
      <c r="A1183" s="7" t="s">
        <v>2392</v>
      </c>
      <c r="B1183" s="7" t="s">
        <v>2405</v>
      </c>
      <c r="C1183" s="8">
        <f>QS.CONTEXT.CREATE("market.1181",A1183,"USD","SOFR")</f>
        <v/>
      </c>
      <c r="D1183" s="8">
        <f>QS.CONTEXT.ADD.CURVE(C1183,"SOFR",$K$2:$K$7,$L$2:$L$7,,,"Actual360","LogLinear",TRUE)</f>
        <v/>
      </c>
      <c r="E1183" s="8">
        <f>QS.INSTRUMENT.SWAP("swap.1181",C1183,H1183,B1183,"USD","SOFR",I1183,J1183,0,"Actual360","Simple","Annual","Annual","Annual")</f>
        <v/>
      </c>
      <c r="F1183" s="8">
        <f>QS.TRADE.CREATE("trade.1181",C1183,E1183,A1183,"Receive")</f>
        <v/>
      </c>
      <c r="G1183" s="5"/>
      <c r="H1183" s="7" t="s">
        <v>2406</v>
      </c>
      <c r="I1183" s="9">
        <v>1118100</v>
      </c>
      <c r="J1183" s="10">
        <v>0.0381</v>
      </c>
    </row>
    <row r="1184" spans="1:10">
      <c r="A1184" s="7" t="s">
        <v>2394</v>
      </c>
      <c r="B1184" s="7" t="s">
        <v>2407</v>
      </c>
      <c r="C1184" s="8">
        <f>QS.CONTEXT.CREATE("market.1182",A1184,"USD","SOFR")</f>
        <v/>
      </c>
      <c r="D1184" s="8">
        <f>QS.CONTEXT.ADD.CURVE(C1184,"SOFR",$K$2:$K$7,$L$2:$L$7,,,"Actual360","LogLinear",TRUE)</f>
        <v/>
      </c>
      <c r="E1184" s="8">
        <f>QS.INSTRUMENT.SWAP("swap.1182",C1184,H1184,B1184,"USD","SOFR",I1184,J1184,0,"Actual360","Simple","Annual","Annual","Annual")</f>
        <v/>
      </c>
      <c r="F1184" s="8">
        <f>QS.TRADE.CREATE("trade.1182",C1184,E1184,A1184,"Receive")</f>
        <v/>
      </c>
      <c r="G1184" s="5"/>
      <c r="H1184" s="7" t="s">
        <v>2408</v>
      </c>
      <c r="I1184" s="9">
        <v>1118200</v>
      </c>
      <c r="J1184" s="10">
        <v>0.0382</v>
      </c>
    </row>
    <row r="1185" spans="1:10">
      <c r="A1185" s="7" t="s">
        <v>2396</v>
      </c>
      <c r="B1185" s="7" t="s">
        <v>2409</v>
      </c>
      <c r="C1185" s="8">
        <f>QS.CONTEXT.CREATE("market.1183",A1185,"USD","SOFR")</f>
        <v/>
      </c>
      <c r="D1185" s="8">
        <f>QS.CONTEXT.ADD.CURVE(C1185,"SOFR",$K$2:$K$7,$L$2:$L$7,,,"Actual360","LogLinear",TRUE)</f>
        <v/>
      </c>
      <c r="E1185" s="8">
        <f>QS.INSTRUMENT.SWAP("swap.1183",C1185,H1185,B1185,"USD","SOFR",I1185,J1185,0,"Actual360","Simple","Annual","Annual","Annual")</f>
        <v/>
      </c>
      <c r="F1185" s="8">
        <f>QS.TRADE.CREATE("trade.1183",C1185,E1185,A1185,"Receive")</f>
        <v/>
      </c>
      <c r="G1185" s="5"/>
      <c r="H1185" s="7" t="s">
        <v>2410</v>
      </c>
      <c r="I1185" s="9">
        <v>1118300</v>
      </c>
      <c r="J1185" s="10">
        <v>0.0383</v>
      </c>
    </row>
    <row r="1186" spans="1:10">
      <c r="A1186" s="7" t="s">
        <v>2398</v>
      </c>
      <c r="B1186" s="7" t="s">
        <v>2411</v>
      </c>
      <c r="C1186" s="8">
        <f>QS.CONTEXT.CREATE("market.1184",A1186,"USD","SOFR")</f>
        <v/>
      </c>
      <c r="D1186" s="8">
        <f>QS.CONTEXT.ADD.CURVE(C1186,"SOFR",$K$2:$K$7,$L$2:$L$7,,,"Actual360","LogLinear",TRUE)</f>
        <v/>
      </c>
      <c r="E1186" s="8">
        <f>QS.INSTRUMENT.SWAP("swap.1184",C1186,H1186,B1186,"USD","SOFR",I1186,J1186,0,"Actual360","Simple","Annual","Annual","Annual")</f>
        <v/>
      </c>
      <c r="F1186" s="8">
        <f>QS.TRADE.CREATE("trade.1184",C1186,E1186,A1186,"Receive")</f>
        <v/>
      </c>
      <c r="G1186" s="5"/>
      <c r="H1186" s="7" t="s">
        <v>2412</v>
      </c>
      <c r="I1186" s="9">
        <v>1118400</v>
      </c>
      <c r="J1186" s="10">
        <v>0.0384</v>
      </c>
    </row>
    <row r="1187" spans="1:10">
      <c r="A1187" s="7" t="s">
        <v>2400</v>
      </c>
      <c r="B1187" s="7" t="s">
        <v>2413</v>
      </c>
      <c r="C1187" s="8">
        <f>QS.CONTEXT.CREATE("market.1185",A1187,"USD","SOFR")</f>
        <v/>
      </c>
      <c r="D1187" s="8">
        <f>QS.CONTEXT.ADD.CURVE(C1187,"SOFR",$K$2:$K$7,$L$2:$L$7,,,"Actual360","LogLinear",TRUE)</f>
        <v/>
      </c>
      <c r="E1187" s="8">
        <f>QS.INSTRUMENT.SWAP("swap.1185",C1187,H1187,B1187,"USD","SOFR",I1187,J1187,0,"Actual360","Simple","Annual","Annual","Annual")</f>
        <v/>
      </c>
      <c r="F1187" s="8">
        <f>QS.TRADE.CREATE("trade.1185",C1187,E1187,A1187,"Receive")</f>
        <v/>
      </c>
      <c r="G1187" s="5"/>
      <c r="H1187" s="7" t="s">
        <v>2414</v>
      </c>
      <c r="I1187" s="9">
        <v>1118500</v>
      </c>
      <c r="J1187" s="10">
        <v>0.03850000000000001</v>
      </c>
    </row>
    <row r="1188" spans="1:10">
      <c r="A1188" s="7" t="s">
        <v>2402</v>
      </c>
      <c r="B1188" s="7" t="s">
        <v>2415</v>
      </c>
      <c r="C1188" s="8">
        <f>QS.CONTEXT.CREATE("market.1186",A1188,"USD","SOFR")</f>
        <v/>
      </c>
      <c r="D1188" s="8">
        <f>QS.CONTEXT.ADD.CURVE(C1188,"SOFR",$K$2:$K$7,$L$2:$L$7,,,"Actual360","LogLinear",TRUE)</f>
        <v/>
      </c>
      <c r="E1188" s="8">
        <f>QS.INSTRUMENT.SWAP("swap.1186",C1188,H1188,B1188,"USD","SOFR",I1188,J1188,0,"Actual360","Simple","Annual","Annual","Annual")</f>
        <v/>
      </c>
      <c r="F1188" s="8">
        <f>QS.TRADE.CREATE("trade.1186",C1188,E1188,A1188,"Receive")</f>
        <v/>
      </c>
      <c r="G1188" s="5"/>
      <c r="H1188" s="7" t="s">
        <v>2416</v>
      </c>
      <c r="I1188" s="9">
        <v>1118600</v>
      </c>
      <c r="J1188" s="10">
        <v>0.0386</v>
      </c>
    </row>
    <row r="1189" spans="1:10">
      <c r="A1189" s="7" t="s">
        <v>2404</v>
      </c>
      <c r="B1189" s="7" t="s">
        <v>2417</v>
      </c>
      <c r="C1189" s="8">
        <f>QS.CONTEXT.CREATE("market.1187",A1189,"USD","SOFR")</f>
        <v/>
      </c>
      <c r="D1189" s="8">
        <f>QS.CONTEXT.ADD.CURVE(C1189,"SOFR",$K$2:$K$7,$L$2:$L$7,,,"Actual360","LogLinear",TRUE)</f>
        <v/>
      </c>
      <c r="E1189" s="8">
        <f>QS.INSTRUMENT.SWAP("swap.1187",C1189,H1189,B1189,"USD","SOFR",I1189,J1189,0,"Actual360","Simple","Annual","Annual","Annual")</f>
        <v/>
      </c>
      <c r="F1189" s="8">
        <f>QS.TRADE.CREATE("trade.1187",C1189,E1189,A1189,"Receive")</f>
        <v/>
      </c>
      <c r="G1189" s="5"/>
      <c r="H1189" s="7" t="s">
        <v>2418</v>
      </c>
      <c r="I1189" s="9">
        <v>1118700</v>
      </c>
      <c r="J1189" s="10">
        <v>0.03870000000000001</v>
      </c>
    </row>
    <row r="1190" spans="1:10">
      <c r="A1190" s="7" t="s">
        <v>2406</v>
      </c>
      <c r="B1190" s="7" t="s">
        <v>2419</v>
      </c>
      <c r="C1190" s="8">
        <f>QS.CONTEXT.CREATE("market.1188",A1190,"USD","SOFR")</f>
        <v/>
      </c>
      <c r="D1190" s="8">
        <f>QS.CONTEXT.ADD.CURVE(C1190,"SOFR",$K$2:$K$7,$L$2:$L$7,,,"Actual360","LogLinear",TRUE)</f>
        <v/>
      </c>
      <c r="E1190" s="8">
        <f>QS.INSTRUMENT.SWAP("swap.1188",C1190,H1190,B1190,"USD","SOFR",I1190,J1190,0,"Actual360","Simple","Annual","Annual","Annual")</f>
        <v/>
      </c>
      <c r="F1190" s="8">
        <f>QS.TRADE.CREATE("trade.1188",C1190,E1190,A1190,"Receive")</f>
        <v/>
      </c>
      <c r="G1190" s="5"/>
      <c r="H1190" s="7" t="s">
        <v>2420</v>
      </c>
      <c r="I1190" s="9">
        <v>1118800</v>
      </c>
      <c r="J1190" s="10">
        <v>0.0388</v>
      </c>
    </row>
    <row r="1191" spans="1:10">
      <c r="A1191" s="7" t="s">
        <v>2408</v>
      </c>
      <c r="B1191" s="7" t="s">
        <v>2421</v>
      </c>
      <c r="C1191" s="8">
        <f>QS.CONTEXT.CREATE("market.1189",A1191,"USD","SOFR")</f>
        <v/>
      </c>
      <c r="D1191" s="8">
        <f>QS.CONTEXT.ADD.CURVE(C1191,"SOFR",$K$2:$K$7,$L$2:$L$7,,,"Actual360","LogLinear",TRUE)</f>
        <v/>
      </c>
      <c r="E1191" s="8">
        <f>QS.INSTRUMENT.SWAP("swap.1189",C1191,H1191,B1191,"USD","SOFR",I1191,J1191,0,"Actual360","Simple","Annual","Annual","Annual")</f>
        <v/>
      </c>
      <c r="F1191" s="8">
        <f>QS.TRADE.CREATE("trade.1189",C1191,E1191,A1191,"Receive")</f>
        <v/>
      </c>
      <c r="G1191" s="5"/>
      <c r="H1191" s="7" t="s">
        <v>2422</v>
      </c>
      <c r="I1191" s="9">
        <v>1118900</v>
      </c>
      <c r="J1191" s="10">
        <v>0.0389</v>
      </c>
    </row>
    <row r="1192" spans="1:10">
      <c r="A1192" s="7" t="s">
        <v>2410</v>
      </c>
      <c r="B1192" s="7" t="s">
        <v>2423</v>
      </c>
      <c r="C1192" s="8">
        <f>QS.CONTEXT.CREATE("market.1190",A1192,"USD","SOFR")</f>
        <v/>
      </c>
      <c r="D1192" s="8">
        <f>QS.CONTEXT.ADD.CURVE(C1192,"SOFR",$K$2:$K$7,$L$2:$L$7,,,"Actual360","LogLinear",TRUE)</f>
        <v/>
      </c>
      <c r="E1192" s="8">
        <f>QS.INSTRUMENT.SWAP("swap.1190",C1192,H1192,B1192,"USD","SOFR",I1192,J1192,0,"Actual360","Simple","Annual","Annual","Annual")</f>
        <v/>
      </c>
      <c r="F1192" s="8">
        <f>QS.TRADE.CREATE("trade.1190",C1192,E1192,A1192,"Receive")</f>
        <v/>
      </c>
      <c r="G1192" s="5"/>
      <c r="H1192" s="7" t="s">
        <v>2424</v>
      </c>
      <c r="I1192" s="9">
        <v>1119000</v>
      </c>
      <c r="J1192" s="10">
        <v>0.03900000000000001</v>
      </c>
    </row>
    <row r="1193" spans="1:10">
      <c r="A1193" s="7" t="s">
        <v>2412</v>
      </c>
      <c r="B1193" s="7" t="s">
        <v>2425</v>
      </c>
      <c r="C1193" s="8">
        <f>QS.CONTEXT.CREATE("market.1191",A1193,"USD","SOFR")</f>
        <v/>
      </c>
      <c r="D1193" s="8">
        <f>QS.CONTEXT.ADD.CURVE(C1193,"SOFR",$K$2:$K$7,$L$2:$L$7,,,"Actual360","LogLinear",TRUE)</f>
        <v/>
      </c>
      <c r="E1193" s="8">
        <f>QS.INSTRUMENT.SWAP("swap.1191",C1193,H1193,B1193,"USD","SOFR",I1193,J1193,0,"Actual360","Simple","Annual","Annual","Annual")</f>
        <v/>
      </c>
      <c r="F1193" s="8">
        <f>QS.TRADE.CREATE("trade.1191",C1193,E1193,A1193,"Receive")</f>
        <v/>
      </c>
      <c r="G1193" s="5"/>
      <c r="H1193" s="7" t="s">
        <v>2426</v>
      </c>
      <c r="I1193" s="9">
        <v>1119100</v>
      </c>
      <c r="J1193" s="10">
        <v>0.0391</v>
      </c>
    </row>
    <row r="1194" spans="1:10">
      <c r="A1194" s="7" t="s">
        <v>2414</v>
      </c>
      <c r="B1194" s="7" t="s">
        <v>2427</v>
      </c>
      <c r="C1194" s="8">
        <f>QS.CONTEXT.CREATE("market.1192",A1194,"USD","SOFR")</f>
        <v/>
      </c>
      <c r="D1194" s="8">
        <f>QS.CONTEXT.ADD.CURVE(C1194,"SOFR",$K$2:$K$7,$L$2:$L$7,,,"Actual360","LogLinear",TRUE)</f>
        <v/>
      </c>
      <c r="E1194" s="8">
        <f>QS.INSTRUMENT.SWAP("swap.1192",C1194,H1194,B1194,"USD","SOFR",I1194,J1194,0,"Actual360","Simple","Annual","Annual","Annual")</f>
        <v/>
      </c>
      <c r="F1194" s="8">
        <f>QS.TRADE.CREATE("trade.1192",C1194,E1194,A1194,"Receive")</f>
        <v/>
      </c>
      <c r="G1194" s="5"/>
      <c r="H1194" s="7" t="s">
        <v>2428</v>
      </c>
      <c r="I1194" s="9">
        <v>1119200</v>
      </c>
      <c r="J1194" s="10">
        <v>0.03920000000000001</v>
      </c>
    </row>
    <row r="1195" spans="1:10">
      <c r="A1195" s="7" t="s">
        <v>2416</v>
      </c>
      <c r="B1195" s="7" t="s">
        <v>2429</v>
      </c>
      <c r="C1195" s="8">
        <f>QS.CONTEXT.CREATE("market.1193",A1195,"USD","SOFR")</f>
        <v/>
      </c>
      <c r="D1195" s="8">
        <f>QS.CONTEXT.ADD.CURVE(C1195,"SOFR",$K$2:$K$7,$L$2:$L$7,,,"Actual360","LogLinear",TRUE)</f>
        <v/>
      </c>
      <c r="E1195" s="8">
        <f>QS.INSTRUMENT.SWAP("swap.1193",C1195,H1195,B1195,"USD","SOFR",I1195,J1195,0,"Actual360","Simple","Annual","Annual","Annual")</f>
        <v/>
      </c>
      <c r="F1195" s="8">
        <f>QS.TRADE.CREATE("trade.1193",C1195,E1195,A1195,"Receive")</f>
        <v/>
      </c>
      <c r="G1195" s="5"/>
      <c r="H1195" s="7" t="s">
        <v>2430</v>
      </c>
      <c r="I1195" s="9">
        <v>1119300</v>
      </c>
      <c r="J1195" s="10">
        <v>0.0393</v>
      </c>
    </row>
    <row r="1196" spans="1:10">
      <c r="A1196" s="7" t="s">
        <v>2418</v>
      </c>
      <c r="B1196" s="7" t="s">
        <v>2431</v>
      </c>
      <c r="C1196" s="8">
        <f>QS.CONTEXT.CREATE("market.1194",A1196,"USD","SOFR")</f>
        <v/>
      </c>
      <c r="D1196" s="8">
        <f>QS.CONTEXT.ADD.CURVE(C1196,"SOFR",$K$2:$K$7,$L$2:$L$7,,,"Actual360","LogLinear",TRUE)</f>
        <v/>
      </c>
      <c r="E1196" s="8">
        <f>QS.INSTRUMENT.SWAP("swap.1194",C1196,H1196,B1196,"USD","SOFR",I1196,J1196,0,"Actual360","Simple","Annual","Annual","Annual")</f>
        <v/>
      </c>
      <c r="F1196" s="8">
        <f>QS.TRADE.CREATE("trade.1194",C1196,E1196,A1196,"Receive")</f>
        <v/>
      </c>
      <c r="G1196" s="5"/>
      <c r="H1196" s="7" t="s">
        <v>2432</v>
      </c>
      <c r="I1196" s="9">
        <v>1119400</v>
      </c>
      <c r="J1196" s="10">
        <v>0.0394</v>
      </c>
    </row>
    <row r="1197" spans="1:10">
      <c r="A1197" s="7" t="s">
        <v>2420</v>
      </c>
      <c r="B1197" s="7" t="s">
        <v>2433</v>
      </c>
      <c r="C1197" s="8">
        <f>QS.CONTEXT.CREATE("market.1195",A1197,"USD","SOFR")</f>
        <v/>
      </c>
      <c r="D1197" s="8">
        <f>QS.CONTEXT.ADD.CURVE(C1197,"SOFR",$K$2:$K$7,$L$2:$L$7,,,"Actual360","LogLinear",TRUE)</f>
        <v/>
      </c>
      <c r="E1197" s="8">
        <f>QS.INSTRUMENT.SWAP("swap.1195",C1197,H1197,B1197,"USD","SOFR",I1197,J1197,0,"Actual360","Simple","Annual","Annual","Annual")</f>
        <v/>
      </c>
      <c r="F1197" s="8">
        <f>QS.TRADE.CREATE("trade.1195",C1197,E1197,A1197,"Receive")</f>
        <v/>
      </c>
      <c r="G1197" s="5"/>
      <c r="H1197" s="7" t="s">
        <v>2434</v>
      </c>
      <c r="I1197" s="9">
        <v>1119500</v>
      </c>
      <c r="J1197" s="10">
        <v>0.03950000000000001</v>
      </c>
    </row>
    <row r="1198" spans="1:10">
      <c r="A1198" s="7" t="s">
        <v>2422</v>
      </c>
      <c r="B1198" s="7" t="s">
        <v>2435</v>
      </c>
      <c r="C1198" s="8">
        <f>QS.CONTEXT.CREATE("market.1196",A1198,"USD","SOFR")</f>
        <v/>
      </c>
      <c r="D1198" s="8">
        <f>QS.CONTEXT.ADD.CURVE(C1198,"SOFR",$K$2:$K$7,$L$2:$L$7,,,"Actual360","LogLinear",TRUE)</f>
        <v/>
      </c>
      <c r="E1198" s="8">
        <f>QS.INSTRUMENT.SWAP("swap.1196",C1198,H1198,B1198,"USD","SOFR",I1198,J1198,0,"Actual360","Simple","Annual","Annual","Annual")</f>
        <v/>
      </c>
      <c r="F1198" s="8">
        <f>QS.TRADE.CREATE("trade.1196",C1198,E1198,A1198,"Receive")</f>
        <v/>
      </c>
      <c r="G1198" s="5"/>
      <c r="H1198" s="7" t="s">
        <v>2436</v>
      </c>
      <c r="I1198" s="9">
        <v>1119600</v>
      </c>
      <c r="J1198" s="10">
        <v>0.0396</v>
      </c>
    </row>
    <row r="1199" spans="1:10">
      <c r="A1199" s="7" t="s">
        <v>2424</v>
      </c>
      <c r="B1199" s="7" t="s">
        <v>2437</v>
      </c>
      <c r="C1199" s="8">
        <f>QS.CONTEXT.CREATE("market.1197",A1199,"USD","SOFR")</f>
        <v/>
      </c>
      <c r="D1199" s="8">
        <f>QS.CONTEXT.ADD.CURVE(C1199,"SOFR",$K$2:$K$7,$L$2:$L$7,,,"Actual360","LogLinear",TRUE)</f>
        <v/>
      </c>
      <c r="E1199" s="8">
        <f>QS.INSTRUMENT.SWAP("swap.1197",C1199,H1199,B1199,"USD","SOFR",I1199,J1199,0,"Actual360","Simple","Annual","Annual","Annual")</f>
        <v/>
      </c>
      <c r="F1199" s="8">
        <f>QS.TRADE.CREATE("trade.1197",C1199,E1199,A1199,"Receive")</f>
        <v/>
      </c>
      <c r="G1199" s="5"/>
      <c r="H1199" s="7" t="s">
        <v>2438</v>
      </c>
      <c r="I1199" s="9">
        <v>1119700</v>
      </c>
      <c r="J1199" s="10">
        <v>0.03970000000000001</v>
      </c>
    </row>
    <row r="1200" spans="1:10">
      <c r="A1200" s="7" t="s">
        <v>2426</v>
      </c>
      <c r="B1200" s="7" t="s">
        <v>2439</v>
      </c>
      <c r="C1200" s="8">
        <f>QS.CONTEXT.CREATE("market.1198",A1200,"USD","SOFR")</f>
        <v/>
      </c>
      <c r="D1200" s="8">
        <f>QS.CONTEXT.ADD.CURVE(C1200,"SOFR",$K$2:$K$7,$L$2:$L$7,,,"Actual360","LogLinear",TRUE)</f>
        <v/>
      </c>
      <c r="E1200" s="8">
        <f>QS.INSTRUMENT.SWAP("swap.1198",C1200,H1200,B1200,"USD","SOFR",I1200,J1200,0,"Actual360","Simple","Annual","Annual","Annual")</f>
        <v/>
      </c>
      <c r="F1200" s="8">
        <f>QS.TRADE.CREATE("trade.1198",C1200,E1200,A1200,"Receive")</f>
        <v/>
      </c>
      <c r="G1200" s="5"/>
      <c r="H1200" s="7" t="s">
        <v>2440</v>
      </c>
      <c r="I1200" s="9">
        <v>1119800</v>
      </c>
      <c r="J1200" s="10">
        <v>0.0398</v>
      </c>
    </row>
    <row r="1201" spans="1:10">
      <c r="A1201" s="7" t="s">
        <v>2428</v>
      </c>
      <c r="B1201" s="7" t="s">
        <v>2441</v>
      </c>
      <c r="C1201" s="8">
        <f>QS.CONTEXT.CREATE("market.1199",A1201,"USD","SOFR")</f>
        <v/>
      </c>
      <c r="D1201" s="8">
        <f>QS.CONTEXT.ADD.CURVE(C1201,"SOFR",$K$2:$K$7,$L$2:$L$7,,,"Actual360","LogLinear",TRUE)</f>
        <v/>
      </c>
      <c r="E1201" s="8">
        <f>QS.INSTRUMENT.SWAP("swap.1199",C1201,H1201,B1201,"USD","SOFR",I1201,J1201,0,"Actual360","Simple","Annual","Annual","Annual")</f>
        <v/>
      </c>
      <c r="F1201" s="8">
        <f>QS.TRADE.CREATE("trade.1199",C1201,E1201,A1201,"Receive")</f>
        <v/>
      </c>
      <c r="G1201" s="5"/>
      <c r="H1201" s="7" t="s">
        <v>2442</v>
      </c>
      <c r="I1201" s="9">
        <v>1119900</v>
      </c>
      <c r="J1201" s="10">
        <v>0.0399</v>
      </c>
    </row>
    <row r="1202" spans="1:10">
      <c r="A1202" s="7" t="s">
        <v>2430</v>
      </c>
      <c r="B1202" s="7" t="s">
        <v>2443</v>
      </c>
      <c r="C1202" s="8">
        <f>QS.CONTEXT.CREATE("market.1200",A1202,"USD","SOFR")</f>
        <v/>
      </c>
      <c r="D1202" s="8">
        <f>QS.CONTEXT.ADD.CURVE(C1202,"SOFR",$K$2:$K$7,$L$2:$L$7,,,"Actual360","LogLinear",TRUE)</f>
        <v/>
      </c>
      <c r="E1202" s="8">
        <f>QS.INSTRUMENT.SWAP("swap.1200",C1202,H1202,B1202,"USD","SOFR",I1202,J1202,0,"Actual360","Simple","Annual","Annual","Annual")</f>
        <v/>
      </c>
      <c r="F1202" s="8">
        <f>QS.TRADE.CREATE("trade.1200",C1202,E1202,A1202,"Receive")</f>
        <v/>
      </c>
      <c r="G1202" s="5"/>
      <c r="H1202" s="7" t="s">
        <v>2444</v>
      </c>
      <c r="I1202" s="9">
        <v>1120000</v>
      </c>
      <c r="J1202" s="10">
        <v>0.035</v>
      </c>
    </row>
    <row r="1203" spans="1:10">
      <c r="A1203" s="7" t="s">
        <v>2432</v>
      </c>
      <c r="B1203" s="7" t="s">
        <v>2445</v>
      </c>
      <c r="C1203" s="8">
        <f>QS.CONTEXT.CREATE("market.1201",A1203,"USD","SOFR")</f>
        <v/>
      </c>
      <c r="D1203" s="8">
        <f>QS.CONTEXT.ADD.CURVE(C1203,"SOFR",$K$2:$K$7,$L$2:$L$7,,,"Actual360","LogLinear",TRUE)</f>
        <v/>
      </c>
      <c r="E1203" s="8">
        <f>QS.INSTRUMENT.SWAP("swap.1201",C1203,H1203,B1203,"USD","SOFR",I1203,J1203,0,"Actual360","Simple","Annual","Annual","Annual")</f>
        <v/>
      </c>
      <c r="F1203" s="8">
        <f>QS.TRADE.CREATE("trade.1201",C1203,E1203,A1203,"Receive")</f>
        <v/>
      </c>
      <c r="G1203" s="5"/>
      <c r="H1203" s="7" t="s">
        <v>2446</v>
      </c>
      <c r="I1203" s="9">
        <v>1120100</v>
      </c>
      <c r="J1203" s="10">
        <v>0.03510000000000001</v>
      </c>
    </row>
    <row r="1204" spans="1:10">
      <c r="A1204" s="7" t="s">
        <v>2434</v>
      </c>
      <c r="B1204" s="7" t="s">
        <v>2447</v>
      </c>
      <c r="C1204" s="8">
        <f>QS.CONTEXT.CREATE("market.1202",A1204,"USD","SOFR")</f>
        <v/>
      </c>
      <c r="D1204" s="8">
        <f>QS.CONTEXT.ADD.CURVE(C1204,"SOFR",$K$2:$K$7,$L$2:$L$7,,,"Actual360","LogLinear",TRUE)</f>
        <v/>
      </c>
      <c r="E1204" s="8">
        <f>QS.INSTRUMENT.SWAP("swap.1202",C1204,H1204,B1204,"USD","SOFR",I1204,J1204,0,"Actual360","Simple","Annual","Annual","Annual")</f>
        <v/>
      </c>
      <c r="F1204" s="8">
        <f>QS.TRADE.CREATE("trade.1202",C1204,E1204,A1204,"Receive")</f>
        <v/>
      </c>
      <c r="G1204" s="5"/>
      <c r="H1204" s="7" t="s">
        <v>2448</v>
      </c>
      <c r="I1204" s="9">
        <v>1120200</v>
      </c>
      <c r="J1204" s="10">
        <v>0.0352</v>
      </c>
    </row>
    <row r="1205" spans="1:10">
      <c r="A1205" s="7" t="s">
        <v>2436</v>
      </c>
      <c r="B1205" s="7" t="s">
        <v>2449</v>
      </c>
      <c r="C1205" s="8">
        <f>QS.CONTEXT.CREATE("market.1203",A1205,"USD","SOFR")</f>
        <v/>
      </c>
      <c r="D1205" s="8">
        <f>QS.CONTEXT.ADD.CURVE(C1205,"SOFR",$K$2:$K$7,$L$2:$L$7,,,"Actual360","LogLinear",TRUE)</f>
        <v/>
      </c>
      <c r="E1205" s="8">
        <f>QS.INSTRUMENT.SWAP("swap.1203",C1205,H1205,B1205,"USD","SOFR",I1205,J1205,0,"Actual360","Simple","Annual","Annual","Annual")</f>
        <v/>
      </c>
      <c r="F1205" s="8">
        <f>QS.TRADE.CREATE("trade.1203",C1205,E1205,A1205,"Receive")</f>
        <v/>
      </c>
      <c r="G1205" s="5"/>
      <c r="H1205" s="7" t="s">
        <v>2450</v>
      </c>
      <c r="I1205" s="9">
        <v>1120300</v>
      </c>
      <c r="J1205" s="10">
        <v>0.0353</v>
      </c>
    </row>
    <row r="1206" spans="1:10">
      <c r="A1206" s="7" t="s">
        <v>2438</v>
      </c>
      <c r="B1206" s="7" t="s">
        <v>2451</v>
      </c>
      <c r="C1206" s="8">
        <f>QS.CONTEXT.CREATE("market.1204",A1206,"USD","SOFR")</f>
        <v/>
      </c>
      <c r="D1206" s="8">
        <f>QS.CONTEXT.ADD.CURVE(C1206,"SOFR",$K$2:$K$7,$L$2:$L$7,,,"Actual360","LogLinear",TRUE)</f>
        <v/>
      </c>
      <c r="E1206" s="8">
        <f>QS.INSTRUMENT.SWAP("swap.1204",C1206,H1206,B1206,"USD","SOFR",I1206,J1206,0,"Actual360","Simple","Annual","Annual","Annual")</f>
        <v/>
      </c>
      <c r="F1206" s="8">
        <f>QS.TRADE.CREATE("trade.1204",C1206,E1206,A1206,"Receive")</f>
        <v/>
      </c>
      <c r="G1206" s="5"/>
      <c r="H1206" s="7" t="s">
        <v>2452</v>
      </c>
      <c r="I1206" s="9">
        <v>1120400</v>
      </c>
      <c r="J1206" s="10">
        <v>0.0354</v>
      </c>
    </row>
    <row r="1207" spans="1:10">
      <c r="A1207" s="7" t="s">
        <v>2440</v>
      </c>
      <c r="B1207" s="7" t="s">
        <v>2453</v>
      </c>
      <c r="C1207" s="8">
        <f>QS.CONTEXT.CREATE("market.1205",A1207,"USD","SOFR")</f>
        <v/>
      </c>
      <c r="D1207" s="8">
        <f>QS.CONTEXT.ADD.CURVE(C1207,"SOFR",$K$2:$K$7,$L$2:$L$7,,,"Actual360","LogLinear",TRUE)</f>
        <v/>
      </c>
      <c r="E1207" s="8">
        <f>QS.INSTRUMENT.SWAP("swap.1205",C1207,H1207,B1207,"USD","SOFR",I1207,J1207,0,"Actual360","Simple","Annual","Annual","Annual")</f>
        <v/>
      </c>
      <c r="F1207" s="8">
        <f>QS.TRADE.CREATE("trade.1205",C1207,E1207,A1207,"Receive")</f>
        <v/>
      </c>
      <c r="G1207" s="5"/>
      <c r="H1207" s="7" t="s">
        <v>2454</v>
      </c>
      <c r="I1207" s="9">
        <v>1120500</v>
      </c>
      <c r="J1207" s="10">
        <v>0.0355</v>
      </c>
    </row>
    <row r="1208" spans="1:10">
      <c r="A1208" s="7" t="s">
        <v>2442</v>
      </c>
      <c r="B1208" s="7" t="s">
        <v>2455</v>
      </c>
      <c r="C1208" s="8">
        <f>QS.CONTEXT.CREATE("market.1206",A1208,"USD","SOFR")</f>
        <v/>
      </c>
      <c r="D1208" s="8">
        <f>QS.CONTEXT.ADD.CURVE(C1208,"SOFR",$K$2:$K$7,$L$2:$L$7,,,"Actual360","LogLinear",TRUE)</f>
        <v/>
      </c>
      <c r="E1208" s="8">
        <f>QS.INSTRUMENT.SWAP("swap.1206",C1208,H1208,B1208,"USD","SOFR",I1208,J1208,0,"Actual360","Simple","Annual","Annual","Annual")</f>
        <v/>
      </c>
      <c r="F1208" s="8">
        <f>QS.TRADE.CREATE("trade.1206",C1208,E1208,A1208,"Receive")</f>
        <v/>
      </c>
      <c r="G1208" s="5"/>
      <c r="H1208" s="7" t="s">
        <v>2456</v>
      </c>
      <c r="I1208" s="9">
        <v>1120600</v>
      </c>
      <c r="J1208" s="10">
        <v>0.03560000000000001</v>
      </c>
    </row>
    <row r="1209" spans="1:10">
      <c r="A1209" s="7" t="s">
        <v>2444</v>
      </c>
      <c r="B1209" s="7" t="s">
        <v>2457</v>
      </c>
      <c r="C1209" s="8">
        <f>QS.CONTEXT.CREATE("market.1207",A1209,"USD","SOFR")</f>
        <v/>
      </c>
      <c r="D1209" s="8">
        <f>QS.CONTEXT.ADD.CURVE(C1209,"SOFR",$K$2:$K$7,$L$2:$L$7,,,"Actual360","LogLinear",TRUE)</f>
        <v/>
      </c>
      <c r="E1209" s="8">
        <f>QS.INSTRUMENT.SWAP("swap.1207",C1209,H1209,B1209,"USD","SOFR",I1209,J1209,0,"Actual360","Simple","Annual","Annual","Annual")</f>
        <v/>
      </c>
      <c r="F1209" s="8">
        <f>QS.TRADE.CREATE("trade.1207",C1209,E1209,A1209,"Receive")</f>
        <v/>
      </c>
      <c r="G1209" s="5"/>
      <c r="H1209" s="7" t="s">
        <v>2458</v>
      </c>
      <c r="I1209" s="9">
        <v>1120700</v>
      </c>
      <c r="J1209" s="10">
        <v>0.0357</v>
      </c>
    </row>
    <row r="1210" spans="1:10">
      <c r="A1210" s="7" t="s">
        <v>2446</v>
      </c>
      <c r="B1210" s="7" t="s">
        <v>2459</v>
      </c>
      <c r="C1210" s="8">
        <f>QS.CONTEXT.CREATE("market.1208",A1210,"USD","SOFR")</f>
        <v/>
      </c>
      <c r="D1210" s="8">
        <f>QS.CONTEXT.ADD.CURVE(C1210,"SOFR",$K$2:$K$7,$L$2:$L$7,,,"Actual360","LogLinear",TRUE)</f>
        <v/>
      </c>
      <c r="E1210" s="8">
        <f>QS.INSTRUMENT.SWAP("swap.1208",C1210,H1210,B1210,"USD","SOFR",I1210,J1210,0,"Actual360","Simple","Annual","Annual","Annual")</f>
        <v/>
      </c>
      <c r="F1210" s="8">
        <f>QS.TRADE.CREATE("trade.1208",C1210,E1210,A1210,"Receive")</f>
        <v/>
      </c>
      <c r="G1210" s="5"/>
      <c r="H1210" s="7" t="s">
        <v>2460</v>
      </c>
      <c r="I1210" s="9">
        <v>1120800</v>
      </c>
      <c r="J1210" s="10">
        <v>0.03580000000000001</v>
      </c>
    </row>
    <row r="1211" spans="1:10">
      <c r="A1211" s="7" t="s">
        <v>2448</v>
      </c>
      <c r="B1211" s="7" t="s">
        <v>2461</v>
      </c>
      <c r="C1211" s="8">
        <f>QS.CONTEXT.CREATE("market.1209",A1211,"USD","SOFR")</f>
        <v/>
      </c>
      <c r="D1211" s="8">
        <f>QS.CONTEXT.ADD.CURVE(C1211,"SOFR",$K$2:$K$7,$L$2:$L$7,,,"Actual360","LogLinear",TRUE)</f>
        <v/>
      </c>
      <c r="E1211" s="8">
        <f>QS.INSTRUMENT.SWAP("swap.1209",C1211,H1211,B1211,"USD","SOFR",I1211,J1211,0,"Actual360","Simple","Annual","Annual","Annual")</f>
        <v/>
      </c>
      <c r="F1211" s="8">
        <f>QS.TRADE.CREATE("trade.1209",C1211,E1211,A1211,"Receive")</f>
        <v/>
      </c>
      <c r="G1211" s="5"/>
      <c r="H1211" s="7" t="s">
        <v>2462</v>
      </c>
      <c r="I1211" s="9">
        <v>1120900</v>
      </c>
      <c r="J1211" s="10">
        <v>0.0359</v>
      </c>
    </row>
    <row r="1212" spans="1:10">
      <c r="A1212" s="7" t="s">
        <v>2450</v>
      </c>
      <c r="B1212" s="7" t="s">
        <v>2463</v>
      </c>
      <c r="C1212" s="8">
        <f>QS.CONTEXT.CREATE("market.1210",A1212,"USD","SOFR")</f>
        <v/>
      </c>
      <c r="D1212" s="8">
        <f>QS.CONTEXT.ADD.CURVE(C1212,"SOFR",$K$2:$K$7,$L$2:$L$7,,,"Actual360","LogLinear",TRUE)</f>
        <v/>
      </c>
      <c r="E1212" s="8">
        <f>QS.INSTRUMENT.SWAP("swap.1210",C1212,H1212,B1212,"USD","SOFR",I1212,J1212,0,"Actual360","Simple","Annual","Annual","Annual")</f>
        <v/>
      </c>
      <c r="F1212" s="8">
        <f>QS.TRADE.CREATE("trade.1210",C1212,E1212,A1212,"Receive")</f>
        <v/>
      </c>
      <c r="G1212" s="5"/>
      <c r="H1212" s="7" t="s">
        <v>2464</v>
      </c>
      <c r="I1212" s="9">
        <v>1121000</v>
      </c>
      <c r="J1212" s="10">
        <v>0.036</v>
      </c>
    </row>
    <row r="1213" spans="1:10">
      <c r="A1213" s="7" t="s">
        <v>2452</v>
      </c>
      <c r="B1213" s="7" t="s">
        <v>2465</v>
      </c>
      <c r="C1213" s="8">
        <f>QS.CONTEXT.CREATE("market.1211",A1213,"USD","SOFR")</f>
        <v/>
      </c>
      <c r="D1213" s="8">
        <f>QS.CONTEXT.ADD.CURVE(C1213,"SOFR",$K$2:$K$7,$L$2:$L$7,,,"Actual360","LogLinear",TRUE)</f>
        <v/>
      </c>
      <c r="E1213" s="8">
        <f>QS.INSTRUMENT.SWAP("swap.1211",C1213,H1213,B1213,"USD","SOFR",I1213,J1213,0,"Actual360","Simple","Annual","Annual","Annual")</f>
        <v/>
      </c>
      <c r="F1213" s="8">
        <f>QS.TRADE.CREATE("trade.1211",C1213,E1213,A1213,"Receive")</f>
        <v/>
      </c>
      <c r="G1213" s="5"/>
      <c r="H1213" s="7" t="s">
        <v>2466</v>
      </c>
      <c r="I1213" s="9">
        <v>1121100</v>
      </c>
      <c r="J1213" s="10">
        <v>0.0361</v>
      </c>
    </row>
    <row r="1214" spans="1:10">
      <c r="A1214" s="7" t="s">
        <v>2454</v>
      </c>
      <c r="B1214" s="7" t="s">
        <v>2467</v>
      </c>
      <c r="C1214" s="8">
        <f>QS.CONTEXT.CREATE("market.1212",A1214,"USD","SOFR")</f>
        <v/>
      </c>
      <c r="D1214" s="8">
        <f>QS.CONTEXT.ADD.CURVE(C1214,"SOFR",$K$2:$K$7,$L$2:$L$7,,,"Actual360","LogLinear",TRUE)</f>
        <v/>
      </c>
      <c r="E1214" s="8">
        <f>QS.INSTRUMENT.SWAP("swap.1212",C1214,H1214,B1214,"USD","SOFR",I1214,J1214,0,"Actual360","Simple","Annual","Annual","Annual")</f>
        <v/>
      </c>
      <c r="F1214" s="8">
        <f>QS.TRADE.CREATE("trade.1212",C1214,E1214,A1214,"Receive")</f>
        <v/>
      </c>
      <c r="G1214" s="5"/>
      <c r="H1214" s="7" t="s">
        <v>2468</v>
      </c>
      <c r="I1214" s="9">
        <v>1121200</v>
      </c>
      <c r="J1214" s="10">
        <v>0.0362</v>
      </c>
    </row>
    <row r="1215" spans="1:10">
      <c r="A1215" s="7" t="s">
        <v>2456</v>
      </c>
      <c r="B1215" s="7" t="s">
        <v>2469</v>
      </c>
      <c r="C1215" s="8">
        <f>QS.CONTEXT.CREATE("market.1213",A1215,"USD","SOFR")</f>
        <v/>
      </c>
      <c r="D1215" s="8">
        <f>QS.CONTEXT.ADD.CURVE(C1215,"SOFR",$K$2:$K$7,$L$2:$L$7,,,"Actual360","LogLinear",TRUE)</f>
        <v/>
      </c>
      <c r="E1215" s="8">
        <f>QS.INSTRUMENT.SWAP("swap.1213",C1215,H1215,B1215,"USD","SOFR",I1215,J1215,0,"Actual360","Simple","Annual","Annual","Annual")</f>
        <v/>
      </c>
      <c r="F1215" s="8">
        <f>QS.TRADE.CREATE("trade.1213",C1215,E1215,A1215,"Receive")</f>
        <v/>
      </c>
      <c r="G1215" s="5"/>
      <c r="H1215" s="7" t="s">
        <v>2470</v>
      </c>
      <c r="I1215" s="9">
        <v>1121300</v>
      </c>
      <c r="J1215" s="10">
        <v>0.03630000000000001</v>
      </c>
    </row>
    <row r="1216" spans="1:10">
      <c r="A1216" s="7" t="s">
        <v>2458</v>
      </c>
      <c r="B1216" s="7" t="s">
        <v>2471</v>
      </c>
      <c r="C1216" s="8">
        <f>QS.CONTEXT.CREATE("market.1214",A1216,"USD","SOFR")</f>
        <v/>
      </c>
      <c r="D1216" s="8">
        <f>QS.CONTEXT.ADD.CURVE(C1216,"SOFR",$K$2:$K$7,$L$2:$L$7,,,"Actual360","LogLinear",TRUE)</f>
        <v/>
      </c>
      <c r="E1216" s="8">
        <f>QS.INSTRUMENT.SWAP("swap.1214",C1216,H1216,B1216,"USD","SOFR",I1216,J1216,0,"Actual360","Simple","Annual","Annual","Annual")</f>
        <v/>
      </c>
      <c r="F1216" s="8">
        <f>QS.TRADE.CREATE("trade.1214",C1216,E1216,A1216,"Receive")</f>
        <v/>
      </c>
      <c r="G1216" s="5"/>
      <c r="H1216" s="7" t="s">
        <v>2472</v>
      </c>
      <c r="I1216" s="9">
        <v>1121400</v>
      </c>
      <c r="J1216" s="10">
        <v>0.0364</v>
      </c>
    </row>
    <row r="1217" spans="1:10">
      <c r="A1217" s="7" t="s">
        <v>2460</v>
      </c>
      <c r="B1217" s="7" t="s">
        <v>2473</v>
      </c>
      <c r="C1217" s="8">
        <f>QS.CONTEXT.CREATE("market.1215",A1217,"USD","SOFR")</f>
        <v/>
      </c>
      <c r="D1217" s="8">
        <f>QS.CONTEXT.ADD.CURVE(C1217,"SOFR",$K$2:$K$7,$L$2:$L$7,,,"Actual360","LogLinear",TRUE)</f>
        <v/>
      </c>
      <c r="E1217" s="8">
        <f>QS.INSTRUMENT.SWAP("swap.1215",C1217,H1217,B1217,"USD","SOFR",I1217,J1217,0,"Actual360","Simple","Annual","Annual","Annual")</f>
        <v/>
      </c>
      <c r="F1217" s="8">
        <f>QS.TRADE.CREATE("trade.1215",C1217,E1217,A1217,"Receive")</f>
        <v/>
      </c>
      <c r="G1217" s="5"/>
      <c r="H1217" s="7" t="s">
        <v>2474</v>
      </c>
      <c r="I1217" s="9">
        <v>1121500</v>
      </c>
      <c r="J1217" s="10">
        <v>0.0365</v>
      </c>
    </row>
    <row r="1218" spans="1:10">
      <c r="A1218" s="7" t="s">
        <v>2462</v>
      </c>
      <c r="B1218" s="7" t="s">
        <v>2475</v>
      </c>
      <c r="C1218" s="8">
        <f>QS.CONTEXT.CREATE("market.1216",A1218,"USD","SOFR")</f>
        <v/>
      </c>
      <c r="D1218" s="8">
        <f>QS.CONTEXT.ADD.CURVE(C1218,"SOFR",$K$2:$K$7,$L$2:$L$7,,,"Actual360","LogLinear",TRUE)</f>
        <v/>
      </c>
      <c r="E1218" s="8">
        <f>QS.INSTRUMENT.SWAP("swap.1216",C1218,H1218,B1218,"USD","SOFR",I1218,J1218,0,"Actual360","Simple","Annual","Annual","Annual")</f>
        <v/>
      </c>
      <c r="F1218" s="8">
        <f>QS.TRADE.CREATE("trade.1216",C1218,E1218,A1218,"Receive")</f>
        <v/>
      </c>
      <c r="G1218" s="5"/>
      <c r="H1218" s="7" t="s">
        <v>2476</v>
      </c>
      <c r="I1218" s="9">
        <v>1121600</v>
      </c>
      <c r="J1218" s="10">
        <v>0.0366</v>
      </c>
    </row>
    <row r="1219" spans="1:10">
      <c r="A1219" s="7" t="s">
        <v>2464</v>
      </c>
      <c r="B1219" s="7" t="s">
        <v>2477</v>
      </c>
      <c r="C1219" s="8">
        <f>QS.CONTEXT.CREATE("market.1217",A1219,"USD","SOFR")</f>
        <v/>
      </c>
      <c r="D1219" s="8">
        <f>QS.CONTEXT.ADD.CURVE(C1219,"SOFR",$K$2:$K$7,$L$2:$L$7,,,"Actual360","LogLinear",TRUE)</f>
        <v/>
      </c>
      <c r="E1219" s="8">
        <f>QS.INSTRUMENT.SWAP("swap.1217",C1219,H1219,B1219,"USD","SOFR",I1219,J1219,0,"Actual360","Simple","Annual","Annual","Annual")</f>
        <v/>
      </c>
      <c r="F1219" s="8">
        <f>QS.TRADE.CREATE("trade.1217",C1219,E1219,A1219,"Receive")</f>
        <v/>
      </c>
      <c r="G1219" s="5"/>
      <c r="H1219" s="7" t="s">
        <v>2478</v>
      </c>
      <c r="I1219" s="9">
        <v>1121700</v>
      </c>
      <c r="J1219" s="10">
        <v>0.0367</v>
      </c>
    </row>
    <row r="1220" spans="1:10">
      <c r="A1220" s="7" t="s">
        <v>2466</v>
      </c>
      <c r="B1220" s="7" t="s">
        <v>2479</v>
      </c>
      <c r="C1220" s="8">
        <f>QS.CONTEXT.CREATE("market.1218",A1220,"USD","SOFR")</f>
        <v/>
      </c>
      <c r="D1220" s="8">
        <f>QS.CONTEXT.ADD.CURVE(C1220,"SOFR",$K$2:$K$7,$L$2:$L$7,,,"Actual360","LogLinear",TRUE)</f>
        <v/>
      </c>
      <c r="E1220" s="8">
        <f>QS.INSTRUMENT.SWAP("swap.1218",C1220,H1220,B1220,"USD","SOFR",I1220,J1220,0,"Actual360","Simple","Annual","Annual","Annual")</f>
        <v/>
      </c>
      <c r="F1220" s="8">
        <f>QS.TRADE.CREATE("trade.1218",C1220,E1220,A1220,"Receive")</f>
        <v/>
      </c>
      <c r="G1220" s="5"/>
      <c r="H1220" s="7" t="s">
        <v>2480</v>
      </c>
      <c r="I1220" s="9">
        <v>1121800</v>
      </c>
      <c r="J1220" s="10">
        <v>0.03680000000000001</v>
      </c>
    </row>
    <row r="1221" spans="1:10">
      <c r="A1221" s="7" t="s">
        <v>2468</v>
      </c>
      <c r="B1221" s="7" t="s">
        <v>2481</v>
      </c>
      <c r="C1221" s="8">
        <f>QS.CONTEXT.CREATE("market.1219",A1221,"USD","SOFR")</f>
        <v/>
      </c>
      <c r="D1221" s="8">
        <f>QS.CONTEXT.ADD.CURVE(C1221,"SOFR",$K$2:$K$7,$L$2:$L$7,,,"Actual360","LogLinear",TRUE)</f>
        <v/>
      </c>
      <c r="E1221" s="8">
        <f>QS.INSTRUMENT.SWAP("swap.1219",C1221,H1221,B1221,"USD","SOFR",I1221,J1221,0,"Actual360","Simple","Annual","Annual","Annual")</f>
        <v/>
      </c>
      <c r="F1221" s="8">
        <f>QS.TRADE.CREATE("trade.1219",C1221,E1221,A1221,"Receive")</f>
        <v/>
      </c>
      <c r="G1221" s="5"/>
      <c r="H1221" s="7" t="s">
        <v>2482</v>
      </c>
      <c r="I1221" s="9">
        <v>1121900</v>
      </c>
      <c r="J1221" s="10">
        <v>0.0369</v>
      </c>
    </row>
    <row r="1222" spans="1:10">
      <c r="A1222" s="7" t="s">
        <v>2470</v>
      </c>
      <c r="B1222" s="7" t="s">
        <v>2483</v>
      </c>
      <c r="C1222" s="8">
        <f>QS.CONTEXT.CREATE("market.1220",A1222,"USD","SOFR")</f>
        <v/>
      </c>
      <c r="D1222" s="8">
        <f>QS.CONTEXT.ADD.CURVE(C1222,"SOFR",$K$2:$K$7,$L$2:$L$7,,,"Actual360","LogLinear",TRUE)</f>
        <v/>
      </c>
      <c r="E1222" s="8">
        <f>QS.INSTRUMENT.SWAP("swap.1220",C1222,H1222,B1222,"USD","SOFR",I1222,J1222,0,"Actual360","Simple","Annual","Annual","Annual")</f>
        <v/>
      </c>
      <c r="F1222" s="8">
        <f>QS.TRADE.CREATE("trade.1220",C1222,E1222,A1222,"Receive")</f>
        <v/>
      </c>
      <c r="G1222" s="5"/>
      <c r="H1222" s="7" t="s">
        <v>2484</v>
      </c>
      <c r="I1222" s="9">
        <v>1122000</v>
      </c>
      <c r="J1222" s="10">
        <v>0.03700000000000001</v>
      </c>
    </row>
    <row r="1223" spans="1:10">
      <c r="A1223" s="7" t="s">
        <v>2472</v>
      </c>
      <c r="B1223" s="7" t="s">
        <v>2485</v>
      </c>
      <c r="C1223" s="8">
        <f>QS.CONTEXT.CREATE("market.1221",A1223,"USD","SOFR")</f>
        <v/>
      </c>
      <c r="D1223" s="8">
        <f>QS.CONTEXT.ADD.CURVE(C1223,"SOFR",$K$2:$K$7,$L$2:$L$7,,,"Actual360","LogLinear",TRUE)</f>
        <v/>
      </c>
      <c r="E1223" s="8">
        <f>QS.INSTRUMENT.SWAP("swap.1221",C1223,H1223,B1223,"USD","SOFR",I1223,J1223,0,"Actual360","Simple","Annual","Annual","Annual")</f>
        <v/>
      </c>
      <c r="F1223" s="8">
        <f>QS.TRADE.CREATE("trade.1221",C1223,E1223,A1223,"Receive")</f>
        <v/>
      </c>
      <c r="G1223" s="5"/>
      <c r="H1223" s="7" t="s">
        <v>2486</v>
      </c>
      <c r="I1223" s="9">
        <v>1122100</v>
      </c>
      <c r="J1223" s="10">
        <v>0.0371</v>
      </c>
    </row>
    <row r="1224" spans="1:10">
      <c r="A1224" s="7" t="s">
        <v>2474</v>
      </c>
      <c r="B1224" s="7" t="s">
        <v>2487</v>
      </c>
      <c r="C1224" s="8">
        <f>QS.CONTEXT.CREATE("market.1222",A1224,"USD","SOFR")</f>
        <v/>
      </c>
      <c r="D1224" s="8">
        <f>QS.CONTEXT.ADD.CURVE(C1224,"SOFR",$K$2:$K$7,$L$2:$L$7,,,"Actual360","LogLinear",TRUE)</f>
        <v/>
      </c>
      <c r="E1224" s="8">
        <f>QS.INSTRUMENT.SWAP("swap.1222",C1224,H1224,B1224,"USD","SOFR",I1224,J1224,0,"Actual360","Simple","Annual","Annual","Annual")</f>
        <v/>
      </c>
      <c r="F1224" s="8">
        <f>QS.TRADE.CREATE("trade.1222",C1224,E1224,A1224,"Receive")</f>
        <v/>
      </c>
      <c r="G1224" s="5"/>
      <c r="H1224" s="7" t="s">
        <v>2488</v>
      </c>
      <c r="I1224" s="9">
        <v>1122200</v>
      </c>
      <c r="J1224" s="10">
        <v>0.0372</v>
      </c>
    </row>
    <row r="1225" spans="1:10">
      <c r="A1225" s="7" t="s">
        <v>2476</v>
      </c>
      <c r="B1225" s="7" t="s">
        <v>2489</v>
      </c>
      <c r="C1225" s="8">
        <f>QS.CONTEXT.CREATE("market.1223",A1225,"USD","SOFR")</f>
        <v/>
      </c>
      <c r="D1225" s="8">
        <f>QS.CONTEXT.ADD.CURVE(C1225,"SOFR",$K$2:$K$7,$L$2:$L$7,,,"Actual360","LogLinear",TRUE)</f>
        <v/>
      </c>
      <c r="E1225" s="8">
        <f>QS.INSTRUMENT.SWAP("swap.1223",C1225,H1225,B1225,"USD","SOFR",I1225,J1225,0,"Actual360","Simple","Annual","Annual","Annual")</f>
        <v/>
      </c>
      <c r="F1225" s="8">
        <f>QS.TRADE.CREATE("trade.1223",C1225,E1225,A1225,"Receive")</f>
        <v/>
      </c>
      <c r="G1225" s="5"/>
      <c r="H1225" s="7" t="s">
        <v>2490</v>
      </c>
      <c r="I1225" s="9">
        <v>1122300</v>
      </c>
      <c r="J1225" s="10">
        <v>0.0373</v>
      </c>
    </row>
    <row r="1226" spans="1:10">
      <c r="A1226" s="7" t="s">
        <v>2478</v>
      </c>
      <c r="B1226" s="7" t="s">
        <v>2491</v>
      </c>
      <c r="C1226" s="8">
        <f>QS.CONTEXT.CREATE("market.1224",A1226,"USD","SOFR")</f>
        <v/>
      </c>
      <c r="D1226" s="8">
        <f>QS.CONTEXT.ADD.CURVE(C1226,"SOFR",$K$2:$K$7,$L$2:$L$7,,,"Actual360","LogLinear",TRUE)</f>
        <v/>
      </c>
      <c r="E1226" s="8">
        <f>QS.INSTRUMENT.SWAP("swap.1224",C1226,H1226,B1226,"USD","SOFR",I1226,J1226,0,"Actual360","Simple","Annual","Annual","Annual")</f>
        <v/>
      </c>
      <c r="F1226" s="8">
        <f>QS.TRADE.CREATE("trade.1224",C1226,E1226,A1226,"Receive")</f>
        <v/>
      </c>
      <c r="G1226" s="5"/>
      <c r="H1226" s="7" t="s">
        <v>2492</v>
      </c>
      <c r="I1226" s="9">
        <v>1122400</v>
      </c>
      <c r="J1226" s="10">
        <v>0.0374</v>
      </c>
    </row>
    <row r="1227" spans="1:10">
      <c r="A1227" s="7" t="s">
        <v>2480</v>
      </c>
      <c r="B1227" s="7" t="s">
        <v>2493</v>
      </c>
      <c r="C1227" s="8">
        <f>QS.CONTEXT.CREATE("market.1225",A1227,"USD","SOFR")</f>
        <v/>
      </c>
      <c r="D1227" s="8">
        <f>QS.CONTEXT.ADD.CURVE(C1227,"SOFR",$K$2:$K$7,$L$2:$L$7,,,"Actual360","LogLinear",TRUE)</f>
        <v/>
      </c>
      <c r="E1227" s="8">
        <f>QS.INSTRUMENT.SWAP("swap.1225",C1227,H1227,B1227,"USD","SOFR",I1227,J1227,0,"Actual360","Simple","Annual","Annual","Annual")</f>
        <v/>
      </c>
      <c r="F1227" s="8">
        <f>QS.TRADE.CREATE("trade.1225",C1227,E1227,A1227,"Receive")</f>
        <v/>
      </c>
      <c r="G1227" s="5"/>
      <c r="H1227" s="7" t="s">
        <v>2494</v>
      </c>
      <c r="I1227" s="9">
        <v>1122500</v>
      </c>
      <c r="J1227" s="10">
        <v>0.03750000000000001</v>
      </c>
    </row>
    <row r="1228" spans="1:10">
      <c r="A1228" s="7" t="s">
        <v>2482</v>
      </c>
      <c r="B1228" s="7" t="s">
        <v>2495</v>
      </c>
      <c r="C1228" s="8">
        <f>QS.CONTEXT.CREATE("market.1226",A1228,"USD","SOFR")</f>
        <v/>
      </c>
      <c r="D1228" s="8">
        <f>QS.CONTEXT.ADD.CURVE(C1228,"SOFR",$K$2:$K$7,$L$2:$L$7,,,"Actual360","LogLinear",TRUE)</f>
        <v/>
      </c>
      <c r="E1228" s="8">
        <f>QS.INSTRUMENT.SWAP("swap.1226",C1228,H1228,B1228,"USD","SOFR",I1228,J1228,0,"Actual360","Simple","Annual","Annual","Annual")</f>
        <v/>
      </c>
      <c r="F1228" s="8">
        <f>QS.TRADE.CREATE("trade.1226",C1228,E1228,A1228,"Receive")</f>
        <v/>
      </c>
      <c r="G1228" s="5"/>
      <c r="H1228" s="7" t="s">
        <v>2496</v>
      </c>
      <c r="I1228" s="9">
        <v>1122600</v>
      </c>
      <c r="J1228" s="10">
        <v>0.0376</v>
      </c>
    </row>
    <row r="1229" spans="1:10">
      <c r="A1229" s="7" t="s">
        <v>2484</v>
      </c>
      <c r="B1229" s="7" t="s">
        <v>2497</v>
      </c>
      <c r="C1229" s="8">
        <f>QS.CONTEXT.CREATE("market.1227",A1229,"USD","SOFR")</f>
        <v/>
      </c>
      <c r="D1229" s="8">
        <f>QS.CONTEXT.ADD.CURVE(C1229,"SOFR",$K$2:$K$7,$L$2:$L$7,,,"Actual360","LogLinear",TRUE)</f>
        <v/>
      </c>
      <c r="E1229" s="8">
        <f>QS.INSTRUMENT.SWAP("swap.1227",C1229,H1229,B1229,"USD","SOFR",I1229,J1229,0,"Actual360","Simple","Annual","Annual","Annual")</f>
        <v/>
      </c>
      <c r="F1229" s="8">
        <f>QS.TRADE.CREATE("trade.1227",C1229,E1229,A1229,"Receive")</f>
        <v/>
      </c>
      <c r="G1229" s="5"/>
      <c r="H1229" s="7" t="s">
        <v>2498</v>
      </c>
      <c r="I1229" s="9">
        <v>1122700</v>
      </c>
      <c r="J1229" s="10">
        <v>0.0377</v>
      </c>
    </row>
    <row r="1230" spans="1:10">
      <c r="A1230" s="7" t="s">
        <v>2486</v>
      </c>
      <c r="B1230" s="7" t="s">
        <v>2499</v>
      </c>
      <c r="C1230" s="8">
        <f>QS.CONTEXT.CREATE("market.1228",A1230,"USD","SOFR")</f>
        <v/>
      </c>
      <c r="D1230" s="8">
        <f>QS.CONTEXT.ADD.CURVE(C1230,"SOFR",$K$2:$K$7,$L$2:$L$7,,,"Actual360","LogLinear",TRUE)</f>
        <v/>
      </c>
      <c r="E1230" s="8">
        <f>QS.INSTRUMENT.SWAP("swap.1228",C1230,H1230,B1230,"USD","SOFR",I1230,J1230,0,"Actual360","Simple","Annual","Annual","Annual")</f>
        <v/>
      </c>
      <c r="F1230" s="8">
        <f>QS.TRADE.CREATE("trade.1228",C1230,E1230,A1230,"Receive")</f>
        <v/>
      </c>
      <c r="G1230" s="5"/>
      <c r="H1230" s="7" t="s">
        <v>2500</v>
      </c>
      <c r="I1230" s="9">
        <v>1122800</v>
      </c>
      <c r="J1230" s="10">
        <v>0.0378</v>
      </c>
    </row>
    <row r="1231" spans="1:10">
      <c r="A1231" s="7" t="s">
        <v>2488</v>
      </c>
      <c r="B1231" s="7" t="s">
        <v>2501</v>
      </c>
      <c r="C1231" s="8">
        <f>QS.CONTEXT.CREATE("market.1229",A1231,"USD","SOFR")</f>
        <v/>
      </c>
      <c r="D1231" s="8">
        <f>QS.CONTEXT.ADD.CURVE(C1231,"SOFR",$K$2:$K$7,$L$2:$L$7,,,"Actual360","LogLinear",TRUE)</f>
        <v/>
      </c>
      <c r="E1231" s="8">
        <f>QS.INSTRUMENT.SWAP("swap.1229",C1231,H1231,B1231,"USD","SOFR",I1231,J1231,0,"Actual360","Simple","Annual","Annual","Annual")</f>
        <v/>
      </c>
      <c r="F1231" s="8">
        <f>QS.TRADE.CREATE("trade.1229",C1231,E1231,A1231,"Receive")</f>
        <v/>
      </c>
      <c r="G1231" s="5"/>
      <c r="H1231" s="7" t="s">
        <v>2502</v>
      </c>
      <c r="I1231" s="9">
        <v>1122900</v>
      </c>
      <c r="J1231" s="10">
        <v>0.0379</v>
      </c>
    </row>
    <row r="1232" spans="1:10">
      <c r="A1232" s="7" t="s">
        <v>2490</v>
      </c>
      <c r="B1232" s="7" t="s">
        <v>2503</v>
      </c>
      <c r="C1232" s="8">
        <f>QS.CONTEXT.CREATE("market.1230",A1232,"USD","SOFR")</f>
        <v/>
      </c>
      <c r="D1232" s="8">
        <f>QS.CONTEXT.ADD.CURVE(C1232,"SOFR",$K$2:$K$7,$L$2:$L$7,,,"Actual360","LogLinear",TRUE)</f>
        <v/>
      </c>
      <c r="E1232" s="8">
        <f>QS.INSTRUMENT.SWAP("swap.1230",C1232,H1232,B1232,"USD","SOFR",I1232,J1232,0,"Actual360","Simple","Annual","Annual","Annual")</f>
        <v/>
      </c>
      <c r="F1232" s="8">
        <f>QS.TRADE.CREATE("trade.1230",C1232,E1232,A1232,"Receive")</f>
        <v/>
      </c>
      <c r="G1232" s="5"/>
      <c r="H1232" s="7" t="s">
        <v>2504</v>
      </c>
      <c r="I1232" s="9">
        <v>1123000</v>
      </c>
      <c r="J1232" s="10">
        <v>0.03800000000000001</v>
      </c>
    </row>
    <row r="1233" spans="1:10">
      <c r="A1233" s="7" t="s">
        <v>2492</v>
      </c>
      <c r="B1233" s="7" t="s">
        <v>2505</v>
      </c>
      <c r="C1233" s="8">
        <f>QS.CONTEXT.CREATE("market.1231",A1233,"USD","SOFR")</f>
        <v/>
      </c>
      <c r="D1233" s="8">
        <f>QS.CONTEXT.ADD.CURVE(C1233,"SOFR",$K$2:$K$7,$L$2:$L$7,,,"Actual360","LogLinear",TRUE)</f>
        <v/>
      </c>
      <c r="E1233" s="8">
        <f>QS.INSTRUMENT.SWAP("swap.1231",C1233,H1233,B1233,"USD","SOFR",I1233,J1233,0,"Actual360","Simple","Annual","Annual","Annual")</f>
        <v/>
      </c>
      <c r="F1233" s="8">
        <f>QS.TRADE.CREATE("trade.1231",C1233,E1233,A1233,"Receive")</f>
        <v/>
      </c>
      <c r="G1233" s="5"/>
      <c r="H1233" s="7" t="s">
        <v>2506</v>
      </c>
      <c r="I1233" s="9">
        <v>1123100</v>
      </c>
      <c r="J1233" s="10">
        <v>0.0381</v>
      </c>
    </row>
    <row r="1234" spans="1:10">
      <c r="A1234" s="7" t="s">
        <v>2494</v>
      </c>
      <c r="B1234" s="7" t="s">
        <v>2507</v>
      </c>
      <c r="C1234" s="8">
        <f>QS.CONTEXT.CREATE("market.1232",A1234,"USD","SOFR")</f>
        <v/>
      </c>
      <c r="D1234" s="8">
        <f>QS.CONTEXT.ADD.CURVE(C1234,"SOFR",$K$2:$K$7,$L$2:$L$7,,,"Actual360","LogLinear",TRUE)</f>
        <v/>
      </c>
      <c r="E1234" s="8">
        <f>QS.INSTRUMENT.SWAP("swap.1232",C1234,H1234,B1234,"USD","SOFR",I1234,J1234,0,"Actual360","Simple","Annual","Annual","Annual")</f>
        <v/>
      </c>
      <c r="F1234" s="8">
        <f>QS.TRADE.CREATE("trade.1232",C1234,E1234,A1234,"Receive")</f>
        <v/>
      </c>
      <c r="G1234" s="5"/>
      <c r="H1234" s="7" t="s">
        <v>2508</v>
      </c>
      <c r="I1234" s="9">
        <v>1123200</v>
      </c>
      <c r="J1234" s="10">
        <v>0.0382</v>
      </c>
    </row>
    <row r="1235" spans="1:10">
      <c r="A1235" s="7" t="s">
        <v>2496</v>
      </c>
      <c r="B1235" s="7" t="s">
        <v>2509</v>
      </c>
      <c r="C1235" s="8">
        <f>QS.CONTEXT.CREATE("market.1233",A1235,"USD","SOFR")</f>
        <v/>
      </c>
      <c r="D1235" s="8">
        <f>QS.CONTEXT.ADD.CURVE(C1235,"SOFR",$K$2:$K$7,$L$2:$L$7,,,"Actual360","LogLinear",TRUE)</f>
        <v/>
      </c>
      <c r="E1235" s="8">
        <f>QS.INSTRUMENT.SWAP("swap.1233",C1235,H1235,B1235,"USD","SOFR",I1235,J1235,0,"Actual360","Simple","Annual","Annual","Annual")</f>
        <v/>
      </c>
      <c r="F1235" s="8">
        <f>QS.TRADE.CREATE("trade.1233",C1235,E1235,A1235,"Receive")</f>
        <v/>
      </c>
      <c r="G1235" s="5"/>
      <c r="H1235" s="7" t="s">
        <v>2510</v>
      </c>
      <c r="I1235" s="9">
        <v>1123300</v>
      </c>
      <c r="J1235" s="10">
        <v>0.0383</v>
      </c>
    </row>
    <row r="1236" spans="1:10">
      <c r="A1236" s="7" t="s">
        <v>2498</v>
      </c>
      <c r="B1236" s="7" t="s">
        <v>2511</v>
      </c>
      <c r="C1236" s="8">
        <f>QS.CONTEXT.CREATE("market.1234",A1236,"USD","SOFR")</f>
        <v/>
      </c>
      <c r="D1236" s="8">
        <f>QS.CONTEXT.ADD.CURVE(C1236,"SOFR",$K$2:$K$7,$L$2:$L$7,,,"Actual360","LogLinear",TRUE)</f>
        <v/>
      </c>
      <c r="E1236" s="8">
        <f>QS.INSTRUMENT.SWAP("swap.1234",C1236,H1236,B1236,"USD","SOFR",I1236,J1236,0,"Actual360","Simple","Annual","Annual","Annual")</f>
        <v/>
      </c>
      <c r="F1236" s="8">
        <f>QS.TRADE.CREATE("trade.1234",C1236,E1236,A1236,"Receive")</f>
        <v/>
      </c>
      <c r="G1236" s="5"/>
      <c r="H1236" s="7" t="s">
        <v>2512</v>
      </c>
      <c r="I1236" s="9">
        <v>1123400</v>
      </c>
      <c r="J1236" s="10">
        <v>0.0384</v>
      </c>
    </row>
    <row r="1237" spans="1:10">
      <c r="A1237" s="7" t="s">
        <v>2500</v>
      </c>
      <c r="B1237" s="7" t="s">
        <v>2513</v>
      </c>
      <c r="C1237" s="8">
        <f>QS.CONTEXT.CREATE("market.1235",A1237,"USD","SOFR")</f>
        <v/>
      </c>
      <c r="D1237" s="8">
        <f>QS.CONTEXT.ADD.CURVE(C1237,"SOFR",$K$2:$K$7,$L$2:$L$7,,,"Actual360","LogLinear",TRUE)</f>
        <v/>
      </c>
      <c r="E1237" s="8">
        <f>QS.INSTRUMENT.SWAP("swap.1235",C1237,H1237,B1237,"USD","SOFR",I1237,J1237,0,"Actual360","Simple","Annual","Annual","Annual")</f>
        <v/>
      </c>
      <c r="F1237" s="8">
        <f>QS.TRADE.CREATE("trade.1235",C1237,E1237,A1237,"Receive")</f>
        <v/>
      </c>
      <c r="G1237" s="5"/>
      <c r="H1237" s="7" t="s">
        <v>2514</v>
      </c>
      <c r="I1237" s="9">
        <v>1123500</v>
      </c>
      <c r="J1237" s="10">
        <v>0.03850000000000001</v>
      </c>
    </row>
    <row r="1238" spans="1:10">
      <c r="A1238" s="7" t="s">
        <v>2502</v>
      </c>
      <c r="B1238" s="7" t="s">
        <v>2515</v>
      </c>
      <c r="C1238" s="8">
        <f>QS.CONTEXT.CREATE("market.1236",A1238,"USD","SOFR")</f>
        <v/>
      </c>
      <c r="D1238" s="8">
        <f>QS.CONTEXT.ADD.CURVE(C1238,"SOFR",$K$2:$K$7,$L$2:$L$7,,,"Actual360","LogLinear",TRUE)</f>
        <v/>
      </c>
      <c r="E1238" s="8">
        <f>QS.INSTRUMENT.SWAP("swap.1236",C1238,H1238,B1238,"USD","SOFR",I1238,J1238,0,"Actual360","Simple","Annual","Annual","Annual")</f>
        <v/>
      </c>
      <c r="F1238" s="8">
        <f>QS.TRADE.CREATE("trade.1236",C1238,E1238,A1238,"Receive")</f>
        <v/>
      </c>
      <c r="G1238" s="5"/>
      <c r="H1238" s="7" t="s">
        <v>2516</v>
      </c>
      <c r="I1238" s="9">
        <v>1123600</v>
      </c>
      <c r="J1238" s="10">
        <v>0.0386</v>
      </c>
    </row>
    <row r="1239" spans="1:10">
      <c r="A1239" s="7" t="s">
        <v>2504</v>
      </c>
      <c r="B1239" s="7" t="s">
        <v>2517</v>
      </c>
      <c r="C1239" s="8">
        <f>QS.CONTEXT.CREATE("market.1237",A1239,"USD","SOFR")</f>
        <v/>
      </c>
      <c r="D1239" s="8">
        <f>QS.CONTEXT.ADD.CURVE(C1239,"SOFR",$K$2:$K$7,$L$2:$L$7,,,"Actual360","LogLinear",TRUE)</f>
        <v/>
      </c>
      <c r="E1239" s="8">
        <f>QS.INSTRUMENT.SWAP("swap.1237",C1239,H1239,B1239,"USD","SOFR",I1239,J1239,0,"Actual360","Simple","Annual","Annual","Annual")</f>
        <v/>
      </c>
      <c r="F1239" s="8">
        <f>QS.TRADE.CREATE("trade.1237",C1239,E1239,A1239,"Receive")</f>
        <v/>
      </c>
      <c r="G1239" s="5"/>
      <c r="H1239" s="7" t="s">
        <v>2518</v>
      </c>
      <c r="I1239" s="9">
        <v>1123700</v>
      </c>
      <c r="J1239" s="10">
        <v>0.03870000000000001</v>
      </c>
    </row>
    <row r="1240" spans="1:10">
      <c r="A1240" s="7" t="s">
        <v>2506</v>
      </c>
      <c r="B1240" s="7" t="s">
        <v>2519</v>
      </c>
      <c r="C1240" s="8">
        <f>QS.CONTEXT.CREATE("market.1238",A1240,"USD","SOFR")</f>
        <v/>
      </c>
      <c r="D1240" s="8">
        <f>QS.CONTEXT.ADD.CURVE(C1240,"SOFR",$K$2:$K$7,$L$2:$L$7,,,"Actual360","LogLinear",TRUE)</f>
        <v/>
      </c>
      <c r="E1240" s="8">
        <f>QS.INSTRUMENT.SWAP("swap.1238",C1240,H1240,B1240,"USD","SOFR",I1240,J1240,0,"Actual360","Simple","Annual","Annual","Annual")</f>
        <v/>
      </c>
      <c r="F1240" s="8">
        <f>QS.TRADE.CREATE("trade.1238",C1240,E1240,A1240,"Receive")</f>
        <v/>
      </c>
      <c r="G1240" s="5"/>
      <c r="H1240" s="7" t="s">
        <v>2520</v>
      </c>
      <c r="I1240" s="9">
        <v>1123800</v>
      </c>
      <c r="J1240" s="10">
        <v>0.0388</v>
      </c>
    </row>
    <row r="1241" spans="1:10">
      <c r="A1241" s="7" t="s">
        <v>2508</v>
      </c>
      <c r="B1241" s="7" t="s">
        <v>2521</v>
      </c>
      <c r="C1241" s="8">
        <f>QS.CONTEXT.CREATE("market.1239",A1241,"USD","SOFR")</f>
        <v/>
      </c>
      <c r="D1241" s="8">
        <f>QS.CONTEXT.ADD.CURVE(C1241,"SOFR",$K$2:$K$7,$L$2:$L$7,,,"Actual360","LogLinear",TRUE)</f>
        <v/>
      </c>
      <c r="E1241" s="8">
        <f>QS.INSTRUMENT.SWAP("swap.1239",C1241,H1241,B1241,"USD","SOFR",I1241,J1241,0,"Actual360","Simple","Annual","Annual","Annual")</f>
        <v/>
      </c>
      <c r="F1241" s="8">
        <f>QS.TRADE.CREATE("trade.1239",C1241,E1241,A1241,"Receive")</f>
        <v/>
      </c>
      <c r="G1241" s="5"/>
      <c r="H1241" s="7" t="s">
        <v>2522</v>
      </c>
      <c r="I1241" s="9">
        <v>1123900</v>
      </c>
      <c r="J1241" s="10">
        <v>0.0389</v>
      </c>
    </row>
    <row r="1242" spans="1:10">
      <c r="A1242" s="7" t="s">
        <v>2510</v>
      </c>
      <c r="B1242" s="7" t="s">
        <v>2523</v>
      </c>
      <c r="C1242" s="8">
        <f>QS.CONTEXT.CREATE("market.1240",A1242,"USD","SOFR")</f>
        <v/>
      </c>
      <c r="D1242" s="8">
        <f>QS.CONTEXT.ADD.CURVE(C1242,"SOFR",$K$2:$K$7,$L$2:$L$7,,,"Actual360","LogLinear",TRUE)</f>
        <v/>
      </c>
      <c r="E1242" s="8">
        <f>QS.INSTRUMENT.SWAP("swap.1240",C1242,H1242,B1242,"USD","SOFR",I1242,J1242,0,"Actual360","Simple","Annual","Annual","Annual")</f>
        <v/>
      </c>
      <c r="F1242" s="8">
        <f>QS.TRADE.CREATE("trade.1240",C1242,E1242,A1242,"Receive")</f>
        <v/>
      </c>
      <c r="G1242" s="5"/>
      <c r="H1242" s="7" t="s">
        <v>2524</v>
      </c>
      <c r="I1242" s="9">
        <v>1124000</v>
      </c>
      <c r="J1242" s="10">
        <v>0.03900000000000001</v>
      </c>
    </row>
    <row r="1243" spans="1:10">
      <c r="A1243" s="7" t="s">
        <v>2512</v>
      </c>
      <c r="B1243" s="7" t="s">
        <v>2525</v>
      </c>
      <c r="C1243" s="8">
        <f>QS.CONTEXT.CREATE("market.1241",A1243,"USD","SOFR")</f>
        <v/>
      </c>
      <c r="D1243" s="8">
        <f>QS.CONTEXT.ADD.CURVE(C1243,"SOFR",$K$2:$K$7,$L$2:$L$7,,,"Actual360","LogLinear",TRUE)</f>
        <v/>
      </c>
      <c r="E1243" s="8">
        <f>QS.INSTRUMENT.SWAP("swap.1241",C1243,H1243,B1243,"USD","SOFR",I1243,J1243,0,"Actual360","Simple","Annual","Annual","Annual")</f>
        <v/>
      </c>
      <c r="F1243" s="8">
        <f>QS.TRADE.CREATE("trade.1241",C1243,E1243,A1243,"Receive")</f>
        <v/>
      </c>
      <c r="G1243" s="5"/>
      <c r="H1243" s="7" t="s">
        <v>2526</v>
      </c>
      <c r="I1243" s="9">
        <v>1124100</v>
      </c>
      <c r="J1243" s="10">
        <v>0.0391</v>
      </c>
    </row>
    <row r="1244" spans="1:10">
      <c r="A1244" s="7" t="s">
        <v>2514</v>
      </c>
      <c r="B1244" s="7" t="s">
        <v>2527</v>
      </c>
      <c r="C1244" s="8">
        <f>QS.CONTEXT.CREATE("market.1242",A1244,"USD","SOFR")</f>
        <v/>
      </c>
      <c r="D1244" s="8">
        <f>QS.CONTEXT.ADD.CURVE(C1244,"SOFR",$K$2:$K$7,$L$2:$L$7,,,"Actual360","LogLinear",TRUE)</f>
        <v/>
      </c>
      <c r="E1244" s="8">
        <f>QS.INSTRUMENT.SWAP("swap.1242",C1244,H1244,B1244,"USD","SOFR",I1244,J1244,0,"Actual360","Simple","Annual","Annual","Annual")</f>
        <v/>
      </c>
      <c r="F1244" s="8">
        <f>QS.TRADE.CREATE("trade.1242",C1244,E1244,A1244,"Receive")</f>
        <v/>
      </c>
      <c r="G1244" s="5"/>
      <c r="H1244" s="7" t="s">
        <v>2528</v>
      </c>
      <c r="I1244" s="9">
        <v>1124200</v>
      </c>
      <c r="J1244" s="10">
        <v>0.03920000000000001</v>
      </c>
    </row>
    <row r="1245" spans="1:10">
      <c r="A1245" s="7" t="s">
        <v>2516</v>
      </c>
      <c r="B1245" s="7" t="s">
        <v>2529</v>
      </c>
      <c r="C1245" s="8">
        <f>QS.CONTEXT.CREATE("market.1243",A1245,"USD","SOFR")</f>
        <v/>
      </c>
      <c r="D1245" s="8">
        <f>QS.CONTEXT.ADD.CURVE(C1245,"SOFR",$K$2:$K$7,$L$2:$L$7,,,"Actual360","LogLinear",TRUE)</f>
        <v/>
      </c>
      <c r="E1245" s="8">
        <f>QS.INSTRUMENT.SWAP("swap.1243",C1245,H1245,B1245,"USD","SOFR",I1245,J1245,0,"Actual360","Simple","Annual","Annual","Annual")</f>
        <v/>
      </c>
      <c r="F1245" s="8">
        <f>QS.TRADE.CREATE("trade.1243",C1245,E1245,A1245,"Receive")</f>
        <v/>
      </c>
      <c r="G1245" s="5"/>
      <c r="H1245" s="7" t="s">
        <v>2530</v>
      </c>
      <c r="I1245" s="9">
        <v>1124300</v>
      </c>
      <c r="J1245" s="10">
        <v>0.0393</v>
      </c>
    </row>
    <row r="1246" spans="1:10">
      <c r="A1246" s="7" t="s">
        <v>2518</v>
      </c>
      <c r="B1246" s="7" t="s">
        <v>2531</v>
      </c>
      <c r="C1246" s="8">
        <f>QS.CONTEXT.CREATE("market.1244",A1246,"USD","SOFR")</f>
        <v/>
      </c>
      <c r="D1246" s="8">
        <f>QS.CONTEXT.ADD.CURVE(C1246,"SOFR",$K$2:$K$7,$L$2:$L$7,,,"Actual360","LogLinear",TRUE)</f>
        <v/>
      </c>
      <c r="E1246" s="8">
        <f>QS.INSTRUMENT.SWAP("swap.1244",C1246,H1246,B1246,"USD","SOFR",I1246,J1246,0,"Actual360","Simple","Annual","Annual","Annual")</f>
        <v/>
      </c>
      <c r="F1246" s="8">
        <f>QS.TRADE.CREATE("trade.1244",C1246,E1246,A1246,"Receive")</f>
        <v/>
      </c>
      <c r="G1246" s="5"/>
      <c r="H1246" s="7" t="s">
        <v>2532</v>
      </c>
      <c r="I1246" s="9">
        <v>1124400</v>
      </c>
      <c r="J1246" s="10">
        <v>0.0394</v>
      </c>
    </row>
    <row r="1247" spans="1:10">
      <c r="A1247" s="7" t="s">
        <v>2520</v>
      </c>
      <c r="B1247" s="7" t="s">
        <v>2533</v>
      </c>
      <c r="C1247" s="8">
        <f>QS.CONTEXT.CREATE("market.1245",A1247,"USD","SOFR")</f>
        <v/>
      </c>
      <c r="D1247" s="8">
        <f>QS.CONTEXT.ADD.CURVE(C1247,"SOFR",$K$2:$K$7,$L$2:$L$7,,,"Actual360","LogLinear",TRUE)</f>
        <v/>
      </c>
      <c r="E1247" s="8">
        <f>QS.INSTRUMENT.SWAP("swap.1245",C1247,H1247,B1247,"USD","SOFR",I1247,J1247,0,"Actual360","Simple","Annual","Annual","Annual")</f>
        <v/>
      </c>
      <c r="F1247" s="8">
        <f>QS.TRADE.CREATE("trade.1245",C1247,E1247,A1247,"Receive")</f>
        <v/>
      </c>
      <c r="G1247" s="5"/>
      <c r="H1247" s="7" t="s">
        <v>2534</v>
      </c>
      <c r="I1247" s="9">
        <v>1124500</v>
      </c>
      <c r="J1247" s="10">
        <v>0.03950000000000001</v>
      </c>
    </row>
    <row r="1248" spans="1:10">
      <c r="A1248" s="7" t="s">
        <v>2522</v>
      </c>
      <c r="B1248" s="7" t="s">
        <v>2535</v>
      </c>
      <c r="C1248" s="8">
        <f>QS.CONTEXT.CREATE("market.1246",A1248,"USD","SOFR")</f>
        <v/>
      </c>
      <c r="D1248" s="8">
        <f>QS.CONTEXT.ADD.CURVE(C1248,"SOFR",$K$2:$K$7,$L$2:$L$7,,,"Actual360","LogLinear",TRUE)</f>
        <v/>
      </c>
      <c r="E1248" s="8">
        <f>QS.INSTRUMENT.SWAP("swap.1246",C1248,H1248,B1248,"USD","SOFR",I1248,J1248,0,"Actual360","Simple","Annual","Annual","Annual")</f>
        <v/>
      </c>
      <c r="F1248" s="8">
        <f>QS.TRADE.CREATE("trade.1246",C1248,E1248,A1248,"Receive")</f>
        <v/>
      </c>
      <c r="G1248" s="5"/>
      <c r="H1248" s="7" t="s">
        <v>2536</v>
      </c>
      <c r="I1248" s="9">
        <v>1124600</v>
      </c>
      <c r="J1248" s="10">
        <v>0.0396</v>
      </c>
    </row>
    <row r="1249" spans="1:10">
      <c r="A1249" s="7" t="s">
        <v>2524</v>
      </c>
      <c r="B1249" s="7" t="s">
        <v>2537</v>
      </c>
      <c r="C1249" s="8">
        <f>QS.CONTEXT.CREATE("market.1247",A1249,"USD","SOFR")</f>
        <v/>
      </c>
      <c r="D1249" s="8">
        <f>QS.CONTEXT.ADD.CURVE(C1249,"SOFR",$K$2:$K$7,$L$2:$L$7,,,"Actual360","LogLinear",TRUE)</f>
        <v/>
      </c>
      <c r="E1249" s="8">
        <f>QS.INSTRUMENT.SWAP("swap.1247",C1249,H1249,B1249,"USD","SOFR",I1249,J1249,0,"Actual360","Simple","Annual","Annual","Annual")</f>
        <v/>
      </c>
      <c r="F1249" s="8">
        <f>QS.TRADE.CREATE("trade.1247",C1249,E1249,A1249,"Receive")</f>
        <v/>
      </c>
      <c r="G1249" s="5"/>
      <c r="H1249" s="7" t="s">
        <v>2538</v>
      </c>
      <c r="I1249" s="9">
        <v>1124700</v>
      </c>
      <c r="J1249" s="10">
        <v>0.03970000000000001</v>
      </c>
    </row>
    <row r="1250" spans="1:10">
      <c r="A1250" s="7" t="s">
        <v>2526</v>
      </c>
      <c r="B1250" s="7" t="s">
        <v>2539</v>
      </c>
      <c r="C1250" s="8">
        <f>QS.CONTEXT.CREATE("market.1248",A1250,"USD","SOFR")</f>
        <v/>
      </c>
      <c r="D1250" s="8">
        <f>QS.CONTEXT.ADD.CURVE(C1250,"SOFR",$K$2:$K$7,$L$2:$L$7,,,"Actual360","LogLinear",TRUE)</f>
        <v/>
      </c>
      <c r="E1250" s="8">
        <f>QS.INSTRUMENT.SWAP("swap.1248",C1250,H1250,B1250,"USD","SOFR",I1250,J1250,0,"Actual360","Simple","Annual","Annual","Annual")</f>
        <v/>
      </c>
      <c r="F1250" s="8">
        <f>QS.TRADE.CREATE("trade.1248",C1250,E1250,A1250,"Receive")</f>
        <v/>
      </c>
      <c r="G1250" s="5"/>
      <c r="H1250" s="7" t="s">
        <v>2540</v>
      </c>
      <c r="I1250" s="9">
        <v>1124800</v>
      </c>
      <c r="J1250" s="10">
        <v>0.0398</v>
      </c>
    </row>
    <row r="1251" spans="1:10">
      <c r="A1251" s="7" t="s">
        <v>2528</v>
      </c>
      <c r="B1251" s="7" t="s">
        <v>2541</v>
      </c>
      <c r="C1251" s="8">
        <f>QS.CONTEXT.CREATE("market.1249",A1251,"USD","SOFR")</f>
        <v/>
      </c>
      <c r="D1251" s="8">
        <f>QS.CONTEXT.ADD.CURVE(C1251,"SOFR",$K$2:$K$7,$L$2:$L$7,,,"Actual360","LogLinear",TRUE)</f>
        <v/>
      </c>
      <c r="E1251" s="8">
        <f>QS.INSTRUMENT.SWAP("swap.1249",C1251,H1251,B1251,"USD","SOFR",I1251,J1251,0,"Actual360","Simple","Annual","Annual","Annual")</f>
        <v/>
      </c>
      <c r="F1251" s="8">
        <f>QS.TRADE.CREATE("trade.1249",C1251,E1251,A1251,"Receive")</f>
        <v/>
      </c>
      <c r="G1251" s="5"/>
      <c r="H1251" s="7" t="s">
        <v>2542</v>
      </c>
      <c r="I1251" s="9">
        <v>1124900</v>
      </c>
      <c r="J1251" s="10">
        <v>0.0399</v>
      </c>
    </row>
    <row r="1252" spans="1:10">
      <c r="A1252" s="7" t="s">
        <v>2530</v>
      </c>
      <c r="B1252" s="7" t="s">
        <v>2543</v>
      </c>
      <c r="C1252" s="8">
        <f>QS.CONTEXT.CREATE("market.1250",A1252,"USD","SOFR")</f>
        <v/>
      </c>
      <c r="D1252" s="8">
        <f>QS.CONTEXT.ADD.CURVE(C1252,"SOFR",$K$2:$K$7,$L$2:$L$7,,,"Actual360","LogLinear",TRUE)</f>
        <v/>
      </c>
      <c r="E1252" s="8">
        <f>QS.INSTRUMENT.SWAP("swap.1250",C1252,H1252,B1252,"USD","SOFR",I1252,J1252,0,"Actual360","Simple","Annual","Annual","Annual")</f>
        <v/>
      </c>
      <c r="F1252" s="8">
        <f>QS.TRADE.CREATE("trade.1250",C1252,E1252,A1252,"Receive")</f>
        <v/>
      </c>
      <c r="G1252" s="5"/>
      <c r="H1252" s="7" t="s">
        <v>2544</v>
      </c>
      <c r="I1252" s="9">
        <v>1125000</v>
      </c>
      <c r="J1252" s="10">
        <v>0.035</v>
      </c>
    </row>
    <row r="1253" spans="1:10">
      <c r="A1253" s="7" t="s">
        <v>2532</v>
      </c>
      <c r="B1253" s="7" t="s">
        <v>2545</v>
      </c>
      <c r="C1253" s="8">
        <f>QS.CONTEXT.CREATE("market.1251",A1253,"USD","SOFR")</f>
        <v/>
      </c>
      <c r="D1253" s="8">
        <f>QS.CONTEXT.ADD.CURVE(C1253,"SOFR",$K$2:$K$7,$L$2:$L$7,,,"Actual360","LogLinear",TRUE)</f>
        <v/>
      </c>
      <c r="E1253" s="8">
        <f>QS.INSTRUMENT.SWAP("swap.1251",C1253,H1253,B1253,"USD","SOFR",I1253,J1253,0,"Actual360","Simple","Annual","Annual","Annual")</f>
        <v/>
      </c>
      <c r="F1253" s="8">
        <f>QS.TRADE.CREATE("trade.1251",C1253,E1253,A1253,"Receive")</f>
        <v/>
      </c>
      <c r="G1253" s="5"/>
      <c r="H1253" s="7" t="s">
        <v>2546</v>
      </c>
      <c r="I1253" s="9">
        <v>1125100</v>
      </c>
      <c r="J1253" s="10">
        <v>0.03510000000000001</v>
      </c>
    </row>
    <row r="1254" spans="1:10">
      <c r="A1254" s="7" t="s">
        <v>2534</v>
      </c>
      <c r="B1254" s="7" t="s">
        <v>2547</v>
      </c>
      <c r="C1254" s="8">
        <f>QS.CONTEXT.CREATE("market.1252",A1254,"USD","SOFR")</f>
        <v/>
      </c>
      <c r="D1254" s="8">
        <f>QS.CONTEXT.ADD.CURVE(C1254,"SOFR",$K$2:$K$7,$L$2:$L$7,,,"Actual360","LogLinear",TRUE)</f>
        <v/>
      </c>
      <c r="E1254" s="8">
        <f>QS.INSTRUMENT.SWAP("swap.1252",C1254,H1254,B1254,"USD","SOFR",I1254,J1254,0,"Actual360","Simple","Annual","Annual","Annual")</f>
        <v/>
      </c>
      <c r="F1254" s="8">
        <f>QS.TRADE.CREATE("trade.1252",C1254,E1254,A1254,"Receive")</f>
        <v/>
      </c>
      <c r="G1254" s="5"/>
      <c r="H1254" s="7" t="s">
        <v>2548</v>
      </c>
      <c r="I1254" s="9">
        <v>1125200</v>
      </c>
      <c r="J1254" s="10">
        <v>0.0352</v>
      </c>
    </row>
    <row r="1255" spans="1:10">
      <c r="A1255" s="7" t="s">
        <v>2536</v>
      </c>
      <c r="B1255" s="7" t="s">
        <v>2549</v>
      </c>
      <c r="C1255" s="8">
        <f>QS.CONTEXT.CREATE("market.1253",A1255,"USD","SOFR")</f>
        <v/>
      </c>
      <c r="D1255" s="8">
        <f>QS.CONTEXT.ADD.CURVE(C1255,"SOFR",$K$2:$K$7,$L$2:$L$7,,,"Actual360","LogLinear",TRUE)</f>
        <v/>
      </c>
      <c r="E1255" s="8">
        <f>QS.INSTRUMENT.SWAP("swap.1253",C1255,H1255,B1255,"USD","SOFR",I1255,J1255,0,"Actual360","Simple","Annual","Annual","Annual")</f>
        <v/>
      </c>
      <c r="F1255" s="8">
        <f>QS.TRADE.CREATE("trade.1253",C1255,E1255,A1255,"Receive")</f>
        <v/>
      </c>
      <c r="G1255" s="5"/>
      <c r="H1255" s="7" t="s">
        <v>2550</v>
      </c>
      <c r="I1255" s="9">
        <v>1125300</v>
      </c>
      <c r="J1255" s="10">
        <v>0.0353</v>
      </c>
    </row>
    <row r="1256" spans="1:10">
      <c r="A1256" s="7" t="s">
        <v>2538</v>
      </c>
      <c r="B1256" s="7" t="s">
        <v>2551</v>
      </c>
      <c r="C1256" s="8">
        <f>QS.CONTEXT.CREATE("market.1254",A1256,"USD","SOFR")</f>
        <v/>
      </c>
      <c r="D1256" s="8">
        <f>QS.CONTEXT.ADD.CURVE(C1256,"SOFR",$K$2:$K$7,$L$2:$L$7,,,"Actual360","LogLinear",TRUE)</f>
        <v/>
      </c>
      <c r="E1256" s="8">
        <f>QS.INSTRUMENT.SWAP("swap.1254",C1256,H1256,B1256,"USD","SOFR",I1256,J1256,0,"Actual360","Simple","Annual","Annual","Annual")</f>
        <v/>
      </c>
      <c r="F1256" s="8">
        <f>QS.TRADE.CREATE("trade.1254",C1256,E1256,A1256,"Receive")</f>
        <v/>
      </c>
      <c r="G1256" s="5"/>
      <c r="H1256" s="7" t="s">
        <v>2552</v>
      </c>
      <c r="I1256" s="9">
        <v>1125400</v>
      </c>
      <c r="J1256" s="10">
        <v>0.0354</v>
      </c>
    </row>
    <row r="1257" spans="1:10">
      <c r="A1257" s="7" t="s">
        <v>2540</v>
      </c>
      <c r="B1257" s="7" t="s">
        <v>2553</v>
      </c>
      <c r="C1257" s="8">
        <f>QS.CONTEXT.CREATE("market.1255",A1257,"USD","SOFR")</f>
        <v/>
      </c>
      <c r="D1257" s="8">
        <f>QS.CONTEXT.ADD.CURVE(C1257,"SOFR",$K$2:$K$7,$L$2:$L$7,,,"Actual360","LogLinear",TRUE)</f>
        <v/>
      </c>
      <c r="E1257" s="8">
        <f>QS.INSTRUMENT.SWAP("swap.1255",C1257,H1257,B1257,"USD","SOFR",I1257,J1257,0,"Actual360","Simple","Annual","Annual","Annual")</f>
        <v/>
      </c>
      <c r="F1257" s="8">
        <f>QS.TRADE.CREATE("trade.1255",C1257,E1257,A1257,"Receive")</f>
        <v/>
      </c>
      <c r="G1257" s="5"/>
      <c r="H1257" s="7" t="s">
        <v>2554</v>
      </c>
      <c r="I1257" s="9">
        <v>1125500</v>
      </c>
      <c r="J1257" s="10">
        <v>0.0355</v>
      </c>
    </row>
    <row r="1258" spans="1:10">
      <c r="A1258" s="7" t="s">
        <v>2542</v>
      </c>
      <c r="B1258" s="7" t="s">
        <v>2555</v>
      </c>
      <c r="C1258" s="8">
        <f>QS.CONTEXT.CREATE("market.1256",A1258,"USD","SOFR")</f>
        <v/>
      </c>
      <c r="D1258" s="8">
        <f>QS.CONTEXT.ADD.CURVE(C1258,"SOFR",$K$2:$K$7,$L$2:$L$7,,,"Actual360","LogLinear",TRUE)</f>
        <v/>
      </c>
      <c r="E1258" s="8">
        <f>QS.INSTRUMENT.SWAP("swap.1256",C1258,H1258,B1258,"USD","SOFR",I1258,J1258,0,"Actual360","Simple","Annual","Annual","Annual")</f>
        <v/>
      </c>
      <c r="F1258" s="8">
        <f>QS.TRADE.CREATE("trade.1256",C1258,E1258,A1258,"Receive")</f>
        <v/>
      </c>
      <c r="G1258" s="5"/>
      <c r="H1258" s="7" t="s">
        <v>2556</v>
      </c>
      <c r="I1258" s="9">
        <v>1125600</v>
      </c>
      <c r="J1258" s="10">
        <v>0.03560000000000001</v>
      </c>
    </row>
    <row r="1259" spans="1:10">
      <c r="A1259" s="7" t="s">
        <v>2544</v>
      </c>
      <c r="B1259" s="7" t="s">
        <v>2557</v>
      </c>
      <c r="C1259" s="8">
        <f>QS.CONTEXT.CREATE("market.1257",A1259,"USD","SOFR")</f>
        <v/>
      </c>
      <c r="D1259" s="8">
        <f>QS.CONTEXT.ADD.CURVE(C1259,"SOFR",$K$2:$K$7,$L$2:$L$7,,,"Actual360","LogLinear",TRUE)</f>
        <v/>
      </c>
      <c r="E1259" s="8">
        <f>QS.INSTRUMENT.SWAP("swap.1257",C1259,H1259,B1259,"USD","SOFR",I1259,J1259,0,"Actual360","Simple","Annual","Annual","Annual")</f>
        <v/>
      </c>
      <c r="F1259" s="8">
        <f>QS.TRADE.CREATE("trade.1257",C1259,E1259,A1259,"Receive")</f>
        <v/>
      </c>
      <c r="G1259" s="5"/>
      <c r="H1259" s="7" t="s">
        <v>2558</v>
      </c>
      <c r="I1259" s="9">
        <v>1125700</v>
      </c>
      <c r="J1259" s="10">
        <v>0.0357</v>
      </c>
    </row>
    <row r="1260" spans="1:10">
      <c r="A1260" s="7" t="s">
        <v>2546</v>
      </c>
      <c r="B1260" s="7" t="s">
        <v>2559</v>
      </c>
      <c r="C1260" s="8">
        <f>QS.CONTEXT.CREATE("market.1258",A1260,"USD","SOFR")</f>
        <v/>
      </c>
      <c r="D1260" s="8">
        <f>QS.CONTEXT.ADD.CURVE(C1260,"SOFR",$K$2:$K$7,$L$2:$L$7,,,"Actual360","LogLinear",TRUE)</f>
        <v/>
      </c>
      <c r="E1260" s="8">
        <f>QS.INSTRUMENT.SWAP("swap.1258",C1260,H1260,B1260,"USD","SOFR",I1260,J1260,0,"Actual360","Simple","Annual","Annual","Annual")</f>
        <v/>
      </c>
      <c r="F1260" s="8">
        <f>QS.TRADE.CREATE("trade.1258",C1260,E1260,A1260,"Receive")</f>
        <v/>
      </c>
      <c r="G1260" s="5"/>
      <c r="H1260" s="7" t="s">
        <v>2560</v>
      </c>
      <c r="I1260" s="9">
        <v>1125800</v>
      </c>
      <c r="J1260" s="10">
        <v>0.03580000000000001</v>
      </c>
    </row>
    <row r="1261" spans="1:10">
      <c r="A1261" s="7" t="s">
        <v>2548</v>
      </c>
      <c r="B1261" s="7" t="s">
        <v>2561</v>
      </c>
      <c r="C1261" s="8">
        <f>QS.CONTEXT.CREATE("market.1259",A1261,"USD","SOFR")</f>
        <v/>
      </c>
      <c r="D1261" s="8">
        <f>QS.CONTEXT.ADD.CURVE(C1261,"SOFR",$K$2:$K$7,$L$2:$L$7,,,"Actual360","LogLinear",TRUE)</f>
        <v/>
      </c>
      <c r="E1261" s="8">
        <f>QS.INSTRUMENT.SWAP("swap.1259",C1261,H1261,B1261,"USD","SOFR",I1261,J1261,0,"Actual360","Simple","Annual","Annual","Annual")</f>
        <v/>
      </c>
      <c r="F1261" s="8">
        <f>QS.TRADE.CREATE("trade.1259",C1261,E1261,A1261,"Receive")</f>
        <v/>
      </c>
      <c r="G1261" s="5"/>
      <c r="H1261" s="7" t="s">
        <v>2562</v>
      </c>
      <c r="I1261" s="9">
        <v>1125900</v>
      </c>
      <c r="J1261" s="10">
        <v>0.0359</v>
      </c>
    </row>
    <row r="1262" spans="1:10">
      <c r="A1262" s="7" t="s">
        <v>2550</v>
      </c>
      <c r="B1262" s="7" t="s">
        <v>2563</v>
      </c>
      <c r="C1262" s="8">
        <f>QS.CONTEXT.CREATE("market.1260",A1262,"USD","SOFR")</f>
        <v/>
      </c>
      <c r="D1262" s="8">
        <f>QS.CONTEXT.ADD.CURVE(C1262,"SOFR",$K$2:$K$7,$L$2:$L$7,,,"Actual360","LogLinear",TRUE)</f>
        <v/>
      </c>
      <c r="E1262" s="8">
        <f>QS.INSTRUMENT.SWAP("swap.1260",C1262,H1262,B1262,"USD","SOFR",I1262,J1262,0,"Actual360","Simple","Annual","Annual","Annual")</f>
        <v/>
      </c>
      <c r="F1262" s="8">
        <f>QS.TRADE.CREATE("trade.1260",C1262,E1262,A1262,"Receive")</f>
        <v/>
      </c>
      <c r="G1262" s="5"/>
      <c r="H1262" s="7" t="s">
        <v>2564</v>
      </c>
      <c r="I1262" s="9">
        <v>1126000</v>
      </c>
      <c r="J1262" s="10">
        <v>0.036</v>
      </c>
    </row>
    <row r="1263" spans="1:10">
      <c r="A1263" s="7" t="s">
        <v>2552</v>
      </c>
      <c r="B1263" s="7" t="s">
        <v>2565</v>
      </c>
      <c r="C1263" s="8">
        <f>QS.CONTEXT.CREATE("market.1261",A1263,"USD","SOFR")</f>
        <v/>
      </c>
      <c r="D1263" s="8">
        <f>QS.CONTEXT.ADD.CURVE(C1263,"SOFR",$K$2:$K$7,$L$2:$L$7,,,"Actual360","LogLinear",TRUE)</f>
        <v/>
      </c>
      <c r="E1263" s="8">
        <f>QS.INSTRUMENT.SWAP("swap.1261",C1263,H1263,B1263,"USD","SOFR",I1263,J1263,0,"Actual360","Simple","Annual","Annual","Annual")</f>
        <v/>
      </c>
      <c r="F1263" s="8">
        <f>QS.TRADE.CREATE("trade.1261",C1263,E1263,A1263,"Receive")</f>
        <v/>
      </c>
      <c r="G1263" s="5"/>
      <c r="H1263" s="7" t="s">
        <v>2566</v>
      </c>
      <c r="I1263" s="9">
        <v>1126100</v>
      </c>
      <c r="J1263" s="10">
        <v>0.0361</v>
      </c>
    </row>
    <row r="1264" spans="1:10">
      <c r="A1264" s="7" t="s">
        <v>2554</v>
      </c>
      <c r="B1264" s="7" t="s">
        <v>2567</v>
      </c>
      <c r="C1264" s="8">
        <f>QS.CONTEXT.CREATE("market.1262",A1264,"USD","SOFR")</f>
        <v/>
      </c>
      <c r="D1264" s="8">
        <f>QS.CONTEXT.ADD.CURVE(C1264,"SOFR",$K$2:$K$7,$L$2:$L$7,,,"Actual360","LogLinear",TRUE)</f>
        <v/>
      </c>
      <c r="E1264" s="8">
        <f>QS.INSTRUMENT.SWAP("swap.1262",C1264,H1264,B1264,"USD","SOFR",I1264,J1264,0,"Actual360","Simple","Annual","Annual","Annual")</f>
        <v/>
      </c>
      <c r="F1264" s="8">
        <f>QS.TRADE.CREATE("trade.1262",C1264,E1264,A1264,"Receive")</f>
        <v/>
      </c>
      <c r="G1264" s="5"/>
      <c r="H1264" s="7" t="s">
        <v>2568</v>
      </c>
      <c r="I1264" s="9">
        <v>1126200</v>
      </c>
      <c r="J1264" s="10">
        <v>0.0362</v>
      </c>
    </row>
    <row r="1265" spans="1:10">
      <c r="A1265" s="7" t="s">
        <v>2556</v>
      </c>
      <c r="B1265" s="7" t="s">
        <v>2569</v>
      </c>
      <c r="C1265" s="8">
        <f>QS.CONTEXT.CREATE("market.1263",A1265,"USD","SOFR")</f>
        <v/>
      </c>
      <c r="D1265" s="8">
        <f>QS.CONTEXT.ADD.CURVE(C1265,"SOFR",$K$2:$K$7,$L$2:$L$7,,,"Actual360","LogLinear",TRUE)</f>
        <v/>
      </c>
      <c r="E1265" s="8">
        <f>QS.INSTRUMENT.SWAP("swap.1263",C1265,H1265,B1265,"USD","SOFR",I1265,J1265,0,"Actual360","Simple","Annual","Annual","Annual")</f>
        <v/>
      </c>
      <c r="F1265" s="8">
        <f>QS.TRADE.CREATE("trade.1263",C1265,E1265,A1265,"Receive")</f>
        <v/>
      </c>
      <c r="G1265" s="5"/>
      <c r="H1265" s="7" t="s">
        <v>2570</v>
      </c>
      <c r="I1265" s="9">
        <v>1126300</v>
      </c>
      <c r="J1265" s="10">
        <v>0.03630000000000001</v>
      </c>
    </row>
    <row r="1266" spans="1:10">
      <c r="A1266" s="7" t="s">
        <v>2558</v>
      </c>
      <c r="B1266" s="7" t="s">
        <v>2571</v>
      </c>
      <c r="C1266" s="8">
        <f>QS.CONTEXT.CREATE("market.1264",A1266,"USD","SOFR")</f>
        <v/>
      </c>
      <c r="D1266" s="8">
        <f>QS.CONTEXT.ADD.CURVE(C1266,"SOFR",$K$2:$K$7,$L$2:$L$7,,,"Actual360","LogLinear",TRUE)</f>
        <v/>
      </c>
      <c r="E1266" s="8">
        <f>QS.INSTRUMENT.SWAP("swap.1264",C1266,H1266,B1266,"USD","SOFR",I1266,J1266,0,"Actual360","Simple","Annual","Annual","Annual")</f>
        <v/>
      </c>
      <c r="F1266" s="8">
        <f>QS.TRADE.CREATE("trade.1264",C1266,E1266,A1266,"Receive")</f>
        <v/>
      </c>
      <c r="G1266" s="5"/>
      <c r="H1266" s="7" t="s">
        <v>2572</v>
      </c>
      <c r="I1266" s="9">
        <v>1126400</v>
      </c>
      <c r="J1266" s="10">
        <v>0.0364</v>
      </c>
    </row>
    <row r="1267" spans="1:10">
      <c r="A1267" s="7" t="s">
        <v>2560</v>
      </c>
      <c r="B1267" s="7" t="s">
        <v>2573</v>
      </c>
      <c r="C1267" s="8">
        <f>QS.CONTEXT.CREATE("market.1265",A1267,"USD","SOFR")</f>
        <v/>
      </c>
      <c r="D1267" s="8">
        <f>QS.CONTEXT.ADD.CURVE(C1267,"SOFR",$K$2:$K$7,$L$2:$L$7,,,"Actual360","LogLinear",TRUE)</f>
        <v/>
      </c>
      <c r="E1267" s="8">
        <f>QS.INSTRUMENT.SWAP("swap.1265",C1267,H1267,B1267,"USD","SOFR",I1267,J1267,0,"Actual360","Simple","Annual","Annual","Annual")</f>
        <v/>
      </c>
      <c r="F1267" s="8">
        <f>QS.TRADE.CREATE("trade.1265",C1267,E1267,A1267,"Receive")</f>
        <v/>
      </c>
      <c r="G1267" s="5"/>
      <c r="H1267" s="7" t="s">
        <v>2574</v>
      </c>
      <c r="I1267" s="9">
        <v>1126500</v>
      </c>
      <c r="J1267" s="10">
        <v>0.0365</v>
      </c>
    </row>
    <row r="1268" spans="1:10">
      <c r="A1268" s="7" t="s">
        <v>2562</v>
      </c>
      <c r="B1268" s="7" t="s">
        <v>2575</v>
      </c>
      <c r="C1268" s="8">
        <f>QS.CONTEXT.CREATE("market.1266",A1268,"USD","SOFR")</f>
        <v/>
      </c>
      <c r="D1268" s="8">
        <f>QS.CONTEXT.ADD.CURVE(C1268,"SOFR",$K$2:$K$7,$L$2:$L$7,,,"Actual360","LogLinear",TRUE)</f>
        <v/>
      </c>
      <c r="E1268" s="8">
        <f>QS.INSTRUMENT.SWAP("swap.1266",C1268,H1268,B1268,"USD","SOFR",I1268,J1268,0,"Actual360","Simple","Annual","Annual","Annual")</f>
        <v/>
      </c>
      <c r="F1268" s="8">
        <f>QS.TRADE.CREATE("trade.1266",C1268,E1268,A1268,"Receive")</f>
        <v/>
      </c>
      <c r="G1268" s="5"/>
      <c r="H1268" s="7" t="s">
        <v>2576</v>
      </c>
      <c r="I1268" s="9">
        <v>1126600</v>
      </c>
      <c r="J1268" s="10">
        <v>0.0366</v>
      </c>
    </row>
    <row r="1269" spans="1:10">
      <c r="A1269" s="7" t="s">
        <v>2564</v>
      </c>
      <c r="B1269" s="7" t="s">
        <v>2577</v>
      </c>
      <c r="C1269" s="8">
        <f>QS.CONTEXT.CREATE("market.1267",A1269,"USD","SOFR")</f>
        <v/>
      </c>
      <c r="D1269" s="8">
        <f>QS.CONTEXT.ADD.CURVE(C1269,"SOFR",$K$2:$K$7,$L$2:$L$7,,,"Actual360","LogLinear",TRUE)</f>
        <v/>
      </c>
      <c r="E1269" s="8">
        <f>QS.INSTRUMENT.SWAP("swap.1267",C1269,H1269,B1269,"USD","SOFR",I1269,J1269,0,"Actual360","Simple","Annual","Annual","Annual")</f>
        <v/>
      </c>
      <c r="F1269" s="8">
        <f>QS.TRADE.CREATE("trade.1267",C1269,E1269,A1269,"Receive")</f>
        <v/>
      </c>
      <c r="G1269" s="5"/>
      <c r="H1269" s="7" t="s">
        <v>2578</v>
      </c>
      <c r="I1269" s="9">
        <v>1126700</v>
      </c>
      <c r="J1269" s="10">
        <v>0.0367</v>
      </c>
    </row>
    <row r="1270" spans="1:10">
      <c r="A1270" s="7" t="s">
        <v>2566</v>
      </c>
      <c r="B1270" s="7" t="s">
        <v>2579</v>
      </c>
      <c r="C1270" s="8">
        <f>QS.CONTEXT.CREATE("market.1268",A1270,"USD","SOFR")</f>
        <v/>
      </c>
      <c r="D1270" s="8">
        <f>QS.CONTEXT.ADD.CURVE(C1270,"SOFR",$K$2:$K$7,$L$2:$L$7,,,"Actual360","LogLinear",TRUE)</f>
        <v/>
      </c>
      <c r="E1270" s="8">
        <f>QS.INSTRUMENT.SWAP("swap.1268",C1270,H1270,B1270,"USD","SOFR",I1270,J1270,0,"Actual360","Simple","Annual","Annual","Annual")</f>
        <v/>
      </c>
      <c r="F1270" s="8">
        <f>QS.TRADE.CREATE("trade.1268",C1270,E1270,A1270,"Receive")</f>
        <v/>
      </c>
      <c r="G1270" s="5"/>
      <c r="H1270" s="7" t="s">
        <v>2580</v>
      </c>
      <c r="I1270" s="9">
        <v>1126800</v>
      </c>
      <c r="J1270" s="10">
        <v>0.03680000000000001</v>
      </c>
    </row>
    <row r="1271" spans="1:10">
      <c r="A1271" s="7" t="s">
        <v>2568</v>
      </c>
      <c r="B1271" s="7" t="s">
        <v>2581</v>
      </c>
      <c r="C1271" s="8">
        <f>QS.CONTEXT.CREATE("market.1269",A1271,"USD","SOFR")</f>
        <v/>
      </c>
      <c r="D1271" s="8">
        <f>QS.CONTEXT.ADD.CURVE(C1271,"SOFR",$K$2:$K$7,$L$2:$L$7,,,"Actual360","LogLinear",TRUE)</f>
        <v/>
      </c>
      <c r="E1271" s="8">
        <f>QS.INSTRUMENT.SWAP("swap.1269",C1271,H1271,B1271,"USD","SOFR",I1271,J1271,0,"Actual360","Simple","Annual","Annual","Annual")</f>
        <v/>
      </c>
      <c r="F1271" s="8">
        <f>QS.TRADE.CREATE("trade.1269",C1271,E1271,A1271,"Receive")</f>
        <v/>
      </c>
      <c r="G1271" s="5"/>
      <c r="H1271" s="7" t="s">
        <v>2582</v>
      </c>
      <c r="I1271" s="9">
        <v>1126900</v>
      </c>
      <c r="J1271" s="10">
        <v>0.0369</v>
      </c>
    </row>
    <row r="1272" spans="1:10">
      <c r="A1272" s="7" t="s">
        <v>2570</v>
      </c>
      <c r="B1272" s="7" t="s">
        <v>2583</v>
      </c>
      <c r="C1272" s="8">
        <f>QS.CONTEXT.CREATE("market.1270",A1272,"USD","SOFR")</f>
        <v/>
      </c>
      <c r="D1272" s="8">
        <f>QS.CONTEXT.ADD.CURVE(C1272,"SOFR",$K$2:$K$7,$L$2:$L$7,,,"Actual360","LogLinear",TRUE)</f>
        <v/>
      </c>
      <c r="E1272" s="8">
        <f>QS.INSTRUMENT.SWAP("swap.1270",C1272,H1272,B1272,"USD","SOFR",I1272,J1272,0,"Actual360","Simple","Annual","Annual","Annual")</f>
        <v/>
      </c>
      <c r="F1272" s="8">
        <f>QS.TRADE.CREATE("trade.1270",C1272,E1272,A1272,"Receive")</f>
        <v/>
      </c>
      <c r="G1272" s="5"/>
      <c r="H1272" s="7" t="s">
        <v>2584</v>
      </c>
      <c r="I1272" s="9">
        <v>1127000</v>
      </c>
      <c r="J1272" s="10">
        <v>0.03700000000000001</v>
      </c>
    </row>
    <row r="1273" spans="1:10">
      <c r="A1273" s="7" t="s">
        <v>2572</v>
      </c>
      <c r="B1273" s="7" t="s">
        <v>2585</v>
      </c>
      <c r="C1273" s="8">
        <f>QS.CONTEXT.CREATE("market.1271",A1273,"USD","SOFR")</f>
        <v/>
      </c>
      <c r="D1273" s="8">
        <f>QS.CONTEXT.ADD.CURVE(C1273,"SOFR",$K$2:$K$7,$L$2:$L$7,,,"Actual360","LogLinear",TRUE)</f>
        <v/>
      </c>
      <c r="E1273" s="8">
        <f>QS.INSTRUMENT.SWAP("swap.1271",C1273,H1273,B1273,"USD","SOFR",I1273,J1273,0,"Actual360","Simple","Annual","Annual","Annual")</f>
        <v/>
      </c>
      <c r="F1273" s="8">
        <f>QS.TRADE.CREATE("trade.1271",C1273,E1273,A1273,"Receive")</f>
        <v/>
      </c>
      <c r="G1273" s="5"/>
      <c r="H1273" s="7" t="s">
        <v>2586</v>
      </c>
      <c r="I1273" s="9">
        <v>1127100</v>
      </c>
      <c r="J1273" s="10">
        <v>0.0371</v>
      </c>
    </row>
    <row r="1274" spans="1:10">
      <c r="A1274" s="7" t="s">
        <v>2574</v>
      </c>
      <c r="B1274" s="7" t="s">
        <v>2587</v>
      </c>
      <c r="C1274" s="8">
        <f>QS.CONTEXT.CREATE("market.1272",A1274,"USD","SOFR")</f>
        <v/>
      </c>
      <c r="D1274" s="8">
        <f>QS.CONTEXT.ADD.CURVE(C1274,"SOFR",$K$2:$K$7,$L$2:$L$7,,,"Actual360","LogLinear",TRUE)</f>
        <v/>
      </c>
      <c r="E1274" s="8">
        <f>QS.INSTRUMENT.SWAP("swap.1272",C1274,H1274,B1274,"USD","SOFR",I1274,J1274,0,"Actual360","Simple","Annual","Annual","Annual")</f>
        <v/>
      </c>
      <c r="F1274" s="8">
        <f>QS.TRADE.CREATE("trade.1272",C1274,E1274,A1274,"Receive")</f>
        <v/>
      </c>
      <c r="G1274" s="5"/>
      <c r="H1274" s="7" t="s">
        <v>2588</v>
      </c>
      <c r="I1274" s="9">
        <v>1127200</v>
      </c>
      <c r="J1274" s="10">
        <v>0.0372</v>
      </c>
    </row>
    <row r="1275" spans="1:10">
      <c r="A1275" s="7" t="s">
        <v>2576</v>
      </c>
      <c r="B1275" s="7" t="s">
        <v>2589</v>
      </c>
      <c r="C1275" s="8">
        <f>QS.CONTEXT.CREATE("market.1273",A1275,"USD","SOFR")</f>
        <v/>
      </c>
      <c r="D1275" s="8">
        <f>QS.CONTEXT.ADD.CURVE(C1275,"SOFR",$K$2:$K$7,$L$2:$L$7,,,"Actual360","LogLinear",TRUE)</f>
        <v/>
      </c>
      <c r="E1275" s="8">
        <f>QS.INSTRUMENT.SWAP("swap.1273",C1275,H1275,B1275,"USD","SOFR",I1275,J1275,0,"Actual360","Simple","Annual","Annual","Annual")</f>
        <v/>
      </c>
      <c r="F1275" s="8">
        <f>QS.TRADE.CREATE("trade.1273",C1275,E1275,A1275,"Receive")</f>
        <v/>
      </c>
      <c r="G1275" s="5"/>
      <c r="H1275" s="7" t="s">
        <v>2590</v>
      </c>
      <c r="I1275" s="9">
        <v>1127300</v>
      </c>
      <c r="J1275" s="10">
        <v>0.0373</v>
      </c>
    </row>
    <row r="1276" spans="1:10">
      <c r="A1276" s="7" t="s">
        <v>2578</v>
      </c>
      <c r="B1276" s="7" t="s">
        <v>2591</v>
      </c>
      <c r="C1276" s="8">
        <f>QS.CONTEXT.CREATE("market.1274",A1276,"USD","SOFR")</f>
        <v/>
      </c>
      <c r="D1276" s="8">
        <f>QS.CONTEXT.ADD.CURVE(C1276,"SOFR",$K$2:$K$7,$L$2:$L$7,,,"Actual360","LogLinear",TRUE)</f>
        <v/>
      </c>
      <c r="E1276" s="8">
        <f>QS.INSTRUMENT.SWAP("swap.1274",C1276,H1276,B1276,"USD","SOFR",I1276,J1276,0,"Actual360","Simple","Annual","Annual","Annual")</f>
        <v/>
      </c>
      <c r="F1276" s="8">
        <f>QS.TRADE.CREATE("trade.1274",C1276,E1276,A1276,"Receive")</f>
        <v/>
      </c>
      <c r="G1276" s="5"/>
      <c r="H1276" s="7" t="s">
        <v>2592</v>
      </c>
      <c r="I1276" s="9">
        <v>1127400</v>
      </c>
      <c r="J1276" s="10">
        <v>0.0374</v>
      </c>
    </row>
    <row r="1277" spans="1:10">
      <c r="A1277" s="7" t="s">
        <v>2580</v>
      </c>
      <c r="B1277" s="7" t="s">
        <v>2593</v>
      </c>
      <c r="C1277" s="8">
        <f>QS.CONTEXT.CREATE("market.1275",A1277,"USD","SOFR")</f>
        <v/>
      </c>
      <c r="D1277" s="8">
        <f>QS.CONTEXT.ADD.CURVE(C1277,"SOFR",$K$2:$K$7,$L$2:$L$7,,,"Actual360","LogLinear",TRUE)</f>
        <v/>
      </c>
      <c r="E1277" s="8">
        <f>QS.INSTRUMENT.SWAP("swap.1275",C1277,H1277,B1277,"USD","SOFR",I1277,J1277,0,"Actual360","Simple","Annual","Annual","Annual")</f>
        <v/>
      </c>
      <c r="F1277" s="8">
        <f>QS.TRADE.CREATE("trade.1275",C1277,E1277,A1277,"Receive")</f>
        <v/>
      </c>
      <c r="G1277" s="5"/>
      <c r="H1277" s="7" t="s">
        <v>2594</v>
      </c>
      <c r="I1277" s="9">
        <v>1127500</v>
      </c>
      <c r="J1277" s="10">
        <v>0.03750000000000001</v>
      </c>
    </row>
    <row r="1278" spans="1:10">
      <c r="A1278" s="7" t="s">
        <v>2582</v>
      </c>
      <c r="B1278" s="7" t="s">
        <v>2595</v>
      </c>
      <c r="C1278" s="8">
        <f>QS.CONTEXT.CREATE("market.1276",A1278,"USD","SOFR")</f>
        <v/>
      </c>
      <c r="D1278" s="8">
        <f>QS.CONTEXT.ADD.CURVE(C1278,"SOFR",$K$2:$K$7,$L$2:$L$7,,,"Actual360","LogLinear",TRUE)</f>
        <v/>
      </c>
      <c r="E1278" s="8">
        <f>QS.INSTRUMENT.SWAP("swap.1276",C1278,H1278,B1278,"USD","SOFR",I1278,J1278,0,"Actual360","Simple","Annual","Annual","Annual")</f>
        <v/>
      </c>
      <c r="F1278" s="8">
        <f>QS.TRADE.CREATE("trade.1276",C1278,E1278,A1278,"Receive")</f>
        <v/>
      </c>
      <c r="G1278" s="5"/>
      <c r="H1278" s="7" t="s">
        <v>2596</v>
      </c>
      <c r="I1278" s="9">
        <v>1127600</v>
      </c>
      <c r="J1278" s="10">
        <v>0.0376</v>
      </c>
    </row>
    <row r="1279" spans="1:10">
      <c r="A1279" s="7" t="s">
        <v>2584</v>
      </c>
      <c r="B1279" s="7" t="s">
        <v>2597</v>
      </c>
      <c r="C1279" s="8">
        <f>QS.CONTEXT.CREATE("market.1277",A1279,"USD","SOFR")</f>
        <v/>
      </c>
      <c r="D1279" s="8">
        <f>QS.CONTEXT.ADD.CURVE(C1279,"SOFR",$K$2:$K$7,$L$2:$L$7,,,"Actual360","LogLinear",TRUE)</f>
        <v/>
      </c>
      <c r="E1279" s="8">
        <f>QS.INSTRUMENT.SWAP("swap.1277",C1279,H1279,B1279,"USD","SOFR",I1279,J1279,0,"Actual360","Simple","Annual","Annual","Annual")</f>
        <v/>
      </c>
      <c r="F1279" s="8">
        <f>QS.TRADE.CREATE("trade.1277",C1279,E1279,A1279,"Receive")</f>
        <v/>
      </c>
      <c r="G1279" s="5"/>
      <c r="H1279" s="7" t="s">
        <v>2598</v>
      </c>
      <c r="I1279" s="9">
        <v>1127700</v>
      </c>
      <c r="J1279" s="10">
        <v>0.0377</v>
      </c>
    </row>
    <row r="1280" spans="1:10">
      <c r="A1280" s="7" t="s">
        <v>2586</v>
      </c>
      <c r="B1280" s="7" t="s">
        <v>2599</v>
      </c>
      <c r="C1280" s="8">
        <f>QS.CONTEXT.CREATE("market.1278",A1280,"USD","SOFR")</f>
        <v/>
      </c>
      <c r="D1280" s="8">
        <f>QS.CONTEXT.ADD.CURVE(C1280,"SOFR",$K$2:$K$7,$L$2:$L$7,,,"Actual360","LogLinear",TRUE)</f>
        <v/>
      </c>
      <c r="E1280" s="8">
        <f>QS.INSTRUMENT.SWAP("swap.1278",C1280,H1280,B1280,"USD","SOFR",I1280,J1280,0,"Actual360","Simple","Annual","Annual","Annual")</f>
        <v/>
      </c>
      <c r="F1280" s="8">
        <f>QS.TRADE.CREATE("trade.1278",C1280,E1280,A1280,"Receive")</f>
        <v/>
      </c>
      <c r="G1280" s="5"/>
      <c r="H1280" s="7" t="s">
        <v>2600</v>
      </c>
      <c r="I1280" s="9">
        <v>1127800</v>
      </c>
      <c r="J1280" s="10">
        <v>0.0378</v>
      </c>
    </row>
    <row r="1281" spans="1:10">
      <c r="A1281" s="7" t="s">
        <v>2588</v>
      </c>
      <c r="B1281" s="7" t="s">
        <v>2601</v>
      </c>
      <c r="C1281" s="8">
        <f>QS.CONTEXT.CREATE("market.1279",A1281,"USD","SOFR")</f>
        <v/>
      </c>
      <c r="D1281" s="8">
        <f>QS.CONTEXT.ADD.CURVE(C1281,"SOFR",$K$2:$K$7,$L$2:$L$7,,,"Actual360","LogLinear",TRUE)</f>
        <v/>
      </c>
      <c r="E1281" s="8">
        <f>QS.INSTRUMENT.SWAP("swap.1279",C1281,H1281,B1281,"USD","SOFR",I1281,J1281,0,"Actual360","Simple","Annual","Annual","Annual")</f>
        <v/>
      </c>
      <c r="F1281" s="8">
        <f>QS.TRADE.CREATE("trade.1279",C1281,E1281,A1281,"Receive")</f>
        <v/>
      </c>
      <c r="G1281" s="5"/>
      <c r="H1281" s="7" t="s">
        <v>2602</v>
      </c>
      <c r="I1281" s="9">
        <v>1127900</v>
      </c>
      <c r="J1281" s="10">
        <v>0.0379</v>
      </c>
    </row>
    <row r="1282" spans="1:10">
      <c r="A1282" s="7" t="s">
        <v>2590</v>
      </c>
      <c r="B1282" s="7" t="s">
        <v>2603</v>
      </c>
      <c r="C1282" s="8">
        <f>QS.CONTEXT.CREATE("market.1280",A1282,"USD","SOFR")</f>
        <v/>
      </c>
      <c r="D1282" s="8">
        <f>QS.CONTEXT.ADD.CURVE(C1282,"SOFR",$K$2:$K$7,$L$2:$L$7,,,"Actual360","LogLinear",TRUE)</f>
        <v/>
      </c>
      <c r="E1282" s="8">
        <f>QS.INSTRUMENT.SWAP("swap.1280",C1282,H1282,B1282,"USD","SOFR",I1282,J1282,0,"Actual360","Simple","Annual","Annual","Annual")</f>
        <v/>
      </c>
      <c r="F1282" s="8">
        <f>QS.TRADE.CREATE("trade.1280",C1282,E1282,A1282,"Receive")</f>
        <v/>
      </c>
      <c r="G1282" s="5"/>
      <c r="H1282" s="7" t="s">
        <v>2604</v>
      </c>
      <c r="I1282" s="9">
        <v>1128000</v>
      </c>
      <c r="J1282" s="10">
        <v>0.03800000000000001</v>
      </c>
    </row>
    <row r="1283" spans="1:10">
      <c r="A1283" s="7" t="s">
        <v>2592</v>
      </c>
      <c r="B1283" s="7" t="s">
        <v>2605</v>
      </c>
      <c r="C1283" s="8">
        <f>QS.CONTEXT.CREATE("market.1281",A1283,"USD","SOFR")</f>
        <v/>
      </c>
      <c r="D1283" s="8">
        <f>QS.CONTEXT.ADD.CURVE(C1283,"SOFR",$K$2:$K$7,$L$2:$L$7,,,"Actual360","LogLinear",TRUE)</f>
        <v/>
      </c>
      <c r="E1283" s="8">
        <f>QS.INSTRUMENT.SWAP("swap.1281",C1283,H1283,B1283,"USD","SOFR",I1283,J1283,0,"Actual360","Simple","Annual","Annual","Annual")</f>
        <v/>
      </c>
      <c r="F1283" s="8">
        <f>QS.TRADE.CREATE("trade.1281",C1283,E1283,A1283,"Receive")</f>
        <v/>
      </c>
      <c r="G1283" s="5"/>
      <c r="H1283" s="7" t="s">
        <v>2606</v>
      </c>
      <c r="I1283" s="9">
        <v>1128100</v>
      </c>
      <c r="J1283" s="10">
        <v>0.0381</v>
      </c>
    </row>
    <row r="1284" spans="1:10">
      <c r="A1284" s="7" t="s">
        <v>2594</v>
      </c>
      <c r="B1284" s="7" t="s">
        <v>2607</v>
      </c>
      <c r="C1284" s="8">
        <f>QS.CONTEXT.CREATE("market.1282",A1284,"USD","SOFR")</f>
        <v/>
      </c>
      <c r="D1284" s="8">
        <f>QS.CONTEXT.ADD.CURVE(C1284,"SOFR",$K$2:$K$7,$L$2:$L$7,,,"Actual360","LogLinear",TRUE)</f>
        <v/>
      </c>
      <c r="E1284" s="8">
        <f>QS.INSTRUMENT.SWAP("swap.1282",C1284,H1284,B1284,"USD","SOFR",I1284,J1284,0,"Actual360","Simple","Annual","Annual","Annual")</f>
        <v/>
      </c>
      <c r="F1284" s="8">
        <f>QS.TRADE.CREATE("trade.1282",C1284,E1284,A1284,"Receive")</f>
        <v/>
      </c>
      <c r="G1284" s="5"/>
      <c r="H1284" s="7" t="s">
        <v>2608</v>
      </c>
      <c r="I1284" s="9">
        <v>1128200</v>
      </c>
      <c r="J1284" s="10">
        <v>0.0382</v>
      </c>
    </row>
    <row r="1285" spans="1:10">
      <c r="A1285" s="7" t="s">
        <v>2596</v>
      </c>
      <c r="B1285" s="7" t="s">
        <v>2609</v>
      </c>
      <c r="C1285" s="8">
        <f>QS.CONTEXT.CREATE("market.1283",A1285,"USD","SOFR")</f>
        <v/>
      </c>
      <c r="D1285" s="8">
        <f>QS.CONTEXT.ADD.CURVE(C1285,"SOFR",$K$2:$K$7,$L$2:$L$7,,,"Actual360","LogLinear",TRUE)</f>
        <v/>
      </c>
      <c r="E1285" s="8">
        <f>QS.INSTRUMENT.SWAP("swap.1283",C1285,H1285,B1285,"USD","SOFR",I1285,J1285,0,"Actual360","Simple","Annual","Annual","Annual")</f>
        <v/>
      </c>
      <c r="F1285" s="8">
        <f>QS.TRADE.CREATE("trade.1283",C1285,E1285,A1285,"Receive")</f>
        <v/>
      </c>
      <c r="G1285" s="5"/>
      <c r="H1285" s="7" t="s">
        <v>2610</v>
      </c>
      <c r="I1285" s="9">
        <v>1128300</v>
      </c>
      <c r="J1285" s="10">
        <v>0.0383</v>
      </c>
    </row>
    <row r="1286" spans="1:10">
      <c r="A1286" s="7" t="s">
        <v>2598</v>
      </c>
      <c r="B1286" s="7" t="s">
        <v>2611</v>
      </c>
      <c r="C1286" s="8">
        <f>QS.CONTEXT.CREATE("market.1284",A1286,"USD","SOFR")</f>
        <v/>
      </c>
      <c r="D1286" s="8">
        <f>QS.CONTEXT.ADD.CURVE(C1286,"SOFR",$K$2:$K$7,$L$2:$L$7,,,"Actual360","LogLinear",TRUE)</f>
        <v/>
      </c>
      <c r="E1286" s="8">
        <f>QS.INSTRUMENT.SWAP("swap.1284",C1286,H1286,B1286,"USD","SOFR",I1286,J1286,0,"Actual360","Simple","Annual","Annual","Annual")</f>
        <v/>
      </c>
      <c r="F1286" s="8">
        <f>QS.TRADE.CREATE("trade.1284",C1286,E1286,A1286,"Receive")</f>
        <v/>
      </c>
      <c r="G1286" s="5"/>
      <c r="H1286" s="7" t="s">
        <v>2612</v>
      </c>
      <c r="I1286" s="9">
        <v>1128400</v>
      </c>
      <c r="J1286" s="10">
        <v>0.0384</v>
      </c>
    </row>
    <row r="1287" spans="1:10">
      <c r="A1287" s="7" t="s">
        <v>2600</v>
      </c>
      <c r="B1287" s="7" t="s">
        <v>2613</v>
      </c>
      <c r="C1287" s="8">
        <f>QS.CONTEXT.CREATE("market.1285",A1287,"USD","SOFR")</f>
        <v/>
      </c>
      <c r="D1287" s="8">
        <f>QS.CONTEXT.ADD.CURVE(C1287,"SOFR",$K$2:$K$7,$L$2:$L$7,,,"Actual360","LogLinear",TRUE)</f>
        <v/>
      </c>
      <c r="E1287" s="8">
        <f>QS.INSTRUMENT.SWAP("swap.1285",C1287,H1287,B1287,"USD","SOFR",I1287,J1287,0,"Actual360","Simple","Annual","Annual","Annual")</f>
        <v/>
      </c>
      <c r="F1287" s="8">
        <f>QS.TRADE.CREATE("trade.1285",C1287,E1287,A1287,"Receive")</f>
        <v/>
      </c>
      <c r="G1287" s="5"/>
      <c r="H1287" s="7" t="s">
        <v>2614</v>
      </c>
      <c r="I1287" s="9">
        <v>1128500</v>
      </c>
      <c r="J1287" s="10">
        <v>0.03850000000000001</v>
      </c>
    </row>
    <row r="1288" spans="1:10">
      <c r="A1288" s="7" t="s">
        <v>2602</v>
      </c>
      <c r="B1288" s="7" t="s">
        <v>2615</v>
      </c>
      <c r="C1288" s="8">
        <f>QS.CONTEXT.CREATE("market.1286",A1288,"USD","SOFR")</f>
        <v/>
      </c>
      <c r="D1288" s="8">
        <f>QS.CONTEXT.ADD.CURVE(C1288,"SOFR",$K$2:$K$7,$L$2:$L$7,,,"Actual360","LogLinear",TRUE)</f>
        <v/>
      </c>
      <c r="E1288" s="8">
        <f>QS.INSTRUMENT.SWAP("swap.1286",C1288,H1288,B1288,"USD","SOFR",I1288,J1288,0,"Actual360","Simple","Annual","Annual","Annual")</f>
        <v/>
      </c>
      <c r="F1288" s="8">
        <f>QS.TRADE.CREATE("trade.1286",C1288,E1288,A1288,"Receive")</f>
        <v/>
      </c>
      <c r="G1288" s="5"/>
      <c r="H1288" s="7" t="s">
        <v>2616</v>
      </c>
      <c r="I1288" s="9">
        <v>1128600</v>
      </c>
      <c r="J1288" s="10">
        <v>0.0386</v>
      </c>
    </row>
    <row r="1289" spans="1:10">
      <c r="A1289" s="7" t="s">
        <v>2604</v>
      </c>
      <c r="B1289" s="7" t="s">
        <v>2617</v>
      </c>
      <c r="C1289" s="8">
        <f>QS.CONTEXT.CREATE("market.1287",A1289,"USD","SOFR")</f>
        <v/>
      </c>
      <c r="D1289" s="8">
        <f>QS.CONTEXT.ADD.CURVE(C1289,"SOFR",$K$2:$K$7,$L$2:$L$7,,,"Actual360","LogLinear",TRUE)</f>
        <v/>
      </c>
      <c r="E1289" s="8">
        <f>QS.INSTRUMENT.SWAP("swap.1287",C1289,H1289,B1289,"USD","SOFR",I1289,J1289,0,"Actual360","Simple","Annual","Annual","Annual")</f>
        <v/>
      </c>
      <c r="F1289" s="8">
        <f>QS.TRADE.CREATE("trade.1287",C1289,E1289,A1289,"Receive")</f>
        <v/>
      </c>
      <c r="G1289" s="5"/>
      <c r="H1289" s="7" t="s">
        <v>2618</v>
      </c>
      <c r="I1289" s="9">
        <v>1128700</v>
      </c>
      <c r="J1289" s="10">
        <v>0.03870000000000001</v>
      </c>
    </row>
    <row r="1290" spans="1:10">
      <c r="A1290" s="7" t="s">
        <v>2606</v>
      </c>
      <c r="B1290" s="7" t="s">
        <v>2619</v>
      </c>
      <c r="C1290" s="8">
        <f>QS.CONTEXT.CREATE("market.1288",A1290,"USD","SOFR")</f>
        <v/>
      </c>
      <c r="D1290" s="8">
        <f>QS.CONTEXT.ADD.CURVE(C1290,"SOFR",$K$2:$K$7,$L$2:$L$7,,,"Actual360","LogLinear",TRUE)</f>
        <v/>
      </c>
      <c r="E1290" s="8">
        <f>QS.INSTRUMENT.SWAP("swap.1288",C1290,H1290,B1290,"USD","SOFR",I1290,J1290,0,"Actual360","Simple","Annual","Annual","Annual")</f>
        <v/>
      </c>
      <c r="F1290" s="8">
        <f>QS.TRADE.CREATE("trade.1288",C1290,E1290,A1290,"Receive")</f>
        <v/>
      </c>
      <c r="G1290" s="5"/>
      <c r="H1290" s="7" t="s">
        <v>2620</v>
      </c>
      <c r="I1290" s="9">
        <v>1128800</v>
      </c>
      <c r="J1290" s="10">
        <v>0.0388</v>
      </c>
    </row>
    <row r="1291" spans="1:10">
      <c r="A1291" s="7" t="s">
        <v>2608</v>
      </c>
      <c r="B1291" s="7" t="s">
        <v>2621</v>
      </c>
      <c r="C1291" s="8">
        <f>QS.CONTEXT.CREATE("market.1289",A1291,"USD","SOFR")</f>
        <v/>
      </c>
      <c r="D1291" s="8">
        <f>QS.CONTEXT.ADD.CURVE(C1291,"SOFR",$K$2:$K$7,$L$2:$L$7,,,"Actual360","LogLinear",TRUE)</f>
        <v/>
      </c>
      <c r="E1291" s="8">
        <f>QS.INSTRUMENT.SWAP("swap.1289",C1291,H1291,B1291,"USD","SOFR",I1291,J1291,0,"Actual360","Simple","Annual","Annual","Annual")</f>
        <v/>
      </c>
      <c r="F1291" s="8">
        <f>QS.TRADE.CREATE("trade.1289",C1291,E1291,A1291,"Receive")</f>
        <v/>
      </c>
      <c r="G1291" s="5"/>
      <c r="H1291" s="7" t="s">
        <v>2622</v>
      </c>
      <c r="I1291" s="9">
        <v>1128900</v>
      </c>
      <c r="J1291" s="10">
        <v>0.0389</v>
      </c>
    </row>
    <row r="1292" spans="1:10">
      <c r="A1292" s="7" t="s">
        <v>2610</v>
      </c>
      <c r="B1292" s="7" t="s">
        <v>2623</v>
      </c>
      <c r="C1292" s="8">
        <f>QS.CONTEXT.CREATE("market.1290",A1292,"USD","SOFR")</f>
        <v/>
      </c>
      <c r="D1292" s="8">
        <f>QS.CONTEXT.ADD.CURVE(C1292,"SOFR",$K$2:$K$7,$L$2:$L$7,,,"Actual360","LogLinear",TRUE)</f>
        <v/>
      </c>
      <c r="E1292" s="8">
        <f>QS.INSTRUMENT.SWAP("swap.1290",C1292,H1292,B1292,"USD","SOFR",I1292,J1292,0,"Actual360","Simple","Annual","Annual","Annual")</f>
        <v/>
      </c>
      <c r="F1292" s="8">
        <f>QS.TRADE.CREATE("trade.1290",C1292,E1292,A1292,"Receive")</f>
        <v/>
      </c>
      <c r="G1292" s="5"/>
      <c r="H1292" s="7" t="s">
        <v>2624</v>
      </c>
      <c r="I1292" s="9">
        <v>1129000</v>
      </c>
      <c r="J1292" s="10">
        <v>0.03900000000000001</v>
      </c>
    </row>
    <row r="1293" spans="1:10">
      <c r="A1293" s="7" t="s">
        <v>2612</v>
      </c>
      <c r="B1293" s="7" t="s">
        <v>2625</v>
      </c>
      <c r="C1293" s="8">
        <f>QS.CONTEXT.CREATE("market.1291",A1293,"USD","SOFR")</f>
        <v/>
      </c>
      <c r="D1293" s="8">
        <f>QS.CONTEXT.ADD.CURVE(C1293,"SOFR",$K$2:$K$7,$L$2:$L$7,,,"Actual360","LogLinear",TRUE)</f>
        <v/>
      </c>
      <c r="E1293" s="8">
        <f>QS.INSTRUMENT.SWAP("swap.1291",C1293,H1293,B1293,"USD","SOFR",I1293,J1293,0,"Actual360","Simple","Annual","Annual","Annual")</f>
        <v/>
      </c>
      <c r="F1293" s="8">
        <f>QS.TRADE.CREATE("trade.1291",C1293,E1293,A1293,"Receive")</f>
        <v/>
      </c>
      <c r="G1293" s="5"/>
      <c r="H1293" s="7" t="s">
        <v>2626</v>
      </c>
      <c r="I1293" s="9">
        <v>1129100</v>
      </c>
      <c r="J1293" s="10">
        <v>0.0391</v>
      </c>
    </row>
    <row r="1294" spans="1:10">
      <c r="A1294" s="7" t="s">
        <v>2614</v>
      </c>
      <c r="B1294" s="7" t="s">
        <v>2627</v>
      </c>
      <c r="C1294" s="8">
        <f>QS.CONTEXT.CREATE("market.1292",A1294,"USD","SOFR")</f>
        <v/>
      </c>
      <c r="D1294" s="8">
        <f>QS.CONTEXT.ADD.CURVE(C1294,"SOFR",$K$2:$K$7,$L$2:$L$7,,,"Actual360","LogLinear",TRUE)</f>
        <v/>
      </c>
      <c r="E1294" s="8">
        <f>QS.INSTRUMENT.SWAP("swap.1292",C1294,H1294,B1294,"USD","SOFR",I1294,J1294,0,"Actual360","Simple","Annual","Annual","Annual")</f>
        <v/>
      </c>
      <c r="F1294" s="8">
        <f>QS.TRADE.CREATE("trade.1292",C1294,E1294,A1294,"Receive")</f>
        <v/>
      </c>
      <c r="G1294" s="5"/>
      <c r="H1294" s="7" t="s">
        <v>2628</v>
      </c>
      <c r="I1294" s="9">
        <v>1129200</v>
      </c>
      <c r="J1294" s="10">
        <v>0.03920000000000001</v>
      </c>
    </row>
    <row r="1295" spans="1:10">
      <c r="A1295" s="7" t="s">
        <v>2616</v>
      </c>
      <c r="B1295" s="7" t="s">
        <v>2629</v>
      </c>
      <c r="C1295" s="8">
        <f>QS.CONTEXT.CREATE("market.1293",A1295,"USD","SOFR")</f>
        <v/>
      </c>
      <c r="D1295" s="8">
        <f>QS.CONTEXT.ADD.CURVE(C1295,"SOFR",$K$2:$K$7,$L$2:$L$7,,,"Actual360","LogLinear",TRUE)</f>
        <v/>
      </c>
      <c r="E1295" s="8">
        <f>QS.INSTRUMENT.SWAP("swap.1293",C1295,H1295,B1295,"USD","SOFR",I1295,J1295,0,"Actual360","Simple","Annual","Annual","Annual")</f>
        <v/>
      </c>
      <c r="F1295" s="8">
        <f>QS.TRADE.CREATE("trade.1293",C1295,E1295,A1295,"Receive")</f>
        <v/>
      </c>
      <c r="G1295" s="5"/>
      <c r="H1295" s="7" t="s">
        <v>2630</v>
      </c>
      <c r="I1295" s="9">
        <v>1129300</v>
      </c>
      <c r="J1295" s="10">
        <v>0.0393</v>
      </c>
    </row>
    <row r="1296" spans="1:10">
      <c r="A1296" s="7" t="s">
        <v>2618</v>
      </c>
      <c r="B1296" s="7" t="s">
        <v>2631</v>
      </c>
      <c r="C1296" s="8">
        <f>QS.CONTEXT.CREATE("market.1294",A1296,"USD","SOFR")</f>
        <v/>
      </c>
      <c r="D1296" s="8">
        <f>QS.CONTEXT.ADD.CURVE(C1296,"SOFR",$K$2:$K$7,$L$2:$L$7,,,"Actual360","LogLinear",TRUE)</f>
        <v/>
      </c>
      <c r="E1296" s="8">
        <f>QS.INSTRUMENT.SWAP("swap.1294",C1296,H1296,B1296,"USD","SOFR",I1296,J1296,0,"Actual360","Simple","Annual","Annual","Annual")</f>
        <v/>
      </c>
      <c r="F1296" s="8">
        <f>QS.TRADE.CREATE("trade.1294",C1296,E1296,A1296,"Receive")</f>
        <v/>
      </c>
      <c r="G1296" s="5"/>
      <c r="H1296" s="7" t="s">
        <v>2632</v>
      </c>
      <c r="I1296" s="9">
        <v>1129400</v>
      </c>
      <c r="J1296" s="10">
        <v>0.0394</v>
      </c>
    </row>
    <row r="1297" spans="1:10">
      <c r="A1297" s="7" t="s">
        <v>2620</v>
      </c>
      <c r="B1297" s="7" t="s">
        <v>2633</v>
      </c>
      <c r="C1297" s="8">
        <f>QS.CONTEXT.CREATE("market.1295",A1297,"USD","SOFR")</f>
        <v/>
      </c>
      <c r="D1297" s="8">
        <f>QS.CONTEXT.ADD.CURVE(C1297,"SOFR",$K$2:$K$7,$L$2:$L$7,,,"Actual360","LogLinear",TRUE)</f>
        <v/>
      </c>
      <c r="E1297" s="8">
        <f>QS.INSTRUMENT.SWAP("swap.1295",C1297,H1297,B1297,"USD","SOFR",I1297,J1297,0,"Actual360","Simple","Annual","Annual","Annual")</f>
        <v/>
      </c>
      <c r="F1297" s="8">
        <f>QS.TRADE.CREATE("trade.1295",C1297,E1297,A1297,"Receive")</f>
        <v/>
      </c>
      <c r="G1297" s="5"/>
      <c r="H1297" s="7" t="s">
        <v>2634</v>
      </c>
      <c r="I1297" s="9">
        <v>1129500</v>
      </c>
      <c r="J1297" s="10">
        <v>0.03950000000000001</v>
      </c>
    </row>
    <row r="1298" spans="1:10">
      <c r="A1298" s="7" t="s">
        <v>2622</v>
      </c>
      <c r="B1298" s="7" t="s">
        <v>2635</v>
      </c>
      <c r="C1298" s="8">
        <f>QS.CONTEXT.CREATE("market.1296",A1298,"USD","SOFR")</f>
        <v/>
      </c>
      <c r="D1298" s="8">
        <f>QS.CONTEXT.ADD.CURVE(C1298,"SOFR",$K$2:$K$7,$L$2:$L$7,,,"Actual360","LogLinear",TRUE)</f>
        <v/>
      </c>
      <c r="E1298" s="8">
        <f>QS.INSTRUMENT.SWAP("swap.1296",C1298,H1298,B1298,"USD","SOFR",I1298,J1298,0,"Actual360","Simple","Annual","Annual","Annual")</f>
        <v/>
      </c>
      <c r="F1298" s="8">
        <f>QS.TRADE.CREATE("trade.1296",C1298,E1298,A1298,"Receive")</f>
        <v/>
      </c>
      <c r="G1298" s="5"/>
      <c r="H1298" s="7" t="s">
        <v>2636</v>
      </c>
      <c r="I1298" s="9">
        <v>1129600</v>
      </c>
      <c r="J1298" s="10">
        <v>0.0396</v>
      </c>
    </row>
    <row r="1299" spans="1:10">
      <c r="A1299" s="7" t="s">
        <v>2624</v>
      </c>
      <c r="B1299" s="7" t="s">
        <v>2637</v>
      </c>
      <c r="C1299" s="8">
        <f>QS.CONTEXT.CREATE("market.1297",A1299,"USD","SOFR")</f>
        <v/>
      </c>
      <c r="D1299" s="8">
        <f>QS.CONTEXT.ADD.CURVE(C1299,"SOFR",$K$2:$K$7,$L$2:$L$7,,,"Actual360","LogLinear",TRUE)</f>
        <v/>
      </c>
      <c r="E1299" s="8">
        <f>QS.INSTRUMENT.SWAP("swap.1297",C1299,H1299,B1299,"USD","SOFR",I1299,J1299,0,"Actual360","Simple","Annual","Annual","Annual")</f>
        <v/>
      </c>
      <c r="F1299" s="8">
        <f>QS.TRADE.CREATE("trade.1297",C1299,E1299,A1299,"Receive")</f>
        <v/>
      </c>
      <c r="G1299" s="5"/>
      <c r="H1299" s="7" t="s">
        <v>2638</v>
      </c>
      <c r="I1299" s="9">
        <v>1129700</v>
      </c>
      <c r="J1299" s="10">
        <v>0.03970000000000001</v>
      </c>
    </row>
    <row r="1300" spans="1:10">
      <c r="A1300" s="7" t="s">
        <v>2626</v>
      </c>
      <c r="B1300" s="7" t="s">
        <v>2639</v>
      </c>
      <c r="C1300" s="8">
        <f>QS.CONTEXT.CREATE("market.1298",A1300,"USD","SOFR")</f>
        <v/>
      </c>
      <c r="D1300" s="8">
        <f>QS.CONTEXT.ADD.CURVE(C1300,"SOFR",$K$2:$K$7,$L$2:$L$7,,,"Actual360","LogLinear",TRUE)</f>
        <v/>
      </c>
      <c r="E1300" s="8">
        <f>QS.INSTRUMENT.SWAP("swap.1298",C1300,H1300,B1300,"USD","SOFR",I1300,J1300,0,"Actual360","Simple","Annual","Annual","Annual")</f>
        <v/>
      </c>
      <c r="F1300" s="8">
        <f>QS.TRADE.CREATE("trade.1298",C1300,E1300,A1300,"Receive")</f>
        <v/>
      </c>
      <c r="G1300" s="5"/>
      <c r="H1300" s="7" t="s">
        <v>2640</v>
      </c>
      <c r="I1300" s="9">
        <v>1129800</v>
      </c>
      <c r="J1300" s="10">
        <v>0.0398</v>
      </c>
    </row>
    <row r="1301" spans="1:10">
      <c r="A1301" s="7" t="s">
        <v>2628</v>
      </c>
      <c r="B1301" s="7" t="s">
        <v>2641</v>
      </c>
      <c r="C1301" s="8">
        <f>QS.CONTEXT.CREATE("market.1299",A1301,"USD","SOFR")</f>
        <v/>
      </c>
      <c r="D1301" s="8">
        <f>QS.CONTEXT.ADD.CURVE(C1301,"SOFR",$K$2:$K$7,$L$2:$L$7,,,"Actual360","LogLinear",TRUE)</f>
        <v/>
      </c>
      <c r="E1301" s="8">
        <f>QS.INSTRUMENT.SWAP("swap.1299",C1301,H1301,B1301,"USD","SOFR",I1301,J1301,0,"Actual360","Simple","Annual","Annual","Annual")</f>
        <v/>
      </c>
      <c r="F1301" s="8">
        <f>QS.TRADE.CREATE("trade.1299",C1301,E1301,A1301,"Receive")</f>
        <v/>
      </c>
      <c r="G1301" s="5"/>
      <c r="H1301" s="7" t="s">
        <v>2642</v>
      </c>
      <c r="I1301" s="9">
        <v>1129900</v>
      </c>
      <c r="J1301" s="10">
        <v>0.0399</v>
      </c>
    </row>
    <row r="1302" spans="1:10">
      <c r="A1302" s="7" t="s">
        <v>2630</v>
      </c>
      <c r="B1302" s="7" t="s">
        <v>2643</v>
      </c>
      <c r="C1302" s="8">
        <f>QS.CONTEXT.CREATE("market.1300",A1302,"USD","SOFR")</f>
        <v/>
      </c>
      <c r="D1302" s="8">
        <f>QS.CONTEXT.ADD.CURVE(C1302,"SOFR",$K$2:$K$7,$L$2:$L$7,,,"Actual360","LogLinear",TRUE)</f>
        <v/>
      </c>
      <c r="E1302" s="8">
        <f>QS.INSTRUMENT.SWAP("swap.1300",C1302,H1302,B1302,"USD","SOFR",I1302,J1302,0,"Actual360","Simple","Annual","Annual","Annual")</f>
        <v/>
      </c>
      <c r="F1302" s="8">
        <f>QS.TRADE.CREATE("trade.1300",C1302,E1302,A1302,"Receive")</f>
        <v/>
      </c>
      <c r="G1302" s="5"/>
      <c r="H1302" s="7" t="s">
        <v>2644</v>
      </c>
      <c r="I1302" s="9">
        <v>1130000</v>
      </c>
      <c r="J1302" s="10">
        <v>0.035</v>
      </c>
    </row>
    <row r="1303" spans="1:10">
      <c r="A1303" s="7" t="s">
        <v>2632</v>
      </c>
      <c r="B1303" s="7" t="s">
        <v>2645</v>
      </c>
      <c r="C1303" s="8">
        <f>QS.CONTEXT.CREATE("market.1301",A1303,"USD","SOFR")</f>
        <v/>
      </c>
      <c r="D1303" s="8">
        <f>QS.CONTEXT.ADD.CURVE(C1303,"SOFR",$K$2:$K$7,$L$2:$L$7,,,"Actual360","LogLinear",TRUE)</f>
        <v/>
      </c>
      <c r="E1303" s="8">
        <f>QS.INSTRUMENT.SWAP("swap.1301",C1303,H1303,B1303,"USD","SOFR",I1303,J1303,0,"Actual360","Simple","Annual","Annual","Annual")</f>
        <v/>
      </c>
      <c r="F1303" s="8">
        <f>QS.TRADE.CREATE("trade.1301",C1303,E1303,A1303,"Receive")</f>
        <v/>
      </c>
      <c r="G1303" s="5"/>
      <c r="H1303" s="7" t="s">
        <v>2646</v>
      </c>
      <c r="I1303" s="9">
        <v>1130100</v>
      </c>
      <c r="J1303" s="10">
        <v>0.03510000000000001</v>
      </c>
    </row>
    <row r="1304" spans="1:10">
      <c r="A1304" s="7" t="s">
        <v>2634</v>
      </c>
      <c r="B1304" s="7" t="s">
        <v>2647</v>
      </c>
      <c r="C1304" s="8">
        <f>QS.CONTEXT.CREATE("market.1302",A1304,"USD","SOFR")</f>
        <v/>
      </c>
      <c r="D1304" s="8">
        <f>QS.CONTEXT.ADD.CURVE(C1304,"SOFR",$K$2:$K$7,$L$2:$L$7,,,"Actual360","LogLinear",TRUE)</f>
        <v/>
      </c>
      <c r="E1304" s="8">
        <f>QS.INSTRUMENT.SWAP("swap.1302",C1304,H1304,B1304,"USD","SOFR",I1304,J1304,0,"Actual360","Simple","Annual","Annual","Annual")</f>
        <v/>
      </c>
      <c r="F1304" s="8">
        <f>QS.TRADE.CREATE("trade.1302",C1304,E1304,A1304,"Receive")</f>
        <v/>
      </c>
      <c r="G1304" s="5"/>
      <c r="H1304" s="7" t="s">
        <v>2648</v>
      </c>
      <c r="I1304" s="9">
        <v>1130200</v>
      </c>
      <c r="J1304" s="10">
        <v>0.0352</v>
      </c>
    </row>
    <row r="1305" spans="1:10">
      <c r="A1305" s="7" t="s">
        <v>2636</v>
      </c>
      <c r="B1305" s="7" t="s">
        <v>2649</v>
      </c>
      <c r="C1305" s="8">
        <f>QS.CONTEXT.CREATE("market.1303",A1305,"USD","SOFR")</f>
        <v/>
      </c>
      <c r="D1305" s="8">
        <f>QS.CONTEXT.ADD.CURVE(C1305,"SOFR",$K$2:$K$7,$L$2:$L$7,,,"Actual360","LogLinear",TRUE)</f>
        <v/>
      </c>
      <c r="E1305" s="8">
        <f>QS.INSTRUMENT.SWAP("swap.1303",C1305,H1305,B1305,"USD","SOFR",I1305,J1305,0,"Actual360","Simple","Annual","Annual","Annual")</f>
        <v/>
      </c>
      <c r="F1305" s="8">
        <f>QS.TRADE.CREATE("trade.1303",C1305,E1305,A1305,"Receive")</f>
        <v/>
      </c>
      <c r="G1305" s="5"/>
      <c r="H1305" s="7" t="s">
        <v>2650</v>
      </c>
      <c r="I1305" s="9">
        <v>1130300</v>
      </c>
      <c r="J1305" s="10">
        <v>0.0353</v>
      </c>
    </row>
    <row r="1306" spans="1:10">
      <c r="A1306" s="7" t="s">
        <v>2638</v>
      </c>
      <c r="B1306" s="7" t="s">
        <v>2651</v>
      </c>
      <c r="C1306" s="8">
        <f>QS.CONTEXT.CREATE("market.1304",A1306,"USD","SOFR")</f>
        <v/>
      </c>
      <c r="D1306" s="8">
        <f>QS.CONTEXT.ADD.CURVE(C1306,"SOFR",$K$2:$K$7,$L$2:$L$7,,,"Actual360","LogLinear",TRUE)</f>
        <v/>
      </c>
      <c r="E1306" s="8">
        <f>QS.INSTRUMENT.SWAP("swap.1304",C1306,H1306,B1306,"USD","SOFR",I1306,J1306,0,"Actual360","Simple","Annual","Annual","Annual")</f>
        <v/>
      </c>
      <c r="F1306" s="8">
        <f>QS.TRADE.CREATE("trade.1304",C1306,E1306,A1306,"Receive")</f>
        <v/>
      </c>
      <c r="G1306" s="5"/>
      <c r="H1306" s="7" t="s">
        <v>2652</v>
      </c>
      <c r="I1306" s="9">
        <v>1130400</v>
      </c>
      <c r="J1306" s="10">
        <v>0.0354</v>
      </c>
    </row>
    <row r="1307" spans="1:10">
      <c r="A1307" s="7" t="s">
        <v>2640</v>
      </c>
      <c r="B1307" s="7" t="s">
        <v>2653</v>
      </c>
      <c r="C1307" s="8">
        <f>QS.CONTEXT.CREATE("market.1305",A1307,"USD","SOFR")</f>
        <v/>
      </c>
      <c r="D1307" s="8">
        <f>QS.CONTEXT.ADD.CURVE(C1307,"SOFR",$K$2:$K$7,$L$2:$L$7,,,"Actual360","LogLinear",TRUE)</f>
        <v/>
      </c>
      <c r="E1307" s="8">
        <f>QS.INSTRUMENT.SWAP("swap.1305",C1307,H1307,B1307,"USD","SOFR",I1307,J1307,0,"Actual360","Simple","Annual","Annual","Annual")</f>
        <v/>
      </c>
      <c r="F1307" s="8">
        <f>QS.TRADE.CREATE("trade.1305",C1307,E1307,A1307,"Receive")</f>
        <v/>
      </c>
      <c r="G1307" s="5"/>
      <c r="H1307" s="7" t="s">
        <v>2654</v>
      </c>
      <c r="I1307" s="9">
        <v>1130500</v>
      </c>
      <c r="J1307" s="10">
        <v>0.0355</v>
      </c>
    </row>
    <row r="1308" spans="1:10">
      <c r="A1308" s="7" t="s">
        <v>2642</v>
      </c>
      <c r="B1308" s="7" t="s">
        <v>2655</v>
      </c>
      <c r="C1308" s="8">
        <f>QS.CONTEXT.CREATE("market.1306",A1308,"USD","SOFR")</f>
        <v/>
      </c>
      <c r="D1308" s="8">
        <f>QS.CONTEXT.ADD.CURVE(C1308,"SOFR",$K$2:$K$7,$L$2:$L$7,,,"Actual360","LogLinear",TRUE)</f>
        <v/>
      </c>
      <c r="E1308" s="8">
        <f>QS.INSTRUMENT.SWAP("swap.1306",C1308,H1308,B1308,"USD","SOFR",I1308,J1308,0,"Actual360","Simple","Annual","Annual","Annual")</f>
        <v/>
      </c>
      <c r="F1308" s="8">
        <f>QS.TRADE.CREATE("trade.1306",C1308,E1308,A1308,"Receive")</f>
        <v/>
      </c>
      <c r="G1308" s="5"/>
      <c r="H1308" s="7" t="s">
        <v>2656</v>
      </c>
      <c r="I1308" s="9">
        <v>1130600</v>
      </c>
      <c r="J1308" s="10">
        <v>0.03560000000000001</v>
      </c>
    </row>
    <row r="1309" spans="1:10">
      <c r="A1309" s="7" t="s">
        <v>2644</v>
      </c>
      <c r="B1309" s="7" t="s">
        <v>2657</v>
      </c>
      <c r="C1309" s="8">
        <f>QS.CONTEXT.CREATE("market.1307",A1309,"USD","SOFR")</f>
        <v/>
      </c>
      <c r="D1309" s="8">
        <f>QS.CONTEXT.ADD.CURVE(C1309,"SOFR",$K$2:$K$7,$L$2:$L$7,,,"Actual360","LogLinear",TRUE)</f>
        <v/>
      </c>
      <c r="E1309" s="8">
        <f>QS.INSTRUMENT.SWAP("swap.1307",C1309,H1309,B1309,"USD","SOFR",I1309,J1309,0,"Actual360","Simple","Annual","Annual","Annual")</f>
        <v/>
      </c>
      <c r="F1309" s="8">
        <f>QS.TRADE.CREATE("trade.1307",C1309,E1309,A1309,"Receive")</f>
        <v/>
      </c>
      <c r="G1309" s="5"/>
      <c r="H1309" s="7" t="s">
        <v>2658</v>
      </c>
      <c r="I1309" s="9">
        <v>1130700</v>
      </c>
      <c r="J1309" s="10">
        <v>0.0357</v>
      </c>
    </row>
    <row r="1310" spans="1:10">
      <c r="A1310" s="7" t="s">
        <v>2646</v>
      </c>
      <c r="B1310" s="7" t="s">
        <v>2659</v>
      </c>
      <c r="C1310" s="8">
        <f>QS.CONTEXT.CREATE("market.1308",A1310,"USD","SOFR")</f>
        <v/>
      </c>
      <c r="D1310" s="8">
        <f>QS.CONTEXT.ADD.CURVE(C1310,"SOFR",$K$2:$K$7,$L$2:$L$7,,,"Actual360","LogLinear",TRUE)</f>
        <v/>
      </c>
      <c r="E1310" s="8">
        <f>QS.INSTRUMENT.SWAP("swap.1308",C1310,H1310,B1310,"USD","SOFR",I1310,J1310,0,"Actual360","Simple","Annual","Annual","Annual")</f>
        <v/>
      </c>
      <c r="F1310" s="8">
        <f>QS.TRADE.CREATE("trade.1308",C1310,E1310,A1310,"Receive")</f>
        <v/>
      </c>
      <c r="G1310" s="5"/>
      <c r="H1310" s="7" t="s">
        <v>2660</v>
      </c>
      <c r="I1310" s="9">
        <v>1130800</v>
      </c>
      <c r="J1310" s="10">
        <v>0.03580000000000001</v>
      </c>
    </row>
    <row r="1311" spans="1:10">
      <c r="A1311" s="7" t="s">
        <v>2648</v>
      </c>
      <c r="B1311" s="7" t="s">
        <v>2661</v>
      </c>
      <c r="C1311" s="8">
        <f>QS.CONTEXT.CREATE("market.1309",A1311,"USD","SOFR")</f>
        <v/>
      </c>
      <c r="D1311" s="8">
        <f>QS.CONTEXT.ADD.CURVE(C1311,"SOFR",$K$2:$K$7,$L$2:$L$7,,,"Actual360","LogLinear",TRUE)</f>
        <v/>
      </c>
      <c r="E1311" s="8">
        <f>QS.INSTRUMENT.SWAP("swap.1309",C1311,H1311,B1311,"USD","SOFR",I1311,J1311,0,"Actual360","Simple","Annual","Annual","Annual")</f>
        <v/>
      </c>
      <c r="F1311" s="8">
        <f>QS.TRADE.CREATE("trade.1309",C1311,E1311,A1311,"Receive")</f>
        <v/>
      </c>
      <c r="G1311" s="5"/>
      <c r="H1311" s="7" t="s">
        <v>2662</v>
      </c>
      <c r="I1311" s="9">
        <v>1130900</v>
      </c>
      <c r="J1311" s="10">
        <v>0.0359</v>
      </c>
    </row>
    <row r="1312" spans="1:10">
      <c r="A1312" s="7" t="s">
        <v>2650</v>
      </c>
      <c r="B1312" s="7" t="s">
        <v>2663</v>
      </c>
      <c r="C1312" s="8">
        <f>QS.CONTEXT.CREATE("market.1310",A1312,"USD","SOFR")</f>
        <v/>
      </c>
      <c r="D1312" s="8">
        <f>QS.CONTEXT.ADD.CURVE(C1312,"SOFR",$K$2:$K$7,$L$2:$L$7,,,"Actual360","LogLinear",TRUE)</f>
        <v/>
      </c>
      <c r="E1312" s="8">
        <f>QS.INSTRUMENT.SWAP("swap.1310",C1312,H1312,B1312,"USD","SOFR",I1312,J1312,0,"Actual360","Simple","Annual","Annual","Annual")</f>
        <v/>
      </c>
      <c r="F1312" s="8">
        <f>QS.TRADE.CREATE("trade.1310",C1312,E1312,A1312,"Receive")</f>
        <v/>
      </c>
      <c r="G1312" s="5"/>
      <c r="H1312" s="7" t="s">
        <v>2664</v>
      </c>
      <c r="I1312" s="9">
        <v>1131000</v>
      </c>
      <c r="J1312" s="10">
        <v>0.036</v>
      </c>
    </row>
    <row r="1313" spans="1:10">
      <c r="A1313" s="7" t="s">
        <v>2652</v>
      </c>
      <c r="B1313" s="7" t="s">
        <v>2665</v>
      </c>
      <c r="C1313" s="8">
        <f>QS.CONTEXT.CREATE("market.1311",A1313,"USD","SOFR")</f>
        <v/>
      </c>
      <c r="D1313" s="8">
        <f>QS.CONTEXT.ADD.CURVE(C1313,"SOFR",$K$2:$K$7,$L$2:$L$7,,,"Actual360","LogLinear",TRUE)</f>
        <v/>
      </c>
      <c r="E1313" s="8">
        <f>QS.INSTRUMENT.SWAP("swap.1311",C1313,H1313,B1313,"USD","SOFR",I1313,J1313,0,"Actual360","Simple","Annual","Annual","Annual")</f>
        <v/>
      </c>
      <c r="F1313" s="8">
        <f>QS.TRADE.CREATE("trade.1311",C1313,E1313,A1313,"Receive")</f>
        <v/>
      </c>
      <c r="G1313" s="5"/>
      <c r="H1313" s="7" t="s">
        <v>2666</v>
      </c>
      <c r="I1313" s="9">
        <v>1131100</v>
      </c>
      <c r="J1313" s="10">
        <v>0.0361</v>
      </c>
    </row>
    <row r="1314" spans="1:10">
      <c r="A1314" s="7" t="s">
        <v>2654</v>
      </c>
      <c r="B1314" s="7" t="s">
        <v>2667</v>
      </c>
      <c r="C1314" s="8">
        <f>QS.CONTEXT.CREATE("market.1312",A1314,"USD","SOFR")</f>
        <v/>
      </c>
      <c r="D1314" s="8">
        <f>QS.CONTEXT.ADD.CURVE(C1314,"SOFR",$K$2:$K$7,$L$2:$L$7,,,"Actual360","LogLinear",TRUE)</f>
        <v/>
      </c>
      <c r="E1314" s="8">
        <f>QS.INSTRUMENT.SWAP("swap.1312",C1314,H1314,B1314,"USD","SOFR",I1314,J1314,0,"Actual360","Simple","Annual","Annual","Annual")</f>
        <v/>
      </c>
      <c r="F1314" s="8">
        <f>QS.TRADE.CREATE("trade.1312",C1314,E1314,A1314,"Receive")</f>
        <v/>
      </c>
      <c r="G1314" s="5"/>
      <c r="H1314" s="7" t="s">
        <v>2668</v>
      </c>
      <c r="I1314" s="9">
        <v>1131200</v>
      </c>
      <c r="J1314" s="10">
        <v>0.0362</v>
      </c>
    </row>
    <row r="1315" spans="1:10">
      <c r="A1315" s="7" t="s">
        <v>2656</v>
      </c>
      <c r="B1315" s="7" t="s">
        <v>2669</v>
      </c>
      <c r="C1315" s="8">
        <f>QS.CONTEXT.CREATE("market.1313",A1315,"USD","SOFR")</f>
        <v/>
      </c>
      <c r="D1315" s="8">
        <f>QS.CONTEXT.ADD.CURVE(C1315,"SOFR",$K$2:$K$7,$L$2:$L$7,,,"Actual360","LogLinear",TRUE)</f>
        <v/>
      </c>
      <c r="E1315" s="8">
        <f>QS.INSTRUMENT.SWAP("swap.1313",C1315,H1315,B1315,"USD","SOFR",I1315,J1315,0,"Actual360","Simple","Annual","Annual","Annual")</f>
        <v/>
      </c>
      <c r="F1315" s="8">
        <f>QS.TRADE.CREATE("trade.1313",C1315,E1315,A1315,"Receive")</f>
        <v/>
      </c>
      <c r="G1315" s="5"/>
      <c r="H1315" s="7" t="s">
        <v>2670</v>
      </c>
      <c r="I1315" s="9">
        <v>1131300</v>
      </c>
      <c r="J1315" s="10">
        <v>0.03630000000000001</v>
      </c>
    </row>
    <row r="1316" spans="1:10">
      <c r="A1316" s="7" t="s">
        <v>2658</v>
      </c>
      <c r="B1316" s="7" t="s">
        <v>2671</v>
      </c>
      <c r="C1316" s="8">
        <f>QS.CONTEXT.CREATE("market.1314",A1316,"USD","SOFR")</f>
        <v/>
      </c>
      <c r="D1316" s="8">
        <f>QS.CONTEXT.ADD.CURVE(C1316,"SOFR",$K$2:$K$7,$L$2:$L$7,,,"Actual360","LogLinear",TRUE)</f>
        <v/>
      </c>
      <c r="E1316" s="8">
        <f>QS.INSTRUMENT.SWAP("swap.1314",C1316,H1316,B1316,"USD","SOFR",I1316,J1316,0,"Actual360","Simple","Annual","Annual","Annual")</f>
        <v/>
      </c>
      <c r="F1316" s="8">
        <f>QS.TRADE.CREATE("trade.1314",C1316,E1316,A1316,"Receive")</f>
        <v/>
      </c>
      <c r="G1316" s="5"/>
      <c r="H1316" s="7" t="s">
        <v>2672</v>
      </c>
      <c r="I1316" s="9">
        <v>1131400</v>
      </c>
      <c r="J1316" s="10">
        <v>0.0364</v>
      </c>
    </row>
    <row r="1317" spans="1:10">
      <c r="A1317" s="7" t="s">
        <v>2660</v>
      </c>
      <c r="B1317" s="7" t="s">
        <v>2673</v>
      </c>
      <c r="C1317" s="8">
        <f>QS.CONTEXT.CREATE("market.1315",A1317,"USD","SOFR")</f>
        <v/>
      </c>
      <c r="D1317" s="8">
        <f>QS.CONTEXT.ADD.CURVE(C1317,"SOFR",$K$2:$K$7,$L$2:$L$7,,,"Actual360","LogLinear",TRUE)</f>
        <v/>
      </c>
      <c r="E1317" s="8">
        <f>QS.INSTRUMENT.SWAP("swap.1315",C1317,H1317,B1317,"USD","SOFR",I1317,J1317,0,"Actual360","Simple","Annual","Annual","Annual")</f>
        <v/>
      </c>
      <c r="F1317" s="8">
        <f>QS.TRADE.CREATE("trade.1315",C1317,E1317,A1317,"Receive")</f>
        <v/>
      </c>
      <c r="G1317" s="5"/>
      <c r="H1317" s="7" t="s">
        <v>2674</v>
      </c>
      <c r="I1317" s="9">
        <v>1131500</v>
      </c>
      <c r="J1317" s="10">
        <v>0.0365</v>
      </c>
    </row>
    <row r="1318" spans="1:10">
      <c r="A1318" s="7" t="s">
        <v>2662</v>
      </c>
      <c r="B1318" s="7" t="s">
        <v>2675</v>
      </c>
      <c r="C1318" s="8">
        <f>QS.CONTEXT.CREATE("market.1316",A1318,"USD","SOFR")</f>
        <v/>
      </c>
      <c r="D1318" s="8">
        <f>QS.CONTEXT.ADD.CURVE(C1318,"SOFR",$K$2:$K$7,$L$2:$L$7,,,"Actual360","LogLinear",TRUE)</f>
        <v/>
      </c>
      <c r="E1318" s="8">
        <f>QS.INSTRUMENT.SWAP("swap.1316",C1318,H1318,B1318,"USD","SOFR",I1318,J1318,0,"Actual360","Simple","Annual","Annual","Annual")</f>
        <v/>
      </c>
      <c r="F1318" s="8">
        <f>QS.TRADE.CREATE("trade.1316",C1318,E1318,A1318,"Receive")</f>
        <v/>
      </c>
      <c r="G1318" s="5"/>
      <c r="H1318" s="7" t="s">
        <v>2676</v>
      </c>
      <c r="I1318" s="9">
        <v>1131600</v>
      </c>
      <c r="J1318" s="10">
        <v>0.0366</v>
      </c>
    </row>
    <row r="1319" spans="1:10">
      <c r="A1319" s="7" t="s">
        <v>2664</v>
      </c>
      <c r="B1319" s="7" t="s">
        <v>2677</v>
      </c>
      <c r="C1319" s="8">
        <f>QS.CONTEXT.CREATE("market.1317",A1319,"USD","SOFR")</f>
        <v/>
      </c>
      <c r="D1319" s="8">
        <f>QS.CONTEXT.ADD.CURVE(C1319,"SOFR",$K$2:$K$7,$L$2:$L$7,,,"Actual360","LogLinear",TRUE)</f>
        <v/>
      </c>
      <c r="E1319" s="8">
        <f>QS.INSTRUMENT.SWAP("swap.1317",C1319,H1319,B1319,"USD","SOFR",I1319,J1319,0,"Actual360","Simple","Annual","Annual","Annual")</f>
        <v/>
      </c>
      <c r="F1319" s="8">
        <f>QS.TRADE.CREATE("trade.1317",C1319,E1319,A1319,"Receive")</f>
        <v/>
      </c>
      <c r="G1319" s="5"/>
      <c r="H1319" s="7" t="s">
        <v>2678</v>
      </c>
      <c r="I1319" s="9">
        <v>1131700</v>
      </c>
      <c r="J1319" s="10">
        <v>0.0367</v>
      </c>
    </row>
    <row r="1320" spans="1:10">
      <c r="A1320" s="7" t="s">
        <v>2666</v>
      </c>
      <c r="B1320" s="7" t="s">
        <v>2679</v>
      </c>
      <c r="C1320" s="8">
        <f>QS.CONTEXT.CREATE("market.1318",A1320,"USD","SOFR")</f>
        <v/>
      </c>
      <c r="D1320" s="8">
        <f>QS.CONTEXT.ADD.CURVE(C1320,"SOFR",$K$2:$K$7,$L$2:$L$7,,,"Actual360","LogLinear",TRUE)</f>
        <v/>
      </c>
      <c r="E1320" s="8">
        <f>QS.INSTRUMENT.SWAP("swap.1318",C1320,H1320,B1320,"USD","SOFR",I1320,J1320,0,"Actual360","Simple","Annual","Annual","Annual")</f>
        <v/>
      </c>
      <c r="F1320" s="8">
        <f>QS.TRADE.CREATE("trade.1318",C1320,E1320,A1320,"Receive")</f>
        <v/>
      </c>
      <c r="G1320" s="5"/>
      <c r="H1320" s="7" t="s">
        <v>2680</v>
      </c>
      <c r="I1320" s="9">
        <v>1131800</v>
      </c>
      <c r="J1320" s="10">
        <v>0.03680000000000001</v>
      </c>
    </row>
    <row r="1321" spans="1:10">
      <c r="A1321" s="7" t="s">
        <v>2668</v>
      </c>
      <c r="B1321" s="7" t="s">
        <v>2681</v>
      </c>
      <c r="C1321" s="8">
        <f>QS.CONTEXT.CREATE("market.1319",A1321,"USD","SOFR")</f>
        <v/>
      </c>
      <c r="D1321" s="8">
        <f>QS.CONTEXT.ADD.CURVE(C1321,"SOFR",$K$2:$K$7,$L$2:$L$7,,,"Actual360","LogLinear",TRUE)</f>
        <v/>
      </c>
      <c r="E1321" s="8">
        <f>QS.INSTRUMENT.SWAP("swap.1319",C1321,H1321,B1321,"USD","SOFR",I1321,J1321,0,"Actual360","Simple","Annual","Annual","Annual")</f>
        <v/>
      </c>
      <c r="F1321" s="8">
        <f>QS.TRADE.CREATE("trade.1319",C1321,E1321,A1321,"Receive")</f>
        <v/>
      </c>
      <c r="G1321" s="5"/>
      <c r="H1321" s="7" t="s">
        <v>2682</v>
      </c>
      <c r="I1321" s="9">
        <v>1131900</v>
      </c>
      <c r="J1321" s="10">
        <v>0.0369</v>
      </c>
    </row>
    <row r="1322" spans="1:10">
      <c r="A1322" s="7" t="s">
        <v>2670</v>
      </c>
      <c r="B1322" s="7" t="s">
        <v>2683</v>
      </c>
      <c r="C1322" s="8">
        <f>QS.CONTEXT.CREATE("market.1320",A1322,"USD","SOFR")</f>
        <v/>
      </c>
      <c r="D1322" s="8">
        <f>QS.CONTEXT.ADD.CURVE(C1322,"SOFR",$K$2:$K$7,$L$2:$L$7,,,"Actual360","LogLinear",TRUE)</f>
        <v/>
      </c>
      <c r="E1322" s="8">
        <f>QS.INSTRUMENT.SWAP("swap.1320",C1322,H1322,B1322,"USD","SOFR",I1322,J1322,0,"Actual360","Simple","Annual","Annual","Annual")</f>
        <v/>
      </c>
      <c r="F1322" s="8">
        <f>QS.TRADE.CREATE("trade.1320",C1322,E1322,A1322,"Receive")</f>
        <v/>
      </c>
      <c r="G1322" s="5"/>
      <c r="H1322" s="7" t="s">
        <v>2684</v>
      </c>
      <c r="I1322" s="9">
        <v>1132000</v>
      </c>
      <c r="J1322" s="10">
        <v>0.03700000000000001</v>
      </c>
    </row>
    <row r="1323" spans="1:10">
      <c r="A1323" s="7" t="s">
        <v>2672</v>
      </c>
      <c r="B1323" s="7" t="s">
        <v>2685</v>
      </c>
      <c r="C1323" s="8">
        <f>QS.CONTEXT.CREATE("market.1321",A1323,"USD","SOFR")</f>
        <v/>
      </c>
      <c r="D1323" s="8">
        <f>QS.CONTEXT.ADD.CURVE(C1323,"SOFR",$K$2:$K$7,$L$2:$L$7,,,"Actual360","LogLinear",TRUE)</f>
        <v/>
      </c>
      <c r="E1323" s="8">
        <f>QS.INSTRUMENT.SWAP("swap.1321",C1323,H1323,B1323,"USD","SOFR",I1323,J1323,0,"Actual360","Simple","Annual","Annual","Annual")</f>
        <v/>
      </c>
      <c r="F1323" s="8">
        <f>QS.TRADE.CREATE("trade.1321",C1323,E1323,A1323,"Receive")</f>
        <v/>
      </c>
      <c r="G1323" s="5"/>
      <c r="H1323" s="7" t="s">
        <v>2686</v>
      </c>
      <c r="I1323" s="9">
        <v>1132100</v>
      </c>
      <c r="J1323" s="10">
        <v>0.0371</v>
      </c>
    </row>
    <row r="1324" spans="1:10">
      <c r="A1324" s="7" t="s">
        <v>2674</v>
      </c>
      <c r="B1324" s="7" t="s">
        <v>2687</v>
      </c>
      <c r="C1324" s="8">
        <f>QS.CONTEXT.CREATE("market.1322",A1324,"USD","SOFR")</f>
        <v/>
      </c>
      <c r="D1324" s="8">
        <f>QS.CONTEXT.ADD.CURVE(C1324,"SOFR",$K$2:$K$7,$L$2:$L$7,,,"Actual360","LogLinear",TRUE)</f>
        <v/>
      </c>
      <c r="E1324" s="8">
        <f>QS.INSTRUMENT.SWAP("swap.1322",C1324,H1324,B1324,"USD","SOFR",I1324,J1324,0,"Actual360","Simple","Annual","Annual","Annual")</f>
        <v/>
      </c>
      <c r="F1324" s="8">
        <f>QS.TRADE.CREATE("trade.1322",C1324,E1324,A1324,"Receive")</f>
        <v/>
      </c>
      <c r="G1324" s="5"/>
      <c r="H1324" s="7" t="s">
        <v>2688</v>
      </c>
      <c r="I1324" s="9">
        <v>1132200</v>
      </c>
      <c r="J1324" s="10">
        <v>0.0372</v>
      </c>
    </row>
    <row r="1325" spans="1:10">
      <c r="A1325" s="7" t="s">
        <v>2676</v>
      </c>
      <c r="B1325" s="7" t="s">
        <v>2689</v>
      </c>
      <c r="C1325" s="8">
        <f>QS.CONTEXT.CREATE("market.1323",A1325,"USD","SOFR")</f>
        <v/>
      </c>
      <c r="D1325" s="8">
        <f>QS.CONTEXT.ADD.CURVE(C1325,"SOFR",$K$2:$K$7,$L$2:$L$7,,,"Actual360","LogLinear",TRUE)</f>
        <v/>
      </c>
      <c r="E1325" s="8">
        <f>QS.INSTRUMENT.SWAP("swap.1323",C1325,H1325,B1325,"USD","SOFR",I1325,J1325,0,"Actual360","Simple","Annual","Annual","Annual")</f>
        <v/>
      </c>
      <c r="F1325" s="8">
        <f>QS.TRADE.CREATE("trade.1323",C1325,E1325,A1325,"Receive")</f>
        <v/>
      </c>
      <c r="G1325" s="5"/>
      <c r="H1325" s="7" t="s">
        <v>2690</v>
      </c>
      <c r="I1325" s="9">
        <v>1132300</v>
      </c>
      <c r="J1325" s="10">
        <v>0.0373</v>
      </c>
    </row>
    <row r="1326" spans="1:10">
      <c r="A1326" s="7" t="s">
        <v>2678</v>
      </c>
      <c r="B1326" s="7" t="s">
        <v>2691</v>
      </c>
      <c r="C1326" s="8">
        <f>QS.CONTEXT.CREATE("market.1324",A1326,"USD","SOFR")</f>
        <v/>
      </c>
      <c r="D1326" s="8">
        <f>QS.CONTEXT.ADD.CURVE(C1326,"SOFR",$K$2:$K$7,$L$2:$L$7,,,"Actual360","LogLinear",TRUE)</f>
        <v/>
      </c>
      <c r="E1326" s="8">
        <f>QS.INSTRUMENT.SWAP("swap.1324",C1326,H1326,B1326,"USD","SOFR",I1326,J1326,0,"Actual360","Simple","Annual","Annual","Annual")</f>
        <v/>
      </c>
      <c r="F1326" s="8">
        <f>QS.TRADE.CREATE("trade.1324",C1326,E1326,A1326,"Receive")</f>
        <v/>
      </c>
      <c r="G1326" s="5"/>
      <c r="H1326" s="7" t="s">
        <v>2692</v>
      </c>
      <c r="I1326" s="9">
        <v>1132400</v>
      </c>
      <c r="J1326" s="10">
        <v>0.0374</v>
      </c>
    </row>
    <row r="1327" spans="1:10">
      <c r="A1327" s="7" t="s">
        <v>2680</v>
      </c>
      <c r="B1327" s="7" t="s">
        <v>2693</v>
      </c>
      <c r="C1327" s="8">
        <f>QS.CONTEXT.CREATE("market.1325",A1327,"USD","SOFR")</f>
        <v/>
      </c>
      <c r="D1327" s="8">
        <f>QS.CONTEXT.ADD.CURVE(C1327,"SOFR",$K$2:$K$7,$L$2:$L$7,,,"Actual360","LogLinear",TRUE)</f>
        <v/>
      </c>
      <c r="E1327" s="8">
        <f>QS.INSTRUMENT.SWAP("swap.1325",C1327,H1327,B1327,"USD","SOFR",I1327,J1327,0,"Actual360","Simple","Annual","Annual","Annual")</f>
        <v/>
      </c>
      <c r="F1327" s="8">
        <f>QS.TRADE.CREATE("trade.1325",C1327,E1327,A1327,"Receive")</f>
        <v/>
      </c>
      <c r="G1327" s="5"/>
      <c r="H1327" s="7" t="s">
        <v>2694</v>
      </c>
      <c r="I1327" s="9">
        <v>1132500</v>
      </c>
      <c r="J1327" s="10">
        <v>0.03750000000000001</v>
      </c>
    </row>
    <row r="1328" spans="1:10">
      <c r="A1328" s="7" t="s">
        <v>2682</v>
      </c>
      <c r="B1328" s="7" t="s">
        <v>2695</v>
      </c>
      <c r="C1328" s="8">
        <f>QS.CONTEXT.CREATE("market.1326",A1328,"USD","SOFR")</f>
        <v/>
      </c>
      <c r="D1328" s="8">
        <f>QS.CONTEXT.ADD.CURVE(C1328,"SOFR",$K$2:$K$7,$L$2:$L$7,,,"Actual360","LogLinear",TRUE)</f>
        <v/>
      </c>
      <c r="E1328" s="8">
        <f>QS.INSTRUMENT.SWAP("swap.1326",C1328,H1328,B1328,"USD","SOFR",I1328,J1328,0,"Actual360","Simple","Annual","Annual","Annual")</f>
        <v/>
      </c>
      <c r="F1328" s="8">
        <f>QS.TRADE.CREATE("trade.1326",C1328,E1328,A1328,"Receive")</f>
        <v/>
      </c>
      <c r="G1328" s="5"/>
      <c r="H1328" s="7" t="s">
        <v>2696</v>
      </c>
      <c r="I1328" s="9">
        <v>1132600</v>
      </c>
      <c r="J1328" s="10">
        <v>0.0376</v>
      </c>
    </row>
    <row r="1329" spans="1:10">
      <c r="A1329" s="7" t="s">
        <v>2684</v>
      </c>
      <c r="B1329" s="7" t="s">
        <v>2697</v>
      </c>
      <c r="C1329" s="8">
        <f>QS.CONTEXT.CREATE("market.1327",A1329,"USD","SOFR")</f>
        <v/>
      </c>
      <c r="D1329" s="8">
        <f>QS.CONTEXT.ADD.CURVE(C1329,"SOFR",$K$2:$K$7,$L$2:$L$7,,,"Actual360","LogLinear",TRUE)</f>
        <v/>
      </c>
      <c r="E1329" s="8">
        <f>QS.INSTRUMENT.SWAP("swap.1327",C1329,H1329,B1329,"USD","SOFR",I1329,J1329,0,"Actual360","Simple","Annual","Annual","Annual")</f>
        <v/>
      </c>
      <c r="F1329" s="8">
        <f>QS.TRADE.CREATE("trade.1327",C1329,E1329,A1329,"Receive")</f>
        <v/>
      </c>
      <c r="G1329" s="5"/>
      <c r="H1329" s="7" t="s">
        <v>2698</v>
      </c>
      <c r="I1329" s="9">
        <v>1132700</v>
      </c>
      <c r="J1329" s="10">
        <v>0.0377</v>
      </c>
    </row>
    <row r="1330" spans="1:10">
      <c r="A1330" s="7" t="s">
        <v>2686</v>
      </c>
      <c r="B1330" s="7" t="s">
        <v>2699</v>
      </c>
      <c r="C1330" s="8">
        <f>QS.CONTEXT.CREATE("market.1328",A1330,"USD","SOFR")</f>
        <v/>
      </c>
      <c r="D1330" s="8">
        <f>QS.CONTEXT.ADD.CURVE(C1330,"SOFR",$K$2:$K$7,$L$2:$L$7,,,"Actual360","LogLinear",TRUE)</f>
        <v/>
      </c>
      <c r="E1330" s="8">
        <f>QS.INSTRUMENT.SWAP("swap.1328",C1330,H1330,B1330,"USD","SOFR",I1330,J1330,0,"Actual360","Simple","Annual","Annual","Annual")</f>
        <v/>
      </c>
      <c r="F1330" s="8">
        <f>QS.TRADE.CREATE("trade.1328",C1330,E1330,A1330,"Receive")</f>
        <v/>
      </c>
      <c r="G1330" s="5"/>
      <c r="H1330" s="7" t="s">
        <v>2700</v>
      </c>
      <c r="I1330" s="9">
        <v>1132800</v>
      </c>
      <c r="J1330" s="10">
        <v>0.0378</v>
      </c>
    </row>
    <row r="1331" spans="1:10">
      <c r="A1331" s="7" t="s">
        <v>2688</v>
      </c>
      <c r="B1331" s="7" t="s">
        <v>2701</v>
      </c>
      <c r="C1331" s="8">
        <f>QS.CONTEXT.CREATE("market.1329",A1331,"USD","SOFR")</f>
        <v/>
      </c>
      <c r="D1331" s="8">
        <f>QS.CONTEXT.ADD.CURVE(C1331,"SOFR",$K$2:$K$7,$L$2:$L$7,,,"Actual360","LogLinear",TRUE)</f>
        <v/>
      </c>
      <c r="E1331" s="8">
        <f>QS.INSTRUMENT.SWAP("swap.1329",C1331,H1331,B1331,"USD","SOFR",I1331,J1331,0,"Actual360","Simple","Annual","Annual","Annual")</f>
        <v/>
      </c>
      <c r="F1331" s="8">
        <f>QS.TRADE.CREATE("trade.1329",C1331,E1331,A1331,"Receive")</f>
        <v/>
      </c>
      <c r="G1331" s="5"/>
      <c r="H1331" s="7" t="s">
        <v>2702</v>
      </c>
      <c r="I1331" s="9">
        <v>1132900</v>
      </c>
      <c r="J1331" s="10">
        <v>0.0379</v>
      </c>
    </row>
    <row r="1332" spans="1:10">
      <c r="A1332" s="7" t="s">
        <v>2690</v>
      </c>
      <c r="B1332" s="7" t="s">
        <v>2703</v>
      </c>
      <c r="C1332" s="8">
        <f>QS.CONTEXT.CREATE("market.1330",A1332,"USD","SOFR")</f>
        <v/>
      </c>
      <c r="D1332" s="8">
        <f>QS.CONTEXT.ADD.CURVE(C1332,"SOFR",$K$2:$K$7,$L$2:$L$7,,,"Actual360","LogLinear",TRUE)</f>
        <v/>
      </c>
      <c r="E1332" s="8">
        <f>QS.INSTRUMENT.SWAP("swap.1330",C1332,H1332,B1332,"USD","SOFR",I1332,J1332,0,"Actual360","Simple","Annual","Annual","Annual")</f>
        <v/>
      </c>
      <c r="F1332" s="8">
        <f>QS.TRADE.CREATE("trade.1330",C1332,E1332,A1332,"Receive")</f>
        <v/>
      </c>
      <c r="G1332" s="5"/>
      <c r="H1332" s="7" t="s">
        <v>2704</v>
      </c>
      <c r="I1332" s="9">
        <v>1133000</v>
      </c>
      <c r="J1332" s="10">
        <v>0.03800000000000001</v>
      </c>
    </row>
    <row r="1333" spans="1:10">
      <c r="A1333" s="7" t="s">
        <v>2692</v>
      </c>
      <c r="B1333" s="7" t="s">
        <v>2705</v>
      </c>
      <c r="C1333" s="8">
        <f>QS.CONTEXT.CREATE("market.1331",A1333,"USD","SOFR")</f>
        <v/>
      </c>
      <c r="D1333" s="8">
        <f>QS.CONTEXT.ADD.CURVE(C1333,"SOFR",$K$2:$K$7,$L$2:$L$7,,,"Actual360","LogLinear",TRUE)</f>
        <v/>
      </c>
      <c r="E1333" s="8">
        <f>QS.INSTRUMENT.SWAP("swap.1331",C1333,H1333,B1333,"USD","SOFR",I1333,J1333,0,"Actual360","Simple","Annual","Annual","Annual")</f>
        <v/>
      </c>
      <c r="F1333" s="8">
        <f>QS.TRADE.CREATE("trade.1331",C1333,E1333,A1333,"Receive")</f>
        <v/>
      </c>
      <c r="G1333" s="5"/>
      <c r="H1333" s="7" t="s">
        <v>2706</v>
      </c>
      <c r="I1333" s="9">
        <v>1133100</v>
      </c>
      <c r="J1333" s="10">
        <v>0.0381</v>
      </c>
    </row>
    <row r="1334" spans="1:10">
      <c r="A1334" s="7" t="s">
        <v>2694</v>
      </c>
      <c r="B1334" s="7" t="s">
        <v>2707</v>
      </c>
      <c r="C1334" s="8">
        <f>QS.CONTEXT.CREATE("market.1332",A1334,"USD","SOFR")</f>
        <v/>
      </c>
      <c r="D1334" s="8">
        <f>QS.CONTEXT.ADD.CURVE(C1334,"SOFR",$K$2:$K$7,$L$2:$L$7,,,"Actual360","LogLinear",TRUE)</f>
        <v/>
      </c>
      <c r="E1334" s="8">
        <f>QS.INSTRUMENT.SWAP("swap.1332",C1334,H1334,B1334,"USD","SOFR",I1334,J1334,0,"Actual360","Simple","Annual","Annual","Annual")</f>
        <v/>
      </c>
      <c r="F1334" s="8">
        <f>QS.TRADE.CREATE("trade.1332",C1334,E1334,A1334,"Receive")</f>
        <v/>
      </c>
      <c r="G1334" s="5"/>
      <c r="H1334" s="7" t="s">
        <v>2708</v>
      </c>
      <c r="I1334" s="9">
        <v>1133200</v>
      </c>
      <c r="J1334" s="10">
        <v>0.0382</v>
      </c>
    </row>
    <row r="1335" spans="1:10">
      <c r="A1335" s="7" t="s">
        <v>2696</v>
      </c>
      <c r="B1335" s="7" t="s">
        <v>2709</v>
      </c>
      <c r="C1335" s="8">
        <f>QS.CONTEXT.CREATE("market.1333",A1335,"USD","SOFR")</f>
        <v/>
      </c>
      <c r="D1335" s="8">
        <f>QS.CONTEXT.ADD.CURVE(C1335,"SOFR",$K$2:$K$7,$L$2:$L$7,,,"Actual360","LogLinear",TRUE)</f>
        <v/>
      </c>
      <c r="E1335" s="8">
        <f>QS.INSTRUMENT.SWAP("swap.1333",C1335,H1335,B1335,"USD","SOFR",I1335,J1335,0,"Actual360","Simple","Annual","Annual","Annual")</f>
        <v/>
      </c>
      <c r="F1335" s="8">
        <f>QS.TRADE.CREATE("trade.1333",C1335,E1335,A1335,"Receive")</f>
        <v/>
      </c>
      <c r="G1335" s="5"/>
      <c r="H1335" s="7" t="s">
        <v>2710</v>
      </c>
      <c r="I1335" s="9">
        <v>1133300</v>
      </c>
      <c r="J1335" s="10">
        <v>0.0383</v>
      </c>
    </row>
    <row r="1336" spans="1:10">
      <c r="A1336" s="7" t="s">
        <v>2698</v>
      </c>
      <c r="B1336" s="7" t="s">
        <v>2711</v>
      </c>
      <c r="C1336" s="8">
        <f>QS.CONTEXT.CREATE("market.1334",A1336,"USD","SOFR")</f>
        <v/>
      </c>
      <c r="D1336" s="8">
        <f>QS.CONTEXT.ADD.CURVE(C1336,"SOFR",$K$2:$K$7,$L$2:$L$7,,,"Actual360","LogLinear",TRUE)</f>
        <v/>
      </c>
      <c r="E1336" s="8">
        <f>QS.INSTRUMENT.SWAP("swap.1334",C1336,H1336,B1336,"USD","SOFR",I1336,J1336,0,"Actual360","Simple","Annual","Annual","Annual")</f>
        <v/>
      </c>
      <c r="F1336" s="8">
        <f>QS.TRADE.CREATE("trade.1334",C1336,E1336,A1336,"Receive")</f>
        <v/>
      </c>
      <c r="G1336" s="5"/>
      <c r="H1336" s="7" t="s">
        <v>2712</v>
      </c>
      <c r="I1336" s="9">
        <v>1133400</v>
      </c>
      <c r="J1336" s="10">
        <v>0.0384</v>
      </c>
    </row>
    <row r="1337" spans="1:10">
      <c r="A1337" s="7" t="s">
        <v>2700</v>
      </c>
      <c r="B1337" s="7" t="s">
        <v>2713</v>
      </c>
      <c r="C1337" s="8">
        <f>QS.CONTEXT.CREATE("market.1335",A1337,"USD","SOFR")</f>
        <v/>
      </c>
      <c r="D1337" s="8">
        <f>QS.CONTEXT.ADD.CURVE(C1337,"SOFR",$K$2:$K$7,$L$2:$L$7,,,"Actual360","LogLinear",TRUE)</f>
        <v/>
      </c>
      <c r="E1337" s="8">
        <f>QS.INSTRUMENT.SWAP("swap.1335",C1337,H1337,B1337,"USD","SOFR",I1337,J1337,0,"Actual360","Simple","Annual","Annual","Annual")</f>
        <v/>
      </c>
      <c r="F1337" s="8">
        <f>QS.TRADE.CREATE("trade.1335",C1337,E1337,A1337,"Receive")</f>
        <v/>
      </c>
      <c r="G1337" s="5"/>
      <c r="H1337" s="7" t="s">
        <v>2714</v>
      </c>
      <c r="I1337" s="9">
        <v>1133500</v>
      </c>
      <c r="J1337" s="10">
        <v>0.03850000000000001</v>
      </c>
    </row>
    <row r="1338" spans="1:10">
      <c r="A1338" s="7" t="s">
        <v>2702</v>
      </c>
      <c r="B1338" s="7" t="s">
        <v>2715</v>
      </c>
      <c r="C1338" s="8">
        <f>QS.CONTEXT.CREATE("market.1336",A1338,"USD","SOFR")</f>
        <v/>
      </c>
      <c r="D1338" s="8">
        <f>QS.CONTEXT.ADD.CURVE(C1338,"SOFR",$K$2:$K$7,$L$2:$L$7,,,"Actual360","LogLinear",TRUE)</f>
        <v/>
      </c>
      <c r="E1338" s="8">
        <f>QS.INSTRUMENT.SWAP("swap.1336",C1338,H1338,B1338,"USD","SOFR",I1338,J1338,0,"Actual360","Simple","Annual","Annual","Annual")</f>
        <v/>
      </c>
      <c r="F1338" s="8">
        <f>QS.TRADE.CREATE("trade.1336",C1338,E1338,A1338,"Receive")</f>
        <v/>
      </c>
      <c r="G1338" s="5"/>
      <c r="H1338" s="7" t="s">
        <v>2716</v>
      </c>
      <c r="I1338" s="9">
        <v>1133600</v>
      </c>
      <c r="J1338" s="10">
        <v>0.0386</v>
      </c>
    </row>
    <row r="1339" spans="1:10">
      <c r="A1339" s="7" t="s">
        <v>2704</v>
      </c>
      <c r="B1339" s="7" t="s">
        <v>2717</v>
      </c>
      <c r="C1339" s="8">
        <f>QS.CONTEXT.CREATE("market.1337",A1339,"USD","SOFR")</f>
        <v/>
      </c>
      <c r="D1339" s="8">
        <f>QS.CONTEXT.ADD.CURVE(C1339,"SOFR",$K$2:$K$7,$L$2:$L$7,,,"Actual360","LogLinear",TRUE)</f>
        <v/>
      </c>
      <c r="E1339" s="8">
        <f>QS.INSTRUMENT.SWAP("swap.1337",C1339,H1339,B1339,"USD","SOFR",I1339,J1339,0,"Actual360","Simple","Annual","Annual","Annual")</f>
        <v/>
      </c>
      <c r="F1339" s="8">
        <f>QS.TRADE.CREATE("trade.1337",C1339,E1339,A1339,"Receive")</f>
        <v/>
      </c>
      <c r="G1339" s="5"/>
      <c r="H1339" s="7" t="s">
        <v>2718</v>
      </c>
      <c r="I1339" s="9">
        <v>1133700</v>
      </c>
      <c r="J1339" s="10">
        <v>0.03870000000000001</v>
      </c>
    </row>
    <row r="1340" spans="1:10">
      <c r="A1340" s="7" t="s">
        <v>2706</v>
      </c>
      <c r="B1340" s="7" t="s">
        <v>2719</v>
      </c>
      <c r="C1340" s="8">
        <f>QS.CONTEXT.CREATE("market.1338",A1340,"USD","SOFR")</f>
        <v/>
      </c>
      <c r="D1340" s="8">
        <f>QS.CONTEXT.ADD.CURVE(C1340,"SOFR",$K$2:$K$7,$L$2:$L$7,,,"Actual360","LogLinear",TRUE)</f>
        <v/>
      </c>
      <c r="E1340" s="8">
        <f>QS.INSTRUMENT.SWAP("swap.1338",C1340,H1340,B1340,"USD","SOFR",I1340,J1340,0,"Actual360","Simple","Annual","Annual","Annual")</f>
        <v/>
      </c>
      <c r="F1340" s="8">
        <f>QS.TRADE.CREATE("trade.1338",C1340,E1340,A1340,"Receive")</f>
        <v/>
      </c>
      <c r="G1340" s="5"/>
      <c r="H1340" s="7" t="s">
        <v>2720</v>
      </c>
      <c r="I1340" s="9">
        <v>1133800</v>
      </c>
      <c r="J1340" s="10">
        <v>0.0388</v>
      </c>
    </row>
    <row r="1341" spans="1:10">
      <c r="A1341" s="7" t="s">
        <v>2708</v>
      </c>
      <c r="B1341" s="7" t="s">
        <v>2721</v>
      </c>
      <c r="C1341" s="8">
        <f>QS.CONTEXT.CREATE("market.1339",A1341,"USD","SOFR")</f>
        <v/>
      </c>
      <c r="D1341" s="8">
        <f>QS.CONTEXT.ADD.CURVE(C1341,"SOFR",$K$2:$K$7,$L$2:$L$7,,,"Actual360","LogLinear",TRUE)</f>
        <v/>
      </c>
      <c r="E1341" s="8">
        <f>QS.INSTRUMENT.SWAP("swap.1339",C1341,H1341,B1341,"USD","SOFR",I1341,J1341,0,"Actual360","Simple","Annual","Annual","Annual")</f>
        <v/>
      </c>
      <c r="F1341" s="8">
        <f>QS.TRADE.CREATE("trade.1339",C1341,E1341,A1341,"Receive")</f>
        <v/>
      </c>
      <c r="G1341" s="5"/>
      <c r="H1341" s="7" t="s">
        <v>2722</v>
      </c>
      <c r="I1341" s="9">
        <v>1133900</v>
      </c>
      <c r="J1341" s="10">
        <v>0.0389</v>
      </c>
    </row>
    <row r="1342" spans="1:10">
      <c r="A1342" s="7" t="s">
        <v>2710</v>
      </c>
      <c r="B1342" s="7" t="s">
        <v>2723</v>
      </c>
      <c r="C1342" s="8">
        <f>QS.CONTEXT.CREATE("market.1340",A1342,"USD","SOFR")</f>
        <v/>
      </c>
      <c r="D1342" s="8">
        <f>QS.CONTEXT.ADD.CURVE(C1342,"SOFR",$K$2:$K$7,$L$2:$L$7,,,"Actual360","LogLinear",TRUE)</f>
        <v/>
      </c>
      <c r="E1342" s="8">
        <f>QS.INSTRUMENT.SWAP("swap.1340",C1342,H1342,B1342,"USD","SOFR",I1342,J1342,0,"Actual360","Simple","Annual","Annual","Annual")</f>
        <v/>
      </c>
      <c r="F1342" s="8">
        <f>QS.TRADE.CREATE("trade.1340",C1342,E1342,A1342,"Receive")</f>
        <v/>
      </c>
      <c r="G1342" s="5"/>
      <c r="H1342" s="7" t="s">
        <v>2724</v>
      </c>
      <c r="I1342" s="9">
        <v>1134000</v>
      </c>
      <c r="J1342" s="10">
        <v>0.03900000000000001</v>
      </c>
    </row>
    <row r="1343" spans="1:10">
      <c r="A1343" s="7" t="s">
        <v>2712</v>
      </c>
      <c r="B1343" s="7" t="s">
        <v>2725</v>
      </c>
      <c r="C1343" s="8">
        <f>QS.CONTEXT.CREATE("market.1341",A1343,"USD","SOFR")</f>
        <v/>
      </c>
      <c r="D1343" s="8">
        <f>QS.CONTEXT.ADD.CURVE(C1343,"SOFR",$K$2:$K$7,$L$2:$L$7,,,"Actual360","LogLinear",TRUE)</f>
        <v/>
      </c>
      <c r="E1343" s="8">
        <f>QS.INSTRUMENT.SWAP("swap.1341",C1343,H1343,B1343,"USD","SOFR",I1343,J1343,0,"Actual360","Simple","Annual","Annual","Annual")</f>
        <v/>
      </c>
      <c r="F1343" s="8">
        <f>QS.TRADE.CREATE("trade.1341",C1343,E1343,A1343,"Receive")</f>
        <v/>
      </c>
      <c r="G1343" s="5"/>
      <c r="H1343" s="7" t="s">
        <v>2726</v>
      </c>
      <c r="I1343" s="9">
        <v>1134100</v>
      </c>
      <c r="J1343" s="10">
        <v>0.0391</v>
      </c>
    </row>
    <row r="1344" spans="1:10">
      <c r="A1344" s="7" t="s">
        <v>2714</v>
      </c>
      <c r="B1344" s="7" t="s">
        <v>2727</v>
      </c>
      <c r="C1344" s="8">
        <f>QS.CONTEXT.CREATE("market.1342",A1344,"USD","SOFR")</f>
        <v/>
      </c>
      <c r="D1344" s="8">
        <f>QS.CONTEXT.ADD.CURVE(C1344,"SOFR",$K$2:$K$7,$L$2:$L$7,,,"Actual360","LogLinear",TRUE)</f>
        <v/>
      </c>
      <c r="E1344" s="8">
        <f>QS.INSTRUMENT.SWAP("swap.1342",C1344,H1344,B1344,"USD","SOFR",I1344,J1344,0,"Actual360","Simple","Annual","Annual","Annual")</f>
        <v/>
      </c>
      <c r="F1344" s="8">
        <f>QS.TRADE.CREATE("trade.1342",C1344,E1344,A1344,"Receive")</f>
        <v/>
      </c>
      <c r="G1344" s="5"/>
      <c r="H1344" s="7" t="s">
        <v>2728</v>
      </c>
      <c r="I1344" s="9">
        <v>1134200</v>
      </c>
      <c r="J1344" s="10">
        <v>0.03920000000000001</v>
      </c>
    </row>
    <row r="1345" spans="1:10">
      <c r="A1345" s="7" t="s">
        <v>2716</v>
      </c>
      <c r="B1345" s="7" t="s">
        <v>2729</v>
      </c>
      <c r="C1345" s="8">
        <f>QS.CONTEXT.CREATE("market.1343",A1345,"USD","SOFR")</f>
        <v/>
      </c>
      <c r="D1345" s="8">
        <f>QS.CONTEXT.ADD.CURVE(C1345,"SOFR",$K$2:$K$7,$L$2:$L$7,,,"Actual360","LogLinear",TRUE)</f>
        <v/>
      </c>
      <c r="E1345" s="8">
        <f>QS.INSTRUMENT.SWAP("swap.1343",C1345,H1345,B1345,"USD","SOFR",I1345,J1345,0,"Actual360","Simple","Annual","Annual","Annual")</f>
        <v/>
      </c>
      <c r="F1345" s="8">
        <f>QS.TRADE.CREATE("trade.1343",C1345,E1345,A1345,"Receive")</f>
        <v/>
      </c>
      <c r="G1345" s="5"/>
      <c r="H1345" s="7" t="s">
        <v>2730</v>
      </c>
      <c r="I1345" s="9">
        <v>1134300</v>
      </c>
      <c r="J1345" s="10">
        <v>0.0393</v>
      </c>
    </row>
    <row r="1346" spans="1:10">
      <c r="A1346" s="7" t="s">
        <v>2718</v>
      </c>
      <c r="B1346" s="7" t="s">
        <v>2731</v>
      </c>
      <c r="C1346" s="8">
        <f>QS.CONTEXT.CREATE("market.1344",A1346,"USD","SOFR")</f>
        <v/>
      </c>
      <c r="D1346" s="8">
        <f>QS.CONTEXT.ADD.CURVE(C1346,"SOFR",$K$2:$K$7,$L$2:$L$7,,,"Actual360","LogLinear",TRUE)</f>
        <v/>
      </c>
      <c r="E1346" s="8">
        <f>QS.INSTRUMENT.SWAP("swap.1344",C1346,H1346,B1346,"USD","SOFR",I1346,J1346,0,"Actual360","Simple","Annual","Annual","Annual")</f>
        <v/>
      </c>
      <c r="F1346" s="8">
        <f>QS.TRADE.CREATE("trade.1344",C1346,E1346,A1346,"Receive")</f>
        <v/>
      </c>
      <c r="G1346" s="5"/>
      <c r="H1346" s="7" t="s">
        <v>2732</v>
      </c>
      <c r="I1346" s="9">
        <v>1134400</v>
      </c>
      <c r="J1346" s="10">
        <v>0.0394</v>
      </c>
    </row>
    <row r="1347" spans="1:10">
      <c r="A1347" s="7" t="s">
        <v>2720</v>
      </c>
      <c r="B1347" s="7" t="s">
        <v>2733</v>
      </c>
      <c r="C1347" s="8">
        <f>QS.CONTEXT.CREATE("market.1345",A1347,"USD","SOFR")</f>
        <v/>
      </c>
      <c r="D1347" s="8">
        <f>QS.CONTEXT.ADD.CURVE(C1347,"SOFR",$K$2:$K$7,$L$2:$L$7,,,"Actual360","LogLinear",TRUE)</f>
        <v/>
      </c>
      <c r="E1347" s="8">
        <f>QS.INSTRUMENT.SWAP("swap.1345",C1347,H1347,B1347,"USD","SOFR",I1347,J1347,0,"Actual360","Simple","Annual","Annual","Annual")</f>
        <v/>
      </c>
      <c r="F1347" s="8">
        <f>QS.TRADE.CREATE("trade.1345",C1347,E1347,A1347,"Receive")</f>
        <v/>
      </c>
      <c r="G1347" s="5"/>
      <c r="H1347" s="7" t="s">
        <v>2734</v>
      </c>
      <c r="I1347" s="9">
        <v>1134500</v>
      </c>
      <c r="J1347" s="10">
        <v>0.03950000000000001</v>
      </c>
    </row>
    <row r="1348" spans="1:10">
      <c r="A1348" s="7" t="s">
        <v>2722</v>
      </c>
      <c r="B1348" s="7" t="s">
        <v>2735</v>
      </c>
      <c r="C1348" s="8">
        <f>QS.CONTEXT.CREATE("market.1346",A1348,"USD","SOFR")</f>
        <v/>
      </c>
      <c r="D1348" s="8">
        <f>QS.CONTEXT.ADD.CURVE(C1348,"SOFR",$K$2:$K$7,$L$2:$L$7,,,"Actual360","LogLinear",TRUE)</f>
        <v/>
      </c>
      <c r="E1348" s="8">
        <f>QS.INSTRUMENT.SWAP("swap.1346",C1348,H1348,B1348,"USD","SOFR",I1348,J1348,0,"Actual360","Simple","Annual","Annual","Annual")</f>
        <v/>
      </c>
      <c r="F1348" s="8">
        <f>QS.TRADE.CREATE("trade.1346",C1348,E1348,A1348,"Receive")</f>
        <v/>
      </c>
      <c r="G1348" s="5"/>
      <c r="H1348" s="7" t="s">
        <v>2736</v>
      </c>
      <c r="I1348" s="9">
        <v>1134600</v>
      </c>
      <c r="J1348" s="10">
        <v>0.0396</v>
      </c>
    </row>
    <row r="1349" spans="1:10">
      <c r="A1349" s="7" t="s">
        <v>2724</v>
      </c>
      <c r="B1349" s="7" t="s">
        <v>2737</v>
      </c>
      <c r="C1349" s="8">
        <f>QS.CONTEXT.CREATE("market.1347",A1349,"USD","SOFR")</f>
        <v/>
      </c>
      <c r="D1349" s="8">
        <f>QS.CONTEXT.ADD.CURVE(C1349,"SOFR",$K$2:$K$7,$L$2:$L$7,,,"Actual360","LogLinear",TRUE)</f>
        <v/>
      </c>
      <c r="E1349" s="8">
        <f>QS.INSTRUMENT.SWAP("swap.1347",C1349,H1349,B1349,"USD","SOFR",I1349,J1349,0,"Actual360","Simple","Annual","Annual","Annual")</f>
        <v/>
      </c>
      <c r="F1349" s="8">
        <f>QS.TRADE.CREATE("trade.1347",C1349,E1349,A1349,"Receive")</f>
        <v/>
      </c>
      <c r="G1349" s="5"/>
      <c r="H1349" s="7" t="s">
        <v>2738</v>
      </c>
      <c r="I1349" s="9">
        <v>1134700</v>
      </c>
      <c r="J1349" s="10">
        <v>0.03970000000000001</v>
      </c>
    </row>
    <row r="1350" spans="1:10">
      <c r="A1350" s="7" t="s">
        <v>2726</v>
      </c>
      <c r="B1350" s="7" t="s">
        <v>2739</v>
      </c>
      <c r="C1350" s="8">
        <f>QS.CONTEXT.CREATE("market.1348",A1350,"USD","SOFR")</f>
        <v/>
      </c>
      <c r="D1350" s="8">
        <f>QS.CONTEXT.ADD.CURVE(C1350,"SOFR",$K$2:$K$7,$L$2:$L$7,,,"Actual360","LogLinear",TRUE)</f>
        <v/>
      </c>
      <c r="E1350" s="8">
        <f>QS.INSTRUMENT.SWAP("swap.1348",C1350,H1350,B1350,"USD","SOFR",I1350,J1350,0,"Actual360","Simple","Annual","Annual","Annual")</f>
        <v/>
      </c>
      <c r="F1350" s="8">
        <f>QS.TRADE.CREATE("trade.1348",C1350,E1350,A1350,"Receive")</f>
        <v/>
      </c>
      <c r="G1350" s="5"/>
      <c r="H1350" s="7" t="s">
        <v>2740</v>
      </c>
      <c r="I1350" s="9">
        <v>1134800</v>
      </c>
      <c r="J1350" s="10">
        <v>0.0398</v>
      </c>
    </row>
    <row r="1351" spans="1:10">
      <c r="A1351" s="7" t="s">
        <v>2728</v>
      </c>
      <c r="B1351" s="7" t="s">
        <v>2741</v>
      </c>
      <c r="C1351" s="8">
        <f>QS.CONTEXT.CREATE("market.1349",A1351,"USD","SOFR")</f>
        <v/>
      </c>
      <c r="D1351" s="8">
        <f>QS.CONTEXT.ADD.CURVE(C1351,"SOFR",$K$2:$K$7,$L$2:$L$7,,,"Actual360","LogLinear",TRUE)</f>
        <v/>
      </c>
      <c r="E1351" s="8">
        <f>QS.INSTRUMENT.SWAP("swap.1349",C1351,H1351,B1351,"USD","SOFR",I1351,J1351,0,"Actual360","Simple","Annual","Annual","Annual")</f>
        <v/>
      </c>
      <c r="F1351" s="8">
        <f>QS.TRADE.CREATE("trade.1349",C1351,E1351,A1351,"Receive")</f>
        <v/>
      </c>
      <c r="G1351" s="5"/>
      <c r="H1351" s="7" t="s">
        <v>2742</v>
      </c>
      <c r="I1351" s="9">
        <v>1134900</v>
      </c>
      <c r="J1351" s="10">
        <v>0.0399</v>
      </c>
    </row>
    <row r="1352" spans="1:10">
      <c r="A1352" s="7" t="s">
        <v>2730</v>
      </c>
      <c r="B1352" s="7" t="s">
        <v>2743</v>
      </c>
      <c r="C1352" s="8">
        <f>QS.CONTEXT.CREATE("market.1350",A1352,"USD","SOFR")</f>
        <v/>
      </c>
      <c r="D1352" s="8">
        <f>QS.CONTEXT.ADD.CURVE(C1352,"SOFR",$K$2:$K$7,$L$2:$L$7,,,"Actual360","LogLinear",TRUE)</f>
        <v/>
      </c>
      <c r="E1352" s="8">
        <f>QS.INSTRUMENT.SWAP("swap.1350",C1352,H1352,B1352,"USD","SOFR",I1352,J1352,0,"Actual360","Simple","Annual","Annual","Annual")</f>
        <v/>
      </c>
      <c r="F1352" s="8">
        <f>QS.TRADE.CREATE("trade.1350",C1352,E1352,A1352,"Receive")</f>
        <v/>
      </c>
      <c r="G1352" s="5"/>
      <c r="H1352" s="7" t="s">
        <v>2744</v>
      </c>
      <c r="I1352" s="9">
        <v>1135000</v>
      </c>
      <c r="J1352" s="10">
        <v>0.035</v>
      </c>
    </row>
    <row r="1353" spans="1:10">
      <c r="A1353" s="7" t="s">
        <v>2732</v>
      </c>
      <c r="B1353" s="7" t="s">
        <v>2745</v>
      </c>
      <c r="C1353" s="8">
        <f>QS.CONTEXT.CREATE("market.1351",A1353,"USD","SOFR")</f>
        <v/>
      </c>
      <c r="D1353" s="8">
        <f>QS.CONTEXT.ADD.CURVE(C1353,"SOFR",$K$2:$K$7,$L$2:$L$7,,,"Actual360","LogLinear",TRUE)</f>
        <v/>
      </c>
      <c r="E1353" s="8">
        <f>QS.INSTRUMENT.SWAP("swap.1351",C1353,H1353,B1353,"USD","SOFR",I1353,J1353,0,"Actual360","Simple","Annual","Annual","Annual")</f>
        <v/>
      </c>
      <c r="F1353" s="8">
        <f>QS.TRADE.CREATE("trade.1351",C1353,E1353,A1353,"Receive")</f>
        <v/>
      </c>
      <c r="G1353" s="5"/>
      <c r="H1353" s="7" t="s">
        <v>2746</v>
      </c>
      <c r="I1353" s="9">
        <v>1135100</v>
      </c>
      <c r="J1353" s="10">
        <v>0.03510000000000001</v>
      </c>
    </row>
    <row r="1354" spans="1:10">
      <c r="A1354" s="7" t="s">
        <v>2734</v>
      </c>
      <c r="B1354" s="7" t="s">
        <v>2747</v>
      </c>
      <c r="C1354" s="8">
        <f>QS.CONTEXT.CREATE("market.1352",A1354,"USD","SOFR")</f>
        <v/>
      </c>
      <c r="D1354" s="8">
        <f>QS.CONTEXT.ADD.CURVE(C1354,"SOFR",$K$2:$K$7,$L$2:$L$7,,,"Actual360","LogLinear",TRUE)</f>
        <v/>
      </c>
      <c r="E1354" s="8">
        <f>QS.INSTRUMENT.SWAP("swap.1352",C1354,H1354,B1354,"USD","SOFR",I1354,J1354,0,"Actual360","Simple","Annual","Annual","Annual")</f>
        <v/>
      </c>
      <c r="F1354" s="8">
        <f>QS.TRADE.CREATE("trade.1352",C1354,E1354,A1354,"Receive")</f>
        <v/>
      </c>
      <c r="G1354" s="5"/>
      <c r="H1354" s="7" t="s">
        <v>2748</v>
      </c>
      <c r="I1354" s="9">
        <v>1135200</v>
      </c>
      <c r="J1354" s="10">
        <v>0.0352</v>
      </c>
    </row>
    <row r="1355" spans="1:10">
      <c r="A1355" s="7" t="s">
        <v>2736</v>
      </c>
      <c r="B1355" s="7" t="s">
        <v>2749</v>
      </c>
      <c r="C1355" s="8">
        <f>QS.CONTEXT.CREATE("market.1353",A1355,"USD","SOFR")</f>
        <v/>
      </c>
      <c r="D1355" s="8">
        <f>QS.CONTEXT.ADD.CURVE(C1355,"SOFR",$K$2:$K$7,$L$2:$L$7,,,"Actual360","LogLinear",TRUE)</f>
        <v/>
      </c>
      <c r="E1355" s="8">
        <f>QS.INSTRUMENT.SWAP("swap.1353",C1355,H1355,B1355,"USD","SOFR",I1355,J1355,0,"Actual360","Simple","Annual","Annual","Annual")</f>
        <v/>
      </c>
      <c r="F1355" s="8">
        <f>QS.TRADE.CREATE("trade.1353",C1355,E1355,A1355,"Receive")</f>
        <v/>
      </c>
      <c r="G1355" s="5"/>
      <c r="H1355" s="7" t="s">
        <v>2750</v>
      </c>
      <c r="I1355" s="9">
        <v>1135300</v>
      </c>
      <c r="J1355" s="10">
        <v>0.0353</v>
      </c>
    </row>
    <row r="1356" spans="1:10">
      <c r="A1356" s="7" t="s">
        <v>2738</v>
      </c>
      <c r="B1356" s="7" t="s">
        <v>2751</v>
      </c>
      <c r="C1356" s="8">
        <f>QS.CONTEXT.CREATE("market.1354",A1356,"USD","SOFR")</f>
        <v/>
      </c>
      <c r="D1356" s="8">
        <f>QS.CONTEXT.ADD.CURVE(C1356,"SOFR",$K$2:$K$7,$L$2:$L$7,,,"Actual360","LogLinear",TRUE)</f>
        <v/>
      </c>
      <c r="E1356" s="8">
        <f>QS.INSTRUMENT.SWAP("swap.1354",C1356,H1356,B1356,"USD","SOFR",I1356,J1356,0,"Actual360","Simple","Annual","Annual","Annual")</f>
        <v/>
      </c>
      <c r="F1356" s="8">
        <f>QS.TRADE.CREATE("trade.1354",C1356,E1356,A1356,"Receive")</f>
        <v/>
      </c>
      <c r="G1356" s="5"/>
      <c r="H1356" s="7" t="s">
        <v>2752</v>
      </c>
      <c r="I1356" s="9">
        <v>1135400</v>
      </c>
      <c r="J1356" s="10">
        <v>0.0354</v>
      </c>
    </row>
    <row r="1357" spans="1:10">
      <c r="A1357" s="7" t="s">
        <v>2740</v>
      </c>
      <c r="B1357" s="7" t="s">
        <v>2753</v>
      </c>
      <c r="C1357" s="8">
        <f>QS.CONTEXT.CREATE("market.1355",A1357,"USD","SOFR")</f>
        <v/>
      </c>
      <c r="D1357" s="8">
        <f>QS.CONTEXT.ADD.CURVE(C1357,"SOFR",$K$2:$K$7,$L$2:$L$7,,,"Actual360","LogLinear",TRUE)</f>
        <v/>
      </c>
      <c r="E1357" s="8">
        <f>QS.INSTRUMENT.SWAP("swap.1355",C1357,H1357,B1357,"USD","SOFR",I1357,J1357,0,"Actual360","Simple","Annual","Annual","Annual")</f>
        <v/>
      </c>
      <c r="F1357" s="8">
        <f>QS.TRADE.CREATE("trade.1355",C1357,E1357,A1357,"Receive")</f>
        <v/>
      </c>
      <c r="G1357" s="5"/>
      <c r="H1357" s="7" t="s">
        <v>2754</v>
      </c>
      <c r="I1357" s="9">
        <v>1135500</v>
      </c>
      <c r="J1357" s="10">
        <v>0.0355</v>
      </c>
    </row>
    <row r="1358" spans="1:10">
      <c r="A1358" s="7" t="s">
        <v>2742</v>
      </c>
      <c r="B1358" s="7" t="s">
        <v>2755</v>
      </c>
      <c r="C1358" s="8">
        <f>QS.CONTEXT.CREATE("market.1356",A1358,"USD","SOFR")</f>
        <v/>
      </c>
      <c r="D1358" s="8">
        <f>QS.CONTEXT.ADD.CURVE(C1358,"SOFR",$K$2:$K$7,$L$2:$L$7,,,"Actual360","LogLinear",TRUE)</f>
        <v/>
      </c>
      <c r="E1358" s="8">
        <f>QS.INSTRUMENT.SWAP("swap.1356",C1358,H1358,B1358,"USD","SOFR",I1358,J1358,0,"Actual360","Simple","Annual","Annual","Annual")</f>
        <v/>
      </c>
      <c r="F1358" s="8">
        <f>QS.TRADE.CREATE("trade.1356",C1358,E1358,A1358,"Receive")</f>
        <v/>
      </c>
      <c r="G1358" s="5"/>
      <c r="H1358" s="7" t="s">
        <v>2756</v>
      </c>
      <c r="I1358" s="9">
        <v>1135600</v>
      </c>
      <c r="J1358" s="10">
        <v>0.03560000000000001</v>
      </c>
    </row>
    <row r="1359" spans="1:10">
      <c r="A1359" s="7" t="s">
        <v>2744</v>
      </c>
      <c r="B1359" s="7" t="s">
        <v>2757</v>
      </c>
      <c r="C1359" s="8">
        <f>QS.CONTEXT.CREATE("market.1357",A1359,"USD","SOFR")</f>
        <v/>
      </c>
      <c r="D1359" s="8">
        <f>QS.CONTEXT.ADD.CURVE(C1359,"SOFR",$K$2:$K$7,$L$2:$L$7,,,"Actual360","LogLinear",TRUE)</f>
        <v/>
      </c>
      <c r="E1359" s="8">
        <f>QS.INSTRUMENT.SWAP("swap.1357",C1359,H1359,B1359,"USD","SOFR",I1359,J1359,0,"Actual360","Simple","Annual","Annual","Annual")</f>
        <v/>
      </c>
      <c r="F1359" s="8">
        <f>QS.TRADE.CREATE("trade.1357",C1359,E1359,A1359,"Receive")</f>
        <v/>
      </c>
      <c r="G1359" s="5"/>
      <c r="H1359" s="7" t="s">
        <v>2758</v>
      </c>
      <c r="I1359" s="9">
        <v>1135700</v>
      </c>
      <c r="J1359" s="10">
        <v>0.0357</v>
      </c>
    </row>
    <row r="1360" spans="1:10">
      <c r="A1360" s="7" t="s">
        <v>2746</v>
      </c>
      <c r="B1360" s="7" t="s">
        <v>2759</v>
      </c>
      <c r="C1360" s="8">
        <f>QS.CONTEXT.CREATE("market.1358",A1360,"USD","SOFR")</f>
        <v/>
      </c>
      <c r="D1360" s="8">
        <f>QS.CONTEXT.ADD.CURVE(C1360,"SOFR",$K$2:$K$7,$L$2:$L$7,,,"Actual360","LogLinear",TRUE)</f>
        <v/>
      </c>
      <c r="E1360" s="8">
        <f>QS.INSTRUMENT.SWAP("swap.1358",C1360,H1360,B1360,"USD","SOFR",I1360,J1360,0,"Actual360","Simple","Annual","Annual","Annual")</f>
        <v/>
      </c>
      <c r="F1360" s="8">
        <f>QS.TRADE.CREATE("trade.1358",C1360,E1360,A1360,"Receive")</f>
        <v/>
      </c>
      <c r="G1360" s="5"/>
      <c r="H1360" s="7" t="s">
        <v>2760</v>
      </c>
      <c r="I1360" s="9">
        <v>1135800</v>
      </c>
      <c r="J1360" s="10">
        <v>0.03580000000000001</v>
      </c>
    </row>
    <row r="1361" spans="1:10">
      <c r="A1361" s="7" t="s">
        <v>2748</v>
      </c>
      <c r="B1361" s="7" t="s">
        <v>2761</v>
      </c>
      <c r="C1361" s="8">
        <f>QS.CONTEXT.CREATE("market.1359",A1361,"USD","SOFR")</f>
        <v/>
      </c>
      <c r="D1361" s="8">
        <f>QS.CONTEXT.ADD.CURVE(C1361,"SOFR",$K$2:$K$7,$L$2:$L$7,,,"Actual360","LogLinear",TRUE)</f>
        <v/>
      </c>
      <c r="E1361" s="8">
        <f>QS.INSTRUMENT.SWAP("swap.1359",C1361,H1361,B1361,"USD","SOFR",I1361,J1361,0,"Actual360","Simple","Annual","Annual","Annual")</f>
        <v/>
      </c>
      <c r="F1361" s="8">
        <f>QS.TRADE.CREATE("trade.1359",C1361,E1361,A1361,"Receive")</f>
        <v/>
      </c>
      <c r="G1361" s="5"/>
      <c r="H1361" s="7" t="s">
        <v>2762</v>
      </c>
      <c r="I1361" s="9">
        <v>1135900</v>
      </c>
      <c r="J1361" s="10">
        <v>0.0359</v>
      </c>
    </row>
    <row r="1362" spans="1:10">
      <c r="A1362" s="7" t="s">
        <v>2750</v>
      </c>
      <c r="B1362" s="7" t="s">
        <v>2763</v>
      </c>
      <c r="C1362" s="8">
        <f>QS.CONTEXT.CREATE("market.1360",A1362,"USD","SOFR")</f>
        <v/>
      </c>
      <c r="D1362" s="8">
        <f>QS.CONTEXT.ADD.CURVE(C1362,"SOFR",$K$2:$K$7,$L$2:$L$7,,,"Actual360","LogLinear",TRUE)</f>
        <v/>
      </c>
      <c r="E1362" s="8">
        <f>QS.INSTRUMENT.SWAP("swap.1360",C1362,H1362,B1362,"USD","SOFR",I1362,J1362,0,"Actual360","Simple","Annual","Annual","Annual")</f>
        <v/>
      </c>
      <c r="F1362" s="8">
        <f>QS.TRADE.CREATE("trade.1360",C1362,E1362,A1362,"Receive")</f>
        <v/>
      </c>
      <c r="G1362" s="5"/>
      <c r="H1362" s="7" t="s">
        <v>2764</v>
      </c>
      <c r="I1362" s="9">
        <v>1136000</v>
      </c>
      <c r="J1362" s="10">
        <v>0.036</v>
      </c>
    </row>
    <row r="1363" spans="1:10">
      <c r="A1363" s="7" t="s">
        <v>2752</v>
      </c>
      <c r="B1363" s="7" t="s">
        <v>2765</v>
      </c>
      <c r="C1363" s="8">
        <f>QS.CONTEXT.CREATE("market.1361",A1363,"USD","SOFR")</f>
        <v/>
      </c>
      <c r="D1363" s="8">
        <f>QS.CONTEXT.ADD.CURVE(C1363,"SOFR",$K$2:$K$7,$L$2:$L$7,,,"Actual360","LogLinear",TRUE)</f>
        <v/>
      </c>
      <c r="E1363" s="8">
        <f>QS.INSTRUMENT.SWAP("swap.1361",C1363,H1363,B1363,"USD","SOFR",I1363,J1363,0,"Actual360","Simple","Annual","Annual","Annual")</f>
        <v/>
      </c>
      <c r="F1363" s="8">
        <f>QS.TRADE.CREATE("trade.1361",C1363,E1363,A1363,"Receive")</f>
        <v/>
      </c>
      <c r="G1363" s="5"/>
      <c r="H1363" s="7" t="s">
        <v>2766</v>
      </c>
      <c r="I1363" s="9">
        <v>1136100</v>
      </c>
      <c r="J1363" s="10">
        <v>0.0361</v>
      </c>
    </row>
    <row r="1364" spans="1:10">
      <c r="A1364" s="7" t="s">
        <v>2754</v>
      </c>
      <c r="B1364" s="7" t="s">
        <v>2767</v>
      </c>
      <c r="C1364" s="8">
        <f>QS.CONTEXT.CREATE("market.1362",A1364,"USD","SOFR")</f>
        <v/>
      </c>
      <c r="D1364" s="8">
        <f>QS.CONTEXT.ADD.CURVE(C1364,"SOFR",$K$2:$K$7,$L$2:$L$7,,,"Actual360","LogLinear",TRUE)</f>
        <v/>
      </c>
      <c r="E1364" s="8">
        <f>QS.INSTRUMENT.SWAP("swap.1362",C1364,H1364,B1364,"USD","SOFR",I1364,J1364,0,"Actual360","Simple","Annual","Annual","Annual")</f>
        <v/>
      </c>
      <c r="F1364" s="8">
        <f>QS.TRADE.CREATE("trade.1362",C1364,E1364,A1364,"Receive")</f>
        <v/>
      </c>
      <c r="G1364" s="5"/>
      <c r="H1364" s="7" t="s">
        <v>2768</v>
      </c>
      <c r="I1364" s="9">
        <v>1136200</v>
      </c>
      <c r="J1364" s="10">
        <v>0.0362</v>
      </c>
    </row>
    <row r="1365" spans="1:10">
      <c r="A1365" s="7" t="s">
        <v>2756</v>
      </c>
      <c r="B1365" s="7" t="s">
        <v>2769</v>
      </c>
      <c r="C1365" s="8">
        <f>QS.CONTEXT.CREATE("market.1363",A1365,"USD","SOFR")</f>
        <v/>
      </c>
      <c r="D1365" s="8">
        <f>QS.CONTEXT.ADD.CURVE(C1365,"SOFR",$K$2:$K$7,$L$2:$L$7,,,"Actual360","LogLinear",TRUE)</f>
        <v/>
      </c>
      <c r="E1365" s="8">
        <f>QS.INSTRUMENT.SWAP("swap.1363",C1365,H1365,B1365,"USD","SOFR",I1365,J1365,0,"Actual360","Simple","Annual","Annual","Annual")</f>
        <v/>
      </c>
      <c r="F1365" s="8">
        <f>QS.TRADE.CREATE("trade.1363",C1365,E1365,A1365,"Receive")</f>
        <v/>
      </c>
      <c r="G1365" s="5"/>
      <c r="H1365" s="7" t="s">
        <v>2770</v>
      </c>
      <c r="I1365" s="9">
        <v>1136300</v>
      </c>
      <c r="J1365" s="10">
        <v>0.03630000000000001</v>
      </c>
    </row>
    <row r="1366" spans="1:10">
      <c r="A1366" s="7" t="s">
        <v>2758</v>
      </c>
      <c r="B1366" s="7" t="s">
        <v>2771</v>
      </c>
      <c r="C1366" s="8">
        <f>QS.CONTEXT.CREATE("market.1364",A1366,"USD","SOFR")</f>
        <v/>
      </c>
      <c r="D1366" s="8">
        <f>QS.CONTEXT.ADD.CURVE(C1366,"SOFR",$K$2:$K$7,$L$2:$L$7,,,"Actual360","LogLinear",TRUE)</f>
        <v/>
      </c>
      <c r="E1366" s="8">
        <f>QS.INSTRUMENT.SWAP("swap.1364",C1366,H1366,B1366,"USD","SOFR",I1366,J1366,0,"Actual360","Simple","Annual","Annual","Annual")</f>
        <v/>
      </c>
      <c r="F1366" s="8">
        <f>QS.TRADE.CREATE("trade.1364",C1366,E1366,A1366,"Receive")</f>
        <v/>
      </c>
      <c r="G1366" s="5"/>
      <c r="H1366" s="7" t="s">
        <v>2772</v>
      </c>
      <c r="I1366" s="9">
        <v>1136400</v>
      </c>
      <c r="J1366" s="10">
        <v>0.0364</v>
      </c>
    </row>
    <row r="1367" spans="1:10">
      <c r="A1367" s="7" t="s">
        <v>2760</v>
      </c>
      <c r="B1367" s="7" t="s">
        <v>2773</v>
      </c>
      <c r="C1367" s="8">
        <f>QS.CONTEXT.CREATE("market.1365",A1367,"USD","SOFR")</f>
        <v/>
      </c>
      <c r="D1367" s="8">
        <f>QS.CONTEXT.ADD.CURVE(C1367,"SOFR",$K$2:$K$7,$L$2:$L$7,,,"Actual360","LogLinear",TRUE)</f>
        <v/>
      </c>
      <c r="E1367" s="8">
        <f>QS.INSTRUMENT.SWAP("swap.1365",C1367,H1367,B1367,"USD","SOFR",I1367,J1367,0,"Actual360","Simple","Annual","Annual","Annual")</f>
        <v/>
      </c>
      <c r="F1367" s="8">
        <f>QS.TRADE.CREATE("trade.1365",C1367,E1367,A1367,"Receive")</f>
        <v/>
      </c>
      <c r="G1367" s="5"/>
      <c r="H1367" s="7" t="s">
        <v>2774</v>
      </c>
      <c r="I1367" s="9">
        <v>1136500</v>
      </c>
      <c r="J1367" s="10">
        <v>0.0365</v>
      </c>
    </row>
    <row r="1368" spans="1:10">
      <c r="A1368" s="7" t="s">
        <v>2762</v>
      </c>
      <c r="B1368" s="7" t="s">
        <v>2775</v>
      </c>
      <c r="C1368" s="8">
        <f>QS.CONTEXT.CREATE("market.1366",A1368,"USD","SOFR")</f>
        <v/>
      </c>
      <c r="D1368" s="8">
        <f>QS.CONTEXT.ADD.CURVE(C1368,"SOFR",$K$2:$K$7,$L$2:$L$7,,,"Actual360","LogLinear",TRUE)</f>
        <v/>
      </c>
      <c r="E1368" s="8">
        <f>QS.INSTRUMENT.SWAP("swap.1366",C1368,H1368,B1368,"USD","SOFR",I1368,J1368,0,"Actual360","Simple","Annual","Annual","Annual")</f>
        <v/>
      </c>
      <c r="F1368" s="8">
        <f>QS.TRADE.CREATE("trade.1366",C1368,E1368,A1368,"Receive")</f>
        <v/>
      </c>
      <c r="G1368" s="5"/>
      <c r="H1368" s="7" t="s">
        <v>2776</v>
      </c>
      <c r="I1368" s="9">
        <v>1136600</v>
      </c>
      <c r="J1368" s="10">
        <v>0.0366</v>
      </c>
    </row>
    <row r="1369" spans="1:10">
      <c r="A1369" s="7" t="s">
        <v>2764</v>
      </c>
      <c r="B1369" s="7" t="s">
        <v>2777</v>
      </c>
      <c r="C1369" s="8">
        <f>QS.CONTEXT.CREATE("market.1367",A1369,"USD","SOFR")</f>
        <v/>
      </c>
      <c r="D1369" s="8">
        <f>QS.CONTEXT.ADD.CURVE(C1369,"SOFR",$K$2:$K$7,$L$2:$L$7,,,"Actual360","LogLinear",TRUE)</f>
        <v/>
      </c>
      <c r="E1369" s="8">
        <f>QS.INSTRUMENT.SWAP("swap.1367",C1369,H1369,B1369,"USD","SOFR",I1369,J1369,0,"Actual360","Simple","Annual","Annual","Annual")</f>
        <v/>
      </c>
      <c r="F1369" s="8">
        <f>QS.TRADE.CREATE("trade.1367",C1369,E1369,A1369,"Receive")</f>
        <v/>
      </c>
      <c r="G1369" s="5"/>
      <c r="H1369" s="7" t="s">
        <v>2778</v>
      </c>
      <c r="I1369" s="9">
        <v>1136700</v>
      </c>
      <c r="J1369" s="10">
        <v>0.0367</v>
      </c>
    </row>
    <row r="1370" spans="1:10">
      <c r="A1370" s="7" t="s">
        <v>2766</v>
      </c>
      <c r="B1370" s="7" t="s">
        <v>2779</v>
      </c>
      <c r="C1370" s="8">
        <f>QS.CONTEXT.CREATE("market.1368",A1370,"USD","SOFR")</f>
        <v/>
      </c>
      <c r="D1370" s="8">
        <f>QS.CONTEXT.ADD.CURVE(C1370,"SOFR",$K$2:$K$7,$L$2:$L$7,,,"Actual360","LogLinear",TRUE)</f>
        <v/>
      </c>
      <c r="E1370" s="8">
        <f>QS.INSTRUMENT.SWAP("swap.1368",C1370,H1370,B1370,"USD","SOFR",I1370,J1370,0,"Actual360","Simple","Annual","Annual","Annual")</f>
        <v/>
      </c>
      <c r="F1370" s="8">
        <f>QS.TRADE.CREATE("trade.1368",C1370,E1370,A1370,"Receive")</f>
        <v/>
      </c>
      <c r="G1370" s="5"/>
      <c r="H1370" s="7" t="s">
        <v>2780</v>
      </c>
      <c r="I1370" s="9">
        <v>1136800</v>
      </c>
      <c r="J1370" s="10">
        <v>0.03680000000000001</v>
      </c>
    </row>
    <row r="1371" spans="1:10">
      <c r="A1371" s="7" t="s">
        <v>2768</v>
      </c>
      <c r="B1371" s="7" t="s">
        <v>2781</v>
      </c>
      <c r="C1371" s="8">
        <f>QS.CONTEXT.CREATE("market.1369",A1371,"USD","SOFR")</f>
        <v/>
      </c>
      <c r="D1371" s="8">
        <f>QS.CONTEXT.ADD.CURVE(C1371,"SOFR",$K$2:$K$7,$L$2:$L$7,,,"Actual360","LogLinear",TRUE)</f>
        <v/>
      </c>
      <c r="E1371" s="8">
        <f>QS.INSTRUMENT.SWAP("swap.1369",C1371,H1371,B1371,"USD","SOFR",I1371,J1371,0,"Actual360","Simple","Annual","Annual","Annual")</f>
        <v/>
      </c>
      <c r="F1371" s="8">
        <f>QS.TRADE.CREATE("trade.1369",C1371,E1371,A1371,"Receive")</f>
        <v/>
      </c>
      <c r="G1371" s="5"/>
      <c r="H1371" s="7" t="s">
        <v>2782</v>
      </c>
      <c r="I1371" s="9">
        <v>1136900</v>
      </c>
      <c r="J1371" s="10">
        <v>0.0369</v>
      </c>
    </row>
    <row r="1372" spans="1:10">
      <c r="A1372" s="7" t="s">
        <v>2770</v>
      </c>
      <c r="B1372" s="7" t="s">
        <v>2783</v>
      </c>
      <c r="C1372" s="8">
        <f>QS.CONTEXT.CREATE("market.1370",A1372,"USD","SOFR")</f>
        <v/>
      </c>
      <c r="D1372" s="8">
        <f>QS.CONTEXT.ADD.CURVE(C1372,"SOFR",$K$2:$K$7,$L$2:$L$7,,,"Actual360","LogLinear",TRUE)</f>
        <v/>
      </c>
      <c r="E1372" s="8">
        <f>QS.INSTRUMENT.SWAP("swap.1370",C1372,H1372,B1372,"USD","SOFR",I1372,J1372,0,"Actual360","Simple","Annual","Annual","Annual")</f>
        <v/>
      </c>
      <c r="F1372" s="8">
        <f>QS.TRADE.CREATE("trade.1370",C1372,E1372,A1372,"Receive")</f>
        <v/>
      </c>
      <c r="G1372" s="5"/>
      <c r="H1372" s="7" t="s">
        <v>2784</v>
      </c>
      <c r="I1372" s="9">
        <v>1137000</v>
      </c>
      <c r="J1372" s="10">
        <v>0.03700000000000001</v>
      </c>
    </row>
    <row r="1373" spans="1:10">
      <c r="A1373" s="7" t="s">
        <v>2772</v>
      </c>
      <c r="B1373" s="7" t="s">
        <v>2785</v>
      </c>
      <c r="C1373" s="8">
        <f>QS.CONTEXT.CREATE("market.1371",A1373,"USD","SOFR")</f>
        <v/>
      </c>
      <c r="D1373" s="8">
        <f>QS.CONTEXT.ADD.CURVE(C1373,"SOFR",$K$2:$K$7,$L$2:$L$7,,,"Actual360","LogLinear",TRUE)</f>
        <v/>
      </c>
      <c r="E1373" s="8">
        <f>QS.INSTRUMENT.SWAP("swap.1371",C1373,H1373,B1373,"USD","SOFR",I1373,J1373,0,"Actual360","Simple","Annual","Annual","Annual")</f>
        <v/>
      </c>
      <c r="F1373" s="8">
        <f>QS.TRADE.CREATE("trade.1371",C1373,E1373,A1373,"Receive")</f>
        <v/>
      </c>
      <c r="G1373" s="5"/>
      <c r="H1373" s="7" t="s">
        <v>2786</v>
      </c>
      <c r="I1373" s="9">
        <v>1137100</v>
      </c>
      <c r="J1373" s="10">
        <v>0.0371</v>
      </c>
    </row>
    <row r="1374" spans="1:10">
      <c r="A1374" s="7" t="s">
        <v>2774</v>
      </c>
      <c r="B1374" s="7" t="s">
        <v>2787</v>
      </c>
      <c r="C1374" s="8">
        <f>QS.CONTEXT.CREATE("market.1372",A1374,"USD","SOFR")</f>
        <v/>
      </c>
      <c r="D1374" s="8">
        <f>QS.CONTEXT.ADD.CURVE(C1374,"SOFR",$K$2:$K$7,$L$2:$L$7,,,"Actual360","LogLinear",TRUE)</f>
        <v/>
      </c>
      <c r="E1374" s="8">
        <f>QS.INSTRUMENT.SWAP("swap.1372",C1374,H1374,B1374,"USD","SOFR",I1374,J1374,0,"Actual360","Simple","Annual","Annual","Annual")</f>
        <v/>
      </c>
      <c r="F1374" s="8">
        <f>QS.TRADE.CREATE("trade.1372",C1374,E1374,A1374,"Receive")</f>
        <v/>
      </c>
      <c r="G1374" s="5"/>
      <c r="H1374" s="7" t="s">
        <v>2788</v>
      </c>
      <c r="I1374" s="9">
        <v>1137200</v>
      </c>
      <c r="J1374" s="10">
        <v>0.0372</v>
      </c>
    </row>
    <row r="1375" spans="1:10">
      <c r="A1375" s="7" t="s">
        <v>2776</v>
      </c>
      <c r="B1375" s="7" t="s">
        <v>2789</v>
      </c>
      <c r="C1375" s="8">
        <f>QS.CONTEXT.CREATE("market.1373",A1375,"USD","SOFR")</f>
        <v/>
      </c>
      <c r="D1375" s="8">
        <f>QS.CONTEXT.ADD.CURVE(C1375,"SOFR",$K$2:$K$7,$L$2:$L$7,,,"Actual360","LogLinear",TRUE)</f>
        <v/>
      </c>
      <c r="E1375" s="8">
        <f>QS.INSTRUMENT.SWAP("swap.1373",C1375,H1375,B1375,"USD","SOFR",I1375,J1375,0,"Actual360","Simple","Annual","Annual","Annual")</f>
        <v/>
      </c>
      <c r="F1375" s="8">
        <f>QS.TRADE.CREATE("trade.1373",C1375,E1375,A1375,"Receive")</f>
        <v/>
      </c>
      <c r="G1375" s="5"/>
      <c r="H1375" s="7" t="s">
        <v>2790</v>
      </c>
      <c r="I1375" s="9">
        <v>1137300</v>
      </c>
      <c r="J1375" s="10">
        <v>0.0373</v>
      </c>
    </row>
    <row r="1376" spans="1:10">
      <c r="A1376" s="7" t="s">
        <v>2778</v>
      </c>
      <c r="B1376" s="7" t="s">
        <v>2791</v>
      </c>
      <c r="C1376" s="8">
        <f>QS.CONTEXT.CREATE("market.1374",A1376,"USD","SOFR")</f>
        <v/>
      </c>
      <c r="D1376" s="8">
        <f>QS.CONTEXT.ADD.CURVE(C1376,"SOFR",$K$2:$K$7,$L$2:$L$7,,,"Actual360","LogLinear",TRUE)</f>
        <v/>
      </c>
      <c r="E1376" s="8">
        <f>QS.INSTRUMENT.SWAP("swap.1374",C1376,H1376,B1376,"USD","SOFR",I1376,J1376,0,"Actual360","Simple","Annual","Annual","Annual")</f>
        <v/>
      </c>
      <c r="F1376" s="8">
        <f>QS.TRADE.CREATE("trade.1374",C1376,E1376,A1376,"Receive")</f>
        <v/>
      </c>
      <c r="G1376" s="5"/>
      <c r="H1376" s="7" t="s">
        <v>2792</v>
      </c>
      <c r="I1376" s="9">
        <v>1137400</v>
      </c>
      <c r="J1376" s="10">
        <v>0.0374</v>
      </c>
    </row>
    <row r="1377" spans="1:10">
      <c r="A1377" s="7" t="s">
        <v>2780</v>
      </c>
      <c r="B1377" s="7" t="s">
        <v>2793</v>
      </c>
      <c r="C1377" s="8">
        <f>QS.CONTEXT.CREATE("market.1375",A1377,"USD","SOFR")</f>
        <v/>
      </c>
      <c r="D1377" s="8">
        <f>QS.CONTEXT.ADD.CURVE(C1377,"SOFR",$K$2:$K$7,$L$2:$L$7,,,"Actual360","LogLinear",TRUE)</f>
        <v/>
      </c>
      <c r="E1377" s="8">
        <f>QS.INSTRUMENT.SWAP("swap.1375",C1377,H1377,B1377,"USD","SOFR",I1377,J1377,0,"Actual360","Simple","Annual","Annual","Annual")</f>
        <v/>
      </c>
      <c r="F1377" s="8">
        <f>QS.TRADE.CREATE("trade.1375",C1377,E1377,A1377,"Receive")</f>
        <v/>
      </c>
      <c r="G1377" s="5"/>
      <c r="H1377" s="7" t="s">
        <v>2794</v>
      </c>
      <c r="I1377" s="9">
        <v>1137500</v>
      </c>
      <c r="J1377" s="10">
        <v>0.03750000000000001</v>
      </c>
    </row>
    <row r="1378" spans="1:10">
      <c r="A1378" s="7" t="s">
        <v>2782</v>
      </c>
      <c r="B1378" s="7" t="s">
        <v>2795</v>
      </c>
      <c r="C1378" s="8">
        <f>QS.CONTEXT.CREATE("market.1376",A1378,"USD","SOFR")</f>
        <v/>
      </c>
      <c r="D1378" s="8">
        <f>QS.CONTEXT.ADD.CURVE(C1378,"SOFR",$K$2:$K$7,$L$2:$L$7,,,"Actual360","LogLinear",TRUE)</f>
        <v/>
      </c>
      <c r="E1378" s="8">
        <f>QS.INSTRUMENT.SWAP("swap.1376",C1378,H1378,B1378,"USD","SOFR",I1378,J1378,0,"Actual360","Simple","Annual","Annual","Annual")</f>
        <v/>
      </c>
      <c r="F1378" s="8">
        <f>QS.TRADE.CREATE("trade.1376",C1378,E1378,A1378,"Receive")</f>
        <v/>
      </c>
      <c r="G1378" s="5"/>
      <c r="H1378" s="7" t="s">
        <v>2796</v>
      </c>
      <c r="I1378" s="9">
        <v>1137600</v>
      </c>
      <c r="J1378" s="10">
        <v>0.0376</v>
      </c>
    </row>
    <row r="1379" spans="1:10">
      <c r="A1379" s="7" t="s">
        <v>2784</v>
      </c>
      <c r="B1379" s="7" t="s">
        <v>2797</v>
      </c>
      <c r="C1379" s="8">
        <f>QS.CONTEXT.CREATE("market.1377",A1379,"USD","SOFR")</f>
        <v/>
      </c>
      <c r="D1379" s="8">
        <f>QS.CONTEXT.ADD.CURVE(C1379,"SOFR",$K$2:$K$7,$L$2:$L$7,,,"Actual360","LogLinear",TRUE)</f>
        <v/>
      </c>
      <c r="E1379" s="8">
        <f>QS.INSTRUMENT.SWAP("swap.1377",C1379,H1379,B1379,"USD","SOFR",I1379,J1379,0,"Actual360","Simple","Annual","Annual","Annual")</f>
        <v/>
      </c>
      <c r="F1379" s="8">
        <f>QS.TRADE.CREATE("trade.1377",C1379,E1379,A1379,"Receive")</f>
        <v/>
      </c>
      <c r="G1379" s="5"/>
      <c r="H1379" s="7" t="s">
        <v>2798</v>
      </c>
      <c r="I1379" s="9">
        <v>1137700</v>
      </c>
      <c r="J1379" s="10">
        <v>0.0377</v>
      </c>
    </row>
    <row r="1380" spans="1:10">
      <c r="A1380" s="7" t="s">
        <v>2786</v>
      </c>
      <c r="B1380" s="7" t="s">
        <v>2799</v>
      </c>
      <c r="C1380" s="8">
        <f>QS.CONTEXT.CREATE("market.1378",A1380,"USD","SOFR")</f>
        <v/>
      </c>
      <c r="D1380" s="8">
        <f>QS.CONTEXT.ADD.CURVE(C1380,"SOFR",$K$2:$K$7,$L$2:$L$7,,,"Actual360","LogLinear",TRUE)</f>
        <v/>
      </c>
      <c r="E1380" s="8">
        <f>QS.INSTRUMENT.SWAP("swap.1378",C1380,H1380,B1380,"USD","SOFR",I1380,J1380,0,"Actual360","Simple","Annual","Annual","Annual")</f>
        <v/>
      </c>
      <c r="F1380" s="8">
        <f>QS.TRADE.CREATE("trade.1378",C1380,E1380,A1380,"Receive")</f>
        <v/>
      </c>
      <c r="G1380" s="5"/>
      <c r="H1380" s="7" t="s">
        <v>2800</v>
      </c>
      <c r="I1380" s="9">
        <v>1137800</v>
      </c>
      <c r="J1380" s="10">
        <v>0.0378</v>
      </c>
    </row>
    <row r="1381" spans="1:10">
      <c r="A1381" s="7" t="s">
        <v>2788</v>
      </c>
      <c r="B1381" s="7" t="s">
        <v>2801</v>
      </c>
      <c r="C1381" s="8">
        <f>QS.CONTEXT.CREATE("market.1379",A1381,"USD","SOFR")</f>
        <v/>
      </c>
      <c r="D1381" s="8">
        <f>QS.CONTEXT.ADD.CURVE(C1381,"SOFR",$K$2:$K$7,$L$2:$L$7,,,"Actual360","LogLinear",TRUE)</f>
        <v/>
      </c>
      <c r="E1381" s="8">
        <f>QS.INSTRUMENT.SWAP("swap.1379",C1381,H1381,B1381,"USD","SOFR",I1381,J1381,0,"Actual360","Simple","Annual","Annual","Annual")</f>
        <v/>
      </c>
      <c r="F1381" s="8">
        <f>QS.TRADE.CREATE("trade.1379",C1381,E1381,A1381,"Receive")</f>
        <v/>
      </c>
      <c r="G1381" s="5"/>
      <c r="H1381" s="7" t="s">
        <v>2802</v>
      </c>
      <c r="I1381" s="9">
        <v>1137900</v>
      </c>
      <c r="J1381" s="10">
        <v>0.0379</v>
      </c>
    </row>
    <row r="1382" spans="1:10">
      <c r="A1382" s="7" t="s">
        <v>2790</v>
      </c>
      <c r="B1382" s="7" t="s">
        <v>2803</v>
      </c>
      <c r="C1382" s="8">
        <f>QS.CONTEXT.CREATE("market.1380",A1382,"USD","SOFR")</f>
        <v/>
      </c>
      <c r="D1382" s="8">
        <f>QS.CONTEXT.ADD.CURVE(C1382,"SOFR",$K$2:$K$7,$L$2:$L$7,,,"Actual360","LogLinear",TRUE)</f>
        <v/>
      </c>
      <c r="E1382" s="8">
        <f>QS.INSTRUMENT.SWAP("swap.1380",C1382,H1382,B1382,"USD","SOFR",I1382,J1382,0,"Actual360","Simple","Annual","Annual","Annual")</f>
        <v/>
      </c>
      <c r="F1382" s="8">
        <f>QS.TRADE.CREATE("trade.1380",C1382,E1382,A1382,"Receive")</f>
        <v/>
      </c>
      <c r="G1382" s="5"/>
      <c r="H1382" s="7" t="s">
        <v>2804</v>
      </c>
      <c r="I1382" s="9">
        <v>1138000</v>
      </c>
      <c r="J1382" s="10">
        <v>0.03800000000000001</v>
      </c>
    </row>
    <row r="1383" spans="1:10">
      <c r="A1383" s="7" t="s">
        <v>2792</v>
      </c>
      <c r="B1383" s="7" t="s">
        <v>2805</v>
      </c>
      <c r="C1383" s="8">
        <f>QS.CONTEXT.CREATE("market.1381",A1383,"USD","SOFR")</f>
        <v/>
      </c>
      <c r="D1383" s="8">
        <f>QS.CONTEXT.ADD.CURVE(C1383,"SOFR",$K$2:$K$7,$L$2:$L$7,,,"Actual360","LogLinear",TRUE)</f>
        <v/>
      </c>
      <c r="E1383" s="8">
        <f>QS.INSTRUMENT.SWAP("swap.1381",C1383,H1383,B1383,"USD","SOFR",I1383,J1383,0,"Actual360","Simple","Annual","Annual","Annual")</f>
        <v/>
      </c>
      <c r="F1383" s="8">
        <f>QS.TRADE.CREATE("trade.1381",C1383,E1383,A1383,"Receive")</f>
        <v/>
      </c>
      <c r="G1383" s="5"/>
      <c r="H1383" s="7" t="s">
        <v>2806</v>
      </c>
      <c r="I1383" s="9">
        <v>1138100</v>
      </c>
      <c r="J1383" s="10">
        <v>0.0381</v>
      </c>
    </row>
    <row r="1384" spans="1:10">
      <c r="A1384" s="7" t="s">
        <v>2794</v>
      </c>
      <c r="B1384" s="7" t="s">
        <v>2807</v>
      </c>
      <c r="C1384" s="8">
        <f>QS.CONTEXT.CREATE("market.1382",A1384,"USD","SOFR")</f>
        <v/>
      </c>
      <c r="D1384" s="8">
        <f>QS.CONTEXT.ADD.CURVE(C1384,"SOFR",$K$2:$K$7,$L$2:$L$7,,,"Actual360","LogLinear",TRUE)</f>
        <v/>
      </c>
      <c r="E1384" s="8">
        <f>QS.INSTRUMENT.SWAP("swap.1382",C1384,H1384,B1384,"USD","SOFR",I1384,J1384,0,"Actual360","Simple","Annual","Annual","Annual")</f>
        <v/>
      </c>
      <c r="F1384" s="8">
        <f>QS.TRADE.CREATE("trade.1382",C1384,E1384,A1384,"Receive")</f>
        <v/>
      </c>
      <c r="G1384" s="5"/>
      <c r="H1384" s="7" t="s">
        <v>2808</v>
      </c>
      <c r="I1384" s="9">
        <v>1138200</v>
      </c>
      <c r="J1384" s="10">
        <v>0.0382</v>
      </c>
    </row>
    <row r="1385" spans="1:10">
      <c r="A1385" s="7" t="s">
        <v>2796</v>
      </c>
      <c r="B1385" s="7" t="s">
        <v>2809</v>
      </c>
      <c r="C1385" s="8">
        <f>QS.CONTEXT.CREATE("market.1383",A1385,"USD","SOFR")</f>
        <v/>
      </c>
      <c r="D1385" s="8">
        <f>QS.CONTEXT.ADD.CURVE(C1385,"SOFR",$K$2:$K$7,$L$2:$L$7,,,"Actual360","LogLinear",TRUE)</f>
        <v/>
      </c>
      <c r="E1385" s="8">
        <f>QS.INSTRUMENT.SWAP("swap.1383",C1385,H1385,B1385,"USD","SOFR",I1385,J1385,0,"Actual360","Simple","Annual","Annual","Annual")</f>
        <v/>
      </c>
      <c r="F1385" s="8">
        <f>QS.TRADE.CREATE("trade.1383",C1385,E1385,A1385,"Receive")</f>
        <v/>
      </c>
      <c r="G1385" s="5"/>
      <c r="H1385" s="7" t="s">
        <v>2810</v>
      </c>
      <c r="I1385" s="9">
        <v>1138300</v>
      </c>
      <c r="J1385" s="10">
        <v>0.0383</v>
      </c>
    </row>
    <row r="1386" spans="1:10">
      <c r="A1386" s="7" t="s">
        <v>2798</v>
      </c>
      <c r="B1386" s="7" t="s">
        <v>2811</v>
      </c>
      <c r="C1386" s="8">
        <f>QS.CONTEXT.CREATE("market.1384",A1386,"USD","SOFR")</f>
        <v/>
      </c>
      <c r="D1386" s="8">
        <f>QS.CONTEXT.ADD.CURVE(C1386,"SOFR",$K$2:$K$7,$L$2:$L$7,,,"Actual360","LogLinear",TRUE)</f>
        <v/>
      </c>
      <c r="E1386" s="8">
        <f>QS.INSTRUMENT.SWAP("swap.1384",C1386,H1386,B1386,"USD","SOFR",I1386,J1386,0,"Actual360","Simple","Annual","Annual","Annual")</f>
        <v/>
      </c>
      <c r="F1386" s="8">
        <f>QS.TRADE.CREATE("trade.1384",C1386,E1386,A1386,"Receive")</f>
        <v/>
      </c>
      <c r="G1386" s="5"/>
      <c r="H1386" s="7" t="s">
        <v>2812</v>
      </c>
      <c r="I1386" s="9">
        <v>1138400</v>
      </c>
      <c r="J1386" s="10">
        <v>0.0384</v>
      </c>
    </row>
    <row r="1387" spans="1:10">
      <c r="A1387" s="7" t="s">
        <v>2800</v>
      </c>
      <c r="B1387" s="7" t="s">
        <v>2813</v>
      </c>
      <c r="C1387" s="8">
        <f>QS.CONTEXT.CREATE("market.1385",A1387,"USD","SOFR")</f>
        <v/>
      </c>
      <c r="D1387" s="8">
        <f>QS.CONTEXT.ADD.CURVE(C1387,"SOFR",$K$2:$K$7,$L$2:$L$7,,,"Actual360","LogLinear",TRUE)</f>
        <v/>
      </c>
      <c r="E1387" s="8">
        <f>QS.INSTRUMENT.SWAP("swap.1385",C1387,H1387,B1387,"USD","SOFR",I1387,J1387,0,"Actual360","Simple","Annual","Annual","Annual")</f>
        <v/>
      </c>
      <c r="F1387" s="8">
        <f>QS.TRADE.CREATE("trade.1385",C1387,E1387,A1387,"Receive")</f>
        <v/>
      </c>
      <c r="G1387" s="5"/>
      <c r="H1387" s="7" t="s">
        <v>2814</v>
      </c>
      <c r="I1387" s="9">
        <v>1138500</v>
      </c>
      <c r="J1387" s="10">
        <v>0.03850000000000001</v>
      </c>
    </row>
    <row r="1388" spans="1:10">
      <c r="A1388" s="7" t="s">
        <v>2802</v>
      </c>
      <c r="B1388" s="7" t="s">
        <v>2815</v>
      </c>
      <c r="C1388" s="8">
        <f>QS.CONTEXT.CREATE("market.1386",A1388,"USD","SOFR")</f>
        <v/>
      </c>
      <c r="D1388" s="8">
        <f>QS.CONTEXT.ADD.CURVE(C1388,"SOFR",$K$2:$K$7,$L$2:$L$7,,,"Actual360","LogLinear",TRUE)</f>
        <v/>
      </c>
      <c r="E1388" s="8">
        <f>QS.INSTRUMENT.SWAP("swap.1386",C1388,H1388,B1388,"USD","SOFR",I1388,J1388,0,"Actual360","Simple","Annual","Annual","Annual")</f>
        <v/>
      </c>
      <c r="F1388" s="8">
        <f>QS.TRADE.CREATE("trade.1386",C1388,E1388,A1388,"Receive")</f>
        <v/>
      </c>
      <c r="G1388" s="5"/>
      <c r="H1388" s="7" t="s">
        <v>2816</v>
      </c>
      <c r="I1388" s="9">
        <v>1138600</v>
      </c>
      <c r="J1388" s="10">
        <v>0.0386</v>
      </c>
    </row>
    <row r="1389" spans="1:10">
      <c r="A1389" s="7" t="s">
        <v>2804</v>
      </c>
      <c r="B1389" s="7" t="s">
        <v>2817</v>
      </c>
      <c r="C1389" s="8">
        <f>QS.CONTEXT.CREATE("market.1387",A1389,"USD","SOFR")</f>
        <v/>
      </c>
      <c r="D1389" s="8">
        <f>QS.CONTEXT.ADD.CURVE(C1389,"SOFR",$K$2:$K$7,$L$2:$L$7,,,"Actual360","LogLinear",TRUE)</f>
        <v/>
      </c>
      <c r="E1389" s="8">
        <f>QS.INSTRUMENT.SWAP("swap.1387",C1389,H1389,B1389,"USD","SOFR",I1389,J1389,0,"Actual360","Simple","Annual","Annual","Annual")</f>
        <v/>
      </c>
      <c r="F1389" s="8">
        <f>QS.TRADE.CREATE("trade.1387",C1389,E1389,A1389,"Receive")</f>
        <v/>
      </c>
      <c r="G1389" s="5"/>
      <c r="H1389" s="7" t="s">
        <v>2818</v>
      </c>
      <c r="I1389" s="9">
        <v>1138700</v>
      </c>
      <c r="J1389" s="10">
        <v>0.03870000000000001</v>
      </c>
    </row>
    <row r="1390" spans="1:10">
      <c r="A1390" s="7" t="s">
        <v>2806</v>
      </c>
      <c r="B1390" s="7" t="s">
        <v>2819</v>
      </c>
      <c r="C1390" s="8">
        <f>QS.CONTEXT.CREATE("market.1388",A1390,"USD","SOFR")</f>
        <v/>
      </c>
      <c r="D1390" s="8">
        <f>QS.CONTEXT.ADD.CURVE(C1390,"SOFR",$K$2:$K$7,$L$2:$L$7,,,"Actual360","LogLinear",TRUE)</f>
        <v/>
      </c>
      <c r="E1390" s="8">
        <f>QS.INSTRUMENT.SWAP("swap.1388",C1390,H1390,B1390,"USD","SOFR",I1390,J1390,0,"Actual360","Simple","Annual","Annual","Annual")</f>
        <v/>
      </c>
      <c r="F1390" s="8">
        <f>QS.TRADE.CREATE("trade.1388",C1390,E1390,A1390,"Receive")</f>
        <v/>
      </c>
      <c r="G1390" s="5"/>
      <c r="H1390" s="7" t="s">
        <v>2820</v>
      </c>
      <c r="I1390" s="9">
        <v>1138800</v>
      </c>
      <c r="J1390" s="10">
        <v>0.0388</v>
      </c>
    </row>
    <row r="1391" spans="1:10">
      <c r="A1391" s="7" t="s">
        <v>2808</v>
      </c>
      <c r="B1391" s="7" t="s">
        <v>2821</v>
      </c>
      <c r="C1391" s="8">
        <f>QS.CONTEXT.CREATE("market.1389",A1391,"USD","SOFR")</f>
        <v/>
      </c>
      <c r="D1391" s="8">
        <f>QS.CONTEXT.ADD.CURVE(C1391,"SOFR",$K$2:$K$7,$L$2:$L$7,,,"Actual360","LogLinear",TRUE)</f>
        <v/>
      </c>
      <c r="E1391" s="8">
        <f>QS.INSTRUMENT.SWAP("swap.1389",C1391,H1391,B1391,"USD","SOFR",I1391,J1391,0,"Actual360","Simple","Annual","Annual","Annual")</f>
        <v/>
      </c>
      <c r="F1391" s="8">
        <f>QS.TRADE.CREATE("trade.1389",C1391,E1391,A1391,"Receive")</f>
        <v/>
      </c>
      <c r="G1391" s="5"/>
      <c r="H1391" s="7" t="s">
        <v>2822</v>
      </c>
      <c r="I1391" s="9">
        <v>1138900</v>
      </c>
      <c r="J1391" s="10">
        <v>0.0389</v>
      </c>
    </row>
    <row r="1392" spans="1:10">
      <c r="A1392" s="7" t="s">
        <v>2810</v>
      </c>
      <c r="B1392" s="7" t="s">
        <v>2823</v>
      </c>
      <c r="C1392" s="8">
        <f>QS.CONTEXT.CREATE("market.1390",A1392,"USD","SOFR")</f>
        <v/>
      </c>
      <c r="D1392" s="8">
        <f>QS.CONTEXT.ADD.CURVE(C1392,"SOFR",$K$2:$K$7,$L$2:$L$7,,,"Actual360","LogLinear",TRUE)</f>
        <v/>
      </c>
      <c r="E1392" s="8">
        <f>QS.INSTRUMENT.SWAP("swap.1390",C1392,H1392,B1392,"USD","SOFR",I1392,J1392,0,"Actual360","Simple","Annual","Annual","Annual")</f>
        <v/>
      </c>
      <c r="F1392" s="8">
        <f>QS.TRADE.CREATE("trade.1390",C1392,E1392,A1392,"Receive")</f>
        <v/>
      </c>
      <c r="G1392" s="5"/>
      <c r="H1392" s="7" t="s">
        <v>2824</v>
      </c>
      <c r="I1392" s="9">
        <v>1139000</v>
      </c>
      <c r="J1392" s="10">
        <v>0.03900000000000001</v>
      </c>
    </row>
    <row r="1393" spans="1:10">
      <c r="A1393" s="7" t="s">
        <v>2812</v>
      </c>
      <c r="B1393" s="7" t="s">
        <v>2825</v>
      </c>
      <c r="C1393" s="8">
        <f>QS.CONTEXT.CREATE("market.1391",A1393,"USD","SOFR")</f>
        <v/>
      </c>
      <c r="D1393" s="8">
        <f>QS.CONTEXT.ADD.CURVE(C1393,"SOFR",$K$2:$K$7,$L$2:$L$7,,,"Actual360","LogLinear",TRUE)</f>
        <v/>
      </c>
      <c r="E1393" s="8">
        <f>QS.INSTRUMENT.SWAP("swap.1391",C1393,H1393,B1393,"USD","SOFR",I1393,J1393,0,"Actual360","Simple","Annual","Annual","Annual")</f>
        <v/>
      </c>
      <c r="F1393" s="8">
        <f>QS.TRADE.CREATE("trade.1391",C1393,E1393,A1393,"Receive")</f>
        <v/>
      </c>
      <c r="G1393" s="5"/>
      <c r="H1393" s="7" t="s">
        <v>2826</v>
      </c>
      <c r="I1393" s="9">
        <v>1139100</v>
      </c>
      <c r="J1393" s="10">
        <v>0.0391</v>
      </c>
    </row>
    <row r="1394" spans="1:10">
      <c r="A1394" s="7" t="s">
        <v>2814</v>
      </c>
      <c r="B1394" s="7" t="s">
        <v>2827</v>
      </c>
      <c r="C1394" s="8">
        <f>QS.CONTEXT.CREATE("market.1392",A1394,"USD","SOFR")</f>
        <v/>
      </c>
      <c r="D1394" s="8">
        <f>QS.CONTEXT.ADD.CURVE(C1394,"SOFR",$K$2:$K$7,$L$2:$L$7,,,"Actual360","LogLinear",TRUE)</f>
        <v/>
      </c>
      <c r="E1394" s="8">
        <f>QS.INSTRUMENT.SWAP("swap.1392",C1394,H1394,B1394,"USD","SOFR",I1394,J1394,0,"Actual360","Simple","Annual","Annual","Annual")</f>
        <v/>
      </c>
      <c r="F1394" s="8">
        <f>QS.TRADE.CREATE("trade.1392",C1394,E1394,A1394,"Receive")</f>
        <v/>
      </c>
      <c r="G1394" s="5"/>
      <c r="H1394" s="7" t="s">
        <v>2828</v>
      </c>
      <c r="I1394" s="9">
        <v>1139200</v>
      </c>
      <c r="J1394" s="10">
        <v>0.03920000000000001</v>
      </c>
    </row>
    <row r="1395" spans="1:10">
      <c r="A1395" s="7" t="s">
        <v>2816</v>
      </c>
      <c r="B1395" s="7" t="s">
        <v>2829</v>
      </c>
      <c r="C1395" s="8">
        <f>QS.CONTEXT.CREATE("market.1393",A1395,"USD","SOFR")</f>
        <v/>
      </c>
      <c r="D1395" s="8">
        <f>QS.CONTEXT.ADD.CURVE(C1395,"SOFR",$K$2:$K$7,$L$2:$L$7,,,"Actual360","LogLinear",TRUE)</f>
        <v/>
      </c>
      <c r="E1395" s="8">
        <f>QS.INSTRUMENT.SWAP("swap.1393",C1395,H1395,B1395,"USD","SOFR",I1395,J1395,0,"Actual360","Simple","Annual","Annual","Annual")</f>
        <v/>
      </c>
      <c r="F1395" s="8">
        <f>QS.TRADE.CREATE("trade.1393",C1395,E1395,A1395,"Receive")</f>
        <v/>
      </c>
      <c r="G1395" s="5"/>
      <c r="H1395" s="7" t="s">
        <v>2830</v>
      </c>
      <c r="I1395" s="9">
        <v>1139300</v>
      </c>
      <c r="J1395" s="10">
        <v>0.0393</v>
      </c>
    </row>
    <row r="1396" spans="1:10">
      <c r="A1396" s="7" t="s">
        <v>2818</v>
      </c>
      <c r="B1396" s="7" t="s">
        <v>2831</v>
      </c>
      <c r="C1396" s="8">
        <f>QS.CONTEXT.CREATE("market.1394",A1396,"USD","SOFR")</f>
        <v/>
      </c>
      <c r="D1396" s="8">
        <f>QS.CONTEXT.ADD.CURVE(C1396,"SOFR",$K$2:$K$7,$L$2:$L$7,,,"Actual360","LogLinear",TRUE)</f>
        <v/>
      </c>
      <c r="E1396" s="8">
        <f>QS.INSTRUMENT.SWAP("swap.1394",C1396,H1396,B1396,"USD","SOFR",I1396,J1396,0,"Actual360","Simple","Annual","Annual","Annual")</f>
        <v/>
      </c>
      <c r="F1396" s="8">
        <f>QS.TRADE.CREATE("trade.1394",C1396,E1396,A1396,"Receive")</f>
        <v/>
      </c>
      <c r="G1396" s="5"/>
      <c r="H1396" s="7" t="s">
        <v>2832</v>
      </c>
      <c r="I1396" s="9">
        <v>1139400</v>
      </c>
      <c r="J1396" s="10">
        <v>0.0394</v>
      </c>
    </row>
    <row r="1397" spans="1:10">
      <c r="A1397" s="7" t="s">
        <v>2820</v>
      </c>
      <c r="B1397" s="7" t="s">
        <v>2833</v>
      </c>
      <c r="C1397" s="8">
        <f>QS.CONTEXT.CREATE("market.1395",A1397,"USD","SOFR")</f>
        <v/>
      </c>
      <c r="D1397" s="8">
        <f>QS.CONTEXT.ADD.CURVE(C1397,"SOFR",$K$2:$K$7,$L$2:$L$7,,,"Actual360","LogLinear",TRUE)</f>
        <v/>
      </c>
      <c r="E1397" s="8">
        <f>QS.INSTRUMENT.SWAP("swap.1395",C1397,H1397,B1397,"USD","SOFR",I1397,J1397,0,"Actual360","Simple","Annual","Annual","Annual")</f>
        <v/>
      </c>
      <c r="F1397" s="8">
        <f>QS.TRADE.CREATE("trade.1395",C1397,E1397,A1397,"Receive")</f>
        <v/>
      </c>
      <c r="G1397" s="5"/>
      <c r="H1397" s="7" t="s">
        <v>2834</v>
      </c>
      <c r="I1397" s="9">
        <v>1139500</v>
      </c>
      <c r="J1397" s="10">
        <v>0.03950000000000001</v>
      </c>
    </row>
    <row r="1398" spans="1:10">
      <c r="A1398" s="7" t="s">
        <v>2822</v>
      </c>
      <c r="B1398" s="7" t="s">
        <v>2835</v>
      </c>
      <c r="C1398" s="8">
        <f>QS.CONTEXT.CREATE("market.1396",A1398,"USD","SOFR")</f>
        <v/>
      </c>
      <c r="D1398" s="8">
        <f>QS.CONTEXT.ADD.CURVE(C1398,"SOFR",$K$2:$K$7,$L$2:$L$7,,,"Actual360","LogLinear",TRUE)</f>
        <v/>
      </c>
      <c r="E1398" s="8">
        <f>QS.INSTRUMENT.SWAP("swap.1396",C1398,H1398,B1398,"USD","SOFR",I1398,J1398,0,"Actual360","Simple","Annual","Annual","Annual")</f>
        <v/>
      </c>
      <c r="F1398" s="8">
        <f>QS.TRADE.CREATE("trade.1396",C1398,E1398,A1398,"Receive")</f>
        <v/>
      </c>
      <c r="G1398" s="5"/>
      <c r="H1398" s="7" t="s">
        <v>2836</v>
      </c>
      <c r="I1398" s="9">
        <v>1139600</v>
      </c>
      <c r="J1398" s="10">
        <v>0.0396</v>
      </c>
    </row>
    <row r="1399" spans="1:10">
      <c r="A1399" s="7" t="s">
        <v>2824</v>
      </c>
      <c r="B1399" s="7" t="s">
        <v>2837</v>
      </c>
      <c r="C1399" s="8">
        <f>QS.CONTEXT.CREATE("market.1397",A1399,"USD","SOFR")</f>
        <v/>
      </c>
      <c r="D1399" s="8">
        <f>QS.CONTEXT.ADD.CURVE(C1399,"SOFR",$K$2:$K$7,$L$2:$L$7,,,"Actual360","LogLinear",TRUE)</f>
        <v/>
      </c>
      <c r="E1399" s="8">
        <f>QS.INSTRUMENT.SWAP("swap.1397",C1399,H1399,B1399,"USD","SOFR",I1399,J1399,0,"Actual360","Simple","Annual","Annual","Annual")</f>
        <v/>
      </c>
      <c r="F1399" s="8">
        <f>QS.TRADE.CREATE("trade.1397",C1399,E1399,A1399,"Receive")</f>
        <v/>
      </c>
      <c r="G1399" s="5"/>
      <c r="H1399" s="7" t="s">
        <v>2838</v>
      </c>
      <c r="I1399" s="9">
        <v>1139700</v>
      </c>
      <c r="J1399" s="10">
        <v>0.03970000000000001</v>
      </c>
    </row>
    <row r="1400" spans="1:10">
      <c r="A1400" s="7" t="s">
        <v>2826</v>
      </c>
      <c r="B1400" s="7" t="s">
        <v>2839</v>
      </c>
      <c r="C1400" s="8">
        <f>QS.CONTEXT.CREATE("market.1398",A1400,"USD","SOFR")</f>
        <v/>
      </c>
      <c r="D1400" s="8">
        <f>QS.CONTEXT.ADD.CURVE(C1400,"SOFR",$K$2:$K$7,$L$2:$L$7,,,"Actual360","LogLinear",TRUE)</f>
        <v/>
      </c>
      <c r="E1400" s="8">
        <f>QS.INSTRUMENT.SWAP("swap.1398",C1400,H1400,B1400,"USD","SOFR",I1400,J1400,0,"Actual360","Simple","Annual","Annual","Annual")</f>
        <v/>
      </c>
      <c r="F1400" s="8">
        <f>QS.TRADE.CREATE("trade.1398",C1400,E1400,A1400,"Receive")</f>
        <v/>
      </c>
      <c r="G1400" s="5"/>
      <c r="H1400" s="7" t="s">
        <v>2840</v>
      </c>
      <c r="I1400" s="9">
        <v>1139800</v>
      </c>
      <c r="J1400" s="10">
        <v>0.0398</v>
      </c>
    </row>
    <row r="1401" spans="1:10">
      <c r="A1401" s="7" t="s">
        <v>2828</v>
      </c>
      <c r="B1401" s="7" t="s">
        <v>2841</v>
      </c>
      <c r="C1401" s="8">
        <f>QS.CONTEXT.CREATE("market.1399",A1401,"USD","SOFR")</f>
        <v/>
      </c>
      <c r="D1401" s="8">
        <f>QS.CONTEXT.ADD.CURVE(C1401,"SOFR",$K$2:$K$7,$L$2:$L$7,,,"Actual360","LogLinear",TRUE)</f>
        <v/>
      </c>
      <c r="E1401" s="8">
        <f>QS.INSTRUMENT.SWAP("swap.1399",C1401,H1401,B1401,"USD","SOFR",I1401,J1401,0,"Actual360","Simple","Annual","Annual","Annual")</f>
        <v/>
      </c>
      <c r="F1401" s="8">
        <f>QS.TRADE.CREATE("trade.1399",C1401,E1401,A1401,"Receive")</f>
        <v/>
      </c>
      <c r="G1401" s="5"/>
      <c r="H1401" s="7" t="s">
        <v>2842</v>
      </c>
      <c r="I1401" s="9">
        <v>1139900</v>
      </c>
      <c r="J1401" s="10">
        <v>0.0399</v>
      </c>
    </row>
    <row r="1402" spans="1:10">
      <c r="A1402" s="7" t="s">
        <v>2830</v>
      </c>
      <c r="B1402" s="7" t="s">
        <v>2843</v>
      </c>
      <c r="C1402" s="8">
        <f>QS.CONTEXT.CREATE("market.1400",A1402,"USD","SOFR")</f>
        <v/>
      </c>
      <c r="D1402" s="8">
        <f>QS.CONTEXT.ADD.CURVE(C1402,"SOFR",$K$2:$K$7,$L$2:$L$7,,,"Actual360","LogLinear",TRUE)</f>
        <v/>
      </c>
      <c r="E1402" s="8">
        <f>QS.INSTRUMENT.SWAP("swap.1400",C1402,H1402,B1402,"USD","SOFR",I1402,J1402,0,"Actual360","Simple","Annual","Annual","Annual")</f>
        <v/>
      </c>
      <c r="F1402" s="8">
        <f>QS.TRADE.CREATE("trade.1400",C1402,E1402,A1402,"Receive")</f>
        <v/>
      </c>
      <c r="G1402" s="5"/>
      <c r="H1402" s="7" t="s">
        <v>2844</v>
      </c>
      <c r="I1402" s="9">
        <v>1140000</v>
      </c>
      <c r="J1402" s="10">
        <v>0.035</v>
      </c>
    </row>
    <row r="1403" spans="1:10">
      <c r="A1403" s="7" t="s">
        <v>2832</v>
      </c>
      <c r="B1403" s="7" t="s">
        <v>2845</v>
      </c>
      <c r="C1403" s="8">
        <f>QS.CONTEXT.CREATE("market.1401",A1403,"USD","SOFR")</f>
        <v/>
      </c>
      <c r="D1403" s="8">
        <f>QS.CONTEXT.ADD.CURVE(C1403,"SOFR",$K$2:$K$7,$L$2:$L$7,,,"Actual360","LogLinear",TRUE)</f>
        <v/>
      </c>
      <c r="E1403" s="8">
        <f>QS.INSTRUMENT.SWAP("swap.1401",C1403,H1403,B1403,"USD","SOFR",I1403,J1403,0,"Actual360","Simple","Annual","Annual","Annual")</f>
        <v/>
      </c>
      <c r="F1403" s="8">
        <f>QS.TRADE.CREATE("trade.1401",C1403,E1403,A1403,"Receive")</f>
        <v/>
      </c>
      <c r="G1403" s="5"/>
      <c r="H1403" s="7" t="s">
        <v>2846</v>
      </c>
      <c r="I1403" s="9">
        <v>1140100</v>
      </c>
      <c r="J1403" s="10">
        <v>0.03510000000000001</v>
      </c>
    </row>
    <row r="1404" spans="1:10">
      <c r="A1404" s="7" t="s">
        <v>2834</v>
      </c>
      <c r="B1404" s="7" t="s">
        <v>2847</v>
      </c>
      <c r="C1404" s="8">
        <f>QS.CONTEXT.CREATE("market.1402",A1404,"USD","SOFR")</f>
        <v/>
      </c>
      <c r="D1404" s="8">
        <f>QS.CONTEXT.ADD.CURVE(C1404,"SOFR",$K$2:$K$7,$L$2:$L$7,,,"Actual360","LogLinear",TRUE)</f>
        <v/>
      </c>
      <c r="E1404" s="8">
        <f>QS.INSTRUMENT.SWAP("swap.1402",C1404,H1404,B1404,"USD","SOFR",I1404,J1404,0,"Actual360","Simple","Annual","Annual","Annual")</f>
        <v/>
      </c>
      <c r="F1404" s="8">
        <f>QS.TRADE.CREATE("trade.1402",C1404,E1404,A1404,"Receive")</f>
        <v/>
      </c>
      <c r="G1404" s="5"/>
      <c r="H1404" s="7" t="s">
        <v>2848</v>
      </c>
      <c r="I1404" s="9">
        <v>1140200</v>
      </c>
      <c r="J1404" s="10">
        <v>0.0352</v>
      </c>
    </row>
    <row r="1405" spans="1:10">
      <c r="A1405" s="7" t="s">
        <v>2836</v>
      </c>
      <c r="B1405" s="7" t="s">
        <v>2849</v>
      </c>
      <c r="C1405" s="8">
        <f>QS.CONTEXT.CREATE("market.1403",A1405,"USD","SOFR")</f>
        <v/>
      </c>
      <c r="D1405" s="8">
        <f>QS.CONTEXT.ADD.CURVE(C1405,"SOFR",$K$2:$K$7,$L$2:$L$7,,,"Actual360","LogLinear",TRUE)</f>
        <v/>
      </c>
      <c r="E1405" s="8">
        <f>QS.INSTRUMENT.SWAP("swap.1403",C1405,H1405,B1405,"USD","SOFR",I1405,J1405,0,"Actual360","Simple","Annual","Annual","Annual")</f>
        <v/>
      </c>
      <c r="F1405" s="8">
        <f>QS.TRADE.CREATE("trade.1403",C1405,E1405,A1405,"Receive")</f>
        <v/>
      </c>
      <c r="G1405" s="5"/>
      <c r="H1405" s="7" t="s">
        <v>2850</v>
      </c>
      <c r="I1405" s="9">
        <v>1140300</v>
      </c>
      <c r="J1405" s="10">
        <v>0.0353</v>
      </c>
    </row>
    <row r="1406" spans="1:10">
      <c r="A1406" s="7" t="s">
        <v>2838</v>
      </c>
      <c r="B1406" s="7" t="s">
        <v>2851</v>
      </c>
      <c r="C1406" s="8">
        <f>QS.CONTEXT.CREATE("market.1404",A1406,"USD","SOFR")</f>
        <v/>
      </c>
      <c r="D1406" s="8">
        <f>QS.CONTEXT.ADD.CURVE(C1406,"SOFR",$K$2:$K$7,$L$2:$L$7,,,"Actual360","LogLinear",TRUE)</f>
        <v/>
      </c>
      <c r="E1406" s="8">
        <f>QS.INSTRUMENT.SWAP("swap.1404",C1406,H1406,B1406,"USD","SOFR",I1406,J1406,0,"Actual360","Simple","Annual","Annual","Annual")</f>
        <v/>
      </c>
      <c r="F1406" s="8">
        <f>QS.TRADE.CREATE("trade.1404",C1406,E1406,A1406,"Receive")</f>
        <v/>
      </c>
      <c r="G1406" s="5"/>
      <c r="H1406" s="7" t="s">
        <v>2852</v>
      </c>
      <c r="I1406" s="9">
        <v>1140400</v>
      </c>
      <c r="J1406" s="10">
        <v>0.0354</v>
      </c>
    </row>
    <row r="1407" spans="1:10">
      <c r="A1407" s="7" t="s">
        <v>2840</v>
      </c>
      <c r="B1407" s="7" t="s">
        <v>2853</v>
      </c>
      <c r="C1407" s="8">
        <f>QS.CONTEXT.CREATE("market.1405",A1407,"USD","SOFR")</f>
        <v/>
      </c>
      <c r="D1407" s="8">
        <f>QS.CONTEXT.ADD.CURVE(C1407,"SOFR",$K$2:$K$7,$L$2:$L$7,,,"Actual360","LogLinear",TRUE)</f>
        <v/>
      </c>
      <c r="E1407" s="8">
        <f>QS.INSTRUMENT.SWAP("swap.1405",C1407,H1407,B1407,"USD","SOFR",I1407,J1407,0,"Actual360","Simple","Annual","Annual","Annual")</f>
        <v/>
      </c>
      <c r="F1407" s="8">
        <f>QS.TRADE.CREATE("trade.1405",C1407,E1407,A1407,"Receive")</f>
        <v/>
      </c>
      <c r="G1407" s="5"/>
      <c r="H1407" s="7" t="s">
        <v>2854</v>
      </c>
      <c r="I1407" s="9">
        <v>1140500</v>
      </c>
      <c r="J1407" s="10">
        <v>0.0355</v>
      </c>
    </row>
    <row r="1408" spans="1:10">
      <c r="A1408" s="7" t="s">
        <v>2842</v>
      </c>
      <c r="B1408" s="7" t="s">
        <v>2855</v>
      </c>
      <c r="C1408" s="8">
        <f>QS.CONTEXT.CREATE("market.1406",A1408,"USD","SOFR")</f>
        <v/>
      </c>
      <c r="D1408" s="8">
        <f>QS.CONTEXT.ADD.CURVE(C1408,"SOFR",$K$2:$K$7,$L$2:$L$7,,,"Actual360","LogLinear",TRUE)</f>
        <v/>
      </c>
      <c r="E1408" s="8">
        <f>QS.INSTRUMENT.SWAP("swap.1406",C1408,H1408,B1408,"USD","SOFR",I1408,J1408,0,"Actual360","Simple","Annual","Annual","Annual")</f>
        <v/>
      </c>
      <c r="F1408" s="8">
        <f>QS.TRADE.CREATE("trade.1406",C1408,E1408,A1408,"Receive")</f>
        <v/>
      </c>
      <c r="G1408" s="5"/>
      <c r="H1408" s="7" t="s">
        <v>2856</v>
      </c>
      <c r="I1408" s="9">
        <v>1140600</v>
      </c>
      <c r="J1408" s="10">
        <v>0.03560000000000001</v>
      </c>
    </row>
    <row r="1409" spans="1:10">
      <c r="A1409" s="7" t="s">
        <v>2844</v>
      </c>
      <c r="B1409" s="7" t="s">
        <v>2857</v>
      </c>
      <c r="C1409" s="8">
        <f>QS.CONTEXT.CREATE("market.1407",A1409,"USD","SOFR")</f>
        <v/>
      </c>
      <c r="D1409" s="8">
        <f>QS.CONTEXT.ADD.CURVE(C1409,"SOFR",$K$2:$K$7,$L$2:$L$7,,,"Actual360","LogLinear",TRUE)</f>
        <v/>
      </c>
      <c r="E1409" s="8">
        <f>QS.INSTRUMENT.SWAP("swap.1407",C1409,H1409,B1409,"USD","SOFR",I1409,J1409,0,"Actual360","Simple","Annual","Annual","Annual")</f>
        <v/>
      </c>
      <c r="F1409" s="8">
        <f>QS.TRADE.CREATE("trade.1407",C1409,E1409,A1409,"Receive")</f>
        <v/>
      </c>
      <c r="G1409" s="5"/>
      <c r="H1409" s="7" t="s">
        <v>2858</v>
      </c>
      <c r="I1409" s="9">
        <v>1140700</v>
      </c>
      <c r="J1409" s="10">
        <v>0.0357</v>
      </c>
    </row>
    <row r="1410" spans="1:10">
      <c r="A1410" s="7" t="s">
        <v>2846</v>
      </c>
      <c r="B1410" s="7" t="s">
        <v>2859</v>
      </c>
      <c r="C1410" s="8">
        <f>QS.CONTEXT.CREATE("market.1408",A1410,"USD","SOFR")</f>
        <v/>
      </c>
      <c r="D1410" s="8">
        <f>QS.CONTEXT.ADD.CURVE(C1410,"SOFR",$K$2:$K$7,$L$2:$L$7,,,"Actual360","LogLinear",TRUE)</f>
        <v/>
      </c>
      <c r="E1410" s="8">
        <f>QS.INSTRUMENT.SWAP("swap.1408",C1410,H1410,B1410,"USD","SOFR",I1410,J1410,0,"Actual360","Simple","Annual","Annual","Annual")</f>
        <v/>
      </c>
      <c r="F1410" s="8">
        <f>QS.TRADE.CREATE("trade.1408",C1410,E1410,A1410,"Receive")</f>
        <v/>
      </c>
      <c r="G1410" s="5"/>
      <c r="H1410" s="7" t="s">
        <v>2860</v>
      </c>
      <c r="I1410" s="9">
        <v>1140800</v>
      </c>
      <c r="J1410" s="10">
        <v>0.03580000000000001</v>
      </c>
    </row>
    <row r="1411" spans="1:10">
      <c r="A1411" s="7" t="s">
        <v>2848</v>
      </c>
      <c r="B1411" s="7" t="s">
        <v>2861</v>
      </c>
      <c r="C1411" s="8">
        <f>QS.CONTEXT.CREATE("market.1409",A1411,"USD","SOFR")</f>
        <v/>
      </c>
      <c r="D1411" s="8">
        <f>QS.CONTEXT.ADD.CURVE(C1411,"SOFR",$K$2:$K$7,$L$2:$L$7,,,"Actual360","LogLinear",TRUE)</f>
        <v/>
      </c>
      <c r="E1411" s="8">
        <f>QS.INSTRUMENT.SWAP("swap.1409",C1411,H1411,B1411,"USD","SOFR",I1411,J1411,0,"Actual360","Simple","Annual","Annual","Annual")</f>
        <v/>
      </c>
      <c r="F1411" s="8">
        <f>QS.TRADE.CREATE("trade.1409",C1411,E1411,A1411,"Receive")</f>
        <v/>
      </c>
      <c r="G1411" s="5"/>
      <c r="H1411" s="7" t="s">
        <v>2862</v>
      </c>
      <c r="I1411" s="9">
        <v>1140900</v>
      </c>
      <c r="J1411" s="10">
        <v>0.0359</v>
      </c>
    </row>
    <row r="1412" spans="1:10">
      <c r="A1412" s="7" t="s">
        <v>2850</v>
      </c>
      <c r="B1412" s="7" t="s">
        <v>2863</v>
      </c>
      <c r="C1412" s="8">
        <f>QS.CONTEXT.CREATE("market.1410",A1412,"USD","SOFR")</f>
        <v/>
      </c>
      <c r="D1412" s="8">
        <f>QS.CONTEXT.ADD.CURVE(C1412,"SOFR",$K$2:$K$7,$L$2:$L$7,,,"Actual360","LogLinear",TRUE)</f>
        <v/>
      </c>
      <c r="E1412" s="8">
        <f>QS.INSTRUMENT.SWAP("swap.1410",C1412,H1412,B1412,"USD","SOFR",I1412,J1412,0,"Actual360","Simple","Annual","Annual","Annual")</f>
        <v/>
      </c>
      <c r="F1412" s="8">
        <f>QS.TRADE.CREATE("trade.1410",C1412,E1412,A1412,"Receive")</f>
        <v/>
      </c>
      <c r="G1412" s="5"/>
      <c r="H1412" s="7" t="s">
        <v>2864</v>
      </c>
      <c r="I1412" s="9">
        <v>1141000</v>
      </c>
      <c r="J1412" s="10">
        <v>0.036</v>
      </c>
    </row>
    <row r="1413" spans="1:10">
      <c r="A1413" s="7" t="s">
        <v>2852</v>
      </c>
      <c r="B1413" s="7" t="s">
        <v>2865</v>
      </c>
      <c r="C1413" s="8">
        <f>QS.CONTEXT.CREATE("market.1411",A1413,"USD","SOFR")</f>
        <v/>
      </c>
      <c r="D1413" s="8">
        <f>QS.CONTEXT.ADD.CURVE(C1413,"SOFR",$K$2:$K$7,$L$2:$L$7,,,"Actual360","LogLinear",TRUE)</f>
        <v/>
      </c>
      <c r="E1413" s="8">
        <f>QS.INSTRUMENT.SWAP("swap.1411",C1413,H1413,B1413,"USD","SOFR",I1413,J1413,0,"Actual360","Simple","Annual","Annual","Annual")</f>
        <v/>
      </c>
      <c r="F1413" s="8">
        <f>QS.TRADE.CREATE("trade.1411",C1413,E1413,A1413,"Receive")</f>
        <v/>
      </c>
      <c r="G1413" s="5"/>
      <c r="H1413" s="7" t="s">
        <v>2866</v>
      </c>
      <c r="I1413" s="9">
        <v>1141100</v>
      </c>
      <c r="J1413" s="10">
        <v>0.0361</v>
      </c>
    </row>
    <row r="1414" spans="1:10">
      <c r="A1414" s="7" t="s">
        <v>2854</v>
      </c>
      <c r="B1414" s="7" t="s">
        <v>2867</v>
      </c>
      <c r="C1414" s="8">
        <f>QS.CONTEXT.CREATE("market.1412",A1414,"USD","SOFR")</f>
        <v/>
      </c>
      <c r="D1414" s="8">
        <f>QS.CONTEXT.ADD.CURVE(C1414,"SOFR",$K$2:$K$7,$L$2:$L$7,,,"Actual360","LogLinear",TRUE)</f>
        <v/>
      </c>
      <c r="E1414" s="8">
        <f>QS.INSTRUMENT.SWAP("swap.1412",C1414,H1414,B1414,"USD","SOFR",I1414,J1414,0,"Actual360","Simple","Annual","Annual","Annual")</f>
        <v/>
      </c>
      <c r="F1414" s="8">
        <f>QS.TRADE.CREATE("trade.1412",C1414,E1414,A1414,"Receive")</f>
        <v/>
      </c>
      <c r="G1414" s="5"/>
      <c r="H1414" s="7" t="s">
        <v>2868</v>
      </c>
      <c r="I1414" s="9">
        <v>1141200</v>
      </c>
      <c r="J1414" s="10">
        <v>0.0362</v>
      </c>
    </row>
    <row r="1415" spans="1:10">
      <c r="A1415" s="7" t="s">
        <v>2856</v>
      </c>
      <c r="B1415" s="7" t="s">
        <v>2869</v>
      </c>
      <c r="C1415" s="8">
        <f>QS.CONTEXT.CREATE("market.1413",A1415,"USD","SOFR")</f>
        <v/>
      </c>
      <c r="D1415" s="8">
        <f>QS.CONTEXT.ADD.CURVE(C1415,"SOFR",$K$2:$K$7,$L$2:$L$7,,,"Actual360","LogLinear",TRUE)</f>
        <v/>
      </c>
      <c r="E1415" s="8">
        <f>QS.INSTRUMENT.SWAP("swap.1413",C1415,H1415,B1415,"USD","SOFR",I1415,J1415,0,"Actual360","Simple","Annual","Annual","Annual")</f>
        <v/>
      </c>
      <c r="F1415" s="8">
        <f>QS.TRADE.CREATE("trade.1413",C1415,E1415,A1415,"Receive")</f>
        <v/>
      </c>
      <c r="G1415" s="5"/>
      <c r="H1415" s="7" t="s">
        <v>2870</v>
      </c>
      <c r="I1415" s="9">
        <v>1141300</v>
      </c>
      <c r="J1415" s="10">
        <v>0.03630000000000001</v>
      </c>
    </row>
    <row r="1416" spans="1:10">
      <c r="A1416" s="7" t="s">
        <v>2858</v>
      </c>
      <c r="B1416" s="7" t="s">
        <v>2871</v>
      </c>
      <c r="C1416" s="8">
        <f>QS.CONTEXT.CREATE("market.1414",A1416,"USD","SOFR")</f>
        <v/>
      </c>
      <c r="D1416" s="8">
        <f>QS.CONTEXT.ADD.CURVE(C1416,"SOFR",$K$2:$K$7,$L$2:$L$7,,,"Actual360","LogLinear",TRUE)</f>
        <v/>
      </c>
      <c r="E1416" s="8">
        <f>QS.INSTRUMENT.SWAP("swap.1414",C1416,H1416,B1416,"USD","SOFR",I1416,J1416,0,"Actual360","Simple","Annual","Annual","Annual")</f>
        <v/>
      </c>
      <c r="F1416" s="8">
        <f>QS.TRADE.CREATE("trade.1414",C1416,E1416,A1416,"Receive")</f>
        <v/>
      </c>
      <c r="G1416" s="5"/>
      <c r="H1416" s="7" t="s">
        <v>2872</v>
      </c>
      <c r="I1416" s="9">
        <v>1141400</v>
      </c>
      <c r="J1416" s="10">
        <v>0.0364</v>
      </c>
    </row>
    <row r="1417" spans="1:10">
      <c r="A1417" s="7" t="s">
        <v>2860</v>
      </c>
      <c r="B1417" s="7" t="s">
        <v>2873</v>
      </c>
      <c r="C1417" s="8">
        <f>QS.CONTEXT.CREATE("market.1415",A1417,"USD","SOFR")</f>
        <v/>
      </c>
      <c r="D1417" s="8">
        <f>QS.CONTEXT.ADD.CURVE(C1417,"SOFR",$K$2:$K$7,$L$2:$L$7,,,"Actual360","LogLinear",TRUE)</f>
        <v/>
      </c>
      <c r="E1417" s="8">
        <f>QS.INSTRUMENT.SWAP("swap.1415",C1417,H1417,B1417,"USD","SOFR",I1417,J1417,0,"Actual360","Simple","Annual","Annual","Annual")</f>
        <v/>
      </c>
      <c r="F1417" s="8">
        <f>QS.TRADE.CREATE("trade.1415",C1417,E1417,A1417,"Receive")</f>
        <v/>
      </c>
      <c r="G1417" s="5"/>
      <c r="H1417" s="7" t="s">
        <v>2874</v>
      </c>
      <c r="I1417" s="9">
        <v>1141500</v>
      </c>
      <c r="J1417" s="10">
        <v>0.0365</v>
      </c>
    </row>
    <row r="1418" spans="1:10">
      <c r="A1418" s="7" t="s">
        <v>2862</v>
      </c>
      <c r="B1418" s="7" t="s">
        <v>2875</v>
      </c>
      <c r="C1418" s="8">
        <f>QS.CONTEXT.CREATE("market.1416",A1418,"USD","SOFR")</f>
        <v/>
      </c>
      <c r="D1418" s="8">
        <f>QS.CONTEXT.ADD.CURVE(C1418,"SOFR",$K$2:$K$7,$L$2:$L$7,,,"Actual360","LogLinear",TRUE)</f>
        <v/>
      </c>
      <c r="E1418" s="8">
        <f>QS.INSTRUMENT.SWAP("swap.1416",C1418,H1418,B1418,"USD","SOFR",I1418,J1418,0,"Actual360","Simple","Annual","Annual","Annual")</f>
        <v/>
      </c>
      <c r="F1418" s="8">
        <f>QS.TRADE.CREATE("trade.1416",C1418,E1418,A1418,"Receive")</f>
        <v/>
      </c>
      <c r="G1418" s="5"/>
      <c r="H1418" s="7" t="s">
        <v>2876</v>
      </c>
      <c r="I1418" s="9">
        <v>1141600</v>
      </c>
      <c r="J1418" s="10">
        <v>0.0366</v>
      </c>
    </row>
    <row r="1419" spans="1:10">
      <c r="A1419" s="7" t="s">
        <v>2864</v>
      </c>
      <c r="B1419" s="7" t="s">
        <v>2877</v>
      </c>
      <c r="C1419" s="8">
        <f>QS.CONTEXT.CREATE("market.1417",A1419,"USD","SOFR")</f>
        <v/>
      </c>
      <c r="D1419" s="8">
        <f>QS.CONTEXT.ADD.CURVE(C1419,"SOFR",$K$2:$K$7,$L$2:$L$7,,,"Actual360","LogLinear",TRUE)</f>
        <v/>
      </c>
      <c r="E1419" s="8">
        <f>QS.INSTRUMENT.SWAP("swap.1417",C1419,H1419,B1419,"USD","SOFR",I1419,J1419,0,"Actual360","Simple","Annual","Annual","Annual")</f>
        <v/>
      </c>
      <c r="F1419" s="8">
        <f>QS.TRADE.CREATE("trade.1417",C1419,E1419,A1419,"Receive")</f>
        <v/>
      </c>
      <c r="G1419" s="5"/>
      <c r="H1419" s="7" t="s">
        <v>2878</v>
      </c>
      <c r="I1419" s="9">
        <v>1141700</v>
      </c>
      <c r="J1419" s="10">
        <v>0.0367</v>
      </c>
    </row>
    <row r="1420" spans="1:10">
      <c r="A1420" s="7" t="s">
        <v>2866</v>
      </c>
      <c r="B1420" s="7" t="s">
        <v>2879</v>
      </c>
      <c r="C1420" s="8">
        <f>QS.CONTEXT.CREATE("market.1418",A1420,"USD","SOFR")</f>
        <v/>
      </c>
      <c r="D1420" s="8">
        <f>QS.CONTEXT.ADD.CURVE(C1420,"SOFR",$K$2:$K$7,$L$2:$L$7,,,"Actual360","LogLinear",TRUE)</f>
        <v/>
      </c>
      <c r="E1420" s="8">
        <f>QS.INSTRUMENT.SWAP("swap.1418",C1420,H1420,B1420,"USD","SOFR",I1420,J1420,0,"Actual360","Simple","Annual","Annual","Annual")</f>
        <v/>
      </c>
      <c r="F1420" s="8">
        <f>QS.TRADE.CREATE("trade.1418",C1420,E1420,A1420,"Receive")</f>
        <v/>
      </c>
      <c r="G1420" s="5"/>
      <c r="H1420" s="7" t="s">
        <v>2880</v>
      </c>
      <c r="I1420" s="9">
        <v>1141800</v>
      </c>
      <c r="J1420" s="10">
        <v>0.03680000000000001</v>
      </c>
    </row>
    <row r="1421" spans="1:10">
      <c r="A1421" s="7" t="s">
        <v>2868</v>
      </c>
      <c r="B1421" s="7" t="s">
        <v>2881</v>
      </c>
      <c r="C1421" s="8">
        <f>QS.CONTEXT.CREATE("market.1419",A1421,"USD","SOFR")</f>
        <v/>
      </c>
      <c r="D1421" s="8">
        <f>QS.CONTEXT.ADD.CURVE(C1421,"SOFR",$K$2:$K$7,$L$2:$L$7,,,"Actual360","LogLinear",TRUE)</f>
        <v/>
      </c>
      <c r="E1421" s="8">
        <f>QS.INSTRUMENT.SWAP("swap.1419",C1421,H1421,B1421,"USD","SOFR",I1421,J1421,0,"Actual360","Simple","Annual","Annual","Annual")</f>
        <v/>
      </c>
      <c r="F1421" s="8">
        <f>QS.TRADE.CREATE("trade.1419",C1421,E1421,A1421,"Receive")</f>
        <v/>
      </c>
      <c r="G1421" s="5"/>
      <c r="H1421" s="7" t="s">
        <v>2882</v>
      </c>
      <c r="I1421" s="9">
        <v>1141900</v>
      </c>
      <c r="J1421" s="10">
        <v>0.0369</v>
      </c>
    </row>
    <row r="1422" spans="1:10">
      <c r="A1422" s="7" t="s">
        <v>2870</v>
      </c>
      <c r="B1422" s="7" t="s">
        <v>2883</v>
      </c>
      <c r="C1422" s="8">
        <f>QS.CONTEXT.CREATE("market.1420",A1422,"USD","SOFR")</f>
        <v/>
      </c>
      <c r="D1422" s="8">
        <f>QS.CONTEXT.ADD.CURVE(C1422,"SOFR",$K$2:$K$7,$L$2:$L$7,,,"Actual360","LogLinear",TRUE)</f>
        <v/>
      </c>
      <c r="E1422" s="8">
        <f>QS.INSTRUMENT.SWAP("swap.1420",C1422,H1422,B1422,"USD","SOFR",I1422,J1422,0,"Actual360","Simple","Annual","Annual","Annual")</f>
        <v/>
      </c>
      <c r="F1422" s="8">
        <f>QS.TRADE.CREATE("trade.1420",C1422,E1422,A1422,"Receive")</f>
        <v/>
      </c>
      <c r="G1422" s="5"/>
      <c r="H1422" s="7" t="s">
        <v>2884</v>
      </c>
      <c r="I1422" s="9">
        <v>1142000</v>
      </c>
      <c r="J1422" s="10">
        <v>0.03700000000000001</v>
      </c>
    </row>
    <row r="1423" spans="1:10">
      <c r="A1423" s="7" t="s">
        <v>2872</v>
      </c>
      <c r="B1423" s="7" t="s">
        <v>2885</v>
      </c>
      <c r="C1423" s="8">
        <f>QS.CONTEXT.CREATE("market.1421",A1423,"USD","SOFR")</f>
        <v/>
      </c>
      <c r="D1423" s="8">
        <f>QS.CONTEXT.ADD.CURVE(C1423,"SOFR",$K$2:$K$7,$L$2:$L$7,,,"Actual360","LogLinear",TRUE)</f>
        <v/>
      </c>
      <c r="E1423" s="8">
        <f>QS.INSTRUMENT.SWAP("swap.1421",C1423,H1423,B1423,"USD","SOFR",I1423,J1423,0,"Actual360","Simple","Annual","Annual","Annual")</f>
        <v/>
      </c>
      <c r="F1423" s="8">
        <f>QS.TRADE.CREATE("trade.1421",C1423,E1423,A1423,"Receive")</f>
        <v/>
      </c>
      <c r="G1423" s="5"/>
      <c r="H1423" s="7" t="s">
        <v>2886</v>
      </c>
      <c r="I1423" s="9">
        <v>1142100</v>
      </c>
      <c r="J1423" s="10">
        <v>0.0371</v>
      </c>
    </row>
    <row r="1424" spans="1:10">
      <c r="A1424" s="7" t="s">
        <v>2874</v>
      </c>
      <c r="B1424" s="7" t="s">
        <v>2887</v>
      </c>
      <c r="C1424" s="8">
        <f>QS.CONTEXT.CREATE("market.1422",A1424,"USD","SOFR")</f>
        <v/>
      </c>
      <c r="D1424" s="8">
        <f>QS.CONTEXT.ADD.CURVE(C1424,"SOFR",$K$2:$K$7,$L$2:$L$7,,,"Actual360","LogLinear",TRUE)</f>
        <v/>
      </c>
      <c r="E1424" s="8">
        <f>QS.INSTRUMENT.SWAP("swap.1422",C1424,H1424,B1424,"USD","SOFR",I1424,J1424,0,"Actual360","Simple","Annual","Annual","Annual")</f>
        <v/>
      </c>
      <c r="F1424" s="8">
        <f>QS.TRADE.CREATE("trade.1422",C1424,E1424,A1424,"Receive")</f>
        <v/>
      </c>
      <c r="G1424" s="5"/>
      <c r="H1424" s="7" t="s">
        <v>2888</v>
      </c>
      <c r="I1424" s="9">
        <v>1142200</v>
      </c>
      <c r="J1424" s="10">
        <v>0.0372</v>
      </c>
    </row>
    <row r="1425" spans="1:10">
      <c r="A1425" s="7" t="s">
        <v>2876</v>
      </c>
      <c r="B1425" s="7" t="s">
        <v>2889</v>
      </c>
      <c r="C1425" s="8">
        <f>QS.CONTEXT.CREATE("market.1423",A1425,"USD","SOFR")</f>
        <v/>
      </c>
      <c r="D1425" s="8">
        <f>QS.CONTEXT.ADD.CURVE(C1425,"SOFR",$K$2:$K$7,$L$2:$L$7,,,"Actual360","LogLinear",TRUE)</f>
        <v/>
      </c>
      <c r="E1425" s="8">
        <f>QS.INSTRUMENT.SWAP("swap.1423",C1425,H1425,B1425,"USD","SOFR",I1425,J1425,0,"Actual360","Simple","Annual","Annual","Annual")</f>
        <v/>
      </c>
      <c r="F1425" s="8">
        <f>QS.TRADE.CREATE("trade.1423",C1425,E1425,A1425,"Receive")</f>
        <v/>
      </c>
      <c r="G1425" s="5"/>
      <c r="H1425" s="7" t="s">
        <v>2890</v>
      </c>
      <c r="I1425" s="9">
        <v>1142300</v>
      </c>
      <c r="J1425" s="10">
        <v>0.0373</v>
      </c>
    </row>
    <row r="1426" spans="1:10">
      <c r="A1426" s="7" t="s">
        <v>2878</v>
      </c>
      <c r="B1426" s="7" t="s">
        <v>2891</v>
      </c>
      <c r="C1426" s="8">
        <f>QS.CONTEXT.CREATE("market.1424",A1426,"USD","SOFR")</f>
        <v/>
      </c>
      <c r="D1426" s="8">
        <f>QS.CONTEXT.ADD.CURVE(C1426,"SOFR",$K$2:$K$7,$L$2:$L$7,,,"Actual360","LogLinear",TRUE)</f>
        <v/>
      </c>
      <c r="E1426" s="8">
        <f>QS.INSTRUMENT.SWAP("swap.1424",C1426,H1426,B1426,"USD","SOFR",I1426,J1426,0,"Actual360","Simple","Annual","Annual","Annual")</f>
        <v/>
      </c>
      <c r="F1426" s="8">
        <f>QS.TRADE.CREATE("trade.1424",C1426,E1426,A1426,"Receive")</f>
        <v/>
      </c>
      <c r="G1426" s="5"/>
      <c r="H1426" s="7" t="s">
        <v>2892</v>
      </c>
      <c r="I1426" s="9">
        <v>1142400</v>
      </c>
      <c r="J1426" s="10">
        <v>0.0374</v>
      </c>
    </row>
    <row r="1427" spans="1:10">
      <c r="A1427" s="7" t="s">
        <v>2880</v>
      </c>
      <c r="B1427" s="7" t="s">
        <v>2893</v>
      </c>
      <c r="C1427" s="8">
        <f>QS.CONTEXT.CREATE("market.1425",A1427,"USD","SOFR")</f>
        <v/>
      </c>
      <c r="D1427" s="8">
        <f>QS.CONTEXT.ADD.CURVE(C1427,"SOFR",$K$2:$K$7,$L$2:$L$7,,,"Actual360","LogLinear",TRUE)</f>
        <v/>
      </c>
      <c r="E1427" s="8">
        <f>QS.INSTRUMENT.SWAP("swap.1425",C1427,H1427,B1427,"USD","SOFR",I1427,J1427,0,"Actual360","Simple","Annual","Annual","Annual")</f>
        <v/>
      </c>
      <c r="F1427" s="8">
        <f>QS.TRADE.CREATE("trade.1425",C1427,E1427,A1427,"Receive")</f>
        <v/>
      </c>
      <c r="G1427" s="5"/>
      <c r="H1427" s="7" t="s">
        <v>2894</v>
      </c>
      <c r="I1427" s="9">
        <v>1142500</v>
      </c>
      <c r="J1427" s="10">
        <v>0.03750000000000001</v>
      </c>
    </row>
    <row r="1428" spans="1:10">
      <c r="A1428" s="7" t="s">
        <v>2882</v>
      </c>
      <c r="B1428" s="7" t="s">
        <v>2895</v>
      </c>
      <c r="C1428" s="8">
        <f>QS.CONTEXT.CREATE("market.1426",A1428,"USD","SOFR")</f>
        <v/>
      </c>
      <c r="D1428" s="8">
        <f>QS.CONTEXT.ADD.CURVE(C1428,"SOFR",$K$2:$K$7,$L$2:$L$7,,,"Actual360","LogLinear",TRUE)</f>
        <v/>
      </c>
      <c r="E1428" s="8">
        <f>QS.INSTRUMENT.SWAP("swap.1426",C1428,H1428,B1428,"USD","SOFR",I1428,J1428,0,"Actual360","Simple","Annual","Annual","Annual")</f>
        <v/>
      </c>
      <c r="F1428" s="8">
        <f>QS.TRADE.CREATE("trade.1426",C1428,E1428,A1428,"Receive")</f>
        <v/>
      </c>
      <c r="G1428" s="5"/>
      <c r="H1428" s="7" t="s">
        <v>2896</v>
      </c>
      <c r="I1428" s="9">
        <v>1142600</v>
      </c>
      <c r="J1428" s="10">
        <v>0.0376</v>
      </c>
    </row>
    <row r="1429" spans="1:10">
      <c r="A1429" s="7" t="s">
        <v>2884</v>
      </c>
      <c r="B1429" s="7" t="s">
        <v>2897</v>
      </c>
      <c r="C1429" s="8">
        <f>QS.CONTEXT.CREATE("market.1427",A1429,"USD","SOFR")</f>
        <v/>
      </c>
      <c r="D1429" s="8">
        <f>QS.CONTEXT.ADD.CURVE(C1429,"SOFR",$K$2:$K$7,$L$2:$L$7,,,"Actual360","LogLinear",TRUE)</f>
        <v/>
      </c>
      <c r="E1429" s="8">
        <f>QS.INSTRUMENT.SWAP("swap.1427",C1429,H1429,B1429,"USD","SOFR",I1429,J1429,0,"Actual360","Simple","Annual","Annual","Annual")</f>
        <v/>
      </c>
      <c r="F1429" s="8">
        <f>QS.TRADE.CREATE("trade.1427",C1429,E1429,A1429,"Receive")</f>
        <v/>
      </c>
      <c r="G1429" s="5"/>
      <c r="H1429" s="7" t="s">
        <v>2898</v>
      </c>
      <c r="I1429" s="9">
        <v>1142700</v>
      </c>
      <c r="J1429" s="10">
        <v>0.0377</v>
      </c>
    </row>
    <row r="1430" spans="1:10">
      <c r="A1430" s="7" t="s">
        <v>2886</v>
      </c>
      <c r="B1430" s="7" t="s">
        <v>2899</v>
      </c>
      <c r="C1430" s="8">
        <f>QS.CONTEXT.CREATE("market.1428",A1430,"USD","SOFR")</f>
        <v/>
      </c>
      <c r="D1430" s="8">
        <f>QS.CONTEXT.ADD.CURVE(C1430,"SOFR",$K$2:$K$7,$L$2:$L$7,,,"Actual360","LogLinear",TRUE)</f>
        <v/>
      </c>
      <c r="E1430" s="8">
        <f>QS.INSTRUMENT.SWAP("swap.1428",C1430,H1430,B1430,"USD","SOFR",I1430,J1430,0,"Actual360","Simple","Annual","Annual","Annual")</f>
        <v/>
      </c>
      <c r="F1430" s="8">
        <f>QS.TRADE.CREATE("trade.1428",C1430,E1430,A1430,"Receive")</f>
        <v/>
      </c>
      <c r="G1430" s="5"/>
      <c r="H1430" s="7" t="s">
        <v>2900</v>
      </c>
      <c r="I1430" s="9">
        <v>1142800</v>
      </c>
      <c r="J1430" s="10">
        <v>0.0378</v>
      </c>
    </row>
    <row r="1431" spans="1:10">
      <c r="A1431" s="7" t="s">
        <v>2888</v>
      </c>
      <c r="B1431" s="7" t="s">
        <v>2901</v>
      </c>
      <c r="C1431" s="8">
        <f>QS.CONTEXT.CREATE("market.1429",A1431,"USD","SOFR")</f>
        <v/>
      </c>
      <c r="D1431" s="8">
        <f>QS.CONTEXT.ADD.CURVE(C1431,"SOFR",$K$2:$K$7,$L$2:$L$7,,,"Actual360","LogLinear",TRUE)</f>
        <v/>
      </c>
      <c r="E1431" s="8">
        <f>QS.INSTRUMENT.SWAP("swap.1429",C1431,H1431,B1431,"USD","SOFR",I1431,J1431,0,"Actual360","Simple","Annual","Annual","Annual")</f>
        <v/>
      </c>
      <c r="F1431" s="8">
        <f>QS.TRADE.CREATE("trade.1429",C1431,E1431,A1431,"Receive")</f>
        <v/>
      </c>
      <c r="G1431" s="5"/>
      <c r="H1431" s="7" t="s">
        <v>2902</v>
      </c>
      <c r="I1431" s="9">
        <v>1142900</v>
      </c>
      <c r="J1431" s="10">
        <v>0.0379</v>
      </c>
    </row>
    <row r="1432" spans="1:10">
      <c r="A1432" s="7" t="s">
        <v>2890</v>
      </c>
      <c r="B1432" s="7" t="s">
        <v>2903</v>
      </c>
      <c r="C1432" s="8">
        <f>QS.CONTEXT.CREATE("market.1430",A1432,"USD","SOFR")</f>
        <v/>
      </c>
      <c r="D1432" s="8">
        <f>QS.CONTEXT.ADD.CURVE(C1432,"SOFR",$K$2:$K$7,$L$2:$L$7,,,"Actual360","LogLinear",TRUE)</f>
        <v/>
      </c>
      <c r="E1432" s="8">
        <f>QS.INSTRUMENT.SWAP("swap.1430",C1432,H1432,B1432,"USD","SOFR",I1432,J1432,0,"Actual360","Simple","Annual","Annual","Annual")</f>
        <v/>
      </c>
      <c r="F1432" s="8">
        <f>QS.TRADE.CREATE("trade.1430",C1432,E1432,A1432,"Receive")</f>
        <v/>
      </c>
      <c r="G1432" s="5"/>
      <c r="H1432" s="7" t="s">
        <v>2904</v>
      </c>
      <c r="I1432" s="9">
        <v>1143000</v>
      </c>
      <c r="J1432" s="10">
        <v>0.03800000000000001</v>
      </c>
    </row>
    <row r="1433" spans="1:10">
      <c r="A1433" s="7" t="s">
        <v>2892</v>
      </c>
      <c r="B1433" s="7" t="s">
        <v>2905</v>
      </c>
      <c r="C1433" s="8">
        <f>QS.CONTEXT.CREATE("market.1431",A1433,"USD","SOFR")</f>
        <v/>
      </c>
      <c r="D1433" s="8">
        <f>QS.CONTEXT.ADD.CURVE(C1433,"SOFR",$K$2:$K$7,$L$2:$L$7,,,"Actual360","LogLinear",TRUE)</f>
        <v/>
      </c>
      <c r="E1433" s="8">
        <f>QS.INSTRUMENT.SWAP("swap.1431",C1433,H1433,B1433,"USD","SOFR",I1433,J1433,0,"Actual360","Simple","Annual","Annual","Annual")</f>
        <v/>
      </c>
      <c r="F1433" s="8">
        <f>QS.TRADE.CREATE("trade.1431",C1433,E1433,A1433,"Receive")</f>
        <v/>
      </c>
      <c r="G1433" s="5"/>
      <c r="H1433" s="7" t="s">
        <v>2906</v>
      </c>
      <c r="I1433" s="9">
        <v>1143100</v>
      </c>
      <c r="J1433" s="10">
        <v>0.0381</v>
      </c>
    </row>
    <row r="1434" spans="1:10">
      <c r="A1434" s="7" t="s">
        <v>2894</v>
      </c>
      <c r="B1434" s="7" t="s">
        <v>2907</v>
      </c>
      <c r="C1434" s="8">
        <f>QS.CONTEXT.CREATE("market.1432",A1434,"USD","SOFR")</f>
        <v/>
      </c>
      <c r="D1434" s="8">
        <f>QS.CONTEXT.ADD.CURVE(C1434,"SOFR",$K$2:$K$7,$L$2:$L$7,,,"Actual360","LogLinear",TRUE)</f>
        <v/>
      </c>
      <c r="E1434" s="8">
        <f>QS.INSTRUMENT.SWAP("swap.1432",C1434,H1434,B1434,"USD","SOFR",I1434,J1434,0,"Actual360","Simple","Annual","Annual","Annual")</f>
        <v/>
      </c>
      <c r="F1434" s="8">
        <f>QS.TRADE.CREATE("trade.1432",C1434,E1434,A1434,"Receive")</f>
        <v/>
      </c>
      <c r="G1434" s="5"/>
      <c r="H1434" s="7" t="s">
        <v>2908</v>
      </c>
      <c r="I1434" s="9">
        <v>1143200</v>
      </c>
      <c r="J1434" s="10">
        <v>0.0382</v>
      </c>
    </row>
    <row r="1435" spans="1:10">
      <c r="A1435" s="7" t="s">
        <v>2896</v>
      </c>
      <c r="B1435" s="7" t="s">
        <v>2909</v>
      </c>
      <c r="C1435" s="8">
        <f>QS.CONTEXT.CREATE("market.1433",A1435,"USD","SOFR")</f>
        <v/>
      </c>
      <c r="D1435" s="8">
        <f>QS.CONTEXT.ADD.CURVE(C1435,"SOFR",$K$2:$K$7,$L$2:$L$7,,,"Actual360","LogLinear",TRUE)</f>
        <v/>
      </c>
      <c r="E1435" s="8">
        <f>QS.INSTRUMENT.SWAP("swap.1433",C1435,H1435,B1435,"USD","SOFR",I1435,J1435,0,"Actual360","Simple","Annual","Annual","Annual")</f>
        <v/>
      </c>
      <c r="F1435" s="8">
        <f>QS.TRADE.CREATE("trade.1433",C1435,E1435,A1435,"Receive")</f>
        <v/>
      </c>
      <c r="G1435" s="5"/>
      <c r="H1435" s="7" t="s">
        <v>2910</v>
      </c>
      <c r="I1435" s="9">
        <v>1143300</v>
      </c>
      <c r="J1435" s="10">
        <v>0.0383</v>
      </c>
    </row>
    <row r="1436" spans="1:10">
      <c r="A1436" s="7" t="s">
        <v>2898</v>
      </c>
      <c r="B1436" s="7" t="s">
        <v>2911</v>
      </c>
      <c r="C1436" s="8">
        <f>QS.CONTEXT.CREATE("market.1434",A1436,"USD","SOFR")</f>
        <v/>
      </c>
      <c r="D1436" s="8">
        <f>QS.CONTEXT.ADD.CURVE(C1436,"SOFR",$K$2:$K$7,$L$2:$L$7,,,"Actual360","LogLinear",TRUE)</f>
        <v/>
      </c>
      <c r="E1436" s="8">
        <f>QS.INSTRUMENT.SWAP("swap.1434",C1436,H1436,B1436,"USD","SOFR",I1436,J1436,0,"Actual360","Simple","Annual","Annual","Annual")</f>
        <v/>
      </c>
      <c r="F1436" s="8">
        <f>QS.TRADE.CREATE("trade.1434",C1436,E1436,A1436,"Receive")</f>
        <v/>
      </c>
      <c r="G1436" s="5"/>
      <c r="H1436" s="7" t="s">
        <v>2912</v>
      </c>
      <c r="I1436" s="9">
        <v>1143400</v>
      </c>
      <c r="J1436" s="10">
        <v>0.0384</v>
      </c>
    </row>
    <row r="1437" spans="1:10">
      <c r="A1437" s="7" t="s">
        <v>2900</v>
      </c>
      <c r="B1437" s="7" t="s">
        <v>2913</v>
      </c>
      <c r="C1437" s="8">
        <f>QS.CONTEXT.CREATE("market.1435",A1437,"USD","SOFR")</f>
        <v/>
      </c>
      <c r="D1437" s="8">
        <f>QS.CONTEXT.ADD.CURVE(C1437,"SOFR",$K$2:$K$7,$L$2:$L$7,,,"Actual360","LogLinear",TRUE)</f>
        <v/>
      </c>
      <c r="E1437" s="8">
        <f>QS.INSTRUMENT.SWAP("swap.1435",C1437,H1437,B1437,"USD","SOFR",I1437,J1437,0,"Actual360","Simple","Annual","Annual","Annual")</f>
        <v/>
      </c>
      <c r="F1437" s="8">
        <f>QS.TRADE.CREATE("trade.1435",C1437,E1437,A1437,"Receive")</f>
        <v/>
      </c>
      <c r="G1437" s="5"/>
      <c r="H1437" s="7" t="s">
        <v>2914</v>
      </c>
      <c r="I1437" s="9">
        <v>1143500</v>
      </c>
      <c r="J1437" s="10">
        <v>0.03850000000000001</v>
      </c>
    </row>
    <row r="1438" spans="1:10">
      <c r="A1438" s="7" t="s">
        <v>2902</v>
      </c>
      <c r="B1438" s="7" t="s">
        <v>2915</v>
      </c>
      <c r="C1438" s="8">
        <f>QS.CONTEXT.CREATE("market.1436",A1438,"USD","SOFR")</f>
        <v/>
      </c>
      <c r="D1438" s="8">
        <f>QS.CONTEXT.ADD.CURVE(C1438,"SOFR",$K$2:$K$7,$L$2:$L$7,,,"Actual360","LogLinear",TRUE)</f>
        <v/>
      </c>
      <c r="E1438" s="8">
        <f>QS.INSTRUMENT.SWAP("swap.1436",C1438,H1438,B1438,"USD","SOFR",I1438,J1438,0,"Actual360","Simple","Annual","Annual","Annual")</f>
        <v/>
      </c>
      <c r="F1438" s="8">
        <f>QS.TRADE.CREATE("trade.1436",C1438,E1438,A1438,"Receive")</f>
        <v/>
      </c>
      <c r="G1438" s="5"/>
      <c r="H1438" s="7" t="s">
        <v>2916</v>
      </c>
      <c r="I1438" s="9">
        <v>1143600</v>
      </c>
      <c r="J1438" s="10">
        <v>0.0386</v>
      </c>
    </row>
    <row r="1439" spans="1:10">
      <c r="A1439" s="7" t="s">
        <v>2904</v>
      </c>
      <c r="B1439" s="7" t="s">
        <v>2917</v>
      </c>
      <c r="C1439" s="8">
        <f>QS.CONTEXT.CREATE("market.1437",A1439,"USD","SOFR")</f>
        <v/>
      </c>
      <c r="D1439" s="8">
        <f>QS.CONTEXT.ADD.CURVE(C1439,"SOFR",$K$2:$K$7,$L$2:$L$7,,,"Actual360","LogLinear",TRUE)</f>
        <v/>
      </c>
      <c r="E1439" s="8">
        <f>QS.INSTRUMENT.SWAP("swap.1437",C1439,H1439,B1439,"USD","SOFR",I1439,J1439,0,"Actual360","Simple","Annual","Annual","Annual")</f>
        <v/>
      </c>
      <c r="F1439" s="8">
        <f>QS.TRADE.CREATE("trade.1437",C1439,E1439,A1439,"Receive")</f>
        <v/>
      </c>
      <c r="G1439" s="5"/>
      <c r="H1439" s="7" t="s">
        <v>2918</v>
      </c>
      <c r="I1439" s="9">
        <v>1143700</v>
      </c>
      <c r="J1439" s="10">
        <v>0.03870000000000001</v>
      </c>
    </row>
    <row r="1440" spans="1:10">
      <c r="A1440" s="7" t="s">
        <v>2906</v>
      </c>
      <c r="B1440" s="7" t="s">
        <v>2919</v>
      </c>
      <c r="C1440" s="8">
        <f>QS.CONTEXT.CREATE("market.1438",A1440,"USD","SOFR")</f>
        <v/>
      </c>
      <c r="D1440" s="8">
        <f>QS.CONTEXT.ADD.CURVE(C1440,"SOFR",$K$2:$K$7,$L$2:$L$7,,,"Actual360","LogLinear",TRUE)</f>
        <v/>
      </c>
      <c r="E1440" s="8">
        <f>QS.INSTRUMENT.SWAP("swap.1438",C1440,H1440,B1440,"USD","SOFR",I1440,J1440,0,"Actual360","Simple","Annual","Annual","Annual")</f>
        <v/>
      </c>
      <c r="F1440" s="8">
        <f>QS.TRADE.CREATE("trade.1438",C1440,E1440,A1440,"Receive")</f>
        <v/>
      </c>
      <c r="G1440" s="5"/>
      <c r="H1440" s="7" t="s">
        <v>2920</v>
      </c>
      <c r="I1440" s="9">
        <v>1143800</v>
      </c>
      <c r="J1440" s="10">
        <v>0.0388</v>
      </c>
    </row>
    <row r="1441" spans="1:10">
      <c r="A1441" s="7" t="s">
        <v>2908</v>
      </c>
      <c r="B1441" s="7" t="s">
        <v>2921</v>
      </c>
      <c r="C1441" s="8">
        <f>QS.CONTEXT.CREATE("market.1439",A1441,"USD","SOFR")</f>
        <v/>
      </c>
      <c r="D1441" s="8">
        <f>QS.CONTEXT.ADD.CURVE(C1441,"SOFR",$K$2:$K$7,$L$2:$L$7,,,"Actual360","LogLinear",TRUE)</f>
        <v/>
      </c>
      <c r="E1441" s="8">
        <f>QS.INSTRUMENT.SWAP("swap.1439",C1441,H1441,B1441,"USD","SOFR",I1441,J1441,0,"Actual360","Simple","Annual","Annual","Annual")</f>
        <v/>
      </c>
      <c r="F1441" s="8">
        <f>QS.TRADE.CREATE("trade.1439",C1441,E1441,A1441,"Receive")</f>
        <v/>
      </c>
      <c r="G1441" s="5"/>
      <c r="H1441" s="7" t="s">
        <v>2922</v>
      </c>
      <c r="I1441" s="9">
        <v>1143900</v>
      </c>
      <c r="J1441" s="10">
        <v>0.0389</v>
      </c>
    </row>
    <row r="1442" spans="1:10">
      <c r="A1442" s="7" t="s">
        <v>2910</v>
      </c>
      <c r="B1442" s="7" t="s">
        <v>2923</v>
      </c>
      <c r="C1442" s="8">
        <f>QS.CONTEXT.CREATE("market.1440",A1442,"USD","SOFR")</f>
        <v/>
      </c>
      <c r="D1442" s="8">
        <f>QS.CONTEXT.ADD.CURVE(C1442,"SOFR",$K$2:$K$7,$L$2:$L$7,,,"Actual360","LogLinear",TRUE)</f>
        <v/>
      </c>
      <c r="E1442" s="8">
        <f>QS.INSTRUMENT.SWAP("swap.1440",C1442,H1442,B1442,"USD","SOFR",I1442,J1442,0,"Actual360","Simple","Annual","Annual","Annual")</f>
        <v/>
      </c>
      <c r="F1442" s="8">
        <f>QS.TRADE.CREATE("trade.1440",C1442,E1442,A1442,"Receive")</f>
        <v/>
      </c>
      <c r="G1442" s="5"/>
      <c r="H1442" s="7" t="s">
        <v>2924</v>
      </c>
      <c r="I1442" s="9">
        <v>1144000</v>
      </c>
      <c r="J1442" s="10">
        <v>0.03900000000000001</v>
      </c>
    </row>
    <row r="1443" spans="1:10">
      <c r="A1443" s="7" t="s">
        <v>2912</v>
      </c>
      <c r="B1443" s="7" t="s">
        <v>2925</v>
      </c>
      <c r="C1443" s="8">
        <f>QS.CONTEXT.CREATE("market.1441",A1443,"USD","SOFR")</f>
        <v/>
      </c>
      <c r="D1443" s="8">
        <f>QS.CONTEXT.ADD.CURVE(C1443,"SOFR",$K$2:$K$7,$L$2:$L$7,,,"Actual360","LogLinear",TRUE)</f>
        <v/>
      </c>
      <c r="E1443" s="8">
        <f>QS.INSTRUMENT.SWAP("swap.1441",C1443,H1443,B1443,"USD","SOFR",I1443,J1443,0,"Actual360","Simple","Annual","Annual","Annual")</f>
        <v/>
      </c>
      <c r="F1443" s="8">
        <f>QS.TRADE.CREATE("trade.1441",C1443,E1443,A1443,"Receive")</f>
        <v/>
      </c>
      <c r="G1443" s="5"/>
      <c r="H1443" s="7" t="s">
        <v>2926</v>
      </c>
      <c r="I1443" s="9">
        <v>1144100</v>
      </c>
      <c r="J1443" s="10">
        <v>0.0391</v>
      </c>
    </row>
    <row r="1444" spans="1:10">
      <c r="A1444" s="7" t="s">
        <v>2914</v>
      </c>
      <c r="B1444" s="7" t="s">
        <v>2927</v>
      </c>
      <c r="C1444" s="8">
        <f>QS.CONTEXT.CREATE("market.1442",A1444,"USD","SOFR")</f>
        <v/>
      </c>
      <c r="D1444" s="8">
        <f>QS.CONTEXT.ADD.CURVE(C1444,"SOFR",$K$2:$K$7,$L$2:$L$7,,,"Actual360","LogLinear",TRUE)</f>
        <v/>
      </c>
      <c r="E1444" s="8">
        <f>QS.INSTRUMENT.SWAP("swap.1442",C1444,H1444,B1444,"USD","SOFR",I1444,J1444,0,"Actual360","Simple","Annual","Annual","Annual")</f>
        <v/>
      </c>
      <c r="F1444" s="8">
        <f>QS.TRADE.CREATE("trade.1442",C1444,E1444,A1444,"Receive")</f>
        <v/>
      </c>
      <c r="G1444" s="5"/>
      <c r="H1444" s="7" t="s">
        <v>2928</v>
      </c>
      <c r="I1444" s="9">
        <v>1144200</v>
      </c>
      <c r="J1444" s="10">
        <v>0.03920000000000001</v>
      </c>
    </row>
    <row r="1445" spans="1:10">
      <c r="A1445" s="7" t="s">
        <v>2916</v>
      </c>
      <c r="B1445" s="7" t="s">
        <v>2929</v>
      </c>
      <c r="C1445" s="8">
        <f>QS.CONTEXT.CREATE("market.1443",A1445,"USD","SOFR")</f>
        <v/>
      </c>
      <c r="D1445" s="8">
        <f>QS.CONTEXT.ADD.CURVE(C1445,"SOFR",$K$2:$K$7,$L$2:$L$7,,,"Actual360","LogLinear",TRUE)</f>
        <v/>
      </c>
      <c r="E1445" s="8">
        <f>QS.INSTRUMENT.SWAP("swap.1443",C1445,H1445,B1445,"USD","SOFR",I1445,J1445,0,"Actual360","Simple","Annual","Annual","Annual")</f>
        <v/>
      </c>
      <c r="F1445" s="8">
        <f>QS.TRADE.CREATE("trade.1443",C1445,E1445,A1445,"Receive")</f>
        <v/>
      </c>
      <c r="G1445" s="5"/>
      <c r="H1445" s="7" t="s">
        <v>2930</v>
      </c>
      <c r="I1445" s="9">
        <v>1144300</v>
      </c>
      <c r="J1445" s="10">
        <v>0.0393</v>
      </c>
    </row>
    <row r="1446" spans="1:10">
      <c r="A1446" s="7" t="s">
        <v>2918</v>
      </c>
      <c r="B1446" s="7" t="s">
        <v>2931</v>
      </c>
      <c r="C1446" s="8">
        <f>QS.CONTEXT.CREATE("market.1444",A1446,"USD","SOFR")</f>
        <v/>
      </c>
      <c r="D1446" s="8">
        <f>QS.CONTEXT.ADD.CURVE(C1446,"SOFR",$K$2:$K$7,$L$2:$L$7,,,"Actual360","LogLinear",TRUE)</f>
        <v/>
      </c>
      <c r="E1446" s="8">
        <f>QS.INSTRUMENT.SWAP("swap.1444",C1446,H1446,B1446,"USD","SOFR",I1446,J1446,0,"Actual360","Simple","Annual","Annual","Annual")</f>
        <v/>
      </c>
      <c r="F1446" s="8">
        <f>QS.TRADE.CREATE("trade.1444",C1446,E1446,A1446,"Receive")</f>
        <v/>
      </c>
      <c r="G1446" s="5"/>
      <c r="H1446" s="7" t="s">
        <v>2932</v>
      </c>
      <c r="I1446" s="9">
        <v>1144400</v>
      </c>
      <c r="J1446" s="10">
        <v>0.0394</v>
      </c>
    </row>
    <row r="1447" spans="1:10">
      <c r="A1447" s="7" t="s">
        <v>2920</v>
      </c>
      <c r="B1447" s="7" t="s">
        <v>2933</v>
      </c>
      <c r="C1447" s="8">
        <f>QS.CONTEXT.CREATE("market.1445",A1447,"USD","SOFR")</f>
        <v/>
      </c>
      <c r="D1447" s="8">
        <f>QS.CONTEXT.ADD.CURVE(C1447,"SOFR",$K$2:$K$7,$L$2:$L$7,,,"Actual360","LogLinear",TRUE)</f>
        <v/>
      </c>
      <c r="E1447" s="8">
        <f>QS.INSTRUMENT.SWAP("swap.1445",C1447,H1447,B1447,"USD","SOFR",I1447,J1447,0,"Actual360","Simple","Annual","Annual","Annual")</f>
        <v/>
      </c>
      <c r="F1447" s="8">
        <f>QS.TRADE.CREATE("trade.1445",C1447,E1447,A1447,"Receive")</f>
        <v/>
      </c>
      <c r="G1447" s="5"/>
      <c r="H1447" s="7" t="s">
        <v>2934</v>
      </c>
      <c r="I1447" s="9">
        <v>1144500</v>
      </c>
      <c r="J1447" s="10">
        <v>0.03950000000000001</v>
      </c>
    </row>
    <row r="1448" spans="1:10">
      <c r="A1448" s="7" t="s">
        <v>2922</v>
      </c>
      <c r="B1448" s="7" t="s">
        <v>2935</v>
      </c>
      <c r="C1448" s="8">
        <f>QS.CONTEXT.CREATE("market.1446",A1448,"USD","SOFR")</f>
        <v/>
      </c>
      <c r="D1448" s="8">
        <f>QS.CONTEXT.ADD.CURVE(C1448,"SOFR",$K$2:$K$7,$L$2:$L$7,,,"Actual360","LogLinear",TRUE)</f>
        <v/>
      </c>
      <c r="E1448" s="8">
        <f>QS.INSTRUMENT.SWAP("swap.1446",C1448,H1448,B1448,"USD","SOFR",I1448,J1448,0,"Actual360","Simple","Annual","Annual","Annual")</f>
        <v/>
      </c>
      <c r="F1448" s="8">
        <f>QS.TRADE.CREATE("trade.1446",C1448,E1448,A1448,"Receive")</f>
        <v/>
      </c>
      <c r="G1448" s="5"/>
      <c r="H1448" s="7" t="s">
        <v>2936</v>
      </c>
      <c r="I1448" s="9">
        <v>1144600</v>
      </c>
      <c r="J1448" s="10">
        <v>0.0396</v>
      </c>
    </row>
    <row r="1449" spans="1:10">
      <c r="A1449" s="7" t="s">
        <v>2924</v>
      </c>
      <c r="B1449" s="7" t="s">
        <v>2937</v>
      </c>
      <c r="C1449" s="8">
        <f>QS.CONTEXT.CREATE("market.1447",A1449,"USD","SOFR")</f>
        <v/>
      </c>
      <c r="D1449" s="8">
        <f>QS.CONTEXT.ADD.CURVE(C1449,"SOFR",$K$2:$K$7,$L$2:$L$7,,,"Actual360","LogLinear",TRUE)</f>
        <v/>
      </c>
      <c r="E1449" s="8">
        <f>QS.INSTRUMENT.SWAP("swap.1447",C1449,H1449,B1449,"USD","SOFR",I1449,J1449,0,"Actual360","Simple","Annual","Annual","Annual")</f>
        <v/>
      </c>
      <c r="F1449" s="8">
        <f>QS.TRADE.CREATE("trade.1447",C1449,E1449,A1449,"Receive")</f>
        <v/>
      </c>
      <c r="G1449" s="5"/>
      <c r="H1449" s="7" t="s">
        <v>2938</v>
      </c>
      <c r="I1449" s="9">
        <v>1144700</v>
      </c>
      <c r="J1449" s="10">
        <v>0.03970000000000001</v>
      </c>
    </row>
    <row r="1450" spans="1:10">
      <c r="A1450" s="7" t="s">
        <v>2926</v>
      </c>
      <c r="B1450" s="7" t="s">
        <v>2939</v>
      </c>
      <c r="C1450" s="8">
        <f>QS.CONTEXT.CREATE("market.1448",A1450,"USD","SOFR")</f>
        <v/>
      </c>
      <c r="D1450" s="8">
        <f>QS.CONTEXT.ADD.CURVE(C1450,"SOFR",$K$2:$K$7,$L$2:$L$7,,,"Actual360","LogLinear",TRUE)</f>
        <v/>
      </c>
      <c r="E1450" s="8">
        <f>QS.INSTRUMENT.SWAP("swap.1448",C1450,H1450,B1450,"USD","SOFR",I1450,J1450,0,"Actual360","Simple","Annual","Annual","Annual")</f>
        <v/>
      </c>
      <c r="F1450" s="8">
        <f>QS.TRADE.CREATE("trade.1448",C1450,E1450,A1450,"Receive")</f>
        <v/>
      </c>
      <c r="G1450" s="5"/>
      <c r="H1450" s="7" t="s">
        <v>2940</v>
      </c>
      <c r="I1450" s="9">
        <v>1144800</v>
      </c>
      <c r="J1450" s="10">
        <v>0.0398</v>
      </c>
    </row>
    <row r="1451" spans="1:10">
      <c r="A1451" s="7" t="s">
        <v>2928</v>
      </c>
      <c r="B1451" s="7" t="s">
        <v>2941</v>
      </c>
      <c r="C1451" s="8">
        <f>QS.CONTEXT.CREATE("market.1449",A1451,"USD","SOFR")</f>
        <v/>
      </c>
      <c r="D1451" s="8">
        <f>QS.CONTEXT.ADD.CURVE(C1451,"SOFR",$K$2:$K$7,$L$2:$L$7,,,"Actual360","LogLinear",TRUE)</f>
        <v/>
      </c>
      <c r="E1451" s="8">
        <f>QS.INSTRUMENT.SWAP("swap.1449",C1451,H1451,B1451,"USD","SOFR",I1451,J1451,0,"Actual360","Simple","Annual","Annual","Annual")</f>
        <v/>
      </c>
      <c r="F1451" s="8">
        <f>QS.TRADE.CREATE("trade.1449",C1451,E1451,A1451,"Receive")</f>
        <v/>
      </c>
      <c r="G1451" s="5"/>
      <c r="H1451" s="7" t="s">
        <v>2942</v>
      </c>
      <c r="I1451" s="9">
        <v>1144900</v>
      </c>
      <c r="J1451" s="10">
        <v>0.0399</v>
      </c>
    </row>
    <row r="1452" spans="1:10">
      <c r="A1452" s="7" t="s">
        <v>2930</v>
      </c>
      <c r="B1452" s="7" t="s">
        <v>2943</v>
      </c>
      <c r="C1452" s="8">
        <f>QS.CONTEXT.CREATE("market.1450",A1452,"USD","SOFR")</f>
        <v/>
      </c>
      <c r="D1452" s="8">
        <f>QS.CONTEXT.ADD.CURVE(C1452,"SOFR",$K$2:$K$7,$L$2:$L$7,,,"Actual360","LogLinear",TRUE)</f>
        <v/>
      </c>
      <c r="E1452" s="8">
        <f>QS.INSTRUMENT.SWAP("swap.1450",C1452,H1452,B1452,"USD","SOFR",I1452,J1452,0,"Actual360","Simple","Annual","Annual","Annual")</f>
        <v/>
      </c>
      <c r="F1452" s="8">
        <f>QS.TRADE.CREATE("trade.1450",C1452,E1452,A1452,"Receive")</f>
        <v/>
      </c>
      <c r="G1452" s="5"/>
      <c r="H1452" s="7" t="s">
        <v>2944</v>
      </c>
      <c r="I1452" s="9">
        <v>1145000</v>
      </c>
      <c r="J1452" s="10">
        <v>0.035</v>
      </c>
    </row>
    <row r="1453" spans="1:10">
      <c r="A1453" s="7" t="s">
        <v>2932</v>
      </c>
      <c r="B1453" s="7" t="s">
        <v>2945</v>
      </c>
      <c r="C1453" s="8">
        <f>QS.CONTEXT.CREATE("market.1451",A1453,"USD","SOFR")</f>
        <v/>
      </c>
      <c r="D1453" s="8">
        <f>QS.CONTEXT.ADD.CURVE(C1453,"SOFR",$K$2:$K$7,$L$2:$L$7,,,"Actual360","LogLinear",TRUE)</f>
        <v/>
      </c>
      <c r="E1453" s="8">
        <f>QS.INSTRUMENT.SWAP("swap.1451",C1453,H1453,B1453,"USD","SOFR",I1453,J1453,0,"Actual360","Simple","Annual","Annual","Annual")</f>
        <v/>
      </c>
      <c r="F1453" s="8">
        <f>QS.TRADE.CREATE("trade.1451",C1453,E1453,A1453,"Receive")</f>
        <v/>
      </c>
      <c r="G1453" s="5"/>
      <c r="H1453" s="7" t="s">
        <v>2946</v>
      </c>
      <c r="I1453" s="9">
        <v>1145100</v>
      </c>
      <c r="J1453" s="10">
        <v>0.03510000000000001</v>
      </c>
    </row>
    <row r="1454" spans="1:10">
      <c r="A1454" s="7" t="s">
        <v>2934</v>
      </c>
      <c r="B1454" s="7" t="s">
        <v>2947</v>
      </c>
      <c r="C1454" s="8">
        <f>QS.CONTEXT.CREATE("market.1452",A1454,"USD","SOFR")</f>
        <v/>
      </c>
      <c r="D1454" s="8">
        <f>QS.CONTEXT.ADD.CURVE(C1454,"SOFR",$K$2:$K$7,$L$2:$L$7,,,"Actual360","LogLinear",TRUE)</f>
        <v/>
      </c>
      <c r="E1454" s="8">
        <f>QS.INSTRUMENT.SWAP("swap.1452",C1454,H1454,B1454,"USD","SOFR",I1454,J1454,0,"Actual360","Simple","Annual","Annual","Annual")</f>
        <v/>
      </c>
      <c r="F1454" s="8">
        <f>QS.TRADE.CREATE("trade.1452",C1454,E1454,A1454,"Receive")</f>
        <v/>
      </c>
      <c r="G1454" s="5"/>
      <c r="H1454" s="7" t="s">
        <v>2948</v>
      </c>
      <c r="I1454" s="9">
        <v>1145200</v>
      </c>
      <c r="J1454" s="10">
        <v>0.0352</v>
      </c>
    </row>
    <row r="1455" spans="1:10">
      <c r="A1455" s="7" t="s">
        <v>2936</v>
      </c>
      <c r="B1455" s="7" t="s">
        <v>2949</v>
      </c>
      <c r="C1455" s="8">
        <f>QS.CONTEXT.CREATE("market.1453",A1455,"USD","SOFR")</f>
        <v/>
      </c>
      <c r="D1455" s="8">
        <f>QS.CONTEXT.ADD.CURVE(C1455,"SOFR",$K$2:$K$7,$L$2:$L$7,,,"Actual360","LogLinear",TRUE)</f>
        <v/>
      </c>
      <c r="E1455" s="8">
        <f>QS.INSTRUMENT.SWAP("swap.1453",C1455,H1455,B1455,"USD","SOFR",I1455,J1455,0,"Actual360","Simple","Annual","Annual","Annual")</f>
        <v/>
      </c>
      <c r="F1455" s="8">
        <f>QS.TRADE.CREATE("trade.1453",C1455,E1455,A1455,"Receive")</f>
        <v/>
      </c>
      <c r="G1455" s="5"/>
      <c r="H1455" s="7" t="s">
        <v>2950</v>
      </c>
      <c r="I1455" s="9">
        <v>1145300</v>
      </c>
      <c r="J1455" s="10">
        <v>0.0353</v>
      </c>
    </row>
    <row r="1456" spans="1:10">
      <c r="A1456" s="7" t="s">
        <v>2938</v>
      </c>
      <c r="B1456" s="7" t="s">
        <v>2951</v>
      </c>
      <c r="C1456" s="8">
        <f>QS.CONTEXT.CREATE("market.1454",A1456,"USD","SOFR")</f>
        <v/>
      </c>
      <c r="D1456" s="8">
        <f>QS.CONTEXT.ADD.CURVE(C1456,"SOFR",$K$2:$K$7,$L$2:$L$7,,,"Actual360","LogLinear",TRUE)</f>
        <v/>
      </c>
      <c r="E1456" s="8">
        <f>QS.INSTRUMENT.SWAP("swap.1454",C1456,H1456,B1456,"USD","SOFR",I1456,J1456,0,"Actual360","Simple","Annual","Annual","Annual")</f>
        <v/>
      </c>
      <c r="F1456" s="8">
        <f>QS.TRADE.CREATE("trade.1454",C1456,E1456,A1456,"Receive")</f>
        <v/>
      </c>
      <c r="G1456" s="5"/>
      <c r="H1456" s="7" t="s">
        <v>2952</v>
      </c>
      <c r="I1456" s="9">
        <v>1145400</v>
      </c>
      <c r="J1456" s="10">
        <v>0.0354</v>
      </c>
    </row>
    <row r="1457" spans="1:10">
      <c r="A1457" s="7" t="s">
        <v>2940</v>
      </c>
      <c r="B1457" s="7" t="s">
        <v>2953</v>
      </c>
      <c r="C1457" s="8">
        <f>QS.CONTEXT.CREATE("market.1455",A1457,"USD","SOFR")</f>
        <v/>
      </c>
      <c r="D1457" s="8">
        <f>QS.CONTEXT.ADD.CURVE(C1457,"SOFR",$K$2:$K$7,$L$2:$L$7,,,"Actual360","LogLinear",TRUE)</f>
        <v/>
      </c>
      <c r="E1457" s="8">
        <f>QS.INSTRUMENT.SWAP("swap.1455",C1457,H1457,B1457,"USD","SOFR",I1457,J1457,0,"Actual360","Simple","Annual","Annual","Annual")</f>
        <v/>
      </c>
      <c r="F1457" s="8">
        <f>QS.TRADE.CREATE("trade.1455",C1457,E1457,A1457,"Receive")</f>
        <v/>
      </c>
      <c r="G1457" s="5"/>
      <c r="H1457" s="7" t="s">
        <v>2954</v>
      </c>
      <c r="I1457" s="9">
        <v>1145500</v>
      </c>
      <c r="J1457" s="10">
        <v>0.0355</v>
      </c>
    </row>
    <row r="1458" spans="1:10">
      <c r="A1458" s="7" t="s">
        <v>2942</v>
      </c>
      <c r="B1458" s="7" t="s">
        <v>2955</v>
      </c>
      <c r="C1458" s="8">
        <f>QS.CONTEXT.CREATE("market.1456",A1458,"USD","SOFR")</f>
        <v/>
      </c>
      <c r="D1458" s="8">
        <f>QS.CONTEXT.ADD.CURVE(C1458,"SOFR",$K$2:$K$7,$L$2:$L$7,,,"Actual360","LogLinear",TRUE)</f>
        <v/>
      </c>
      <c r="E1458" s="8">
        <f>QS.INSTRUMENT.SWAP("swap.1456",C1458,H1458,B1458,"USD","SOFR",I1458,J1458,0,"Actual360","Simple","Annual","Annual","Annual")</f>
        <v/>
      </c>
      <c r="F1458" s="8">
        <f>QS.TRADE.CREATE("trade.1456",C1458,E1458,A1458,"Receive")</f>
        <v/>
      </c>
      <c r="G1458" s="5"/>
      <c r="H1458" s="7" t="s">
        <v>2956</v>
      </c>
      <c r="I1458" s="9">
        <v>1145600</v>
      </c>
      <c r="J1458" s="10">
        <v>0.03560000000000001</v>
      </c>
    </row>
    <row r="1459" spans="1:10">
      <c r="A1459" s="7" t="s">
        <v>2944</v>
      </c>
      <c r="B1459" s="7" t="s">
        <v>2957</v>
      </c>
      <c r="C1459" s="8">
        <f>QS.CONTEXT.CREATE("market.1457",A1459,"USD","SOFR")</f>
        <v/>
      </c>
      <c r="D1459" s="8">
        <f>QS.CONTEXT.ADD.CURVE(C1459,"SOFR",$K$2:$K$7,$L$2:$L$7,,,"Actual360","LogLinear",TRUE)</f>
        <v/>
      </c>
      <c r="E1459" s="8">
        <f>QS.INSTRUMENT.SWAP("swap.1457",C1459,H1459,B1459,"USD","SOFR",I1459,J1459,0,"Actual360","Simple","Annual","Annual","Annual")</f>
        <v/>
      </c>
      <c r="F1459" s="8">
        <f>QS.TRADE.CREATE("trade.1457",C1459,E1459,A1459,"Receive")</f>
        <v/>
      </c>
      <c r="G1459" s="5"/>
      <c r="H1459" s="7" t="s">
        <v>2958</v>
      </c>
      <c r="I1459" s="9">
        <v>1145700</v>
      </c>
      <c r="J1459" s="10">
        <v>0.0357</v>
      </c>
    </row>
    <row r="1460" spans="1:10">
      <c r="A1460" s="7" t="s">
        <v>2946</v>
      </c>
      <c r="B1460" s="7" t="s">
        <v>2959</v>
      </c>
      <c r="C1460" s="8">
        <f>QS.CONTEXT.CREATE("market.1458",A1460,"USD","SOFR")</f>
        <v/>
      </c>
      <c r="D1460" s="8">
        <f>QS.CONTEXT.ADD.CURVE(C1460,"SOFR",$K$2:$K$7,$L$2:$L$7,,,"Actual360","LogLinear",TRUE)</f>
        <v/>
      </c>
      <c r="E1460" s="8">
        <f>QS.INSTRUMENT.SWAP("swap.1458",C1460,H1460,B1460,"USD","SOFR",I1460,J1460,0,"Actual360","Simple","Annual","Annual","Annual")</f>
        <v/>
      </c>
      <c r="F1460" s="8">
        <f>QS.TRADE.CREATE("trade.1458",C1460,E1460,A1460,"Receive")</f>
        <v/>
      </c>
      <c r="G1460" s="5"/>
      <c r="H1460" s="7" t="s">
        <v>2960</v>
      </c>
      <c r="I1460" s="9">
        <v>1145800</v>
      </c>
      <c r="J1460" s="10">
        <v>0.03580000000000001</v>
      </c>
    </row>
    <row r="1461" spans="1:10">
      <c r="A1461" s="7" t="s">
        <v>2948</v>
      </c>
      <c r="B1461" s="7" t="s">
        <v>2961</v>
      </c>
      <c r="C1461" s="8">
        <f>QS.CONTEXT.CREATE("market.1459",A1461,"USD","SOFR")</f>
        <v/>
      </c>
      <c r="D1461" s="8">
        <f>QS.CONTEXT.ADD.CURVE(C1461,"SOFR",$K$2:$K$7,$L$2:$L$7,,,"Actual360","LogLinear",TRUE)</f>
        <v/>
      </c>
      <c r="E1461" s="8">
        <f>QS.INSTRUMENT.SWAP("swap.1459",C1461,H1461,B1461,"USD","SOFR",I1461,J1461,0,"Actual360","Simple","Annual","Annual","Annual")</f>
        <v/>
      </c>
      <c r="F1461" s="8">
        <f>QS.TRADE.CREATE("trade.1459",C1461,E1461,A1461,"Receive")</f>
        <v/>
      </c>
      <c r="G1461" s="5"/>
      <c r="H1461" s="7" t="s">
        <v>2962</v>
      </c>
      <c r="I1461" s="9">
        <v>1145900</v>
      </c>
      <c r="J1461" s="10">
        <v>0.0359</v>
      </c>
    </row>
    <row r="1462" spans="1:10">
      <c r="A1462" s="7" t="s">
        <v>2950</v>
      </c>
      <c r="B1462" s="7" t="s">
        <v>2963</v>
      </c>
      <c r="C1462" s="8">
        <f>QS.CONTEXT.CREATE("market.1460",A1462,"USD","SOFR")</f>
        <v/>
      </c>
      <c r="D1462" s="8">
        <f>QS.CONTEXT.ADD.CURVE(C1462,"SOFR",$K$2:$K$7,$L$2:$L$7,,,"Actual360","LogLinear",TRUE)</f>
        <v/>
      </c>
      <c r="E1462" s="8">
        <f>QS.INSTRUMENT.SWAP("swap.1460",C1462,H1462,B1462,"USD","SOFR",I1462,J1462,0,"Actual360","Simple","Annual","Annual","Annual")</f>
        <v/>
      </c>
      <c r="F1462" s="8">
        <f>QS.TRADE.CREATE("trade.1460",C1462,E1462,A1462,"Receive")</f>
        <v/>
      </c>
      <c r="G1462" s="5"/>
      <c r="H1462" s="7" t="s">
        <v>2964</v>
      </c>
      <c r="I1462" s="9">
        <v>1146000</v>
      </c>
      <c r="J1462" s="10">
        <v>0.036</v>
      </c>
    </row>
    <row r="1463" spans="1:10">
      <c r="A1463" s="7" t="s">
        <v>2952</v>
      </c>
      <c r="B1463" s="7" t="s">
        <v>2965</v>
      </c>
      <c r="C1463" s="8">
        <f>QS.CONTEXT.CREATE("market.1461",A1463,"USD","SOFR")</f>
        <v/>
      </c>
      <c r="D1463" s="8">
        <f>QS.CONTEXT.ADD.CURVE(C1463,"SOFR",$K$2:$K$7,$L$2:$L$7,,,"Actual360","LogLinear",TRUE)</f>
        <v/>
      </c>
      <c r="E1463" s="8">
        <f>QS.INSTRUMENT.SWAP("swap.1461",C1463,H1463,B1463,"USD","SOFR",I1463,J1463,0,"Actual360","Simple","Annual","Annual","Annual")</f>
        <v/>
      </c>
      <c r="F1463" s="8">
        <f>QS.TRADE.CREATE("trade.1461",C1463,E1463,A1463,"Receive")</f>
        <v/>
      </c>
      <c r="G1463" s="5"/>
      <c r="H1463" s="7" t="s">
        <v>2966</v>
      </c>
      <c r="I1463" s="9">
        <v>1146100</v>
      </c>
      <c r="J1463" s="10">
        <v>0.0361</v>
      </c>
    </row>
    <row r="1464" spans="1:10">
      <c r="A1464" s="7" t="s">
        <v>2954</v>
      </c>
      <c r="B1464" s="7" t="s">
        <v>2967</v>
      </c>
      <c r="C1464" s="8">
        <f>QS.CONTEXT.CREATE("market.1462",A1464,"USD","SOFR")</f>
        <v/>
      </c>
      <c r="D1464" s="8">
        <f>QS.CONTEXT.ADD.CURVE(C1464,"SOFR",$K$2:$K$7,$L$2:$L$7,,,"Actual360","LogLinear",TRUE)</f>
        <v/>
      </c>
      <c r="E1464" s="8">
        <f>QS.INSTRUMENT.SWAP("swap.1462",C1464,H1464,B1464,"USD","SOFR",I1464,J1464,0,"Actual360","Simple","Annual","Annual","Annual")</f>
        <v/>
      </c>
      <c r="F1464" s="8">
        <f>QS.TRADE.CREATE("trade.1462",C1464,E1464,A1464,"Receive")</f>
        <v/>
      </c>
      <c r="G1464" s="5"/>
      <c r="H1464" s="7" t="s">
        <v>2968</v>
      </c>
      <c r="I1464" s="9">
        <v>1146200</v>
      </c>
      <c r="J1464" s="10">
        <v>0.0362</v>
      </c>
    </row>
    <row r="1465" spans="1:10">
      <c r="A1465" s="7" t="s">
        <v>2956</v>
      </c>
      <c r="B1465" s="7" t="s">
        <v>2969</v>
      </c>
      <c r="C1465" s="8">
        <f>QS.CONTEXT.CREATE("market.1463",A1465,"USD","SOFR")</f>
        <v/>
      </c>
      <c r="D1465" s="8">
        <f>QS.CONTEXT.ADD.CURVE(C1465,"SOFR",$K$2:$K$7,$L$2:$L$7,,,"Actual360","LogLinear",TRUE)</f>
        <v/>
      </c>
      <c r="E1465" s="8">
        <f>QS.INSTRUMENT.SWAP("swap.1463",C1465,H1465,B1465,"USD","SOFR",I1465,J1465,0,"Actual360","Simple","Annual","Annual","Annual")</f>
        <v/>
      </c>
      <c r="F1465" s="8">
        <f>QS.TRADE.CREATE("trade.1463",C1465,E1465,A1465,"Receive")</f>
        <v/>
      </c>
      <c r="G1465" s="5"/>
      <c r="H1465" s="7" t="s">
        <v>2970</v>
      </c>
      <c r="I1465" s="9">
        <v>1146300</v>
      </c>
      <c r="J1465" s="10">
        <v>0.03630000000000001</v>
      </c>
    </row>
    <row r="1466" spans="1:10">
      <c r="A1466" s="7" t="s">
        <v>2958</v>
      </c>
      <c r="B1466" s="7" t="s">
        <v>2971</v>
      </c>
      <c r="C1466" s="8">
        <f>QS.CONTEXT.CREATE("market.1464",A1466,"USD","SOFR")</f>
        <v/>
      </c>
      <c r="D1466" s="8">
        <f>QS.CONTEXT.ADD.CURVE(C1466,"SOFR",$K$2:$K$7,$L$2:$L$7,,,"Actual360","LogLinear",TRUE)</f>
        <v/>
      </c>
      <c r="E1466" s="8">
        <f>QS.INSTRUMENT.SWAP("swap.1464",C1466,H1466,B1466,"USD","SOFR",I1466,J1466,0,"Actual360","Simple","Annual","Annual","Annual")</f>
        <v/>
      </c>
      <c r="F1466" s="8">
        <f>QS.TRADE.CREATE("trade.1464",C1466,E1466,A1466,"Receive")</f>
        <v/>
      </c>
      <c r="G1466" s="5"/>
      <c r="H1466" s="7" t="s">
        <v>2972</v>
      </c>
      <c r="I1466" s="9">
        <v>1146400</v>
      </c>
      <c r="J1466" s="10">
        <v>0.0364</v>
      </c>
    </row>
    <row r="1467" spans="1:10">
      <c r="A1467" s="7" t="s">
        <v>2960</v>
      </c>
      <c r="B1467" s="7" t="s">
        <v>2973</v>
      </c>
      <c r="C1467" s="8">
        <f>QS.CONTEXT.CREATE("market.1465",A1467,"USD","SOFR")</f>
        <v/>
      </c>
      <c r="D1467" s="8">
        <f>QS.CONTEXT.ADD.CURVE(C1467,"SOFR",$K$2:$K$7,$L$2:$L$7,,,"Actual360","LogLinear",TRUE)</f>
        <v/>
      </c>
      <c r="E1467" s="8">
        <f>QS.INSTRUMENT.SWAP("swap.1465",C1467,H1467,B1467,"USD","SOFR",I1467,J1467,0,"Actual360","Simple","Annual","Annual","Annual")</f>
        <v/>
      </c>
      <c r="F1467" s="8">
        <f>QS.TRADE.CREATE("trade.1465",C1467,E1467,A1467,"Receive")</f>
        <v/>
      </c>
      <c r="G1467" s="5"/>
      <c r="H1467" s="7" t="s">
        <v>2974</v>
      </c>
      <c r="I1467" s="9">
        <v>1146500</v>
      </c>
      <c r="J1467" s="10">
        <v>0.0365</v>
      </c>
    </row>
    <row r="1468" spans="1:10">
      <c r="A1468" s="7" t="s">
        <v>2962</v>
      </c>
      <c r="B1468" s="7" t="s">
        <v>2975</v>
      </c>
      <c r="C1468" s="8">
        <f>QS.CONTEXT.CREATE("market.1466",A1468,"USD","SOFR")</f>
        <v/>
      </c>
      <c r="D1468" s="8">
        <f>QS.CONTEXT.ADD.CURVE(C1468,"SOFR",$K$2:$K$7,$L$2:$L$7,,,"Actual360","LogLinear",TRUE)</f>
        <v/>
      </c>
      <c r="E1468" s="8">
        <f>QS.INSTRUMENT.SWAP("swap.1466",C1468,H1468,B1468,"USD","SOFR",I1468,J1468,0,"Actual360","Simple","Annual","Annual","Annual")</f>
        <v/>
      </c>
      <c r="F1468" s="8">
        <f>QS.TRADE.CREATE("trade.1466",C1468,E1468,A1468,"Receive")</f>
        <v/>
      </c>
      <c r="G1468" s="5"/>
      <c r="H1468" s="7" t="s">
        <v>2976</v>
      </c>
      <c r="I1468" s="9">
        <v>1146600</v>
      </c>
      <c r="J1468" s="10">
        <v>0.0366</v>
      </c>
    </row>
    <row r="1469" spans="1:10">
      <c r="A1469" s="7" t="s">
        <v>2964</v>
      </c>
      <c r="B1469" s="7" t="s">
        <v>2977</v>
      </c>
      <c r="C1469" s="8">
        <f>QS.CONTEXT.CREATE("market.1467",A1469,"USD","SOFR")</f>
        <v/>
      </c>
      <c r="D1469" s="8">
        <f>QS.CONTEXT.ADD.CURVE(C1469,"SOFR",$K$2:$K$7,$L$2:$L$7,,,"Actual360","LogLinear",TRUE)</f>
        <v/>
      </c>
      <c r="E1469" s="8">
        <f>QS.INSTRUMENT.SWAP("swap.1467",C1469,H1469,B1469,"USD","SOFR",I1469,J1469,0,"Actual360","Simple","Annual","Annual","Annual")</f>
        <v/>
      </c>
      <c r="F1469" s="8">
        <f>QS.TRADE.CREATE("trade.1467",C1469,E1469,A1469,"Receive")</f>
        <v/>
      </c>
      <c r="G1469" s="5"/>
      <c r="H1469" s="7" t="s">
        <v>2978</v>
      </c>
      <c r="I1469" s="9">
        <v>1146700</v>
      </c>
      <c r="J1469" s="10">
        <v>0.0367</v>
      </c>
    </row>
    <row r="1470" spans="1:10">
      <c r="A1470" s="7" t="s">
        <v>2966</v>
      </c>
      <c r="B1470" s="7" t="s">
        <v>2979</v>
      </c>
      <c r="C1470" s="8">
        <f>QS.CONTEXT.CREATE("market.1468",A1470,"USD","SOFR")</f>
        <v/>
      </c>
      <c r="D1470" s="8">
        <f>QS.CONTEXT.ADD.CURVE(C1470,"SOFR",$K$2:$K$7,$L$2:$L$7,,,"Actual360","LogLinear",TRUE)</f>
        <v/>
      </c>
      <c r="E1470" s="8">
        <f>QS.INSTRUMENT.SWAP("swap.1468",C1470,H1470,B1470,"USD","SOFR",I1470,J1470,0,"Actual360","Simple","Annual","Annual","Annual")</f>
        <v/>
      </c>
      <c r="F1470" s="8">
        <f>QS.TRADE.CREATE("trade.1468",C1470,E1470,A1470,"Receive")</f>
        <v/>
      </c>
      <c r="G1470" s="5"/>
      <c r="H1470" s="7" t="s">
        <v>2980</v>
      </c>
      <c r="I1470" s="9">
        <v>1146800</v>
      </c>
      <c r="J1470" s="10">
        <v>0.03680000000000001</v>
      </c>
    </row>
    <row r="1471" spans="1:10">
      <c r="A1471" s="7" t="s">
        <v>2968</v>
      </c>
      <c r="B1471" s="7" t="s">
        <v>2981</v>
      </c>
      <c r="C1471" s="8">
        <f>QS.CONTEXT.CREATE("market.1469",A1471,"USD","SOFR")</f>
        <v/>
      </c>
      <c r="D1471" s="8">
        <f>QS.CONTEXT.ADD.CURVE(C1471,"SOFR",$K$2:$K$7,$L$2:$L$7,,,"Actual360","LogLinear",TRUE)</f>
        <v/>
      </c>
      <c r="E1471" s="8">
        <f>QS.INSTRUMENT.SWAP("swap.1469",C1471,H1471,B1471,"USD","SOFR",I1471,J1471,0,"Actual360","Simple","Annual","Annual","Annual")</f>
        <v/>
      </c>
      <c r="F1471" s="8">
        <f>QS.TRADE.CREATE("trade.1469",C1471,E1471,A1471,"Receive")</f>
        <v/>
      </c>
      <c r="G1471" s="5"/>
      <c r="H1471" s="7" t="s">
        <v>2982</v>
      </c>
      <c r="I1471" s="9">
        <v>1146900</v>
      </c>
      <c r="J1471" s="10">
        <v>0.0369</v>
      </c>
    </row>
    <row r="1472" spans="1:10">
      <c r="A1472" s="7" t="s">
        <v>2970</v>
      </c>
      <c r="B1472" s="7" t="s">
        <v>2983</v>
      </c>
      <c r="C1472" s="8">
        <f>QS.CONTEXT.CREATE("market.1470",A1472,"USD","SOFR")</f>
        <v/>
      </c>
      <c r="D1472" s="8">
        <f>QS.CONTEXT.ADD.CURVE(C1472,"SOFR",$K$2:$K$7,$L$2:$L$7,,,"Actual360","LogLinear",TRUE)</f>
        <v/>
      </c>
      <c r="E1472" s="8">
        <f>QS.INSTRUMENT.SWAP("swap.1470",C1472,H1472,B1472,"USD","SOFR",I1472,J1472,0,"Actual360","Simple","Annual","Annual","Annual")</f>
        <v/>
      </c>
      <c r="F1472" s="8">
        <f>QS.TRADE.CREATE("trade.1470",C1472,E1472,A1472,"Receive")</f>
        <v/>
      </c>
      <c r="G1472" s="5"/>
      <c r="H1472" s="7" t="s">
        <v>2984</v>
      </c>
      <c r="I1472" s="9">
        <v>1147000</v>
      </c>
      <c r="J1472" s="10">
        <v>0.03700000000000001</v>
      </c>
    </row>
    <row r="1473" spans="1:10">
      <c r="A1473" s="7" t="s">
        <v>2972</v>
      </c>
      <c r="B1473" s="7" t="s">
        <v>2985</v>
      </c>
      <c r="C1473" s="8">
        <f>QS.CONTEXT.CREATE("market.1471",A1473,"USD","SOFR")</f>
        <v/>
      </c>
      <c r="D1473" s="8">
        <f>QS.CONTEXT.ADD.CURVE(C1473,"SOFR",$K$2:$K$7,$L$2:$L$7,,,"Actual360","LogLinear",TRUE)</f>
        <v/>
      </c>
      <c r="E1473" s="8">
        <f>QS.INSTRUMENT.SWAP("swap.1471",C1473,H1473,B1473,"USD","SOFR",I1473,J1473,0,"Actual360","Simple","Annual","Annual","Annual")</f>
        <v/>
      </c>
      <c r="F1473" s="8">
        <f>QS.TRADE.CREATE("trade.1471",C1473,E1473,A1473,"Receive")</f>
        <v/>
      </c>
      <c r="G1473" s="5"/>
      <c r="H1473" s="7" t="s">
        <v>2986</v>
      </c>
      <c r="I1473" s="9">
        <v>1147100</v>
      </c>
      <c r="J1473" s="10">
        <v>0.0371</v>
      </c>
    </row>
    <row r="1474" spans="1:10">
      <c r="A1474" s="7" t="s">
        <v>2974</v>
      </c>
      <c r="B1474" s="7" t="s">
        <v>2987</v>
      </c>
      <c r="C1474" s="8">
        <f>QS.CONTEXT.CREATE("market.1472",A1474,"USD","SOFR")</f>
        <v/>
      </c>
      <c r="D1474" s="8">
        <f>QS.CONTEXT.ADD.CURVE(C1474,"SOFR",$K$2:$K$7,$L$2:$L$7,,,"Actual360","LogLinear",TRUE)</f>
        <v/>
      </c>
      <c r="E1474" s="8">
        <f>QS.INSTRUMENT.SWAP("swap.1472",C1474,H1474,B1474,"USD","SOFR",I1474,J1474,0,"Actual360","Simple","Annual","Annual","Annual")</f>
        <v/>
      </c>
      <c r="F1474" s="8">
        <f>QS.TRADE.CREATE("trade.1472",C1474,E1474,A1474,"Receive")</f>
        <v/>
      </c>
      <c r="G1474" s="5"/>
      <c r="H1474" s="7" t="s">
        <v>2988</v>
      </c>
      <c r="I1474" s="9">
        <v>1147200</v>
      </c>
      <c r="J1474" s="10">
        <v>0.0372</v>
      </c>
    </row>
    <row r="1475" spans="1:10">
      <c r="A1475" s="7" t="s">
        <v>2976</v>
      </c>
      <c r="B1475" s="7" t="s">
        <v>2989</v>
      </c>
      <c r="C1475" s="8">
        <f>QS.CONTEXT.CREATE("market.1473",A1475,"USD","SOFR")</f>
        <v/>
      </c>
      <c r="D1475" s="8">
        <f>QS.CONTEXT.ADD.CURVE(C1475,"SOFR",$K$2:$K$7,$L$2:$L$7,,,"Actual360","LogLinear",TRUE)</f>
        <v/>
      </c>
      <c r="E1475" s="8">
        <f>QS.INSTRUMENT.SWAP("swap.1473",C1475,H1475,B1475,"USD","SOFR",I1475,J1475,0,"Actual360","Simple","Annual","Annual","Annual")</f>
        <v/>
      </c>
      <c r="F1475" s="8">
        <f>QS.TRADE.CREATE("trade.1473",C1475,E1475,A1475,"Receive")</f>
        <v/>
      </c>
      <c r="G1475" s="5"/>
      <c r="H1475" s="7" t="s">
        <v>2990</v>
      </c>
      <c r="I1475" s="9">
        <v>1147300</v>
      </c>
      <c r="J1475" s="10">
        <v>0.0373</v>
      </c>
    </row>
    <row r="1476" spans="1:10">
      <c r="A1476" s="7" t="s">
        <v>2978</v>
      </c>
      <c r="B1476" s="7" t="s">
        <v>2991</v>
      </c>
      <c r="C1476" s="8">
        <f>QS.CONTEXT.CREATE("market.1474",A1476,"USD","SOFR")</f>
        <v/>
      </c>
      <c r="D1476" s="8">
        <f>QS.CONTEXT.ADD.CURVE(C1476,"SOFR",$K$2:$K$7,$L$2:$L$7,,,"Actual360","LogLinear",TRUE)</f>
        <v/>
      </c>
      <c r="E1476" s="8">
        <f>QS.INSTRUMENT.SWAP("swap.1474",C1476,H1476,B1476,"USD","SOFR",I1476,J1476,0,"Actual360","Simple","Annual","Annual","Annual")</f>
        <v/>
      </c>
      <c r="F1476" s="8">
        <f>QS.TRADE.CREATE("trade.1474",C1476,E1476,A1476,"Receive")</f>
        <v/>
      </c>
      <c r="G1476" s="5"/>
      <c r="H1476" s="7" t="s">
        <v>2992</v>
      </c>
      <c r="I1476" s="9">
        <v>1147400</v>
      </c>
      <c r="J1476" s="10">
        <v>0.0374</v>
      </c>
    </row>
    <row r="1477" spans="1:10">
      <c r="A1477" s="7" t="s">
        <v>2980</v>
      </c>
      <c r="B1477" s="7" t="s">
        <v>2993</v>
      </c>
      <c r="C1477" s="8">
        <f>QS.CONTEXT.CREATE("market.1475",A1477,"USD","SOFR")</f>
        <v/>
      </c>
      <c r="D1477" s="8">
        <f>QS.CONTEXT.ADD.CURVE(C1477,"SOFR",$K$2:$K$7,$L$2:$L$7,,,"Actual360","LogLinear",TRUE)</f>
        <v/>
      </c>
      <c r="E1477" s="8">
        <f>QS.INSTRUMENT.SWAP("swap.1475",C1477,H1477,B1477,"USD","SOFR",I1477,J1477,0,"Actual360","Simple","Annual","Annual","Annual")</f>
        <v/>
      </c>
      <c r="F1477" s="8">
        <f>QS.TRADE.CREATE("trade.1475",C1477,E1477,A1477,"Receive")</f>
        <v/>
      </c>
      <c r="G1477" s="5"/>
      <c r="H1477" s="7" t="s">
        <v>2994</v>
      </c>
      <c r="I1477" s="9">
        <v>1147500</v>
      </c>
      <c r="J1477" s="10">
        <v>0.03750000000000001</v>
      </c>
    </row>
    <row r="1478" spans="1:10">
      <c r="A1478" s="7" t="s">
        <v>2982</v>
      </c>
      <c r="B1478" s="7" t="s">
        <v>2995</v>
      </c>
      <c r="C1478" s="8">
        <f>QS.CONTEXT.CREATE("market.1476",A1478,"USD","SOFR")</f>
        <v/>
      </c>
      <c r="D1478" s="8">
        <f>QS.CONTEXT.ADD.CURVE(C1478,"SOFR",$K$2:$K$7,$L$2:$L$7,,,"Actual360","LogLinear",TRUE)</f>
        <v/>
      </c>
      <c r="E1478" s="8">
        <f>QS.INSTRUMENT.SWAP("swap.1476",C1478,H1478,B1478,"USD","SOFR",I1478,J1478,0,"Actual360","Simple","Annual","Annual","Annual")</f>
        <v/>
      </c>
      <c r="F1478" s="8">
        <f>QS.TRADE.CREATE("trade.1476",C1478,E1478,A1478,"Receive")</f>
        <v/>
      </c>
      <c r="G1478" s="5"/>
      <c r="H1478" s="7" t="s">
        <v>2996</v>
      </c>
      <c r="I1478" s="9">
        <v>1147600</v>
      </c>
      <c r="J1478" s="10">
        <v>0.0376</v>
      </c>
    </row>
    <row r="1479" spans="1:10">
      <c r="A1479" s="7" t="s">
        <v>2984</v>
      </c>
      <c r="B1479" s="7" t="s">
        <v>2997</v>
      </c>
      <c r="C1479" s="8">
        <f>QS.CONTEXT.CREATE("market.1477",A1479,"USD","SOFR")</f>
        <v/>
      </c>
      <c r="D1479" s="8">
        <f>QS.CONTEXT.ADD.CURVE(C1479,"SOFR",$K$2:$K$7,$L$2:$L$7,,,"Actual360","LogLinear",TRUE)</f>
        <v/>
      </c>
      <c r="E1479" s="8">
        <f>QS.INSTRUMENT.SWAP("swap.1477",C1479,H1479,B1479,"USD","SOFR",I1479,J1479,0,"Actual360","Simple","Annual","Annual","Annual")</f>
        <v/>
      </c>
      <c r="F1479" s="8">
        <f>QS.TRADE.CREATE("trade.1477",C1479,E1479,A1479,"Receive")</f>
        <v/>
      </c>
      <c r="G1479" s="5"/>
      <c r="H1479" s="7" t="s">
        <v>2998</v>
      </c>
      <c r="I1479" s="9">
        <v>1147700</v>
      </c>
      <c r="J1479" s="10">
        <v>0.0377</v>
      </c>
    </row>
    <row r="1480" spans="1:10">
      <c r="A1480" s="7" t="s">
        <v>2986</v>
      </c>
      <c r="B1480" s="7" t="s">
        <v>2999</v>
      </c>
      <c r="C1480" s="8">
        <f>QS.CONTEXT.CREATE("market.1478",A1480,"USD","SOFR")</f>
        <v/>
      </c>
      <c r="D1480" s="8">
        <f>QS.CONTEXT.ADD.CURVE(C1480,"SOFR",$K$2:$K$7,$L$2:$L$7,,,"Actual360","LogLinear",TRUE)</f>
        <v/>
      </c>
      <c r="E1480" s="8">
        <f>QS.INSTRUMENT.SWAP("swap.1478",C1480,H1480,B1480,"USD","SOFR",I1480,J1480,0,"Actual360","Simple","Annual","Annual","Annual")</f>
        <v/>
      </c>
      <c r="F1480" s="8">
        <f>QS.TRADE.CREATE("trade.1478",C1480,E1480,A1480,"Receive")</f>
        <v/>
      </c>
      <c r="G1480" s="5"/>
      <c r="H1480" s="7" t="s">
        <v>3000</v>
      </c>
      <c r="I1480" s="9">
        <v>1147800</v>
      </c>
      <c r="J1480" s="10">
        <v>0.0378</v>
      </c>
    </row>
    <row r="1481" spans="1:10">
      <c r="A1481" s="7" t="s">
        <v>2988</v>
      </c>
      <c r="B1481" s="7" t="s">
        <v>3001</v>
      </c>
      <c r="C1481" s="8">
        <f>QS.CONTEXT.CREATE("market.1479",A1481,"USD","SOFR")</f>
        <v/>
      </c>
      <c r="D1481" s="8">
        <f>QS.CONTEXT.ADD.CURVE(C1481,"SOFR",$K$2:$K$7,$L$2:$L$7,,,"Actual360","LogLinear",TRUE)</f>
        <v/>
      </c>
      <c r="E1481" s="8">
        <f>QS.INSTRUMENT.SWAP("swap.1479",C1481,H1481,B1481,"USD","SOFR",I1481,J1481,0,"Actual360","Simple","Annual","Annual","Annual")</f>
        <v/>
      </c>
      <c r="F1481" s="8">
        <f>QS.TRADE.CREATE("trade.1479",C1481,E1481,A1481,"Receive")</f>
        <v/>
      </c>
      <c r="G1481" s="5"/>
      <c r="H1481" s="7" t="s">
        <v>3002</v>
      </c>
      <c r="I1481" s="9">
        <v>1147900</v>
      </c>
      <c r="J1481" s="10">
        <v>0.0379</v>
      </c>
    </row>
    <row r="1482" spans="1:10">
      <c r="A1482" s="7" t="s">
        <v>2990</v>
      </c>
      <c r="B1482" s="7" t="s">
        <v>3003</v>
      </c>
      <c r="C1482" s="8">
        <f>QS.CONTEXT.CREATE("market.1480",A1482,"USD","SOFR")</f>
        <v/>
      </c>
      <c r="D1482" s="8">
        <f>QS.CONTEXT.ADD.CURVE(C1482,"SOFR",$K$2:$K$7,$L$2:$L$7,,,"Actual360","LogLinear",TRUE)</f>
        <v/>
      </c>
      <c r="E1482" s="8">
        <f>QS.INSTRUMENT.SWAP("swap.1480",C1482,H1482,B1482,"USD","SOFR",I1482,J1482,0,"Actual360","Simple","Annual","Annual","Annual")</f>
        <v/>
      </c>
      <c r="F1482" s="8">
        <f>QS.TRADE.CREATE("trade.1480",C1482,E1482,A1482,"Receive")</f>
        <v/>
      </c>
      <c r="G1482" s="5"/>
      <c r="H1482" s="7" t="s">
        <v>3004</v>
      </c>
      <c r="I1482" s="9">
        <v>1148000</v>
      </c>
      <c r="J1482" s="10">
        <v>0.03800000000000001</v>
      </c>
    </row>
    <row r="1483" spans="1:10">
      <c r="A1483" s="7" t="s">
        <v>2992</v>
      </c>
      <c r="B1483" s="7" t="s">
        <v>3005</v>
      </c>
      <c r="C1483" s="8">
        <f>QS.CONTEXT.CREATE("market.1481",A1483,"USD","SOFR")</f>
        <v/>
      </c>
      <c r="D1483" s="8">
        <f>QS.CONTEXT.ADD.CURVE(C1483,"SOFR",$K$2:$K$7,$L$2:$L$7,,,"Actual360","LogLinear",TRUE)</f>
        <v/>
      </c>
      <c r="E1483" s="8">
        <f>QS.INSTRUMENT.SWAP("swap.1481",C1483,H1483,B1483,"USD","SOFR",I1483,J1483,0,"Actual360","Simple","Annual","Annual","Annual")</f>
        <v/>
      </c>
      <c r="F1483" s="8">
        <f>QS.TRADE.CREATE("trade.1481",C1483,E1483,A1483,"Receive")</f>
        <v/>
      </c>
      <c r="G1483" s="5"/>
      <c r="H1483" s="7" t="s">
        <v>3006</v>
      </c>
      <c r="I1483" s="9">
        <v>1148100</v>
      </c>
      <c r="J1483" s="10">
        <v>0.0381</v>
      </c>
    </row>
    <row r="1484" spans="1:10">
      <c r="A1484" s="7" t="s">
        <v>2994</v>
      </c>
      <c r="B1484" s="7" t="s">
        <v>3007</v>
      </c>
      <c r="C1484" s="8">
        <f>QS.CONTEXT.CREATE("market.1482",A1484,"USD","SOFR")</f>
        <v/>
      </c>
      <c r="D1484" s="8">
        <f>QS.CONTEXT.ADD.CURVE(C1484,"SOFR",$K$2:$K$7,$L$2:$L$7,,,"Actual360","LogLinear",TRUE)</f>
        <v/>
      </c>
      <c r="E1484" s="8">
        <f>QS.INSTRUMENT.SWAP("swap.1482",C1484,H1484,B1484,"USD","SOFR",I1484,J1484,0,"Actual360","Simple","Annual","Annual","Annual")</f>
        <v/>
      </c>
      <c r="F1484" s="8">
        <f>QS.TRADE.CREATE("trade.1482",C1484,E1484,A1484,"Receive")</f>
        <v/>
      </c>
      <c r="G1484" s="5"/>
      <c r="H1484" s="7" t="s">
        <v>3008</v>
      </c>
      <c r="I1484" s="9">
        <v>1148200</v>
      </c>
      <c r="J1484" s="10">
        <v>0.0382</v>
      </c>
    </row>
    <row r="1485" spans="1:10">
      <c r="A1485" s="7" t="s">
        <v>2996</v>
      </c>
      <c r="B1485" s="7" t="s">
        <v>3009</v>
      </c>
      <c r="C1485" s="8">
        <f>QS.CONTEXT.CREATE("market.1483",A1485,"USD","SOFR")</f>
        <v/>
      </c>
      <c r="D1485" s="8">
        <f>QS.CONTEXT.ADD.CURVE(C1485,"SOFR",$K$2:$K$7,$L$2:$L$7,,,"Actual360","LogLinear",TRUE)</f>
        <v/>
      </c>
      <c r="E1485" s="8">
        <f>QS.INSTRUMENT.SWAP("swap.1483",C1485,H1485,B1485,"USD","SOFR",I1485,J1485,0,"Actual360","Simple","Annual","Annual","Annual")</f>
        <v/>
      </c>
      <c r="F1485" s="8">
        <f>QS.TRADE.CREATE("trade.1483",C1485,E1485,A1485,"Receive")</f>
        <v/>
      </c>
      <c r="G1485" s="5"/>
      <c r="H1485" s="7" t="s">
        <v>3010</v>
      </c>
      <c r="I1485" s="9">
        <v>1148300</v>
      </c>
      <c r="J1485" s="10">
        <v>0.0383</v>
      </c>
    </row>
    <row r="1486" spans="1:10">
      <c r="A1486" s="7" t="s">
        <v>2998</v>
      </c>
      <c r="B1486" s="7" t="s">
        <v>3011</v>
      </c>
      <c r="C1486" s="8">
        <f>QS.CONTEXT.CREATE("market.1484",A1486,"USD","SOFR")</f>
        <v/>
      </c>
      <c r="D1486" s="8">
        <f>QS.CONTEXT.ADD.CURVE(C1486,"SOFR",$K$2:$K$7,$L$2:$L$7,,,"Actual360","LogLinear",TRUE)</f>
        <v/>
      </c>
      <c r="E1486" s="8">
        <f>QS.INSTRUMENT.SWAP("swap.1484",C1486,H1486,B1486,"USD","SOFR",I1486,J1486,0,"Actual360","Simple","Annual","Annual","Annual")</f>
        <v/>
      </c>
      <c r="F1486" s="8">
        <f>QS.TRADE.CREATE("trade.1484",C1486,E1486,A1486,"Receive")</f>
        <v/>
      </c>
      <c r="G1486" s="5"/>
      <c r="H1486" s="7" t="s">
        <v>3012</v>
      </c>
      <c r="I1486" s="9">
        <v>1148400</v>
      </c>
      <c r="J1486" s="10">
        <v>0.0384</v>
      </c>
    </row>
    <row r="1487" spans="1:10">
      <c r="A1487" s="7" t="s">
        <v>3000</v>
      </c>
      <c r="B1487" s="7" t="s">
        <v>3013</v>
      </c>
      <c r="C1487" s="8">
        <f>QS.CONTEXT.CREATE("market.1485",A1487,"USD","SOFR")</f>
        <v/>
      </c>
      <c r="D1487" s="8">
        <f>QS.CONTEXT.ADD.CURVE(C1487,"SOFR",$K$2:$K$7,$L$2:$L$7,,,"Actual360","LogLinear",TRUE)</f>
        <v/>
      </c>
      <c r="E1487" s="8">
        <f>QS.INSTRUMENT.SWAP("swap.1485",C1487,H1487,B1487,"USD","SOFR",I1487,J1487,0,"Actual360","Simple","Annual","Annual","Annual")</f>
        <v/>
      </c>
      <c r="F1487" s="8">
        <f>QS.TRADE.CREATE("trade.1485",C1487,E1487,A1487,"Receive")</f>
        <v/>
      </c>
      <c r="G1487" s="5"/>
      <c r="H1487" s="7" t="s">
        <v>3014</v>
      </c>
      <c r="I1487" s="9">
        <v>1148500</v>
      </c>
      <c r="J1487" s="10">
        <v>0.03850000000000001</v>
      </c>
    </row>
    <row r="1488" spans="1:10">
      <c r="A1488" s="7" t="s">
        <v>3002</v>
      </c>
      <c r="B1488" s="7" t="s">
        <v>3015</v>
      </c>
      <c r="C1488" s="8">
        <f>QS.CONTEXT.CREATE("market.1486",A1488,"USD","SOFR")</f>
        <v/>
      </c>
      <c r="D1488" s="8">
        <f>QS.CONTEXT.ADD.CURVE(C1488,"SOFR",$K$2:$K$7,$L$2:$L$7,,,"Actual360","LogLinear",TRUE)</f>
        <v/>
      </c>
      <c r="E1488" s="8">
        <f>QS.INSTRUMENT.SWAP("swap.1486",C1488,H1488,B1488,"USD","SOFR",I1488,J1488,0,"Actual360","Simple","Annual","Annual","Annual")</f>
        <v/>
      </c>
      <c r="F1488" s="8">
        <f>QS.TRADE.CREATE("trade.1486",C1488,E1488,A1488,"Receive")</f>
        <v/>
      </c>
      <c r="G1488" s="5"/>
      <c r="H1488" s="7" t="s">
        <v>3016</v>
      </c>
      <c r="I1488" s="9">
        <v>1148600</v>
      </c>
      <c r="J1488" s="10">
        <v>0.0386</v>
      </c>
    </row>
    <row r="1489" spans="1:10">
      <c r="A1489" s="7" t="s">
        <v>3004</v>
      </c>
      <c r="B1489" s="7" t="s">
        <v>3017</v>
      </c>
      <c r="C1489" s="8">
        <f>QS.CONTEXT.CREATE("market.1487",A1489,"USD","SOFR")</f>
        <v/>
      </c>
      <c r="D1489" s="8">
        <f>QS.CONTEXT.ADD.CURVE(C1489,"SOFR",$K$2:$K$7,$L$2:$L$7,,,"Actual360","LogLinear",TRUE)</f>
        <v/>
      </c>
      <c r="E1489" s="8">
        <f>QS.INSTRUMENT.SWAP("swap.1487",C1489,H1489,B1489,"USD","SOFR",I1489,J1489,0,"Actual360","Simple","Annual","Annual","Annual")</f>
        <v/>
      </c>
      <c r="F1489" s="8">
        <f>QS.TRADE.CREATE("trade.1487",C1489,E1489,A1489,"Receive")</f>
        <v/>
      </c>
      <c r="G1489" s="5"/>
      <c r="H1489" s="7" t="s">
        <v>3018</v>
      </c>
      <c r="I1489" s="9">
        <v>1148700</v>
      </c>
      <c r="J1489" s="10">
        <v>0.03870000000000001</v>
      </c>
    </row>
    <row r="1490" spans="1:10">
      <c r="A1490" s="7" t="s">
        <v>3006</v>
      </c>
      <c r="B1490" s="7" t="s">
        <v>3019</v>
      </c>
      <c r="C1490" s="8">
        <f>QS.CONTEXT.CREATE("market.1488",A1490,"USD","SOFR")</f>
        <v/>
      </c>
      <c r="D1490" s="8">
        <f>QS.CONTEXT.ADD.CURVE(C1490,"SOFR",$K$2:$K$7,$L$2:$L$7,,,"Actual360","LogLinear",TRUE)</f>
        <v/>
      </c>
      <c r="E1490" s="8">
        <f>QS.INSTRUMENT.SWAP("swap.1488",C1490,H1490,B1490,"USD","SOFR",I1490,J1490,0,"Actual360","Simple","Annual","Annual","Annual")</f>
        <v/>
      </c>
      <c r="F1490" s="8">
        <f>QS.TRADE.CREATE("trade.1488",C1490,E1490,A1490,"Receive")</f>
        <v/>
      </c>
      <c r="G1490" s="5"/>
      <c r="H1490" s="7" t="s">
        <v>3020</v>
      </c>
      <c r="I1490" s="9">
        <v>1148800</v>
      </c>
      <c r="J1490" s="10">
        <v>0.0388</v>
      </c>
    </row>
    <row r="1491" spans="1:10">
      <c r="A1491" s="7" t="s">
        <v>3008</v>
      </c>
      <c r="B1491" s="7" t="s">
        <v>3021</v>
      </c>
      <c r="C1491" s="8">
        <f>QS.CONTEXT.CREATE("market.1489",A1491,"USD","SOFR")</f>
        <v/>
      </c>
      <c r="D1491" s="8">
        <f>QS.CONTEXT.ADD.CURVE(C1491,"SOFR",$K$2:$K$7,$L$2:$L$7,,,"Actual360","LogLinear",TRUE)</f>
        <v/>
      </c>
      <c r="E1491" s="8">
        <f>QS.INSTRUMENT.SWAP("swap.1489",C1491,H1491,B1491,"USD","SOFR",I1491,J1491,0,"Actual360","Simple","Annual","Annual","Annual")</f>
        <v/>
      </c>
      <c r="F1491" s="8">
        <f>QS.TRADE.CREATE("trade.1489",C1491,E1491,A1491,"Receive")</f>
        <v/>
      </c>
      <c r="G1491" s="5"/>
      <c r="H1491" s="7" t="s">
        <v>3022</v>
      </c>
      <c r="I1491" s="9">
        <v>1148900</v>
      </c>
      <c r="J1491" s="10">
        <v>0.0389</v>
      </c>
    </row>
    <row r="1492" spans="1:10">
      <c r="A1492" s="7" t="s">
        <v>3010</v>
      </c>
      <c r="B1492" s="7" t="s">
        <v>3023</v>
      </c>
      <c r="C1492" s="8">
        <f>QS.CONTEXT.CREATE("market.1490",A1492,"USD","SOFR")</f>
        <v/>
      </c>
      <c r="D1492" s="8">
        <f>QS.CONTEXT.ADD.CURVE(C1492,"SOFR",$K$2:$K$7,$L$2:$L$7,,,"Actual360","LogLinear",TRUE)</f>
        <v/>
      </c>
      <c r="E1492" s="8">
        <f>QS.INSTRUMENT.SWAP("swap.1490",C1492,H1492,B1492,"USD","SOFR",I1492,J1492,0,"Actual360","Simple","Annual","Annual","Annual")</f>
        <v/>
      </c>
      <c r="F1492" s="8">
        <f>QS.TRADE.CREATE("trade.1490",C1492,E1492,A1492,"Receive")</f>
        <v/>
      </c>
      <c r="G1492" s="5"/>
      <c r="H1492" s="7" t="s">
        <v>3024</v>
      </c>
      <c r="I1492" s="9">
        <v>1149000</v>
      </c>
      <c r="J1492" s="10">
        <v>0.03900000000000001</v>
      </c>
    </row>
    <row r="1493" spans="1:10">
      <c r="A1493" s="7" t="s">
        <v>3012</v>
      </c>
      <c r="B1493" s="7" t="s">
        <v>3025</v>
      </c>
      <c r="C1493" s="8">
        <f>QS.CONTEXT.CREATE("market.1491",A1493,"USD","SOFR")</f>
        <v/>
      </c>
      <c r="D1493" s="8">
        <f>QS.CONTEXT.ADD.CURVE(C1493,"SOFR",$K$2:$K$7,$L$2:$L$7,,,"Actual360","LogLinear",TRUE)</f>
        <v/>
      </c>
      <c r="E1493" s="8">
        <f>QS.INSTRUMENT.SWAP("swap.1491",C1493,H1493,B1493,"USD","SOFR",I1493,J1493,0,"Actual360","Simple","Annual","Annual","Annual")</f>
        <v/>
      </c>
      <c r="F1493" s="8">
        <f>QS.TRADE.CREATE("trade.1491",C1493,E1493,A1493,"Receive")</f>
        <v/>
      </c>
      <c r="G1493" s="5"/>
      <c r="H1493" s="7" t="s">
        <v>3026</v>
      </c>
      <c r="I1493" s="9">
        <v>1149100</v>
      </c>
      <c r="J1493" s="10">
        <v>0.0391</v>
      </c>
    </row>
    <row r="1494" spans="1:10">
      <c r="A1494" s="7" t="s">
        <v>3014</v>
      </c>
      <c r="B1494" s="7" t="s">
        <v>3027</v>
      </c>
      <c r="C1494" s="8">
        <f>QS.CONTEXT.CREATE("market.1492",A1494,"USD","SOFR")</f>
        <v/>
      </c>
      <c r="D1494" s="8">
        <f>QS.CONTEXT.ADD.CURVE(C1494,"SOFR",$K$2:$K$7,$L$2:$L$7,,,"Actual360","LogLinear",TRUE)</f>
        <v/>
      </c>
      <c r="E1494" s="8">
        <f>QS.INSTRUMENT.SWAP("swap.1492",C1494,H1494,B1494,"USD","SOFR",I1494,J1494,0,"Actual360","Simple","Annual","Annual","Annual")</f>
        <v/>
      </c>
      <c r="F1494" s="8">
        <f>QS.TRADE.CREATE("trade.1492",C1494,E1494,A1494,"Receive")</f>
        <v/>
      </c>
      <c r="G1494" s="5"/>
      <c r="H1494" s="7" t="s">
        <v>3028</v>
      </c>
      <c r="I1494" s="9">
        <v>1149200</v>
      </c>
      <c r="J1494" s="10">
        <v>0.03920000000000001</v>
      </c>
    </row>
    <row r="1495" spans="1:10">
      <c r="A1495" s="7" t="s">
        <v>3016</v>
      </c>
      <c r="B1495" s="7" t="s">
        <v>3029</v>
      </c>
      <c r="C1495" s="8">
        <f>QS.CONTEXT.CREATE("market.1493",A1495,"USD","SOFR")</f>
        <v/>
      </c>
      <c r="D1495" s="8">
        <f>QS.CONTEXT.ADD.CURVE(C1495,"SOFR",$K$2:$K$7,$L$2:$L$7,,,"Actual360","LogLinear",TRUE)</f>
        <v/>
      </c>
      <c r="E1495" s="8">
        <f>QS.INSTRUMENT.SWAP("swap.1493",C1495,H1495,B1495,"USD","SOFR",I1495,J1495,0,"Actual360","Simple","Annual","Annual","Annual")</f>
        <v/>
      </c>
      <c r="F1495" s="8">
        <f>QS.TRADE.CREATE("trade.1493",C1495,E1495,A1495,"Receive")</f>
        <v/>
      </c>
      <c r="G1495" s="5"/>
      <c r="H1495" s="7" t="s">
        <v>3030</v>
      </c>
      <c r="I1495" s="9">
        <v>1149300</v>
      </c>
      <c r="J1495" s="10">
        <v>0.0393</v>
      </c>
    </row>
    <row r="1496" spans="1:10">
      <c r="A1496" s="7" t="s">
        <v>3018</v>
      </c>
      <c r="B1496" s="7" t="s">
        <v>3031</v>
      </c>
      <c r="C1496" s="8">
        <f>QS.CONTEXT.CREATE("market.1494",A1496,"USD","SOFR")</f>
        <v/>
      </c>
      <c r="D1496" s="8">
        <f>QS.CONTEXT.ADD.CURVE(C1496,"SOFR",$K$2:$K$7,$L$2:$L$7,,,"Actual360","LogLinear",TRUE)</f>
        <v/>
      </c>
      <c r="E1496" s="8">
        <f>QS.INSTRUMENT.SWAP("swap.1494",C1496,H1496,B1496,"USD","SOFR",I1496,J1496,0,"Actual360","Simple","Annual","Annual","Annual")</f>
        <v/>
      </c>
      <c r="F1496" s="8">
        <f>QS.TRADE.CREATE("trade.1494",C1496,E1496,A1496,"Receive")</f>
        <v/>
      </c>
      <c r="G1496" s="5"/>
      <c r="H1496" s="7" t="s">
        <v>3032</v>
      </c>
      <c r="I1496" s="9">
        <v>1149400</v>
      </c>
      <c r="J1496" s="10">
        <v>0.0394</v>
      </c>
    </row>
    <row r="1497" spans="1:10">
      <c r="A1497" s="7" t="s">
        <v>3020</v>
      </c>
      <c r="B1497" s="7" t="s">
        <v>3033</v>
      </c>
      <c r="C1497" s="8">
        <f>QS.CONTEXT.CREATE("market.1495",A1497,"USD","SOFR")</f>
        <v/>
      </c>
      <c r="D1497" s="8">
        <f>QS.CONTEXT.ADD.CURVE(C1497,"SOFR",$K$2:$K$7,$L$2:$L$7,,,"Actual360","LogLinear",TRUE)</f>
        <v/>
      </c>
      <c r="E1497" s="8">
        <f>QS.INSTRUMENT.SWAP("swap.1495",C1497,H1497,B1497,"USD","SOFR",I1497,J1497,0,"Actual360","Simple","Annual","Annual","Annual")</f>
        <v/>
      </c>
      <c r="F1497" s="8">
        <f>QS.TRADE.CREATE("trade.1495",C1497,E1497,A1497,"Receive")</f>
        <v/>
      </c>
      <c r="G1497" s="5"/>
      <c r="H1497" s="7" t="s">
        <v>3034</v>
      </c>
      <c r="I1497" s="9">
        <v>1149500</v>
      </c>
      <c r="J1497" s="10">
        <v>0.03950000000000001</v>
      </c>
    </row>
    <row r="1498" spans="1:10">
      <c r="A1498" s="7" t="s">
        <v>3022</v>
      </c>
      <c r="B1498" s="7" t="s">
        <v>3035</v>
      </c>
      <c r="C1498" s="8">
        <f>QS.CONTEXT.CREATE("market.1496",A1498,"USD","SOFR")</f>
        <v/>
      </c>
      <c r="D1498" s="8">
        <f>QS.CONTEXT.ADD.CURVE(C1498,"SOFR",$K$2:$K$7,$L$2:$L$7,,,"Actual360","LogLinear",TRUE)</f>
        <v/>
      </c>
      <c r="E1498" s="8">
        <f>QS.INSTRUMENT.SWAP("swap.1496",C1498,H1498,B1498,"USD","SOFR",I1498,J1498,0,"Actual360","Simple","Annual","Annual","Annual")</f>
        <v/>
      </c>
      <c r="F1498" s="8">
        <f>QS.TRADE.CREATE("trade.1496",C1498,E1498,A1498,"Receive")</f>
        <v/>
      </c>
      <c r="G1498" s="5"/>
      <c r="H1498" s="7" t="s">
        <v>3036</v>
      </c>
      <c r="I1498" s="9">
        <v>1149600</v>
      </c>
      <c r="J1498" s="10">
        <v>0.0396</v>
      </c>
    </row>
    <row r="1499" spans="1:10">
      <c r="A1499" s="7" t="s">
        <v>3024</v>
      </c>
      <c r="B1499" s="7" t="s">
        <v>3037</v>
      </c>
      <c r="C1499" s="8">
        <f>QS.CONTEXT.CREATE("market.1497",A1499,"USD","SOFR")</f>
        <v/>
      </c>
      <c r="D1499" s="8">
        <f>QS.CONTEXT.ADD.CURVE(C1499,"SOFR",$K$2:$K$7,$L$2:$L$7,,,"Actual360","LogLinear",TRUE)</f>
        <v/>
      </c>
      <c r="E1499" s="8">
        <f>QS.INSTRUMENT.SWAP("swap.1497",C1499,H1499,B1499,"USD","SOFR",I1499,J1499,0,"Actual360","Simple","Annual","Annual","Annual")</f>
        <v/>
      </c>
      <c r="F1499" s="8">
        <f>QS.TRADE.CREATE("trade.1497",C1499,E1499,A1499,"Receive")</f>
        <v/>
      </c>
      <c r="G1499" s="5"/>
      <c r="H1499" s="7" t="s">
        <v>3038</v>
      </c>
      <c r="I1499" s="9">
        <v>1149700</v>
      </c>
      <c r="J1499" s="10">
        <v>0.03970000000000001</v>
      </c>
    </row>
    <row r="1500" spans="1:10">
      <c r="A1500" s="7" t="s">
        <v>3026</v>
      </c>
      <c r="B1500" s="7" t="s">
        <v>3039</v>
      </c>
      <c r="C1500" s="8">
        <f>QS.CONTEXT.CREATE("market.1498",A1500,"USD","SOFR")</f>
        <v/>
      </c>
      <c r="D1500" s="8">
        <f>QS.CONTEXT.ADD.CURVE(C1500,"SOFR",$K$2:$K$7,$L$2:$L$7,,,"Actual360","LogLinear",TRUE)</f>
        <v/>
      </c>
      <c r="E1500" s="8">
        <f>QS.INSTRUMENT.SWAP("swap.1498",C1500,H1500,B1500,"USD","SOFR",I1500,J1500,0,"Actual360","Simple","Annual","Annual","Annual")</f>
        <v/>
      </c>
      <c r="F1500" s="8">
        <f>QS.TRADE.CREATE("trade.1498",C1500,E1500,A1500,"Receive")</f>
        <v/>
      </c>
      <c r="G1500" s="5"/>
      <c r="H1500" s="7" t="s">
        <v>3040</v>
      </c>
      <c r="I1500" s="9">
        <v>1149800</v>
      </c>
      <c r="J1500" s="10">
        <v>0.0398</v>
      </c>
    </row>
    <row r="1501" spans="1:10">
      <c r="A1501" s="7" t="s">
        <v>3028</v>
      </c>
      <c r="B1501" s="7" t="s">
        <v>3041</v>
      </c>
      <c r="C1501" s="8">
        <f>QS.CONTEXT.CREATE("market.1499",A1501,"USD","SOFR")</f>
        <v/>
      </c>
      <c r="D1501" s="8">
        <f>QS.CONTEXT.ADD.CURVE(C1501,"SOFR",$K$2:$K$7,$L$2:$L$7,,,"Actual360","LogLinear",TRUE)</f>
        <v/>
      </c>
      <c r="E1501" s="8">
        <f>QS.INSTRUMENT.SWAP("swap.1499",C1501,H1501,B1501,"USD","SOFR",I1501,J1501,0,"Actual360","Simple","Annual","Annual","Annual")</f>
        <v/>
      </c>
      <c r="F1501" s="8">
        <f>QS.TRADE.CREATE("trade.1499",C1501,E1501,A1501,"Receive")</f>
        <v/>
      </c>
      <c r="G1501" s="5"/>
      <c r="H1501" s="7" t="s">
        <v>3042</v>
      </c>
      <c r="I1501" s="9">
        <v>1149900</v>
      </c>
      <c r="J1501" s="10">
        <v>0.0399</v>
      </c>
    </row>
    <row r="1502" spans="1:10">
      <c r="A1502" s="7" t="s">
        <v>3030</v>
      </c>
      <c r="B1502" s="7" t="s">
        <v>3043</v>
      </c>
      <c r="C1502" s="8">
        <f>QS.CONTEXT.CREATE("market.1500",A1502,"USD","SOFR")</f>
        <v/>
      </c>
      <c r="D1502" s="8">
        <f>QS.CONTEXT.ADD.CURVE(C1502,"SOFR",$K$2:$K$7,$L$2:$L$7,,,"Actual360","LogLinear",TRUE)</f>
        <v/>
      </c>
      <c r="E1502" s="8">
        <f>QS.INSTRUMENT.SWAP("swap.1500",C1502,H1502,B1502,"USD","SOFR",I1502,J1502,0,"Actual360","Simple","Annual","Annual","Annual")</f>
        <v/>
      </c>
      <c r="F1502" s="8">
        <f>QS.TRADE.CREATE("trade.1500",C1502,E1502,A1502,"Receive")</f>
        <v/>
      </c>
      <c r="G1502" s="5"/>
      <c r="H1502" s="7" t="s">
        <v>3044</v>
      </c>
      <c r="I1502" s="9">
        <v>1150000</v>
      </c>
      <c r="J1502" s="10">
        <v>0.035</v>
      </c>
    </row>
    <row r="1503" spans="1:10">
      <c r="A1503" s="7" t="s">
        <v>3032</v>
      </c>
      <c r="B1503" s="7" t="s">
        <v>3045</v>
      </c>
      <c r="C1503" s="8">
        <f>QS.CONTEXT.CREATE("market.1501",A1503,"USD","SOFR")</f>
        <v/>
      </c>
      <c r="D1503" s="8">
        <f>QS.CONTEXT.ADD.CURVE(C1503,"SOFR",$K$2:$K$7,$L$2:$L$7,,,"Actual360","LogLinear",TRUE)</f>
        <v/>
      </c>
      <c r="E1503" s="8">
        <f>QS.INSTRUMENT.SWAP("swap.1501",C1503,H1503,B1503,"USD","SOFR",I1503,J1503,0,"Actual360","Simple","Annual","Annual","Annual")</f>
        <v/>
      </c>
      <c r="F1503" s="8">
        <f>QS.TRADE.CREATE("trade.1501",C1503,E1503,A1503,"Receive")</f>
        <v/>
      </c>
      <c r="G1503" s="5"/>
      <c r="H1503" s="7" t="s">
        <v>3046</v>
      </c>
      <c r="I1503" s="9">
        <v>1150100</v>
      </c>
      <c r="J1503" s="10">
        <v>0.03510000000000001</v>
      </c>
    </row>
    <row r="1504" spans="1:10">
      <c r="A1504" s="7" t="s">
        <v>3034</v>
      </c>
      <c r="B1504" s="7" t="s">
        <v>3047</v>
      </c>
      <c r="C1504" s="8">
        <f>QS.CONTEXT.CREATE("market.1502",A1504,"USD","SOFR")</f>
        <v/>
      </c>
      <c r="D1504" s="8">
        <f>QS.CONTEXT.ADD.CURVE(C1504,"SOFR",$K$2:$K$7,$L$2:$L$7,,,"Actual360","LogLinear",TRUE)</f>
        <v/>
      </c>
      <c r="E1504" s="8">
        <f>QS.INSTRUMENT.SWAP("swap.1502",C1504,H1504,B1504,"USD","SOFR",I1504,J1504,0,"Actual360","Simple","Annual","Annual","Annual")</f>
        <v/>
      </c>
      <c r="F1504" s="8">
        <f>QS.TRADE.CREATE("trade.1502",C1504,E1504,A1504,"Receive")</f>
        <v/>
      </c>
      <c r="G1504" s="5"/>
      <c r="H1504" s="7" t="s">
        <v>3048</v>
      </c>
      <c r="I1504" s="9">
        <v>1150200</v>
      </c>
      <c r="J1504" s="10">
        <v>0.0352</v>
      </c>
    </row>
    <row r="1505" spans="1:10">
      <c r="A1505" s="7" t="s">
        <v>3036</v>
      </c>
      <c r="B1505" s="7" t="s">
        <v>3049</v>
      </c>
      <c r="C1505" s="8">
        <f>QS.CONTEXT.CREATE("market.1503",A1505,"USD","SOFR")</f>
        <v/>
      </c>
      <c r="D1505" s="8">
        <f>QS.CONTEXT.ADD.CURVE(C1505,"SOFR",$K$2:$K$7,$L$2:$L$7,,,"Actual360","LogLinear",TRUE)</f>
        <v/>
      </c>
      <c r="E1505" s="8">
        <f>QS.INSTRUMENT.SWAP("swap.1503",C1505,H1505,B1505,"USD","SOFR",I1505,J1505,0,"Actual360","Simple","Annual","Annual","Annual")</f>
        <v/>
      </c>
      <c r="F1505" s="8">
        <f>QS.TRADE.CREATE("trade.1503",C1505,E1505,A1505,"Receive")</f>
        <v/>
      </c>
      <c r="G1505" s="5"/>
      <c r="H1505" s="7" t="s">
        <v>3050</v>
      </c>
      <c r="I1505" s="9">
        <v>1150300</v>
      </c>
      <c r="J1505" s="10">
        <v>0.0353</v>
      </c>
    </row>
    <row r="1506" spans="1:10">
      <c r="A1506" s="7" t="s">
        <v>3038</v>
      </c>
      <c r="B1506" s="7" t="s">
        <v>3051</v>
      </c>
      <c r="C1506" s="8">
        <f>QS.CONTEXT.CREATE("market.1504",A1506,"USD","SOFR")</f>
        <v/>
      </c>
      <c r="D1506" s="8">
        <f>QS.CONTEXT.ADD.CURVE(C1506,"SOFR",$K$2:$K$7,$L$2:$L$7,,,"Actual360","LogLinear",TRUE)</f>
        <v/>
      </c>
      <c r="E1506" s="8">
        <f>QS.INSTRUMENT.SWAP("swap.1504",C1506,H1506,B1506,"USD","SOFR",I1506,J1506,0,"Actual360","Simple","Annual","Annual","Annual")</f>
        <v/>
      </c>
      <c r="F1506" s="8">
        <f>QS.TRADE.CREATE("trade.1504",C1506,E1506,A1506,"Receive")</f>
        <v/>
      </c>
      <c r="G1506" s="5"/>
      <c r="H1506" s="7" t="s">
        <v>3052</v>
      </c>
      <c r="I1506" s="9">
        <v>1150400</v>
      </c>
      <c r="J1506" s="10">
        <v>0.0354</v>
      </c>
    </row>
    <row r="1507" spans="1:10">
      <c r="A1507" s="7" t="s">
        <v>3040</v>
      </c>
      <c r="B1507" s="7" t="s">
        <v>3053</v>
      </c>
      <c r="C1507" s="8">
        <f>QS.CONTEXT.CREATE("market.1505",A1507,"USD","SOFR")</f>
        <v/>
      </c>
      <c r="D1507" s="8">
        <f>QS.CONTEXT.ADD.CURVE(C1507,"SOFR",$K$2:$K$7,$L$2:$L$7,,,"Actual360","LogLinear",TRUE)</f>
        <v/>
      </c>
      <c r="E1507" s="8">
        <f>QS.INSTRUMENT.SWAP("swap.1505",C1507,H1507,B1507,"USD","SOFR",I1507,J1507,0,"Actual360","Simple","Annual","Annual","Annual")</f>
        <v/>
      </c>
      <c r="F1507" s="8">
        <f>QS.TRADE.CREATE("trade.1505",C1507,E1507,A1507,"Receive")</f>
        <v/>
      </c>
      <c r="G1507" s="5"/>
      <c r="H1507" s="7" t="s">
        <v>3054</v>
      </c>
      <c r="I1507" s="9">
        <v>1150500</v>
      </c>
      <c r="J1507" s="10">
        <v>0.0355</v>
      </c>
    </row>
    <row r="1508" spans="1:10">
      <c r="A1508" s="7" t="s">
        <v>3042</v>
      </c>
      <c r="B1508" s="7" t="s">
        <v>3055</v>
      </c>
      <c r="C1508" s="8">
        <f>QS.CONTEXT.CREATE("market.1506",A1508,"USD","SOFR")</f>
        <v/>
      </c>
      <c r="D1508" s="8">
        <f>QS.CONTEXT.ADD.CURVE(C1508,"SOFR",$K$2:$K$7,$L$2:$L$7,,,"Actual360","LogLinear",TRUE)</f>
        <v/>
      </c>
      <c r="E1508" s="8">
        <f>QS.INSTRUMENT.SWAP("swap.1506",C1508,H1508,B1508,"USD","SOFR",I1508,J1508,0,"Actual360","Simple","Annual","Annual","Annual")</f>
        <v/>
      </c>
      <c r="F1508" s="8">
        <f>QS.TRADE.CREATE("trade.1506",C1508,E1508,A1508,"Receive")</f>
        <v/>
      </c>
      <c r="G1508" s="5"/>
      <c r="H1508" s="7" t="s">
        <v>3056</v>
      </c>
      <c r="I1508" s="9">
        <v>1150600</v>
      </c>
      <c r="J1508" s="10">
        <v>0.03560000000000001</v>
      </c>
    </row>
    <row r="1509" spans="1:10">
      <c r="A1509" s="7" t="s">
        <v>3044</v>
      </c>
      <c r="B1509" s="7" t="s">
        <v>3057</v>
      </c>
      <c r="C1509" s="8">
        <f>QS.CONTEXT.CREATE("market.1507",A1509,"USD","SOFR")</f>
        <v/>
      </c>
      <c r="D1509" s="8">
        <f>QS.CONTEXT.ADD.CURVE(C1509,"SOFR",$K$2:$K$7,$L$2:$L$7,,,"Actual360","LogLinear",TRUE)</f>
        <v/>
      </c>
      <c r="E1509" s="8">
        <f>QS.INSTRUMENT.SWAP("swap.1507",C1509,H1509,B1509,"USD","SOFR",I1509,J1509,0,"Actual360","Simple","Annual","Annual","Annual")</f>
        <v/>
      </c>
      <c r="F1509" s="8">
        <f>QS.TRADE.CREATE("trade.1507",C1509,E1509,A1509,"Receive")</f>
        <v/>
      </c>
      <c r="G1509" s="5"/>
      <c r="H1509" s="7" t="s">
        <v>3058</v>
      </c>
      <c r="I1509" s="9">
        <v>1150700</v>
      </c>
      <c r="J1509" s="10">
        <v>0.0357</v>
      </c>
    </row>
    <row r="1510" spans="1:10">
      <c r="A1510" s="7" t="s">
        <v>3046</v>
      </c>
      <c r="B1510" s="7" t="s">
        <v>3059</v>
      </c>
      <c r="C1510" s="8">
        <f>QS.CONTEXT.CREATE("market.1508",A1510,"USD","SOFR")</f>
        <v/>
      </c>
      <c r="D1510" s="8">
        <f>QS.CONTEXT.ADD.CURVE(C1510,"SOFR",$K$2:$K$7,$L$2:$L$7,,,"Actual360","LogLinear",TRUE)</f>
        <v/>
      </c>
      <c r="E1510" s="8">
        <f>QS.INSTRUMENT.SWAP("swap.1508",C1510,H1510,B1510,"USD","SOFR",I1510,J1510,0,"Actual360","Simple","Annual","Annual","Annual")</f>
        <v/>
      </c>
      <c r="F1510" s="8">
        <f>QS.TRADE.CREATE("trade.1508",C1510,E1510,A1510,"Receive")</f>
        <v/>
      </c>
      <c r="G1510" s="5"/>
      <c r="H1510" s="7" t="s">
        <v>3060</v>
      </c>
      <c r="I1510" s="9">
        <v>1150800</v>
      </c>
      <c r="J1510" s="10">
        <v>0.03580000000000001</v>
      </c>
    </row>
    <row r="1511" spans="1:10">
      <c r="A1511" s="7" t="s">
        <v>3048</v>
      </c>
      <c r="B1511" s="7" t="s">
        <v>3061</v>
      </c>
      <c r="C1511" s="8">
        <f>QS.CONTEXT.CREATE("market.1509",A1511,"USD","SOFR")</f>
        <v/>
      </c>
      <c r="D1511" s="8">
        <f>QS.CONTEXT.ADD.CURVE(C1511,"SOFR",$K$2:$K$7,$L$2:$L$7,,,"Actual360","LogLinear",TRUE)</f>
        <v/>
      </c>
      <c r="E1511" s="8">
        <f>QS.INSTRUMENT.SWAP("swap.1509",C1511,H1511,B1511,"USD","SOFR",I1511,J1511,0,"Actual360","Simple","Annual","Annual","Annual")</f>
        <v/>
      </c>
      <c r="F1511" s="8">
        <f>QS.TRADE.CREATE("trade.1509",C1511,E1511,A1511,"Receive")</f>
        <v/>
      </c>
      <c r="G1511" s="5"/>
      <c r="H1511" s="7" t="s">
        <v>3062</v>
      </c>
      <c r="I1511" s="9">
        <v>1150900</v>
      </c>
      <c r="J1511" s="10">
        <v>0.0359</v>
      </c>
    </row>
    <row r="1512" spans="1:10">
      <c r="A1512" s="7" t="s">
        <v>3050</v>
      </c>
      <c r="B1512" s="7" t="s">
        <v>3063</v>
      </c>
      <c r="C1512" s="8">
        <f>QS.CONTEXT.CREATE("market.1510",A1512,"USD","SOFR")</f>
        <v/>
      </c>
      <c r="D1512" s="8">
        <f>QS.CONTEXT.ADD.CURVE(C1512,"SOFR",$K$2:$K$7,$L$2:$L$7,,,"Actual360","LogLinear",TRUE)</f>
        <v/>
      </c>
      <c r="E1512" s="8">
        <f>QS.INSTRUMENT.SWAP("swap.1510",C1512,H1512,B1512,"USD","SOFR",I1512,J1512,0,"Actual360","Simple","Annual","Annual","Annual")</f>
        <v/>
      </c>
      <c r="F1512" s="8">
        <f>QS.TRADE.CREATE("trade.1510",C1512,E1512,A1512,"Receive")</f>
        <v/>
      </c>
      <c r="G1512" s="5"/>
      <c r="H1512" s="7" t="s">
        <v>3064</v>
      </c>
      <c r="I1512" s="9">
        <v>1151000</v>
      </c>
      <c r="J1512" s="10">
        <v>0.036</v>
      </c>
    </row>
    <row r="1513" spans="1:10">
      <c r="A1513" s="7" t="s">
        <v>3052</v>
      </c>
      <c r="B1513" s="7" t="s">
        <v>3065</v>
      </c>
      <c r="C1513" s="8">
        <f>QS.CONTEXT.CREATE("market.1511",A1513,"USD","SOFR")</f>
        <v/>
      </c>
      <c r="D1513" s="8">
        <f>QS.CONTEXT.ADD.CURVE(C1513,"SOFR",$K$2:$K$7,$L$2:$L$7,,,"Actual360","LogLinear",TRUE)</f>
        <v/>
      </c>
      <c r="E1513" s="8">
        <f>QS.INSTRUMENT.SWAP("swap.1511",C1513,H1513,B1513,"USD","SOFR",I1513,J1513,0,"Actual360","Simple","Annual","Annual","Annual")</f>
        <v/>
      </c>
      <c r="F1513" s="8">
        <f>QS.TRADE.CREATE("trade.1511",C1513,E1513,A1513,"Receive")</f>
        <v/>
      </c>
      <c r="G1513" s="5"/>
      <c r="H1513" s="7" t="s">
        <v>3066</v>
      </c>
      <c r="I1513" s="9">
        <v>1151100</v>
      </c>
      <c r="J1513" s="10">
        <v>0.0361</v>
      </c>
    </row>
    <row r="1514" spans="1:10">
      <c r="A1514" s="7" t="s">
        <v>3054</v>
      </c>
      <c r="B1514" s="7" t="s">
        <v>3067</v>
      </c>
      <c r="C1514" s="8">
        <f>QS.CONTEXT.CREATE("market.1512",A1514,"USD","SOFR")</f>
        <v/>
      </c>
      <c r="D1514" s="8">
        <f>QS.CONTEXT.ADD.CURVE(C1514,"SOFR",$K$2:$K$7,$L$2:$L$7,,,"Actual360","LogLinear",TRUE)</f>
        <v/>
      </c>
      <c r="E1514" s="8">
        <f>QS.INSTRUMENT.SWAP("swap.1512",C1514,H1514,B1514,"USD","SOFR",I1514,J1514,0,"Actual360","Simple","Annual","Annual","Annual")</f>
        <v/>
      </c>
      <c r="F1514" s="8">
        <f>QS.TRADE.CREATE("trade.1512",C1514,E1514,A1514,"Receive")</f>
        <v/>
      </c>
      <c r="G1514" s="5"/>
      <c r="H1514" s="7" t="s">
        <v>3068</v>
      </c>
      <c r="I1514" s="9">
        <v>1151200</v>
      </c>
      <c r="J1514" s="10">
        <v>0.0362</v>
      </c>
    </row>
    <row r="1515" spans="1:10">
      <c r="A1515" s="7" t="s">
        <v>3056</v>
      </c>
      <c r="B1515" s="7" t="s">
        <v>3069</v>
      </c>
      <c r="C1515" s="8">
        <f>QS.CONTEXT.CREATE("market.1513",A1515,"USD","SOFR")</f>
        <v/>
      </c>
      <c r="D1515" s="8">
        <f>QS.CONTEXT.ADD.CURVE(C1515,"SOFR",$K$2:$K$7,$L$2:$L$7,,,"Actual360","LogLinear",TRUE)</f>
        <v/>
      </c>
      <c r="E1515" s="8">
        <f>QS.INSTRUMENT.SWAP("swap.1513",C1515,H1515,B1515,"USD","SOFR",I1515,J1515,0,"Actual360","Simple","Annual","Annual","Annual")</f>
        <v/>
      </c>
      <c r="F1515" s="8">
        <f>QS.TRADE.CREATE("trade.1513",C1515,E1515,A1515,"Receive")</f>
        <v/>
      </c>
      <c r="G1515" s="5"/>
      <c r="H1515" s="7" t="s">
        <v>3070</v>
      </c>
      <c r="I1515" s="9">
        <v>1151300</v>
      </c>
      <c r="J1515" s="10">
        <v>0.03630000000000001</v>
      </c>
    </row>
    <row r="1516" spans="1:10">
      <c r="A1516" s="7" t="s">
        <v>3058</v>
      </c>
      <c r="B1516" s="7" t="s">
        <v>3071</v>
      </c>
      <c r="C1516" s="8">
        <f>QS.CONTEXT.CREATE("market.1514",A1516,"USD","SOFR")</f>
        <v/>
      </c>
      <c r="D1516" s="8">
        <f>QS.CONTEXT.ADD.CURVE(C1516,"SOFR",$K$2:$K$7,$L$2:$L$7,,,"Actual360","LogLinear",TRUE)</f>
        <v/>
      </c>
      <c r="E1516" s="8">
        <f>QS.INSTRUMENT.SWAP("swap.1514",C1516,H1516,B1516,"USD","SOFR",I1516,J1516,0,"Actual360","Simple","Annual","Annual","Annual")</f>
        <v/>
      </c>
      <c r="F1516" s="8">
        <f>QS.TRADE.CREATE("trade.1514",C1516,E1516,A1516,"Receive")</f>
        <v/>
      </c>
      <c r="G1516" s="5"/>
      <c r="H1516" s="7" t="s">
        <v>3072</v>
      </c>
      <c r="I1516" s="9">
        <v>1151400</v>
      </c>
      <c r="J1516" s="10">
        <v>0.0364</v>
      </c>
    </row>
    <row r="1517" spans="1:10">
      <c r="A1517" s="7" t="s">
        <v>3060</v>
      </c>
      <c r="B1517" s="7" t="s">
        <v>3073</v>
      </c>
      <c r="C1517" s="8">
        <f>QS.CONTEXT.CREATE("market.1515",A1517,"USD","SOFR")</f>
        <v/>
      </c>
      <c r="D1517" s="8">
        <f>QS.CONTEXT.ADD.CURVE(C1517,"SOFR",$K$2:$K$7,$L$2:$L$7,,,"Actual360","LogLinear",TRUE)</f>
        <v/>
      </c>
      <c r="E1517" s="8">
        <f>QS.INSTRUMENT.SWAP("swap.1515",C1517,H1517,B1517,"USD","SOFR",I1517,J1517,0,"Actual360","Simple","Annual","Annual","Annual")</f>
        <v/>
      </c>
      <c r="F1517" s="8">
        <f>QS.TRADE.CREATE("trade.1515",C1517,E1517,A1517,"Receive")</f>
        <v/>
      </c>
      <c r="G1517" s="5"/>
      <c r="H1517" s="7" t="s">
        <v>3074</v>
      </c>
      <c r="I1517" s="9">
        <v>1151500</v>
      </c>
      <c r="J1517" s="10">
        <v>0.0365</v>
      </c>
    </row>
    <row r="1518" spans="1:10">
      <c r="A1518" s="7" t="s">
        <v>3062</v>
      </c>
      <c r="B1518" s="7" t="s">
        <v>3075</v>
      </c>
      <c r="C1518" s="8">
        <f>QS.CONTEXT.CREATE("market.1516",A1518,"USD","SOFR")</f>
        <v/>
      </c>
      <c r="D1518" s="8">
        <f>QS.CONTEXT.ADD.CURVE(C1518,"SOFR",$K$2:$K$7,$L$2:$L$7,,,"Actual360","LogLinear",TRUE)</f>
        <v/>
      </c>
      <c r="E1518" s="8">
        <f>QS.INSTRUMENT.SWAP("swap.1516",C1518,H1518,B1518,"USD","SOFR",I1518,J1518,0,"Actual360","Simple","Annual","Annual","Annual")</f>
        <v/>
      </c>
      <c r="F1518" s="8">
        <f>QS.TRADE.CREATE("trade.1516",C1518,E1518,A1518,"Receive")</f>
        <v/>
      </c>
      <c r="G1518" s="5"/>
      <c r="H1518" s="7" t="s">
        <v>3076</v>
      </c>
      <c r="I1518" s="9">
        <v>1151600</v>
      </c>
      <c r="J1518" s="10">
        <v>0.0366</v>
      </c>
    </row>
    <row r="1519" spans="1:10">
      <c r="A1519" s="7" t="s">
        <v>3064</v>
      </c>
      <c r="B1519" s="7" t="s">
        <v>3077</v>
      </c>
      <c r="C1519" s="8">
        <f>QS.CONTEXT.CREATE("market.1517",A1519,"USD","SOFR")</f>
        <v/>
      </c>
      <c r="D1519" s="8">
        <f>QS.CONTEXT.ADD.CURVE(C1519,"SOFR",$K$2:$K$7,$L$2:$L$7,,,"Actual360","LogLinear",TRUE)</f>
        <v/>
      </c>
      <c r="E1519" s="8">
        <f>QS.INSTRUMENT.SWAP("swap.1517",C1519,H1519,B1519,"USD","SOFR",I1519,J1519,0,"Actual360","Simple","Annual","Annual","Annual")</f>
        <v/>
      </c>
      <c r="F1519" s="8">
        <f>QS.TRADE.CREATE("trade.1517",C1519,E1519,A1519,"Receive")</f>
        <v/>
      </c>
      <c r="G1519" s="5"/>
      <c r="H1519" s="7" t="s">
        <v>3078</v>
      </c>
      <c r="I1519" s="9">
        <v>1151700</v>
      </c>
      <c r="J1519" s="10">
        <v>0.0367</v>
      </c>
    </row>
    <row r="1520" spans="1:10">
      <c r="A1520" s="7" t="s">
        <v>3066</v>
      </c>
      <c r="B1520" s="7" t="s">
        <v>3079</v>
      </c>
      <c r="C1520" s="8">
        <f>QS.CONTEXT.CREATE("market.1518",A1520,"USD","SOFR")</f>
        <v/>
      </c>
      <c r="D1520" s="8">
        <f>QS.CONTEXT.ADD.CURVE(C1520,"SOFR",$K$2:$K$7,$L$2:$L$7,,,"Actual360","LogLinear",TRUE)</f>
        <v/>
      </c>
      <c r="E1520" s="8">
        <f>QS.INSTRUMENT.SWAP("swap.1518",C1520,H1520,B1520,"USD","SOFR",I1520,J1520,0,"Actual360","Simple","Annual","Annual","Annual")</f>
        <v/>
      </c>
      <c r="F1520" s="8">
        <f>QS.TRADE.CREATE("trade.1518",C1520,E1520,A1520,"Receive")</f>
        <v/>
      </c>
      <c r="G1520" s="5"/>
      <c r="H1520" s="7" t="s">
        <v>3080</v>
      </c>
      <c r="I1520" s="9">
        <v>1151800</v>
      </c>
      <c r="J1520" s="10">
        <v>0.03680000000000001</v>
      </c>
    </row>
    <row r="1521" spans="1:10">
      <c r="A1521" s="7" t="s">
        <v>3068</v>
      </c>
      <c r="B1521" s="7" t="s">
        <v>3081</v>
      </c>
      <c r="C1521" s="8">
        <f>QS.CONTEXT.CREATE("market.1519",A1521,"USD","SOFR")</f>
        <v/>
      </c>
      <c r="D1521" s="8">
        <f>QS.CONTEXT.ADD.CURVE(C1521,"SOFR",$K$2:$K$7,$L$2:$L$7,,,"Actual360","LogLinear",TRUE)</f>
        <v/>
      </c>
      <c r="E1521" s="8">
        <f>QS.INSTRUMENT.SWAP("swap.1519",C1521,H1521,B1521,"USD","SOFR",I1521,J1521,0,"Actual360","Simple","Annual","Annual","Annual")</f>
        <v/>
      </c>
      <c r="F1521" s="8">
        <f>QS.TRADE.CREATE("trade.1519",C1521,E1521,A1521,"Receive")</f>
        <v/>
      </c>
      <c r="G1521" s="5"/>
      <c r="H1521" s="7" t="s">
        <v>3082</v>
      </c>
      <c r="I1521" s="9">
        <v>1151900</v>
      </c>
      <c r="J1521" s="10">
        <v>0.0369</v>
      </c>
    </row>
    <row r="1522" spans="1:10">
      <c r="A1522" s="7" t="s">
        <v>3070</v>
      </c>
      <c r="B1522" s="7" t="s">
        <v>3083</v>
      </c>
      <c r="C1522" s="8">
        <f>QS.CONTEXT.CREATE("market.1520",A1522,"USD","SOFR")</f>
        <v/>
      </c>
      <c r="D1522" s="8">
        <f>QS.CONTEXT.ADD.CURVE(C1522,"SOFR",$K$2:$K$7,$L$2:$L$7,,,"Actual360","LogLinear",TRUE)</f>
        <v/>
      </c>
      <c r="E1522" s="8">
        <f>QS.INSTRUMENT.SWAP("swap.1520",C1522,H1522,B1522,"USD","SOFR",I1522,J1522,0,"Actual360","Simple","Annual","Annual","Annual")</f>
        <v/>
      </c>
      <c r="F1522" s="8">
        <f>QS.TRADE.CREATE("trade.1520",C1522,E1522,A1522,"Receive")</f>
        <v/>
      </c>
      <c r="G1522" s="5"/>
      <c r="H1522" s="7" t="s">
        <v>3084</v>
      </c>
      <c r="I1522" s="9">
        <v>1152000</v>
      </c>
      <c r="J1522" s="10">
        <v>0.03700000000000001</v>
      </c>
    </row>
    <row r="1523" spans="1:10">
      <c r="A1523" s="7" t="s">
        <v>3072</v>
      </c>
      <c r="B1523" s="7" t="s">
        <v>3085</v>
      </c>
      <c r="C1523" s="8">
        <f>QS.CONTEXT.CREATE("market.1521",A1523,"USD","SOFR")</f>
        <v/>
      </c>
      <c r="D1523" s="8">
        <f>QS.CONTEXT.ADD.CURVE(C1523,"SOFR",$K$2:$K$7,$L$2:$L$7,,,"Actual360","LogLinear",TRUE)</f>
        <v/>
      </c>
      <c r="E1523" s="8">
        <f>QS.INSTRUMENT.SWAP("swap.1521",C1523,H1523,B1523,"USD","SOFR",I1523,J1523,0,"Actual360","Simple","Annual","Annual","Annual")</f>
        <v/>
      </c>
      <c r="F1523" s="8">
        <f>QS.TRADE.CREATE("trade.1521",C1523,E1523,A1523,"Receive")</f>
        <v/>
      </c>
      <c r="G1523" s="5"/>
      <c r="H1523" s="7" t="s">
        <v>3086</v>
      </c>
      <c r="I1523" s="9">
        <v>1152100</v>
      </c>
      <c r="J1523" s="10">
        <v>0.0371</v>
      </c>
    </row>
    <row r="1524" spans="1:10">
      <c r="A1524" s="7" t="s">
        <v>3074</v>
      </c>
      <c r="B1524" s="7" t="s">
        <v>3087</v>
      </c>
      <c r="C1524" s="8">
        <f>QS.CONTEXT.CREATE("market.1522",A1524,"USD","SOFR")</f>
        <v/>
      </c>
      <c r="D1524" s="8">
        <f>QS.CONTEXT.ADD.CURVE(C1524,"SOFR",$K$2:$K$7,$L$2:$L$7,,,"Actual360","LogLinear",TRUE)</f>
        <v/>
      </c>
      <c r="E1524" s="8">
        <f>QS.INSTRUMENT.SWAP("swap.1522",C1524,H1524,B1524,"USD","SOFR",I1524,J1524,0,"Actual360","Simple","Annual","Annual","Annual")</f>
        <v/>
      </c>
      <c r="F1524" s="8">
        <f>QS.TRADE.CREATE("trade.1522",C1524,E1524,A1524,"Receive")</f>
        <v/>
      </c>
      <c r="G1524" s="5"/>
      <c r="H1524" s="7" t="s">
        <v>3088</v>
      </c>
      <c r="I1524" s="9">
        <v>1152200</v>
      </c>
      <c r="J1524" s="10">
        <v>0.0372</v>
      </c>
    </row>
    <row r="1525" spans="1:10">
      <c r="A1525" s="7" t="s">
        <v>3076</v>
      </c>
      <c r="B1525" s="7" t="s">
        <v>3089</v>
      </c>
      <c r="C1525" s="8">
        <f>QS.CONTEXT.CREATE("market.1523",A1525,"USD","SOFR")</f>
        <v/>
      </c>
      <c r="D1525" s="8">
        <f>QS.CONTEXT.ADD.CURVE(C1525,"SOFR",$K$2:$K$7,$L$2:$L$7,,,"Actual360","LogLinear",TRUE)</f>
        <v/>
      </c>
      <c r="E1525" s="8">
        <f>QS.INSTRUMENT.SWAP("swap.1523",C1525,H1525,B1525,"USD","SOFR",I1525,J1525,0,"Actual360","Simple","Annual","Annual","Annual")</f>
        <v/>
      </c>
      <c r="F1525" s="8">
        <f>QS.TRADE.CREATE("trade.1523",C1525,E1525,A1525,"Receive")</f>
        <v/>
      </c>
      <c r="G1525" s="5"/>
      <c r="H1525" s="7" t="s">
        <v>3090</v>
      </c>
      <c r="I1525" s="9">
        <v>1152300</v>
      </c>
      <c r="J1525" s="10">
        <v>0.0373</v>
      </c>
    </row>
    <row r="1526" spans="1:10">
      <c r="A1526" s="7" t="s">
        <v>3078</v>
      </c>
      <c r="B1526" s="7" t="s">
        <v>3091</v>
      </c>
      <c r="C1526" s="8">
        <f>QS.CONTEXT.CREATE("market.1524",A1526,"USD","SOFR")</f>
        <v/>
      </c>
      <c r="D1526" s="8">
        <f>QS.CONTEXT.ADD.CURVE(C1526,"SOFR",$K$2:$K$7,$L$2:$L$7,,,"Actual360","LogLinear",TRUE)</f>
        <v/>
      </c>
      <c r="E1526" s="8">
        <f>QS.INSTRUMENT.SWAP("swap.1524",C1526,H1526,B1526,"USD","SOFR",I1526,J1526,0,"Actual360","Simple","Annual","Annual","Annual")</f>
        <v/>
      </c>
      <c r="F1526" s="8">
        <f>QS.TRADE.CREATE("trade.1524",C1526,E1526,A1526,"Receive")</f>
        <v/>
      </c>
      <c r="G1526" s="5"/>
      <c r="H1526" s="7" t="s">
        <v>3092</v>
      </c>
      <c r="I1526" s="9">
        <v>1152400</v>
      </c>
      <c r="J1526" s="10">
        <v>0.0374</v>
      </c>
    </row>
    <row r="1527" spans="1:10">
      <c r="A1527" s="7" t="s">
        <v>3080</v>
      </c>
      <c r="B1527" s="7" t="s">
        <v>3093</v>
      </c>
      <c r="C1527" s="8">
        <f>QS.CONTEXT.CREATE("market.1525",A1527,"USD","SOFR")</f>
        <v/>
      </c>
      <c r="D1527" s="8">
        <f>QS.CONTEXT.ADD.CURVE(C1527,"SOFR",$K$2:$K$7,$L$2:$L$7,,,"Actual360","LogLinear",TRUE)</f>
        <v/>
      </c>
      <c r="E1527" s="8">
        <f>QS.INSTRUMENT.SWAP("swap.1525",C1527,H1527,B1527,"USD","SOFR",I1527,J1527,0,"Actual360","Simple","Annual","Annual","Annual")</f>
        <v/>
      </c>
      <c r="F1527" s="8">
        <f>QS.TRADE.CREATE("trade.1525",C1527,E1527,A1527,"Receive")</f>
        <v/>
      </c>
      <c r="G1527" s="5"/>
      <c r="H1527" s="7" t="s">
        <v>3094</v>
      </c>
      <c r="I1527" s="9">
        <v>1152500</v>
      </c>
      <c r="J1527" s="10">
        <v>0.03750000000000001</v>
      </c>
    </row>
    <row r="1528" spans="1:10">
      <c r="A1528" s="7" t="s">
        <v>3082</v>
      </c>
      <c r="B1528" s="7" t="s">
        <v>3095</v>
      </c>
      <c r="C1528" s="8">
        <f>QS.CONTEXT.CREATE("market.1526",A1528,"USD","SOFR")</f>
        <v/>
      </c>
      <c r="D1528" s="8">
        <f>QS.CONTEXT.ADD.CURVE(C1528,"SOFR",$K$2:$K$7,$L$2:$L$7,,,"Actual360","LogLinear",TRUE)</f>
        <v/>
      </c>
      <c r="E1528" s="8">
        <f>QS.INSTRUMENT.SWAP("swap.1526",C1528,H1528,B1528,"USD","SOFR",I1528,J1528,0,"Actual360","Simple","Annual","Annual","Annual")</f>
        <v/>
      </c>
      <c r="F1528" s="8">
        <f>QS.TRADE.CREATE("trade.1526",C1528,E1528,A1528,"Receive")</f>
        <v/>
      </c>
      <c r="G1528" s="5"/>
      <c r="H1528" s="7" t="s">
        <v>3096</v>
      </c>
      <c r="I1528" s="9">
        <v>1152600</v>
      </c>
      <c r="J1528" s="10">
        <v>0.0376</v>
      </c>
    </row>
    <row r="1529" spans="1:10">
      <c r="A1529" s="7" t="s">
        <v>3084</v>
      </c>
      <c r="B1529" s="7" t="s">
        <v>3097</v>
      </c>
      <c r="C1529" s="8">
        <f>QS.CONTEXT.CREATE("market.1527",A1529,"USD","SOFR")</f>
        <v/>
      </c>
      <c r="D1529" s="8">
        <f>QS.CONTEXT.ADD.CURVE(C1529,"SOFR",$K$2:$K$7,$L$2:$L$7,,,"Actual360","LogLinear",TRUE)</f>
        <v/>
      </c>
      <c r="E1529" s="8">
        <f>QS.INSTRUMENT.SWAP("swap.1527",C1529,H1529,B1529,"USD","SOFR",I1529,J1529,0,"Actual360","Simple","Annual","Annual","Annual")</f>
        <v/>
      </c>
      <c r="F1529" s="8">
        <f>QS.TRADE.CREATE("trade.1527",C1529,E1529,A1529,"Receive")</f>
        <v/>
      </c>
      <c r="G1529" s="5"/>
      <c r="H1529" s="7" t="s">
        <v>3098</v>
      </c>
      <c r="I1529" s="9">
        <v>1152700</v>
      </c>
      <c r="J1529" s="10">
        <v>0.0377</v>
      </c>
    </row>
    <row r="1530" spans="1:10">
      <c r="A1530" s="7" t="s">
        <v>3086</v>
      </c>
      <c r="B1530" s="7" t="s">
        <v>3099</v>
      </c>
      <c r="C1530" s="8">
        <f>QS.CONTEXT.CREATE("market.1528",A1530,"USD","SOFR")</f>
        <v/>
      </c>
      <c r="D1530" s="8">
        <f>QS.CONTEXT.ADD.CURVE(C1530,"SOFR",$K$2:$K$7,$L$2:$L$7,,,"Actual360","LogLinear",TRUE)</f>
        <v/>
      </c>
      <c r="E1530" s="8">
        <f>QS.INSTRUMENT.SWAP("swap.1528",C1530,H1530,B1530,"USD","SOFR",I1530,J1530,0,"Actual360","Simple","Annual","Annual","Annual")</f>
        <v/>
      </c>
      <c r="F1530" s="8">
        <f>QS.TRADE.CREATE("trade.1528",C1530,E1530,A1530,"Receive")</f>
        <v/>
      </c>
      <c r="G1530" s="5"/>
      <c r="H1530" s="7" t="s">
        <v>3100</v>
      </c>
      <c r="I1530" s="9">
        <v>1152800</v>
      </c>
      <c r="J1530" s="10">
        <v>0.0378</v>
      </c>
    </row>
    <row r="1531" spans="1:10">
      <c r="A1531" s="7" t="s">
        <v>3088</v>
      </c>
      <c r="B1531" s="7" t="s">
        <v>3101</v>
      </c>
      <c r="C1531" s="8">
        <f>QS.CONTEXT.CREATE("market.1529",A1531,"USD","SOFR")</f>
        <v/>
      </c>
      <c r="D1531" s="8">
        <f>QS.CONTEXT.ADD.CURVE(C1531,"SOFR",$K$2:$K$7,$L$2:$L$7,,,"Actual360","LogLinear",TRUE)</f>
        <v/>
      </c>
      <c r="E1531" s="8">
        <f>QS.INSTRUMENT.SWAP("swap.1529",C1531,H1531,B1531,"USD","SOFR",I1531,J1531,0,"Actual360","Simple","Annual","Annual","Annual")</f>
        <v/>
      </c>
      <c r="F1531" s="8">
        <f>QS.TRADE.CREATE("trade.1529",C1531,E1531,A1531,"Receive")</f>
        <v/>
      </c>
      <c r="G1531" s="5"/>
      <c r="H1531" s="7" t="s">
        <v>3102</v>
      </c>
      <c r="I1531" s="9">
        <v>1152900</v>
      </c>
      <c r="J1531" s="10">
        <v>0.0379</v>
      </c>
    </row>
    <row r="1532" spans="1:10">
      <c r="A1532" s="7" t="s">
        <v>3090</v>
      </c>
      <c r="B1532" s="7" t="s">
        <v>3103</v>
      </c>
      <c r="C1532" s="8">
        <f>QS.CONTEXT.CREATE("market.1530",A1532,"USD","SOFR")</f>
        <v/>
      </c>
      <c r="D1532" s="8">
        <f>QS.CONTEXT.ADD.CURVE(C1532,"SOFR",$K$2:$K$7,$L$2:$L$7,,,"Actual360","LogLinear",TRUE)</f>
        <v/>
      </c>
      <c r="E1532" s="8">
        <f>QS.INSTRUMENT.SWAP("swap.1530",C1532,H1532,B1532,"USD","SOFR",I1532,J1532,0,"Actual360","Simple","Annual","Annual","Annual")</f>
        <v/>
      </c>
      <c r="F1532" s="8">
        <f>QS.TRADE.CREATE("trade.1530",C1532,E1532,A1532,"Receive")</f>
        <v/>
      </c>
      <c r="G1532" s="5"/>
      <c r="H1532" s="7" t="s">
        <v>3104</v>
      </c>
      <c r="I1532" s="9">
        <v>1153000</v>
      </c>
      <c r="J1532" s="10">
        <v>0.03800000000000001</v>
      </c>
    </row>
    <row r="1533" spans="1:10">
      <c r="A1533" s="7" t="s">
        <v>3092</v>
      </c>
      <c r="B1533" s="7" t="s">
        <v>3105</v>
      </c>
      <c r="C1533" s="8">
        <f>QS.CONTEXT.CREATE("market.1531",A1533,"USD","SOFR")</f>
        <v/>
      </c>
      <c r="D1533" s="8">
        <f>QS.CONTEXT.ADD.CURVE(C1533,"SOFR",$K$2:$K$7,$L$2:$L$7,,,"Actual360","LogLinear",TRUE)</f>
        <v/>
      </c>
      <c r="E1533" s="8">
        <f>QS.INSTRUMENT.SWAP("swap.1531",C1533,H1533,B1533,"USD","SOFR",I1533,J1533,0,"Actual360","Simple","Annual","Annual","Annual")</f>
        <v/>
      </c>
      <c r="F1533" s="8">
        <f>QS.TRADE.CREATE("trade.1531",C1533,E1533,A1533,"Receive")</f>
        <v/>
      </c>
      <c r="G1533" s="5"/>
      <c r="H1533" s="7" t="s">
        <v>3106</v>
      </c>
      <c r="I1533" s="9">
        <v>1153100</v>
      </c>
      <c r="J1533" s="10">
        <v>0.0381</v>
      </c>
    </row>
    <row r="1534" spans="1:10">
      <c r="A1534" s="7" t="s">
        <v>3094</v>
      </c>
      <c r="B1534" s="7" t="s">
        <v>3107</v>
      </c>
      <c r="C1534" s="8">
        <f>QS.CONTEXT.CREATE("market.1532",A1534,"USD","SOFR")</f>
        <v/>
      </c>
      <c r="D1534" s="8">
        <f>QS.CONTEXT.ADD.CURVE(C1534,"SOFR",$K$2:$K$7,$L$2:$L$7,,,"Actual360","LogLinear",TRUE)</f>
        <v/>
      </c>
      <c r="E1534" s="8">
        <f>QS.INSTRUMENT.SWAP("swap.1532",C1534,H1534,B1534,"USD","SOFR",I1534,J1534,0,"Actual360","Simple","Annual","Annual","Annual")</f>
        <v/>
      </c>
      <c r="F1534" s="8">
        <f>QS.TRADE.CREATE("trade.1532",C1534,E1534,A1534,"Receive")</f>
        <v/>
      </c>
      <c r="G1534" s="5"/>
      <c r="H1534" s="7" t="s">
        <v>3108</v>
      </c>
      <c r="I1534" s="9">
        <v>1153200</v>
      </c>
      <c r="J1534" s="10">
        <v>0.0382</v>
      </c>
    </row>
    <row r="1535" spans="1:10">
      <c r="A1535" s="7" t="s">
        <v>3096</v>
      </c>
      <c r="B1535" s="7" t="s">
        <v>3109</v>
      </c>
      <c r="C1535" s="8">
        <f>QS.CONTEXT.CREATE("market.1533",A1535,"USD","SOFR")</f>
        <v/>
      </c>
      <c r="D1535" s="8">
        <f>QS.CONTEXT.ADD.CURVE(C1535,"SOFR",$K$2:$K$7,$L$2:$L$7,,,"Actual360","LogLinear",TRUE)</f>
        <v/>
      </c>
      <c r="E1535" s="8">
        <f>QS.INSTRUMENT.SWAP("swap.1533",C1535,H1535,B1535,"USD","SOFR",I1535,J1535,0,"Actual360","Simple","Annual","Annual","Annual")</f>
        <v/>
      </c>
      <c r="F1535" s="8">
        <f>QS.TRADE.CREATE("trade.1533",C1535,E1535,A1535,"Receive")</f>
        <v/>
      </c>
      <c r="G1535" s="5"/>
      <c r="H1535" s="7" t="s">
        <v>3110</v>
      </c>
      <c r="I1535" s="9">
        <v>1153300</v>
      </c>
      <c r="J1535" s="10">
        <v>0.0383</v>
      </c>
    </row>
    <row r="1536" spans="1:10">
      <c r="A1536" s="7" t="s">
        <v>3098</v>
      </c>
      <c r="B1536" s="7" t="s">
        <v>3111</v>
      </c>
      <c r="C1536" s="8">
        <f>QS.CONTEXT.CREATE("market.1534",A1536,"USD","SOFR")</f>
        <v/>
      </c>
      <c r="D1536" s="8">
        <f>QS.CONTEXT.ADD.CURVE(C1536,"SOFR",$K$2:$K$7,$L$2:$L$7,,,"Actual360","LogLinear",TRUE)</f>
        <v/>
      </c>
      <c r="E1536" s="8">
        <f>QS.INSTRUMENT.SWAP("swap.1534",C1536,H1536,B1536,"USD","SOFR",I1536,J1536,0,"Actual360","Simple","Annual","Annual","Annual")</f>
        <v/>
      </c>
      <c r="F1536" s="8">
        <f>QS.TRADE.CREATE("trade.1534",C1536,E1536,A1536,"Receive")</f>
        <v/>
      </c>
      <c r="G1536" s="5"/>
      <c r="H1536" s="7" t="s">
        <v>3112</v>
      </c>
      <c r="I1536" s="9">
        <v>1153400</v>
      </c>
      <c r="J1536" s="10">
        <v>0.0384</v>
      </c>
    </row>
    <row r="1537" spans="1:10">
      <c r="A1537" s="7" t="s">
        <v>3100</v>
      </c>
      <c r="B1537" s="7" t="s">
        <v>3113</v>
      </c>
      <c r="C1537" s="8">
        <f>QS.CONTEXT.CREATE("market.1535",A1537,"USD","SOFR")</f>
        <v/>
      </c>
      <c r="D1537" s="8">
        <f>QS.CONTEXT.ADD.CURVE(C1537,"SOFR",$K$2:$K$7,$L$2:$L$7,,,"Actual360","LogLinear",TRUE)</f>
        <v/>
      </c>
      <c r="E1537" s="8">
        <f>QS.INSTRUMENT.SWAP("swap.1535",C1537,H1537,B1537,"USD","SOFR",I1537,J1537,0,"Actual360","Simple","Annual","Annual","Annual")</f>
        <v/>
      </c>
      <c r="F1537" s="8">
        <f>QS.TRADE.CREATE("trade.1535",C1537,E1537,A1537,"Receive")</f>
        <v/>
      </c>
      <c r="G1537" s="5"/>
      <c r="H1537" s="7" t="s">
        <v>3114</v>
      </c>
      <c r="I1537" s="9">
        <v>1153500</v>
      </c>
      <c r="J1537" s="10">
        <v>0.03850000000000001</v>
      </c>
    </row>
    <row r="1538" spans="1:10">
      <c r="A1538" s="7" t="s">
        <v>3102</v>
      </c>
      <c r="B1538" s="7" t="s">
        <v>3115</v>
      </c>
      <c r="C1538" s="8">
        <f>QS.CONTEXT.CREATE("market.1536",A1538,"USD","SOFR")</f>
        <v/>
      </c>
      <c r="D1538" s="8">
        <f>QS.CONTEXT.ADD.CURVE(C1538,"SOFR",$K$2:$K$7,$L$2:$L$7,,,"Actual360","LogLinear",TRUE)</f>
        <v/>
      </c>
      <c r="E1538" s="8">
        <f>QS.INSTRUMENT.SWAP("swap.1536",C1538,H1538,B1538,"USD","SOFR",I1538,J1538,0,"Actual360","Simple","Annual","Annual","Annual")</f>
        <v/>
      </c>
      <c r="F1538" s="8">
        <f>QS.TRADE.CREATE("trade.1536",C1538,E1538,A1538,"Receive")</f>
        <v/>
      </c>
      <c r="G1538" s="5"/>
      <c r="H1538" s="7" t="s">
        <v>3116</v>
      </c>
      <c r="I1538" s="9">
        <v>1153600</v>
      </c>
      <c r="J1538" s="10">
        <v>0.0386</v>
      </c>
    </row>
    <row r="1539" spans="1:10">
      <c r="A1539" s="7" t="s">
        <v>3104</v>
      </c>
      <c r="B1539" s="7" t="s">
        <v>3117</v>
      </c>
      <c r="C1539" s="8">
        <f>QS.CONTEXT.CREATE("market.1537",A1539,"USD","SOFR")</f>
        <v/>
      </c>
      <c r="D1539" s="8">
        <f>QS.CONTEXT.ADD.CURVE(C1539,"SOFR",$K$2:$K$7,$L$2:$L$7,,,"Actual360","LogLinear",TRUE)</f>
        <v/>
      </c>
      <c r="E1539" s="8">
        <f>QS.INSTRUMENT.SWAP("swap.1537",C1539,H1539,B1539,"USD","SOFR",I1539,J1539,0,"Actual360","Simple","Annual","Annual","Annual")</f>
        <v/>
      </c>
      <c r="F1539" s="8">
        <f>QS.TRADE.CREATE("trade.1537",C1539,E1539,A1539,"Receive")</f>
        <v/>
      </c>
      <c r="G1539" s="5"/>
      <c r="H1539" s="7" t="s">
        <v>3118</v>
      </c>
      <c r="I1539" s="9">
        <v>1153700</v>
      </c>
      <c r="J1539" s="10">
        <v>0.03870000000000001</v>
      </c>
    </row>
    <row r="1540" spans="1:10">
      <c r="A1540" s="7" t="s">
        <v>3106</v>
      </c>
      <c r="B1540" s="7" t="s">
        <v>3119</v>
      </c>
      <c r="C1540" s="8">
        <f>QS.CONTEXT.CREATE("market.1538",A1540,"USD","SOFR")</f>
        <v/>
      </c>
      <c r="D1540" s="8">
        <f>QS.CONTEXT.ADD.CURVE(C1540,"SOFR",$K$2:$K$7,$L$2:$L$7,,,"Actual360","LogLinear",TRUE)</f>
        <v/>
      </c>
      <c r="E1540" s="8">
        <f>QS.INSTRUMENT.SWAP("swap.1538",C1540,H1540,B1540,"USD","SOFR",I1540,J1540,0,"Actual360","Simple","Annual","Annual","Annual")</f>
        <v/>
      </c>
      <c r="F1540" s="8">
        <f>QS.TRADE.CREATE("trade.1538",C1540,E1540,A1540,"Receive")</f>
        <v/>
      </c>
      <c r="G1540" s="5"/>
      <c r="H1540" s="7" t="s">
        <v>3120</v>
      </c>
      <c r="I1540" s="9">
        <v>1153800</v>
      </c>
      <c r="J1540" s="10">
        <v>0.0388</v>
      </c>
    </row>
    <row r="1541" spans="1:10">
      <c r="A1541" s="7" t="s">
        <v>3108</v>
      </c>
      <c r="B1541" s="7" t="s">
        <v>3121</v>
      </c>
      <c r="C1541" s="8">
        <f>QS.CONTEXT.CREATE("market.1539",A1541,"USD","SOFR")</f>
        <v/>
      </c>
      <c r="D1541" s="8">
        <f>QS.CONTEXT.ADD.CURVE(C1541,"SOFR",$K$2:$K$7,$L$2:$L$7,,,"Actual360","LogLinear",TRUE)</f>
        <v/>
      </c>
      <c r="E1541" s="8">
        <f>QS.INSTRUMENT.SWAP("swap.1539",C1541,H1541,B1541,"USD","SOFR",I1541,J1541,0,"Actual360","Simple","Annual","Annual","Annual")</f>
        <v/>
      </c>
      <c r="F1541" s="8">
        <f>QS.TRADE.CREATE("trade.1539",C1541,E1541,A1541,"Receive")</f>
        <v/>
      </c>
      <c r="G1541" s="5"/>
      <c r="H1541" s="7" t="s">
        <v>3122</v>
      </c>
      <c r="I1541" s="9">
        <v>1153900</v>
      </c>
      <c r="J1541" s="10">
        <v>0.0389</v>
      </c>
    </row>
    <row r="1542" spans="1:10">
      <c r="A1542" s="7" t="s">
        <v>3110</v>
      </c>
      <c r="B1542" s="7" t="s">
        <v>3123</v>
      </c>
      <c r="C1542" s="8">
        <f>QS.CONTEXT.CREATE("market.1540",A1542,"USD","SOFR")</f>
        <v/>
      </c>
      <c r="D1542" s="8">
        <f>QS.CONTEXT.ADD.CURVE(C1542,"SOFR",$K$2:$K$7,$L$2:$L$7,,,"Actual360","LogLinear",TRUE)</f>
        <v/>
      </c>
      <c r="E1542" s="8">
        <f>QS.INSTRUMENT.SWAP("swap.1540",C1542,H1542,B1542,"USD","SOFR",I1542,J1542,0,"Actual360","Simple","Annual","Annual","Annual")</f>
        <v/>
      </c>
      <c r="F1542" s="8">
        <f>QS.TRADE.CREATE("trade.1540",C1542,E1542,A1542,"Receive")</f>
        <v/>
      </c>
      <c r="G1542" s="5"/>
      <c r="H1542" s="7" t="s">
        <v>3124</v>
      </c>
      <c r="I1542" s="9">
        <v>1154000</v>
      </c>
      <c r="J1542" s="10">
        <v>0.03900000000000001</v>
      </c>
    </row>
    <row r="1543" spans="1:10">
      <c r="A1543" s="7" t="s">
        <v>3112</v>
      </c>
      <c r="B1543" s="7" t="s">
        <v>3125</v>
      </c>
      <c r="C1543" s="8">
        <f>QS.CONTEXT.CREATE("market.1541",A1543,"USD","SOFR")</f>
        <v/>
      </c>
      <c r="D1543" s="8">
        <f>QS.CONTEXT.ADD.CURVE(C1543,"SOFR",$K$2:$K$7,$L$2:$L$7,,,"Actual360","LogLinear",TRUE)</f>
        <v/>
      </c>
      <c r="E1543" s="8">
        <f>QS.INSTRUMENT.SWAP("swap.1541",C1543,H1543,B1543,"USD","SOFR",I1543,J1543,0,"Actual360","Simple","Annual","Annual","Annual")</f>
        <v/>
      </c>
      <c r="F1543" s="8">
        <f>QS.TRADE.CREATE("trade.1541",C1543,E1543,A1543,"Receive")</f>
        <v/>
      </c>
      <c r="G1543" s="5"/>
      <c r="H1543" s="7" t="s">
        <v>3126</v>
      </c>
      <c r="I1543" s="9">
        <v>1154100</v>
      </c>
      <c r="J1543" s="10">
        <v>0.0391</v>
      </c>
    </row>
    <row r="1544" spans="1:10">
      <c r="A1544" s="7" t="s">
        <v>3114</v>
      </c>
      <c r="B1544" s="7" t="s">
        <v>3127</v>
      </c>
      <c r="C1544" s="8">
        <f>QS.CONTEXT.CREATE("market.1542",A1544,"USD","SOFR")</f>
        <v/>
      </c>
      <c r="D1544" s="8">
        <f>QS.CONTEXT.ADD.CURVE(C1544,"SOFR",$K$2:$K$7,$L$2:$L$7,,,"Actual360","LogLinear",TRUE)</f>
        <v/>
      </c>
      <c r="E1544" s="8">
        <f>QS.INSTRUMENT.SWAP("swap.1542",C1544,H1544,B1544,"USD","SOFR",I1544,J1544,0,"Actual360","Simple","Annual","Annual","Annual")</f>
        <v/>
      </c>
      <c r="F1544" s="8">
        <f>QS.TRADE.CREATE("trade.1542",C1544,E1544,A1544,"Receive")</f>
        <v/>
      </c>
      <c r="G1544" s="5"/>
      <c r="H1544" s="7" t="s">
        <v>3128</v>
      </c>
      <c r="I1544" s="9">
        <v>1154200</v>
      </c>
      <c r="J1544" s="10">
        <v>0.03920000000000001</v>
      </c>
    </row>
    <row r="1545" spans="1:10">
      <c r="A1545" s="7" t="s">
        <v>3116</v>
      </c>
      <c r="B1545" s="7" t="s">
        <v>3129</v>
      </c>
      <c r="C1545" s="8">
        <f>QS.CONTEXT.CREATE("market.1543",A1545,"USD","SOFR")</f>
        <v/>
      </c>
      <c r="D1545" s="8">
        <f>QS.CONTEXT.ADD.CURVE(C1545,"SOFR",$K$2:$K$7,$L$2:$L$7,,,"Actual360","LogLinear",TRUE)</f>
        <v/>
      </c>
      <c r="E1545" s="8">
        <f>QS.INSTRUMENT.SWAP("swap.1543",C1545,H1545,B1545,"USD","SOFR",I1545,J1545,0,"Actual360","Simple","Annual","Annual","Annual")</f>
        <v/>
      </c>
      <c r="F1545" s="8">
        <f>QS.TRADE.CREATE("trade.1543",C1545,E1545,A1545,"Receive")</f>
        <v/>
      </c>
      <c r="G1545" s="5"/>
      <c r="H1545" s="7" t="s">
        <v>3130</v>
      </c>
      <c r="I1545" s="9">
        <v>1154300</v>
      </c>
      <c r="J1545" s="10">
        <v>0.0393</v>
      </c>
    </row>
    <row r="1546" spans="1:10">
      <c r="A1546" s="7" t="s">
        <v>3118</v>
      </c>
      <c r="B1546" s="7" t="s">
        <v>3131</v>
      </c>
      <c r="C1546" s="8">
        <f>QS.CONTEXT.CREATE("market.1544",A1546,"USD","SOFR")</f>
        <v/>
      </c>
      <c r="D1546" s="8">
        <f>QS.CONTEXT.ADD.CURVE(C1546,"SOFR",$K$2:$K$7,$L$2:$L$7,,,"Actual360","LogLinear",TRUE)</f>
        <v/>
      </c>
      <c r="E1546" s="8">
        <f>QS.INSTRUMENT.SWAP("swap.1544",C1546,H1546,B1546,"USD","SOFR",I1546,J1546,0,"Actual360","Simple","Annual","Annual","Annual")</f>
        <v/>
      </c>
      <c r="F1546" s="8">
        <f>QS.TRADE.CREATE("trade.1544",C1546,E1546,A1546,"Receive")</f>
        <v/>
      </c>
      <c r="G1546" s="5"/>
      <c r="H1546" s="7" t="s">
        <v>3132</v>
      </c>
      <c r="I1546" s="9">
        <v>1154400</v>
      </c>
      <c r="J1546" s="10">
        <v>0.0394</v>
      </c>
    </row>
    <row r="1547" spans="1:10">
      <c r="A1547" s="7" t="s">
        <v>3120</v>
      </c>
      <c r="B1547" s="7" t="s">
        <v>3133</v>
      </c>
      <c r="C1547" s="8">
        <f>QS.CONTEXT.CREATE("market.1545",A1547,"USD","SOFR")</f>
        <v/>
      </c>
      <c r="D1547" s="8">
        <f>QS.CONTEXT.ADD.CURVE(C1547,"SOFR",$K$2:$K$7,$L$2:$L$7,,,"Actual360","LogLinear",TRUE)</f>
        <v/>
      </c>
      <c r="E1547" s="8">
        <f>QS.INSTRUMENT.SWAP("swap.1545",C1547,H1547,B1547,"USD","SOFR",I1547,J1547,0,"Actual360","Simple","Annual","Annual","Annual")</f>
        <v/>
      </c>
      <c r="F1547" s="8">
        <f>QS.TRADE.CREATE("trade.1545",C1547,E1547,A1547,"Receive")</f>
        <v/>
      </c>
      <c r="G1547" s="5"/>
      <c r="H1547" s="7" t="s">
        <v>3134</v>
      </c>
      <c r="I1547" s="9">
        <v>1154500</v>
      </c>
      <c r="J1547" s="10">
        <v>0.03950000000000001</v>
      </c>
    </row>
    <row r="1548" spans="1:10">
      <c r="A1548" s="7" t="s">
        <v>3122</v>
      </c>
      <c r="B1548" s="7" t="s">
        <v>3135</v>
      </c>
      <c r="C1548" s="8">
        <f>QS.CONTEXT.CREATE("market.1546",A1548,"USD","SOFR")</f>
        <v/>
      </c>
      <c r="D1548" s="8">
        <f>QS.CONTEXT.ADD.CURVE(C1548,"SOFR",$K$2:$K$7,$L$2:$L$7,,,"Actual360","LogLinear",TRUE)</f>
        <v/>
      </c>
      <c r="E1548" s="8">
        <f>QS.INSTRUMENT.SWAP("swap.1546",C1548,H1548,B1548,"USD","SOFR",I1548,J1548,0,"Actual360","Simple","Annual","Annual","Annual")</f>
        <v/>
      </c>
      <c r="F1548" s="8">
        <f>QS.TRADE.CREATE("trade.1546",C1548,E1548,A1548,"Receive")</f>
        <v/>
      </c>
      <c r="G1548" s="5"/>
      <c r="H1548" s="7" t="s">
        <v>3136</v>
      </c>
      <c r="I1548" s="9">
        <v>1154600</v>
      </c>
      <c r="J1548" s="10">
        <v>0.0396</v>
      </c>
    </row>
    <row r="1549" spans="1:10">
      <c r="A1549" s="7" t="s">
        <v>3124</v>
      </c>
      <c r="B1549" s="7" t="s">
        <v>3137</v>
      </c>
      <c r="C1549" s="8">
        <f>QS.CONTEXT.CREATE("market.1547",A1549,"USD","SOFR")</f>
        <v/>
      </c>
      <c r="D1549" s="8">
        <f>QS.CONTEXT.ADD.CURVE(C1549,"SOFR",$K$2:$K$7,$L$2:$L$7,,,"Actual360","LogLinear",TRUE)</f>
        <v/>
      </c>
      <c r="E1549" s="8">
        <f>QS.INSTRUMENT.SWAP("swap.1547",C1549,H1549,B1549,"USD","SOFR",I1549,J1549,0,"Actual360","Simple","Annual","Annual","Annual")</f>
        <v/>
      </c>
      <c r="F1549" s="8">
        <f>QS.TRADE.CREATE("trade.1547",C1549,E1549,A1549,"Receive")</f>
        <v/>
      </c>
      <c r="G1549" s="5"/>
      <c r="H1549" s="7" t="s">
        <v>3138</v>
      </c>
      <c r="I1549" s="9">
        <v>1154700</v>
      </c>
      <c r="J1549" s="10">
        <v>0.03970000000000001</v>
      </c>
    </row>
    <row r="1550" spans="1:10">
      <c r="A1550" s="7" t="s">
        <v>3126</v>
      </c>
      <c r="B1550" s="7" t="s">
        <v>3139</v>
      </c>
      <c r="C1550" s="8">
        <f>QS.CONTEXT.CREATE("market.1548",A1550,"USD","SOFR")</f>
        <v/>
      </c>
      <c r="D1550" s="8">
        <f>QS.CONTEXT.ADD.CURVE(C1550,"SOFR",$K$2:$K$7,$L$2:$L$7,,,"Actual360","LogLinear",TRUE)</f>
        <v/>
      </c>
      <c r="E1550" s="8">
        <f>QS.INSTRUMENT.SWAP("swap.1548",C1550,H1550,B1550,"USD","SOFR",I1550,J1550,0,"Actual360","Simple","Annual","Annual","Annual")</f>
        <v/>
      </c>
      <c r="F1550" s="8">
        <f>QS.TRADE.CREATE("trade.1548",C1550,E1550,A1550,"Receive")</f>
        <v/>
      </c>
      <c r="G1550" s="5"/>
      <c r="H1550" s="7" t="s">
        <v>3140</v>
      </c>
      <c r="I1550" s="9">
        <v>1154800</v>
      </c>
      <c r="J1550" s="10">
        <v>0.0398</v>
      </c>
    </row>
    <row r="1551" spans="1:10">
      <c r="A1551" s="7" t="s">
        <v>3128</v>
      </c>
      <c r="B1551" s="7" t="s">
        <v>3141</v>
      </c>
      <c r="C1551" s="8">
        <f>QS.CONTEXT.CREATE("market.1549",A1551,"USD","SOFR")</f>
        <v/>
      </c>
      <c r="D1551" s="8">
        <f>QS.CONTEXT.ADD.CURVE(C1551,"SOFR",$K$2:$K$7,$L$2:$L$7,,,"Actual360","LogLinear",TRUE)</f>
        <v/>
      </c>
      <c r="E1551" s="8">
        <f>QS.INSTRUMENT.SWAP("swap.1549",C1551,H1551,B1551,"USD","SOFR",I1551,J1551,0,"Actual360","Simple","Annual","Annual","Annual")</f>
        <v/>
      </c>
      <c r="F1551" s="8">
        <f>QS.TRADE.CREATE("trade.1549",C1551,E1551,A1551,"Receive")</f>
        <v/>
      </c>
      <c r="G1551" s="5"/>
      <c r="H1551" s="7" t="s">
        <v>3142</v>
      </c>
      <c r="I1551" s="9">
        <v>1154900</v>
      </c>
      <c r="J1551" s="10">
        <v>0.0399</v>
      </c>
    </row>
    <row r="1552" spans="1:10">
      <c r="A1552" s="7" t="s">
        <v>3130</v>
      </c>
      <c r="B1552" s="7" t="s">
        <v>3143</v>
      </c>
      <c r="C1552" s="8">
        <f>QS.CONTEXT.CREATE("market.1550",A1552,"USD","SOFR")</f>
        <v/>
      </c>
      <c r="D1552" s="8">
        <f>QS.CONTEXT.ADD.CURVE(C1552,"SOFR",$K$2:$K$7,$L$2:$L$7,,,"Actual360","LogLinear",TRUE)</f>
        <v/>
      </c>
      <c r="E1552" s="8">
        <f>QS.INSTRUMENT.SWAP("swap.1550",C1552,H1552,B1552,"USD","SOFR",I1552,J1552,0,"Actual360","Simple","Annual","Annual","Annual")</f>
        <v/>
      </c>
      <c r="F1552" s="8">
        <f>QS.TRADE.CREATE("trade.1550",C1552,E1552,A1552,"Receive")</f>
        <v/>
      </c>
      <c r="G1552" s="5"/>
      <c r="H1552" s="7" t="s">
        <v>3144</v>
      </c>
      <c r="I1552" s="9">
        <v>1155000</v>
      </c>
      <c r="J1552" s="10">
        <v>0.035</v>
      </c>
    </row>
    <row r="1553" spans="1:10">
      <c r="A1553" s="7" t="s">
        <v>3132</v>
      </c>
      <c r="B1553" s="7" t="s">
        <v>3145</v>
      </c>
      <c r="C1553" s="8">
        <f>QS.CONTEXT.CREATE("market.1551",A1553,"USD","SOFR")</f>
        <v/>
      </c>
      <c r="D1553" s="8">
        <f>QS.CONTEXT.ADD.CURVE(C1553,"SOFR",$K$2:$K$7,$L$2:$L$7,,,"Actual360","LogLinear",TRUE)</f>
        <v/>
      </c>
      <c r="E1553" s="8">
        <f>QS.INSTRUMENT.SWAP("swap.1551",C1553,H1553,B1553,"USD","SOFR",I1553,J1553,0,"Actual360","Simple","Annual","Annual","Annual")</f>
        <v/>
      </c>
      <c r="F1553" s="8">
        <f>QS.TRADE.CREATE("trade.1551",C1553,E1553,A1553,"Receive")</f>
        <v/>
      </c>
      <c r="G1553" s="5"/>
      <c r="H1553" s="7" t="s">
        <v>3146</v>
      </c>
      <c r="I1553" s="9">
        <v>1155100</v>
      </c>
      <c r="J1553" s="10">
        <v>0.03510000000000001</v>
      </c>
    </row>
    <row r="1554" spans="1:10">
      <c r="A1554" s="7" t="s">
        <v>3134</v>
      </c>
      <c r="B1554" s="7" t="s">
        <v>3147</v>
      </c>
      <c r="C1554" s="8">
        <f>QS.CONTEXT.CREATE("market.1552",A1554,"USD","SOFR")</f>
        <v/>
      </c>
      <c r="D1554" s="8">
        <f>QS.CONTEXT.ADD.CURVE(C1554,"SOFR",$K$2:$K$7,$L$2:$L$7,,,"Actual360","LogLinear",TRUE)</f>
        <v/>
      </c>
      <c r="E1554" s="8">
        <f>QS.INSTRUMENT.SWAP("swap.1552",C1554,H1554,B1554,"USD","SOFR",I1554,J1554,0,"Actual360","Simple","Annual","Annual","Annual")</f>
        <v/>
      </c>
      <c r="F1554" s="8">
        <f>QS.TRADE.CREATE("trade.1552",C1554,E1554,A1554,"Receive")</f>
        <v/>
      </c>
      <c r="G1554" s="5"/>
      <c r="H1554" s="7" t="s">
        <v>3148</v>
      </c>
      <c r="I1554" s="9">
        <v>1155200</v>
      </c>
      <c r="J1554" s="10">
        <v>0.0352</v>
      </c>
    </row>
    <row r="1555" spans="1:10">
      <c r="A1555" s="7" t="s">
        <v>3136</v>
      </c>
      <c r="B1555" s="7" t="s">
        <v>3149</v>
      </c>
      <c r="C1555" s="8">
        <f>QS.CONTEXT.CREATE("market.1553",A1555,"USD","SOFR")</f>
        <v/>
      </c>
      <c r="D1555" s="8">
        <f>QS.CONTEXT.ADD.CURVE(C1555,"SOFR",$K$2:$K$7,$L$2:$L$7,,,"Actual360","LogLinear",TRUE)</f>
        <v/>
      </c>
      <c r="E1555" s="8">
        <f>QS.INSTRUMENT.SWAP("swap.1553",C1555,H1555,B1555,"USD","SOFR",I1555,J1555,0,"Actual360","Simple","Annual","Annual","Annual")</f>
        <v/>
      </c>
      <c r="F1555" s="8">
        <f>QS.TRADE.CREATE("trade.1553",C1555,E1555,A1555,"Receive")</f>
        <v/>
      </c>
      <c r="G1555" s="5"/>
      <c r="H1555" s="7" t="s">
        <v>3150</v>
      </c>
      <c r="I1555" s="9">
        <v>1155300</v>
      </c>
      <c r="J1555" s="10">
        <v>0.0353</v>
      </c>
    </row>
    <row r="1556" spans="1:10">
      <c r="A1556" s="7" t="s">
        <v>3138</v>
      </c>
      <c r="B1556" s="7" t="s">
        <v>3151</v>
      </c>
      <c r="C1556" s="8">
        <f>QS.CONTEXT.CREATE("market.1554",A1556,"USD","SOFR")</f>
        <v/>
      </c>
      <c r="D1556" s="8">
        <f>QS.CONTEXT.ADD.CURVE(C1556,"SOFR",$K$2:$K$7,$L$2:$L$7,,,"Actual360","LogLinear",TRUE)</f>
        <v/>
      </c>
      <c r="E1556" s="8">
        <f>QS.INSTRUMENT.SWAP("swap.1554",C1556,H1556,B1556,"USD","SOFR",I1556,J1556,0,"Actual360","Simple","Annual","Annual","Annual")</f>
        <v/>
      </c>
      <c r="F1556" s="8">
        <f>QS.TRADE.CREATE("trade.1554",C1556,E1556,A1556,"Receive")</f>
        <v/>
      </c>
      <c r="G1556" s="5"/>
      <c r="H1556" s="7" t="s">
        <v>3152</v>
      </c>
      <c r="I1556" s="9">
        <v>1155400</v>
      </c>
      <c r="J1556" s="10">
        <v>0.0354</v>
      </c>
    </row>
    <row r="1557" spans="1:10">
      <c r="A1557" s="7" t="s">
        <v>3140</v>
      </c>
      <c r="B1557" s="7" t="s">
        <v>3153</v>
      </c>
      <c r="C1557" s="8">
        <f>QS.CONTEXT.CREATE("market.1555",A1557,"USD","SOFR")</f>
        <v/>
      </c>
      <c r="D1557" s="8">
        <f>QS.CONTEXT.ADD.CURVE(C1557,"SOFR",$K$2:$K$7,$L$2:$L$7,,,"Actual360","LogLinear",TRUE)</f>
        <v/>
      </c>
      <c r="E1557" s="8">
        <f>QS.INSTRUMENT.SWAP("swap.1555",C1557,H1557,B1557,"USD","SOFR",I1557,J1557,0,"Actual360","Simple","Annual","Annual","Annual")</f>
        <v/>
      </c>
      <c r="F1557" s="8">
        <f>QS.TRADE.CREATE("trade.1555",C1557,E1557,A1557,"Receive")</f>
        <v/>
      </c>
      <c r="G1557" s="5"/>
      <c r="H1557" s="7" t="s">
        <v>3154</v>
      </c>
      <c r="I1557" s="9">
        <v>1155500</v>
      </c>
      <c r="J1557" s="10">
        <v>0.0355</v>
      </c>
    </row>
    <row r="1558" spans="1:10">
      <c r="A1558" s="7" t="s">
        <v>3142</v>
      </c>
      <c r="B1558" s="7" t="s">
        <v>3155</v>
      </c>
      <c r="C1558" s="8">
        <f>QS.CONTEXT.CREATE("market.1556",A1558,"USD","SOFR")</f>
        <v/>
      </c>
      <c r="D1558" s="8">
        <f>QS.CONTEXT.ADD.CURVE(C1558,"SOFR",$K$2:$K$7,$L$2:$L$7,,,"Actual360","LogLinear",TRUE)</f>
        <v/>
      </c>
      <c r="E1558" s="8">
        <f>QS.INSTRUMENT.SWAP("swap.1556",C1558,H1558,B1558,"USD","SOFR",I1558,J1558,0,"Actual360","Simple","Annual","Annual","Annual")</f>
        <v/>
      </c>
      <c r="F1558" s="8">
        <f>QS.TRADE.CREATE("trade.1556",C1558,E1558,A1558,"Receive")</f>
        <v/>
      </c>
      <c r="G1558" s="5"/>
      <c r="H1558" s="7" t="s">
        <v>3156</v>
      </c>
      <c r="I1558" s="9">
        <v>1155600</v>
      </c>
      <c r="J1558" s="10">
        <v>0.03560000000000001</v>
      </c>
    </row>
    <row r="1559" spans="1:10">
      <c r="A1559" s="7" t="s">
        <v>3144</v>
      </c>
      <c r="B1559" s="7" t="s">
        <v>3157</v>
      </c>
      <c r="C1559" s="8">
        <f>QS.CONTEXT.CREATE("market.1557",A1559,"USD","SOFR")</f>
        <v/>
      </c>
      <c r="D1559" s="8">
        <f>QS.CONTEXT.ADD.CURVE(C1559,"SOFR",$K$2:$K$7,$L$2:$L$7,,,"Actual360","LogLinear",TRUE)</f>
        <v/>
      </c>
      <c r="E1559" s="8">
        <f>QS.INSTRUMENT.SWAP("swap.1557",C1559,H1559,B1559,"USD","SOFR",I1559,J1559,0,"Actual360","Simple","Annual","Annual","Annual")</f>
        <v/>
      </c>
      <c r="F1559" s="8">
        <f>QS.TRADE.CREATE("trade.1557",C1559,E1559,A1559,"Receive")</f>
        <v/>
      </c>
      <c r="G1559" s="5"/>
      <c r="H1559" s="7" t="s">
        <v>3158</v>
      </c>
      <c r="I1559" s="9">
        <v>1155700</v>
      </c>
      <c r="J1559" s="10">
        <v>0.0357</v>
      </c>
    </row>
    <row r="1560" spans="1:10">
      <c r="A1560" s="7" t="s">
        <v>3146</v>
      </c>
      <c r="B1560" s="7" t="s">
        <v>3159</v>
      </c>
      <c r="C1560" s="8">
        <f>QS.CONTEXT.CREATE("market.1558",A1560,"USD","SOFR")</f>
        <v/>
      </c>
      <c r="D1560" s="8">
        <f>QS.CONTEXT.ADD.CURVE(C1560,"SOFR",$K$2:$K$7,$L$2:$L$7,,,"Actual360","LogLinear",TRUE)</f>
        <v/>
      </c>
      <c r="E1560" s="8">
        <f>QS.INSTRUMENT.SWAP("swap.1558",C1560,H1560,B1560,"USD","SOFR",I1560,J1560,0,"Actual360","Simple","Annual","Annual","Annual")</f>
        <v/>
      </c>
      <c r="F1560" s="8">
        <f>QS.TRADE.CREATE("trade.1558",C1560,E1560,A1560,"Receive")</f>
        <v/>
      </c>
      <c r="G1560" s="5"/>
      <c r="H1560" s="7" t="s">
        <v>3160</v>
      </c>
      <c r="I1560" s="9">
        <v>1155800</v>
      </c>
      <c r="J1560" s="10">
        <v>0.03580000000000001</v>
      </c>
    </row>
    <row r="1561" spans="1:10">
      <c r="A1561" s="7" t="s">
        <v>3148</v>
      </c>
      <c r="B1561" s="7" t="s">
        <v>3161</v>
      </c>
      <c r="C1561" s="8">
        <f>QS.CONTEXT.CREATE("market.1559",A1561,"USD","SOFR")</f>
        <v/>
      </c>
      <c r="D1561" s="8">
        <f>QS.CONTEXT.ADD.CURVE(C1561,"SOFR",$K$2:$K$7,$L$2:$L$7,,,"Actual360","LogLinear",TRUE)</f>
        <v/>
      </c>
      <c r="E1561" s="8">
        <f>QS.INSTRUMENT.SWAP("swap.1559",C1561,H1561,B1561,"USD","SOFR",I1561,J1561,0,"Actual360","Simple","Annual","Annual","Annual")</f>
        <v/>
      </c>
      <c r="F1561" s="8">
        <f>QS.TRADE.CREATE("trade.1559",C1561,E1561,A1561,"Receive")</f>
        <v/>
      </c>
      <c r="G1561" s="5"/>
      <c r="H1561" s="7" t="s">
        <v>3162</v>
      </c>
      <c r="I1561" s="9">
        <v>1155900</v>
      </c>
      <c r="J1561" s="10">
        <v>0.0359</v>
      </c>
    </row>
    <row r="1562" spans="1:10">
      <c r="A1562" s="7" t="s">
        <v>3150</v>
      </c>
      <c r="B1562" s="7" t="s">
        <v>3163</v>
      </c>
      <c r="C1562" s="8">
        <f>QS.CONTEXT.CREATE("market.1560",A1562,"USD","SOFR")</f>
        <v/>
      </c>
      <c r="D1562" s="8">
        <f>QS.CONTEXT.ADD.CURVE(C1562,"SOFR",$K$2:$K$7,$L$2:$L$7,,,"Actual360","LogLinear",TRUE)</f>
        <v/>
      </c>
      <c r="E1562" s="8">
        <f>QS.INSTRUMENT.SWAP("swap.1560",C1562,H1562,B1562,"USD","SOFR",I1562,J1562,0,"Actual360","Simple","Annual","Annual","Annual")</f>
        <v/>
      </c>
      <c r="F1562" s="8">
        <f>QS.TRADE.CREATE("trade.1560",C1562,E1562,A1562,"Receive")</f>
        <v/>
      </c>
      <c r="G1562" s="5"/>
      <c r="H1562" s="7" t="s">
        <v>3164</v>
      </c>
      <c r="I1562" s="9">
        <v>1156000</v>
      </c>
      <c r="J1562" s="10">
        <v>0.036</v>
      </c>
    </row>
    <row r="1563" spans="1:10">
      <c r="A1563" s="7" t="s">
        <v>3152</v>
      </c>
      <c r="B1563" s="7" t="s">
        <v>3165</v>
      </c>
      <c r="C1563" s="8">
        <f>QS.CONTEXT.CREATE("market.1561",A1563,"USD","SOFR")</f>
        <v/>
      </c>
      <c r="D1563" s="8">
        <f>QS.CONTEXT.ADD.CURVE(C1563,"SOFR",$K$2:$K$7,$L$2:$L$7,,,"Actual360","LogLinear",TRUE)</f>
        <v/>
      </c>
      <c r="E1563" s="8">
        <f>QS.INSTRUMENT.SWAP("swap.1561",C1563,H1563,B1563,"USD","SOFR",I1563,J1563,0,"Actual360","Simple","Annual","Annual","Annual")</f>
        <v/>
      </c>
      <c r="F1563" s="8">
        <f>QS.TRADE.CREATE("trade.1561",C1563,E1563,A1563,"Receive")</f>
        <v/>
      </c>
      <c r="G1563" s="5"/>
      <c r="H1563" s="7" t="s">
        <v>3166</v>
      </c>
      <c r="I1563" s="9">
        <v>1156100</v>
      </c>
      <c r="J1563" s="10">
        <v>0.0361</v>
      </c>
    </row>
    <row r="1564" spans="1:10">
      <c r="A1564" s="7" t="s">
        <v>3154</v>
      </c>
      <c r="B1564" s="7" t="s">
        <v>3167</v>
      </c>
      <c r="C1564" s="8">
        <f>QS.CONTEXT.CREATE("market.1562",A1564,"USD","SOFR")</f>
        <v/>
      </c>
      <c r="D1564" s="8">
        <f>QS.CONTEXT.ADD.CURVE(C1564,"SOFR",$K$2:$K$7,$L$2:$L$7,,,"Actual360","LogLinear",TRUE)</f>
        <v/>
      </c>
      <c r="E1564" s="8">
        <f>QS.INSTRUMENT.SWAP("swap.1562",C1564,H1564,B1564,"USD","SOFR",I1564,J1564,0,"Actual360","Simple","Annual","Annual","Annual")</f>
        <v/>
      </c>
      <c r="F1564" s="8">
        <f>QS.TRADE.CREATE("trade.1562",C1564,E1564,A1564,"Receive")</f>
        <v/>
      </c>
      <c r="G1564" s="5"/>
      <c r="H1564" s="7" t="s">
        <v>3168</v>
      </c>
      <c r="I1564" s="9">
        <v>1156200</v>
      </c>
      <c r="J1564" s="10">
        <v>0.0362</v>
      </c>
    </row>
    <row r="1565" spans="1:10">
      <c r="A1565" s="7" t="s">
        <v>3156</v>
      </c>
      <c r="B1565" s="7" t="s">
        <v>3169</v>
      </c>
      <c r="C1565" s="8">
        <f>QS.CONTEXT.CREATE("market.1563",A1565,"USD","SOFR")</f>
        <v/>
      </c>
      <c r="D1565" s="8">
        <f>QS.CONTEXT.ADD.CURVE(C1565,"SOFR",$K$2:$K$7,$L$2:$L$7,,,"Actual360","LogLinear",TRUE)</f>
        <v/>
      </c>
      <c r="E1565" s="8">
        <f>QS.INSTRUMENT.SWAP("swap.1563",C1565,H1565,B1565,"USD","SOFR",I1565,J1565,0,"Actual360","Simple","Annual","Annual","Annual")</f>
        <v/>
      </c>
      <c r="F1565" s="8">
        <f>QS.TRADE.CREATE("trade.1563",C1565,E1565,A1565,"Receive")</f>
        <v/>
      </c>
      <c r="G1565" s="5"/>
      <c r="H1565" s="7" t="s">
        <v>3170</v>
      </c>
      <c r="I1565" s="9">
        <v>1156300</v>
      </c>
      <c r="J1565" s="10">
        <v>0.03630000000000001</v>
      </c>
    </row>
    <row r="1566" spans="1:10">
      <c r="A1566" s="7" t="s">
        <v>3158</v>
      </c>
      <c r="B1566" s="7" t="s">
        <v>3171</v>
      </c>
      <c r="C1566" s="8">
        <f>QS.CONTEXT.CREATE("market.1564",A1566,"USD","SOFR")</f>
        <v/>
      </c>
      <c r="D1566" s="8">
        <f>QS.CONTEXT.ADD.CURVE(C1566,"SOFR",$K$2:$K$7,$L$2:$L$7,,,"Actual360","LogLinear",TRUE)</f>
        <v/>
      </c>
      <c r="E1566" s="8">
        <f>QS.INSTRUMENT.SWAP("swap.1564",C1566,H1566,B1566,"USD","SOFR",I1566,J1566,0,"Actual360","Simple","Annual","Annual","Annual")</f>
        <v/>
      </c>
      <c r="F1566" s="8">
        <f>QS.TRADE.CREATE("trade.1564",C1566,E1566,A1566,"Receive")</f>
        <v/>
      </c>
      <c r="G1566" s="5"/>
      <c r="H1566" s="7" t="s">
        <v>3172</v>
      </c>
      <c r="I1566" s="9">
        <v>1156400</v>
      </c>
      <c r="J1566" s="10">
        <v>0.0364</v>
      </c>
    </row>
    <row r="1567" spans="1:10">
      <c r="A1567" s="7" t="s">
        <v>3160</v>
      </c>
      <c r="B1567" s="7" t="s">
        <v>3173</v>
      </c>
      <c r="C1567" s="8">
        <f>QS.CONTEXT.CREATE("market.1565",A1567,"USD","SOFR")</f>
        <v/>
      </c>
      <c r="D1567" s="8">
        <f>QS.CONTEXT.ADD.CURVE(C1567,"SOFR",$K$2:$K$7,$L$2:$L$7,,,"Actual360","LogLinear",TRUE)</f>
        <v/>
      </c>
      <c r="E1567" s="8">
        <f>QS.INSTRUMENT.SWAP("swap.1565",C1567,H1567,B1567,"USD","SOFR",I1567,J1567,0,"Actual360","Simple","Annual","Annual","Annual")</f>
        <v/>
      </c>
      <c r="F1567" s="8">
        <f>QS.TRADE.CREATE("trade.1565",C1567,E1567,A1567,"Receive")</f>
        <v/>
      </c>
      <c r="G1567" s="5"/>
      <c r="H1567" s="7" t="s">
        <v>3174</v>
      </c>
      <c r="I1567" s="9">
        <v>1156500</v>
      </c>
      <c r="J1567" s="10">
        <v>0.0365</v>
      </c>
    </row>
    <row r="1568" spans="1:10">
      <c r="A1568" s="7" t="s">
        <v>3162</v>
      </c>
      <c r="B1568" s="7" t="s">
        <v>3175</v>
      </c>
      <c r="C1568" s="8">
        <f>QS.CONTEXT.CREATE("market.1566",A1568,"USD","SOFR")</f>
        <v/>
      </c>
      <c r="D1568" s="8">
        <f>QS.CONTEXT.ADD.CURVE(C1568,"SOFR",$K$2:$K$7,$L$2:$L$7,,,"Actual360","LogLinear",TRUE)</f>
        <v/>
      </c>
      <c r="E1568" s="8">
        <f>QS.INSTRUMENT.SWAP("swap.1566",C1568,H1568,B1568,"USD","SOFR",I1568,J1568,0,"Actual360","Simple","Annual","Annual","Annual")</f>
        <v/>
      </c>
      <c r="F1568" s="8">
        <f>QS.TRADE.CREATE("trade.1566",C1568,E1568,A1568,"Receive")</f>
        <v/>
      </c>
      <c r="G1568" s="5"/>
      <c r="H1568" s="7" t="s">
        <v>3176</v>
      </c>
      <c r="I1568" s="9">
        <v>1156600</v>
      </c>
      <c r="J1568" s="10">
        <v>0.0366</v>
      </c>
    </row>
    <row r="1569" spans="1:10">
      <c r="A1569" s="7" t="s">
        <v>3164</v>
      </c>
      <c r="B1569" s="7" t="s">
        <v>3177</v>
      </c>
      <c r="C1569" s="8">
        <f>QS.CONTEXT.CREATE("market.1567",A1569,"USD","SOFR")</f>
        <v/>
      </c>
      <c r="D1569" s="8">
        <f>QS.CONTEXT.ADD.CURVE(C1569,"SOFR",$K$2:$K$7,$L$2:$L$7,,,"Actual360","LogLinear",TRUE)</f>
        <v/>
      </c>
      <c r="E1569" s="8">
        <f>QS.INSTRUMENT.SWAP("swap.1567",C1569,H1569,B1569,"USD","SOFR",I1569,J1569,0,"Actual360","Simple","Annual","Annual","Annual")</f>
        <v/>
      </c>
      <c r="F1569" s="8">
        <f>QS.TRADE.CREATE("trade.1567",C1569,E1569,A1569,"Receive")</f>
        <v/>
      </c>
      <c r="G1569" s="5"/>
      <c r="H1569" s="7" t="s">
        <v>3178</v>
      </c>
      <c r="I1569" s="9">
        <v>1156700</v>
      </c>
      <c r="J1569" s="10">
        <v>0.0367</v>
      </c>
    </row>
    <row r="1570" spans="1:10">
      <c r="A1570" s="7" t="s">
        <v>3166</v>
      </c>
      <c r="B1570" s="7" t="s">
        <v>3179</v>
      </c>
      <c r="C1570" s="8">
        <f>QS.CONTEXT.CREATE("market.1568",A1570,"USD","SOFR")</f>
        <v/>
      </c>
      <c r="D1570" s="8">
        <f>QS.CONTEXT.ADD.CURVE(C1570,"SOFR",$K$2:$K$7,$L$2:$L$7,,,"Actual360","LogLinear",TRUE)</f>
        <v/>
      </c>
      <c r="E1570" s="8">
        <f>QS.INSTRUMENT.SWAP("swap.1568",C1570,H1570,B1570,"USD","SOFR",I1570,J1570,0,"Actual360","Simple","Annual","Annual","Annual")</f>
        <v/>
      </c>
      <c r="F1570" s="8">
        <f>QS.TRADE.CREATE("trade.1568",C1570,E1570,A1570,"Receive")</f>
        <v/>
      </c>
      <c r="G1570" s="5"/>
      <c r="H1570" s="7" t="s">
        <v>3180</v>
      </c>
      <c r="I1570" s="9">
        <v>1156800</v>
      </c>
      <c r="J1570" s="10">
        <v>0.03680000000000001</v>
      </c>
    </row>
    <row r="1571" spans="1:10">
      <c r="A1571" s="7" t="s">
        <v>3168</v>
      </c>
      <c r="B1571" s="7" t="s">
        <v>3181</v>
      </c>
      <c r="C1571" s="8">
        <f>QS.CONTEXT.CREATE("market.1569",A1571,"USD","SOFR")</f>
        <v/>
      </c>
      <c r="D1571" s="8">
        <f>QS.CONTEXT.ADD.CURVE(C1571,"SOFR",$K$2:$K$7,$L$2:$L$7,,,"Actual360","LogLinear",TRUE)</f>
        <v/>
      </c>
      <c r="E1571" s="8">
        <f>QS.INSTRUMENT.SWAP("swap.1569",C1571,H1571,B1571,"USD","SOFR",I1571,J1571,0,"Actual360","Simple","Annual","Annual","Annual")</f>
        <v/>
      </c>
      <c r="F1571" s="8">
        <f>QS.TRADE.CREATE("trade.1569",C1571,E1571,A1571,"Receive")</f>
        <v/>
      </c>
      <c r="G1571" s="5"/>
      <c r="H1571" s="7" t="s">
        <v>3182</v>
      </c>
      <c r="I1571" s="9">
        <v>1156900</v>
      </c>
      <c r="J1571" s="10">
        <v>0.0369</v>
      </c>
    </row>
    <row r="1572" spans="1:10">
      <c r="A1572" s="7" t="s">
        <v>3170</v>
      </c>
      <c r="B1572" s="7" t="s">
        <v>3183</v>
      </c>
      <c r="C1572" s="8">
        <f>QS.CONTEXT.CREATE("market.1570",A1572,"USD","SOFR")</f>
        <v/>
      </c>
      <c r="D1572" s="8">
        <f>QS.CONTEXT.ADD.CURVE(C1572,"SOFR",$K$2:$K$7,$L$2:$L$7,,,"Actual360","LogLinear",TRUE)</f>
        <v/>
      </c>
      <c r="E1572" s="8">
        <f>QS.INSTRUMENT.SWAP("swap.1570",C1572,H1572,B1572,"USD","SOFR",I1572,J1572,0,"Actual360","Simple","Annual","Annual","Annual")</f>
        <v/>
      </c>
      <c r="F1572" s="8">
        <f>QS.TRADE.CREATE("trade.1570",C1572,E1572,A1572,"Receive")</f>
        <v/>
      </c>
      <c r="G1572" s="5"/>
      <c r="H1572" s="7" t="s">
        <v>3184</v>
      </c>
      <c r="I1572" s="9">
        <v>1157000</v>
      </c>
      <c r="J1572" s="10">
        <v>0.03700000000000001</v>
      </c>
    </row>
    <row r="1573" spans="1:10">
      <c r="A1573" s="7" t="s">
        <v>3172</v>
      </c>
      <c r="B1573" s="7" t="s">
        <v>3185</v>
      </c>
      <c r="C1573" s="8">
        <f>QS.CONTEXT.CREATE("market.1571",A1573,"USD","SOFR")</f>
        <v/>
      </c>
      <c r="D1573" s="8">
        <f>QS.CONTEXT.ADD.CURVE(C1573,"SOFR",$K$2:$K$7,$L$2:$L$7,,,"Actual360","LogLinear",TRUE)</f>
        <v/>
      </c>
      <c r="E1573" s="8">
        <f>QS.INSTRUMENT.SWAP("swap.1571",C1573,H1573,B1573,"USD","SOFR",I1573,J1573,0,"Actual360","Simple","Annual","Annual","Annual")</f>
        <v/>
      </c>
      <c r="F1573" s="8">
        <f>QS.TRADE.CREATE("trade.1571",C1573,E1573,A1573,"Receive")</f>
        <v/>
      </c>
      <c r="G1573" s="5"/>
      <c r="H1573" s="7" t="s">
        <v>3186</v>
      </c>
      <c r="I1573" s="9">
        <v>1157100</v>
      </c>
      <c r="J1573" s="10">
        <v>0.0371</v>
      </c>
    </row>
    <row r="1574" spans="1:10">
      <c r="A1574" s="7" t="s">
        <v>3174</v>
      </c>
      <c r="B1574" s="7" t="s">
        <v>3187</v>
      </c>
      <c r="C1574" s="8">
        <f>QS.CONTEXT.CREATE("market.1572",A1574,"USD","SOFR")</f>
        <v/>
      </c>
      <c r="D1574" s="8">
        <f>QS.CONTEXT.ADD.CURVE(C1574,"SOFR",$K$2:$K$7,$L$2:$L$7,,,"Actual360","LogLinear",TRUE)</f>
        <v/>
      </c>
      <c r="E1574" s="8">
        <f>QS.INSTRUMENT.SWAP("swap.1572",C1574,H1574,B1574,"USD","SOFR",I1574,J1574,0,"Actual360","Simple","Annual","Annual","Annual")</f>
        <v/>
      </c>
      <c r="F1574" s="8">
        <f>QS.TRADE.CREATE("trade.1572",C1574,E1574,A1574,"Receive")</f>
        <v/>
      </c>
      <c r="G1574" s="5"/>
      <c r="H1574" s="7" t="s">
        <v>3188</v>
      </c>
      <c r="I1574" s="9">
        <v>1157200</v>
      </c>
      <c r="J1574" s="10">
        <v>0.0372</v>
      </c>
    </row>
    <row r="1575" spans="1:10">
      <c r="A1575" s="7" t="s">
        <v>3176</v>
      </c>
      <c r="B1575" s="7" t="s">
        <v>3189</v>
      </c>
      <c r="C1575" s="8">
        <f>QS.CONTEXT.CREATE("market.1573",A1575,"USD","SOFR")</f>
        <v/>
      </c>
      <c r="D1575" s="8">
        <f>QS.CONTEXT.ADD.CURVE(C1575,"SOFR",$K$2:$K$7,$L$2:$L$7,,,"Actual360","LogLinear",TRUE)</f>
        <v/>
      </c>
      <c r="E1575" s="8">
        <f>QS.INSTRUMENT.SWAP("swap.1573",C1575,H1575,B1575,"USD","SOFR",I1575,J1575,0,"Actual360","Simple","Annual","Annual","Annual")</f>
        <v/>
      </c>
      <c r="F1575" s="8">
        <f>QS.TRADE.CREATE("trade.1573",C1575,E1575,A1575,"Receive")</f>
        <v/>
      </c>
      <c r="G1575" s="5"/>
      <c r="H1575" s="7" t="s">
        <v>3190</v>
      </c>
      <c r="I1575" s="9">
        <v>1157300</v>
      </c>
      <c r="J1575" s="10">
        <v>0.0373</v>
      </c>
    </row>
    <row r="1576" spans="1:10">
      <c r="A1576" s="7" t="s">
        <v>3178</v>
      </c>
      <c r="B1576" s="7" t="s">
        <v>3191</v>
      </c>
      <c r="C1576" s="8">
        <f>QS.CONTEXT.CREATE("market.1574",A1576,"USD","SOFR")</f>
        <v/>
      </c>
      <c r="D1576" s="8">
        <f>QS.CONTEXT.ADD.CURVE(C1576,"SOFR",$K$2:$K$7,$L$2:$L$7,,,"Actual360","LogLinear",TRUE)</f>
        <v/>
      </c>
      <c r="E1576" s="8">
        <f>QS.INSTRUMENT.SWAP("swap.1574",C1576,H1576,B1576,"USD","SOFR",I1576,J1576,0,"Actual360","Simple","Annual","Annual","Annual")</f>
        <v/>
      </c>
      <c r="F1576" s="8">
        <f>QS.TRADE.CREATE("trade.1574",C1576,E1576,A1576,"Receive")</f>
        <v/>
      </c>
      <c r="G1576" s="5"/>
      <c r="H1576" s="7" t="s">
        <v>3192</v>
      </c>
      <c r="I1576" s="9">
        <v>1157400</v>
      </c>
      <c r="J1576" s="10">
        <v>0.0374</v>
      </c>
    </row>
    <row r="1577" spans="1:10">
      <c r="A1577" s="7" t="s">
        <v>3180</v>
      </c>
      <c r="B1577" s="7" t="s">
        <v>3193</v>
      </c>
      <c r="C1577" s="8">
        <f>QS.CONTEXT.CREATE("market.1575",A1577,"USD","SOFR")</f>
        <v/>
      </c>
      <c r="D1577" s="8">
        <f>QS.CONTEXT.ADD.CURVE(C1577,"SOFR",$K$2:$K$7,$L$2:$L$7,,,"Actual360","LogLinear",TRUE)</f>
        <v/>
      </c>
      <c r="E1577" s="8">
        <f>QS.INSTRUMENT.SWAP("swap.1575",C1577,H1577,B1577,"USD","SOFR",I1577,J1577,0,"Actual360","Simple","Annual","Annual","Annual")</f>
        <v/>
      </c>
      <c r="F1577" s="8">
        <f>QS.TRADE.CREATE("trade.1575",C1577,E1577,A1577,"Receive")</f>
        <v/>
      </c>
      <c r="G1577" s="5"/>
      <c r="H1577" s="7" t="s">
        <v>3194</v>
      </c>
      <c r="I1577" s="9">
        <v>1157500</v>
      </c>
      <c r="J1577" s="10">
        <v>0.03750000000000001</v>
      </c>
    </row>
    <row r="1578" spans="1:10">
      <c r="A1578" s="7" t="s">
        <v>3182</v>
      </c>
      <c r="B1578" s="7" t="s">
        <v>3195</v>
      </c>
      <c r="C1578" s="8">
        <f>QS.CONTEXT.CREATE("market.1576",A1578,"USD","SOFR")</f>
        <v/>
      </c>
      <c r="D1578" s="8">
        <f>QS.CONTEXT.ADD.CURVE(C1578,"SOFR",$K$2:$K$7,$L$2:$L$7,,,"Actual360","LogLinear",TRUE)</f>
        <v/>
      </c>
      <c r="E1578" s="8">
        <f>QS.INSTRUMENT.SWAP("swap.1576",C1578,H1578,B1578,"USD","SOFR",I1578,J1578,0,"Actual360","Simple","Annual","Annual","Annual")</f>
        <v/>
      </c>
      <c r="F1578" s="8">
        <f>QS.TRADE.CREATE("trade.1576",C1578,E1578,A1578,"Receive")</f>
        <v/>
      </c>
      <c r="G1578" s="5"/>
      <c r="H1578" s="7" t="s">
        <v>3196</v>
      </c>
      <c r="I1578" s="9">
        <v>1157600</v>
      </c>
      <c r="J1578" s="10">
        <v>0.0376</v>
      </c>
    </row>
    <row r="1579" spans="1:10">
      <c r="A1579" s="7" t="s">
        <v>3184</v>
      </c>
      <c r="B1579" s="7" t="s">
        <v>3197</v>
      </c>
      <c r="C1579" s="8">
        <f>QS.CONTEXT.CREATE("market.1577",A1579,"USD","SOFR")</f>
        <v/>
      </c>
      <c r="D1579" s="8">
        <f>QS.CONTEXT.ADD.CURVE(C1579,"SOFR",$K$2:$K$7,$L$2:$L$7,,,"Actual360","LogLinear",TRUE)</f>
        <v/>
      </c>
      <c r="E1579" s="8">
        <f>QS.INSTRUMENT.SWAP("swap.1577",C1579,H1579,B1579,"USD","SOFR",I1579,J1579,0,"Actual360","Simple","Annual","Annual","Annual")</f>
        <v/>
      </c>
      <c r="F1579" s="8">
        <f>QS.TRADE.CREATE("trade.1577",C1579,E1579,A1579,"Receive")</f>
        <v/>
      </c>
      <c r="G1579" s="5"/>
      <c r="H1579" s="7" t="s">
        <v>3198</v>
      </c>
      <c r="I1579" s="9">
        <v>1157700</v>
      </c>
      <c r="J1579" s="10">
        <v>0.0377</v>
      </c>
    </row>
    <row r="1580" spans="1:10">
      <c r="A1580" s="7" t="s">
        <v>3186</v>
      </c>
      <c r="B1580" s="7" t="s">
        <v>3199</v>
      </c>
      <c r="C1580" s="8">
        <f>QS.CONTEXT.CREATE("market.1578",A1580,"USD","SOFR")</f>
        <v/>
      </c>
      <c r="D1580" s="8">
        <f>QS.CONTEXT.ADD.CURVE(C1580,"SOFR",$K$2:$K$7,$L$2:$L$7,,,"Actual360","LogLinear",TRUE)</f>
        <v/>
      </c>
      <c r="E1580" s="8">
        <f>QS.INSTRUMENT.SWAP("swap.1578",C1580,H1580,B1580,"USD","SOFR",I1580,J1580,0,"Actual360","Simple","Annual","Annual","Annual")</f>
        <v/>
      </c>
      <c r="F1580" s="8">
        <f>QS.TRADE.CREATE("trade.1578",C1580,E1580,A1580,"Receive")</f>
        <v/>
      </c>
      <c r="G1580" s="5"/>
      <c r="H1580" s="7" t="s">
        <v>3200</v>
      </c>
      <c r="I1580" s="9">
        <v>1157800</v>
      </c>
      <c r="J1580" s="10">
        <v>0.0378</v>
      </c>
    </row>
    <row r="1581" spans="1:10">
      <c r="A1581" s="7" t="s">
        <v>3188</v>
      </c>
      <c r="B1581" s="7" t="s">
        <v>3201</v>
      </c>
      <c r="C1581" s="8">
        <f>QS.CONTEXT.CREATE("market.1579",A1581,"USD","SOFR")</f>
        <v/>
      </c>
      <c r="D1581" s="8">
        <f>QS.CONTEXT.ADD.CURVE(C1581,"SOFR",$K$2:$K$7,$L$2:$L$7,,,"Actual360","LogLinear",TRUE)</f>
        <v/>
      </c>
      <c r="E1581" s="8">
        <f>QS.INSTRUMENT.SWAP("swap.1579",C1581,H1581,B1581,"USD","SOFR",I1581,J1581,0,"Actual360","Simple","Annual","Annual","Annual")</f>
        <v/>
      </c>
      <c r="F1581" s="8">
        <f>QS.TRADE.CREATE("trade.1579",C1581,E1581,A1581,"Receive")</f>
        <v/>
      </c>
      <c r="G1581" s="5"/>
      <c r="H1581" s="7" t="s">
        <v>3202</v>
      </c>
      <c r="I1581" s="9">
        <v>1157900</v>
      </c>
      <c r="J1581" s="10">
        <v>0.0379</v>
      </c>
    </row>
    <row r="1582" spans="1:10">
      <c r="A1582" s="7" t="s">
        <v>3190</v>
      </c>
      <c r="B1582" s="7" t="s">
        <v>3203</v>
      </c>
      <c r="C1582" s="8">
        <f>QS.CONTEXT.CREATE("market.1580",A1582,"USD","SOFR")</f>
        <v/>
      </c>
      <c r="D1582" s="8">
        <f>QS.CONTEXT.ADD.CURVE(C1582,"SOFR",$K$2:$K$7,$L$2:$L$7,,,"Actual360","LogLinear",TRUE)</f>
        <v/>
      </c>
      <c r="E1582" s="8">
        <f>QS.INSTRUMENT.SWAP("swap.1580",C1582,H1582,B1582,"USD","SOFR",I1582,J1582,0,"Actual360","Simple","Annual","Annual","Annual")</f>
        <v/>
      </c>
      <c r="F1582" s="8">
        <f>QS.TRADE.CREATE("trade.1580",C1582,E1582,A1582,"Receive")</f>
        <v/>
      </c>
      <c r="G1582" s="5"/>
      <c r="H1582" s="7" t="s">
        <v>3204</v>
      </c>
      <c r="I1582" s="9">
        <v>1158000</v>
      </c>
      <c r="J1582" s="10">
        <v>0.03800000000000001</v>
      </c>
    </row>
    <row r="1583" spans="1:10">
      <c r="A1583" s="7" t="s">
        <v>3192</v>
      </c>
      <c r="B1583" s="7" t="s">
        <v>3205</v>
      </c>
      <c r="C1583" s="8">
        <f>QS.CONTEXT.CREATE("market.1581",A1583,"USD","SOFR")</f>
        <v/>
      </c>
      <c r="D1583" s="8">
        <f>QS.CONTEXT.ADD.CURVE(C1583,"SOFR",$K$2:$K$7,$L$2:$L$7,,,"Actual360","LogLinear",TRUE)</f>
        <v/>
      </c>
      <c r="E1583" s="8">
        <f>QS.INSTRUMENT.SWAP("swap.1581",C1583,H1583,B1583,"USD","SOFR",I1583,J1583,0,"Actual360","Simple","Annual","Annual","Annual")</f>
        <v/>
      </c>
      <c r="F1583" s="8">
        <f>QS.TRADE.CREATE("trade.1581",C1583,E1583,A1583,"Receive")</f>
        <v/>
      </c>
      <c r="G1583" s="5"/>
      <c r="H1583" s="7" t="s">
        <v>3206</v>
      </c>
      <c r="I1583" s="9">
        <v>1158100</v>
      </c>
      <c r="J1583" s="10">
        <v>0.0381</v>
      </c>
    </row>
    <row r="1584" spans="1:10">
      <c r="A1584" s="7" t="s">
        <v>3194</v>
      </c>
      <c r="B1584" s="7" t="s">
        <v>3207</v>
      </c>
      <c r="C1584" s="8">
        <f>QS.CONTEXT.CREATE("market.1582",A1584,"USD","SOFR")</f>
        <v/>
      </c>
      <c r="D1584" s="8">
        <f>QS.CONTEXT.ADD.CURVE(C1584,"SOFR",$K$2:$K$7,$L$2:$L$7,,,"Actual360","LogLinear",TRUE)</f>
        <v/>
      </c>
      <c r="E1584" s="8">
        <f>QS.INSTRUMENT.SWAP("swap.1582",C1584,H1584,B1584,"USD","SOFR",I1584,J1584,0,"Actual360","Simple","Annual","Annual","Annual")</f>
        <v/>
      </c>
      <c r="F1584" s="8">
        <f>QS.TRADE.CREATE("trade.1582",C1584,E1584,A1584,"Receive")</f>
        <v/>
      </c>
      <c r="G1584" s="5"/>
      <c r="H1584" s="7" t="s">
        <v>3208</v>
      </c>
      <c r="I1584" s="9">
        <v>1158200</v>
      </c>
      <c r="J1584" s="10">
        <v>0.0382</v>
      </c>
    </row>
    <row r="1585" spans="1:10">
      <c r="A1585" s="7" t="s">
        <v>3196</v>
      </c>
      <c r="B1585" s="7" t="s">
        <v>3209</v>
      </c>
      <c r="C1585" s="8">
        <f>QS.CONTEXT.CREATE("market.1583",A1585,"USD","SOFR")</f>
        <v/>
      </c>
      <c r="D1585" s="8">
        <f>QS.CONTEXT.ADD.CURVE(C1585,"SOFR",$K$2:$K$7,$L$2:$L$7,,,"Actual360","LogLinear",TRUE)</f>
        <v/>
      </c>
      <c r="E1585" s="8">
        <f>QS.INSTRUMENT.SWAP("swap.1583",C1585,H1585,B1585,"USD","SOFR",I1585,J1585,0,"Actual360","Simple","Annual","Annual","Annual")</f>
        <v/>
      </c>
      <c r="F1585" s="8">
        <f>QS.TRADE.CREATE("trade.1583",C1585,E1585,A1585,"Receive")</f>
        <v/>
      </c>
      <c r="G1585" s="5"/>
      <c r="H1585" s="7" t="s">
        <v>3210</v>
      </c>
      <c r="I1585" s="9">
        <v>1158300</v>
      </c>
      <c r="J1585" s="10">
        <v>0.0383</v>
      </c>
    </row>
    <row r="1586" spans="1:10">
      <c r="A1586" s="7" t="s">
        <v>3198</v>
      </c>
      <c r="B1586" s="7" t="s">
        <v>3211</v>
      </c>
      <c r="C1586" s="8">
        <f>QS.CONTEXT.CREATE("market.1584",A1586,"USD","SOFR")</f>
        <v/>
      </c>
      <c r="D1586" s="8">
        <f>QS.CONTEXT.ADD.CURVE(C1586,"SOFR",$K$2:$K$7,$L$2:$L$7,,,"Actual360","LogLinear",TRUE)</f>
        <v/>
      </c>
      <c r="E1586" s="8">
        <f>QS.INSTRUMENT.SWAP("swap.1584",C1586,H1586,B1586,"USD","SOFR",I1586,J1586,0,"Actual360","Simple","Annual","Annual","Annual")</f>
        <v/>
      </c>
      <c r="F1586" s="8">
        <f>QS.TRADE.CREATE("trade.1584",C1586,E1586,A1586,"Receive")</f>
        <v/>
      </c>
      <c r="G1586" s="5"/>
      <c r="H1586" s="7" t="s">
        <v>3212</v>
      </c>
      <c r="I1586" s="9">
        <v>1158400</v>
      </c>
      <c r="J1586" s="10">
        <v>0.0384</v>
      </c>
    </row>
    <row r="1587" spans="1:10">
      <c r="A1587" s="7" t="s">
        <v>3200</v>
      </c>
      <c r="B1587" s="7" t="s">
        <v>3213</v>
      </c>
      <c r="C1587" s="8">
        <f>QS.CONTEXT.CREATE("market.1585",A1587,"USD","SOFR")</f>
        <v/>
      </c>
      <c r="D1587" s="8">
        <f>QS.CONTEXT.ADD.CURVE(C1587,"SOFR",$K$2:$K$7,$L$2:$L$7,,,"Actual360","LogLinear",TRUE)</f>
        <v/>
      </c>
      <c r="E1587" s="8">
        <f>QS.INSTRUMENT.SWAP("swap.1585",C1587,H1587,B1587,"USD","SOFR",I1587,J1587,0,"Actual360","Simple","Annual","Annual","Annual")</f>
        <v/>
      </c>
      <c r="F1587" s="8">
        <f>QS.TRADE.CREATE("trade.1585",C1587,E1587,A1587,"Receive")</f>
        <v/>
      </c>
      <c r="G1587" s="5"/>
      <c r="H1587" s="7" t="s">
        <v>3214</v>
      </c>
      <c r="I1587" s="9">
        <v>1158500</v>
      </c>
      <c r="J1587" s="10">
        <v>0.03850000000000001</v>
      </c>
    </row>
    <row r="1588" spans="1:10">
      <c r="A1588" s="7" t="s">
        <v>3202</v>
      </c>
      <c r="B1588" s="7" t="s">
        <v>3215</v>
      </c>
      <c r="C1588" s="8">
        <f>QS.CONTEXT.CREATE("market.1586",A1588,"USD","SOFR")</f>
        <v/>
      </c>
      <c r="D1588" s="8">
        <f>QS.CONTEXT.ADD.CURVE(C1588,"SOFR",$K$2:$K$7,$L$2:$L$7,,,"Actual360","LogLinear",TRUE)</f>
        <v/>
      </c>
      <c r="E1588" s="8">
        <f>QS.INSTRUMENT.SWAP("swap.1586",C1588,H1588,B1588,"USD","SOFR",I1588,J1588,0,"Actual360","Simple","Annual","Annual","Annual")</f>
        <v/>
      </c>
      <c r="F1588" s="8">
        <f>QS.TRADE.CREATE("trade.1586",C1588,E1588,A1588,"Receive")</f>
        <v/>
      </c>
      <c r="G1588" s="5"/>
      <c r="H1588" s="7" t="s">
        <v>3216</v>
      </c>
      <c r="I1588" s="9">
        <v>1158600</v>
      </c>
      <c r="J1588" s="10">
        <v>0.0386</v>
      </c>
    </row>
    <row r="1589" spans="1:10">
      <c r="A1589" s="7" t="s">
        <v>3204</v>
      </c>
      <c r="B1589" s="7" t="s">
        <v>3217</v>
      </c>
      <c r="C1589" s="8">
        <f>QS.CONTEXT.CREATE("market.1587",A1589,"USD","SOFR")</f>
        <v/>
      </c>
      <c r="D1589" s="8">
        <f>QS.CONTEXT.ADD.CURVE(C1589,"SOFR",$K$2:$K$7,$L$2:$L$7,,,"Actual360","LogLinear",TRUE)</f>
        <v/>
      </c>
      <c r="E1589" s="8">
        <f>QS.INSTRUMENT.SWAP("swap.1587",C1589,H1589,B1589,"USD","SOFR",I1589,J1589,0,"Actual360","Simple","Annual","Annual","Annual")</f>
        <v/>
      </c>
      <c r="F1589" s="8">
        <f>QS.TRADE.CREATE("trade.1587",C1589,E1589,A1589,"Receive")</f>
        <v/>
      </c>
      <c r="G1589" s="5"/>
      <c r="H1589" s="7" t="s">
        <v>3218</v>
      </c>
      <c r="I1589" s="9">
        <v>1158700</v>
      </c>
      <c r="J1589" s="10">
        <v>0.03870000000000001</v>
      </c>
    </row>
    <row r="1590" spans="1:10">
      <c r="A1590" s="7" t="s">
        <v>3206</v>
      </c>
      <c r="B1590" s="7" t="s">
        <v>3219</v>
      </c>
      <c r="C1590" s="8">
        <f>QS.CONTEXT.CREATE("market.1588",A1590,"USD","SOFR")</f>
        <v/>
      </c>
      <c r="D1590" s="8">
        <f>QS.CONTEXT.ADD.CURVE(C1590,"SOFR",$K$2:$K$7,$L$2:$L$7,,,"Actual360","LogLinear",TRUE)</f>
        <v/>
      </c>
      <c r="E1590" s="8">
        <f>QS.INSTRUMENT.SWAP("swap.1588",C1590,H1590,B1590,"USD","SOFR",I1590,J1590,0,"Actual360","Simple","Annual","Annual","Annual")</f>
        <v/>
      </c>
      <c r="F1590" s="8">
        <f>QS.TRADE.CREATE("trade.1588",C1590,E1590,A1590,"Receive")</f>
        <v/>
      </c>
      <c r="G1590" s="5"/>
      <c r="H1590" s="7" t="s">
        <v>3220</v>
      </c>
      <c r="I1590" s="9">
        <v>1158800</v>
      </c>
      <c r="J1590" s="10">
        <v>0.0388</v>
      </c>
    </row>
    <row r="1591" spans="1:10">
      <c r="A1591" s="7" t="s">
        <v>3208</v>
      </c>
      <c r="B1591" s="7" t="s">
        <v>3221</v>
      </c>
      <c r="C1591" s="8">
        <f>QS.CONTEXT.CREATE("market.1589",A1591,"USD","SOFR")</f>
        <v/>
      </c>
      <c r="D1591" s="8">
        <f>QS.CONTEXT.ADD.CURVE(C1591,"SOFR",$K$2:$K$7,$L$2:$L$7,,,"Actual360","LogLinear",TRUE)</f>
        <v/>
      </c>
      <c r="E1591" s="8">
        <f>QS.INSTRUMENT.SWAP("swap.1589",C1591,H1591,B1591,"USD","SOFR",I1591,J1591,0,"Actual360","Simple","Annual","Annual","Annual")</f>
        <v/>
      </c>
      <c r="F1591" s="8">
        <f>QS.TRADE.CREATE("trade.1589",C1591,E1591,A1591,"Receive")</f>
        <v/>
      </c>
      <c r="G1591" s="5"/>
      <c r="H1591" s="7" t="s">
        <v>3222</v>
      </c>
      <c r="I1591" s="9">
        <v>1158900</v>
      </c>
      <c r="J1591" s="10">
        <v>0.0389</v>
      </c>
    </row>
    <row r="1592" spans="1:10">
      <c r="A1592" s="7" t="s">
        <v>3210</v>
      </c>
      <c r="B1592" s="7" t="s">
        <v>3223</v>
      </c>
      <c r="C1592" s="8">
        <f>QS.CONTEXT.CREATE("market.1590",A1592,"USD","SOFR")</f>
        <v/>
      </c>
      <c r="D1592" s="8">
        <f>QS.CONTEXT.ADD.CURVE(C1592,"SOFR",$K$2:$K$7,$L$2:$L$7,,,"Actual360","LogLinear",TRUE)</f>
        <v/>
      </c>
      <c r="E1592" s="8">
        <f>QS.INSTRUMENT.SWAP("swap.1590",C1592,H1592,B1592,"USD","SOFR",I1592,J1592,0,"Actual360","Simple","Annual","Annual","Annual")</f>
        <v/>
      </c>
      <c r="F1592" s="8">
        <f>QS.TRADE.CREATE("trade.1590",C1592,E1592,A1592,"Receive")</f>
        <v/>
      </c>
      <c r="G1592" s="5"/>
      <c r="H1592" s="7" t="s">
        <v>3224</v>
      </c>
      <c r="I1592" s="9">
        <v>1159000</v>
      </c>
      <c r="J1592" s="10">
        <v>0.03900000000000001</v>
      </c>
    </row>
    <row r="1593" spans="1:10">
      <c r="A1593" s="7" t="s">
        <v>3212</v>
      </c>
      <c r="B1593" s="7" t="s">
        <v>3225</v>
      </c>
      <c r="C1593" s="8">
        <f>QS.CONTEXT.CREATE("market.1591",A1593,"USD","SOFR")</f>
        <v/>
      </c>
      <c r="D1593" s="8">
        <f>QS.CONTEXT.ADD.CURVE(C1593,"SOFR",$K$2:$K$7,$L$2:$L$7,,,"Actual360","LogLinear",TRUE)</f>
        <v/>
      </c>
      <c r="E1593" s="8">
        <f>QS.INSTRUMENT.SWAP("swap.1591",C1593,H1593,B1593,"USD","SOFR",I1593,J1593,0,"Actual360","Simple","Annual","Annual","Annual")</f>
        <v/>
      </c>
      <c r="F1593" s="8">
        <f>QS.TRADE.CREATE("trade.1591",C1593,E1593,A1593,"Receive")</f>
        <v/>
      </c>
      <c r="G1593" s="5"/>
      <c r="H1593" s="7" t="s">
        <v>3226</v>
      </c>
      <c r="I1593" s="9">
        <v>1159100</v>
      </c>
      <c r="J1593" s="10">
        <v>0.0391</v>
      </c>
    </row>
    <row r="1594" spans="1:10">
      <c r="A1594" s="7" t="s">
        <v>3214</v>
      </c>
      <c r="B1594" s="7" t="s">
        <v>3227</v>
      </c>
      <c r="C1594" s="8">
        <f>QS.CONTEXT.CREATE("market.1592",A1594,"USD","SOFR")</f>
        <v/>
      </c>
      <c r="D1594" s="8">
        <f>QS.CONTEXT.ADD.CURVE(C1594,"SOFR",$K$2:$K$7,$L$2:$L$7,,,"Actual360","LogLinear",TRUE)</f>
        <v/>
      </c>
      <c r="E1594" s="8">
        <f>QS.INSTRUMENT.SWAP("swap.1592",C1594,H1594,B1594,"USD","SOFR",I1594,J1594,0,"Actual360","Simple","Annual","Annual","Annual")</f>
        <v/>
      </c>
      <c r="F1594" s="8">
        <f>QS.TRADE.CREATE("trade.1592",C1594,E1594,A1594,"Receive")</f>
        <v/>
      </c>
      <c r="G1594" s="5"/>
      <c r="H1594" s="7" t="s">
        <v>3228</v>
      </c>
      <c r="I1594" s="9">
        <v>1159200</v>
      </c>
      <c r="J1594" s="10">
        <v>0.03920000000000001</v>
      </c>
    </row>
    <row r="1595" spans="1:10">
      <c r="A1595" s="7" t="s">
        <v>3216</v>
      </c>
      <c r="B1595" s="7" t="s">
        <v>3229</v>
      </c>
      <c r="C1595" s="8">
        <f>QS.CONTEXT.CREATE("market.1593",A1595,"USD","SOFR")</f>
        <v/>
      </c>
      <c r="D1595" s="8">
        <f>QS.CONTEXT.ADD.CURVE(C1595,"SOFR",$K$2:$K$7,$L$2:$L$7,,,"Actual360","LogLinear",TRUE)</f>
        <v/>
      </c>
      <c r="E1595" s="8">
        <f>QS.INSTRUMENT.SWAP("swap.1593",C1595,H1595,B1595,"USD","SOFR",I1595,J1595,0,"Actual360","Simple","Annual","Annual","Annual")</f>
        <v/>
      </c>
      <c r="F1595" s="8">
        <f>QS.TRADE.CREATE("trade.1593",C1595,E1595,A1595,"Receive")</f>
        <v/>
      </c>
      <c r="G1595" s="5"/>
      <c r="H1595" s="7" t="s">
        <v>3230</v>
      </c>
      <c r="I1595" s="9">
        <v>1159300</v>
      </c>
      <c r="J1595" s="10">
        <v>0.0393</v>
      </c>
    </row>
    <row r="1596" spans="1:10">
      <c r="A1596" s="7" t="s">
        <v>3218</v>
      </c>
      <c r="B1596" s="7" t="s">
        <v>3231</v>
      </c>
      <c r="C1596" s="8">
        <f>QS.CONTEXT.CREATE("market.1594",A1596,"USD","SOFR")</f>
        <v/>
      </c>
      <c r="D1596" s="8">
        <f>QS.CONTEXT.ADD.CURVE(C1596,"SOFR",$K$2:$K$7,$L$2:$L$7,,,"Actual360","LogLinear",TRUE)</f>
        <v/>
      </c>
      <c r="E1596" s="8">
        <f>QS.INSTRUMENT.SWAP("swap.1594",C1596,H1596,B1596,"USD","SOFR",I1596,J1596,0,"Actual360","Simple","Annual","Annual","Annual")</f>
        <v/>
      </c>
      <c r="F1596" s="8">
        <f>QS.TRADE.CREATE("trade.1594",C1596,E1596,A1596,"Receive")</f>
        <v/>
      </c>
      <c r="G1596" s="5"/>
      <c r="H1596" s="7" t="s">
        <v>3232</v>
      </c>
      <c r="I1596" s="9">
        <v>1159400</v>
      </c>
      <c r="J1596" s="10">
        <v>0.0394</v>
      </c>
    </row>
    <row r="1597" spans="1:10">
      <c r="A1597" s="7" t="s">
        <v>3220</v>
      </c>
      <c r="B1597" s="7" t="s">
        <v>3233</v>
      </c>
      <c r="C1597" s="8">
        <f>QS.CONTEXT.CREATE("market.1595",A1597,"USD","SOFR")</f>
        <v/>
      </c>
      <c r="D1597" s="8">
        <f>QS.CONTEXT.ADD.CURVE(C1597,"SOFR",$K$2:$K$7,$L$2:$L$7,,,"Actual360","LogLinear",TRUE)</f>
        <v/>
      </c>
      <c r="E1597" s="8">
        <f>QS.INSTRUMENT.SWAP("swap.1595",C1597,H1597,B1597,"USD","SOFR",I1597,J1597,0,"Actual360","Simple","Annual","Annual","Annual")</f>
        <v/>
      </c>
      <c r="F1597" s="8">
        <f>QS.TRADE.CREATE("trade.1595",C1597,E1597,A1597,"Receive")</f>
        <v/>
      </c>
      <c r="G1597" s="5"/>
      <c r="H1597" s="7" t="s">
        <v>3234</v>
      </c>
      <c r="I1597" s="9">
        <v>1159500</v>
      </c>
      <c r="J1597" s="10">
        <v>0.03950000000000001</v>
      </c>
    </row>
    <row r="1598" spans="1:10">
      <c r="A1598" s="7" t="s">
        <v>3222</v>
      </c>
      <c r="B1598" s="7" t="s">
        <v>3235</v>
      </c>
      <c r="C1598" s="8">
        <f>QS.CONTEXT.CREATE("market.1596",A1598,"USD","SOFR")</f>
        <v/>
      </c>
      <c r="D1598" s="8">
        <f>QS.CONTEXT.ADD.CURVE(C1598,"SOFR",$K$2:$K$7,$L$2:$L$7,,,"Actual360","LogLinear",TRUE)</f>
        <v/>
      </c>
      <c r="E1598" s="8">
        <f>QS.INSTRUMENT.SWAP("swap.1596",C1598,H1598,B1598,"USD","SOFR",I1598,J1598,0,"Actual360","Simple","Annual","Annual","Annual")</f>
        <v/>
      </c>
      <c r="F1598" s="8">
        <f>QS.TRADE.CREATE("trade.1596",C1598,E1598,A1598,"Receive")</f>
        <v/>
      </c>
      <c r="G1598" s="5"/>
      <c r="H1598" s="7" t="s">
        <v>3236</v>
      </c>
      <c r="I1598" s="9">
        <v>1159600</v>
      </c>
      <c r="J1598" s="10">
        <v>0.0396</v>
      </c>
    </row>
    <row r="1599" spans="1:10">
      <c r="A1599" s="7" t="s">
        <v>3224</v>
      </c>
      <c r="B1599" s="7" t="s">
        <v>3237</v>
      </c>
      <c r="C1599" s="8">
        <f>QS.CONTEXT.CREATE("market.1597",A1599,"USD","SOFR")</f>
        <v/>
      </c>
      <c r="D1599" s="8">
        <f>QS.CONTEXT.ADD.CURVE(C1599,"SOFR",$K$2:$K$7,$L$2:$L$7,,,"Actual360","LogLinear",TRUE)</f>
        <v/>
      </c>
      <c r="E1599" s="8">
        <f>QS.INSTRUMENT.SWAP("swap.1597",C1599,H1599,B1599,"USD","SOFR",I1599,J1599,0,"Actual360","Simple","Annual","Annual","Annual")</f>
        <v/>
      </c>
      <c r="F1599" s="8">
        <f>QS.TRADE.CREATE("trade.1597",C1599,E1599,A1599,"Receive")</f>
        <v/>
      </c>
      <c r="G1599" s="5"/>
      <c r="H1599" s="7" t="s">
        <v>3238</v>
      </c>
      <c r="I1599" s="9">
        <v>1159700</v>
      </c>
      <c r="J1599" s="10">
        <v>0.03970000000000001</v>
      </c>
    </row>
    <row r="1600" spans="1:10">
      <c r="A1600" s="7" t="s">
        <v>3226</v>
      </c>
      <c r="B1600" s="7" t="s">
        <v>3239</v>
      </c>
      <c r="C1600" s="8">
        <f>QS.CONTEXT.CREATE("market.1598",A1600,"USD","SOFR")</f>
        <v/>
      </c>
      <c r="D1600" s="8">
        <f>QS.CONTEXT.ADD.CURVE(C1600,"SOFR",$K$2:$K$7,$L$2:$L$7,,,"Actual360","LogLinear",TRUE)</f>
        <v/>
      </c>
      <c r="E1600" s="8">
        <f>QS.INSTRUMENT.SWAP("swap.1598",C1600,H1600,B1600,"USD","SOFR",I1600,J1600,0,"Actual360","Simple","Annual","Annual","Annual")</f>
        <v/>
      </c>
      <c r="F1600" s="8">
        <f>QS.TRADE.CREATE("trade.1598",C1600,E1600,A1600,"Receive")</f>
        <v/>
      </c>
      <c r="G1600" s="5"/>
      <c r="H1600" s="7" t="s">
        <v>3240</v>
      </c>
      <c r="I1600" s="9">
        <v>1159800</v>
      </c>
      <c r="J1600" s="10">
        <v>0.0398</v>
      </c>
    </row>
    <row r="1601" spans="1:10">
      <c r="A1601" s="7" t="s">
        <v>3228</v>
      </c>
      <c r="B1601" s="7" t="s">
        <v>3241</v>
      </c>
      <c r="C1601" s="8">
        <f>QS.CONTEXT.CREATE("market.1599",A1601,"USD","SOFR")</f>
        <v/>
      </c>
      <c r="D1601" s="8">
        <f>QS.CONTEXT.ADD.CURVE(C1601,"SOFR",$K$2:$K$7,$L$2:$L$7,,,"Actual360","LogLinear",TRUE)</f>
        <v/>
      </c>
      <c r="E1601" s="8">
        <f>QS.INSTRUMENT.SWAP("swap.1599",C1601,H1601,B1601,"USD","SOFR",I1601,J1601,0,"Actual360","Simple","Annual","Annual","Annual")</f>
        <v/>
      </c>
      <c r="F1601" s="8">
        <f>QS.TRADE.CREATE("trade.1599",C1601,E1601,A1601,"Receive")</f>
        <v/>
      </c>
      <c r="G1601" s="5"/>
      <c r="H1601" s="7" t="s">
        <v>3242</v>
      </c>
      <c r="I1601" s="9">
        <v>1159900</v>
      </c>
      <c r="J1601" s="10">
        <v>0.0399</v>
      </c>
    </row>
    <row r="1602" spans="1:10">
      <c r="A1602" s="7" t="s">
        <v>3230</v>
      </c>
      <c r="B1602" s="7" t="s">
        <v>3243</v>
      </c>
      <c r="C1602" s="8">
        <f>QS.CONTEXT.CREATE("market.1600",A1602,"USD","SOFR")</f>
        <v/>
      </c>
      <c r="D1602" s="8">
        <f>QS.CONTEXT.ADD.CURVE(C1602,"SOFR",$K$2:$K$7,$L$2:$L$7,,,"Actual360","LogLinear",TRUE)</f>
        <v/>
      </c>
      <c r="E1602" s="8">
        <f>QS.INSTRUMENT.SWAP("swap.1600",C1602,H1602,B1602,"USD","SOFR",I1602,J1602,0,"Actual360","Simple","Annual","Annual","Annual")</f>
        <v/>
      </c>
      <c r="F1602" s="8">
        <f>QS.TRADE.CREATE("trade.1600",C1602,E1602,A1602,"Receive")</f>
        <v/>
      </c>
      <c r="G1602" s="5"/>
      <c r="H1602" s="7" t="s">
        <v>3244</v>
      </c>
      <c r="I1602" s="9">
        <v>1160000</v>
      </c>
      <c r="J1602" s="10">
        <v>0.035</v>
      </c>
    </row>
    <row r="1603" spans="1:10">
      <c r="A1603" s="7" t="s">
        <v>3232</v>
      </c>
      <c r="B1603" s="7" t="s">
        <v>3245</v>
      </c>
      <c r="C1603" s="8">
        <f>QS.CONTEXT.CREATE("market.1601",A1603,"USD","SOFR")</f>
        <v/>
      </c>
      <c r="D1603" s="8">
        <f>QS.CONTEXT.ADD.CURVE(C1603,"SOFR",$K$2:$K$7,$L$2:$L$7,,,"Actual360","LogLinear",TRUE)</f>
        <v/>
      </c>
      <c r="E1603" s="8">
        <f>QS.INSTRUMENT.SWAP("swap.1601",C1603,H1603,B1603,"USD","SOFR",I1603,J1603,0,"Actual360","Simple","Annual","Annual","Annual")</f>
        <v/>
      </c>
      <c r="F1603" s="8">
        <f>QS.TRADE.CREATE("trade.1601",C1603,E1603,A1603,"Receive")</f>
        <v/>
      </c>
      <c r="G1603" s="5"/>
      <c r="H1603" s="7" t="s">
        <v>3246</v>
      </c>
      <c r="I1603" s="9">
        <v>1160100</v>
      </c>
      <c r="J1603" s="10">
        <v>0.03510000000000001</v>
      </c>
    </row>
    <row r="1604" spans="1:10">
      <c r="A1604" s="7" t="s">
        <v>3234</v>
      </c>
      <c r="B1604" s="7" t="s">
        <v>3247</v>
      </c>
      <c r="C1604" s="8">
        <f>QS.CONTEXT.CREATE("market.1602",A1604,"USD","SOFR")</f>
        <v/>
      </c>
      <c r="D1604" s="8">
        <f>QS.CONTEXT.ADD.CURVE(C1604,"SOFR",$K$2:$K$7,$L$2:$L$7,,,"Actual360","LogLinear",TRUE)</f>
        <v/>
      </c>
      <c r="E1604" s="8">
        <f>QS.INSTRUMENT.SWAP("swap.1602",C1604,H1604,B1604,"USD","SOFR",I1604,J1604,0,"Actual360","Simple","Annual","Annual","Annual")</f>
        <v/>
      </c>
      <c r="F1604" s="8">
        <f>QS.TRADE.CREATE("trade.1602",C1604,E1604,A1604,"Receive")</f>
        <v/>
      </c>
      <c r="G1604" s="5"/>
      <c r="H1604" s="7" t="s">
        <v>3248</v>
      </c>
      <c r="I1604" s="9">
        <v>1160200</v>
      </c>
      <c r="J1604" s="10">
        <v>0.0352</v>
      </c>
    </row>
    <row r="1605" spans="1:10">
      <c r="A1605" s="7" t="s">
        <v>3236</v>
      </c>
      <c r="B1605" s="7" t="s">
        <v>3249</v>
      </c>
      <c r="C1605" s="8">
        <f>QS.CONTEXT.CREATE("market.1603",A1605,"USD","SOFR")</f>
        <v/>
      </c>
      <c r="D1605" s="8">
        <f>QS.CONTEXT.ADD.CURVE(C1605,"SOFR",$K$2:$K$7,$L$2:$L$7,,,"Actual360","LogLinear",TRUE)</f>
        <v/>
      </c>
      <c r="E1605" s="8">
        <f>QS.INSTRUMENT.SWAP("swap.1603",C1605,H1605,B1605,"USD","SOFR",I1605,J1605,0,"Actual360","Simple","Annual","Annual","Annual")</f>
        <v/>
      </c>
      <c r="F1605" s="8">
        <f>QS.TRADE.CREATE("trade.1603",C1605,E1605,A1605,"Receive")</f>
        <v/>
      </c>
      <c r="G1605" s="5"/>
      <c r="H1605" s="7" t="s">
        <v>3250</v>
      </c>
      <c r="I1605" s="9">
        <v>1160300</v>
      </c>
      <c r="J1605" s="10">
        <v>0.0353</v>
      </c>
    </row>
    <row r="1606" spans="1:10">
      <c r="A1606" s="7" t="s">
        <v>3238</v>
      </c>
      <c r="B1606" s="7" t="s">
        <v>3251</v>
      </c>
      <c r="C1606" s="8">
        <f>QS.CONTEXT.CREATE("market.1604",A1606,"USD","SOFR")</f>
        <v/>
      </c>
      <c r="D1606" s="8">
        <f>QS.CONTEXT.ADD.CURVE(C1606,"SOFR",$K$2:$K$7,$L$2:$L$7,,,"Actual360","LogLinear",TRUE)</f>
        <v/>
      </c>
      <c r="E1606" s="8">
        <f>QS.INSTRUMENT.SWAP("swap.1604",C1606,H1606,B1606,"USD","SOFR",I1606,J1606,0,"Actual360","Simple","Annual","Annual","Annual")</f>
        <v/>
      </c>
      <c r="F1606" s="8">
        <f>QS.TRADE.CREATE("trade.1604",C1606,E1606,A1606,"Receive")</f>
        <v/>
      </c>
      <c r="G1606" s="5"/>
      <c r="H1606" s="7" t="s">
        <v>3252</v>
      </c>
      <c r="I1606" s="9">
        <v>1160400</v>
      </c>
      <c r="J1606" s="10">
        <v>0.0354</v>
      </c>
    </row>
    <row r="1607" spans="1:10">
      <c r="A1607" s="7" t="s">
        <v>3240</v>
      </c>
      <c r="B1607" s="7" t="s">
        <v>3253</v>
      </c>
      <c r="C1607" s="8">
        <f>QS.CONTEXT.CREATE("market.1605",A1607,"USD","SOFR")</f>
        <v/>
      </c>
      <c r="D1607" s="8">
        <f>QS.CONTEXT.ADD.CURVE(C1607,"SOFR",$K$2:$K$7,$L$2:$L$7,,,"Actual360","LogLinear",TRUE)</f>
        <v/>
      </c>
      <c r="E1607" s="8">
        <f>QS.INSTRUMENT.SWAP("swap.1605",C1607,H1607,B1607,"USD","SOFR",I1607,J1607,0,"Actual360","Simple","Annual","Annual","Annual")</f>
        <v/>
      </c>
      <c r="F1607" s="8">
        <f>QS.TRADE.CREATE("trade.1605",C1607,E1607,A1607,"Receive")</f>
        <v/>
      </c>
      <c r="G1607" s="5"/>
      <c r="H1607" s="7" t="s">
        <v>3254</v>
      </c>
      <c r="I1607" s="9">
        <v>1160500</v>
      </c>
      <c r="J1607" s="10">
        <v>0.0355</v>
      </c>
    </row>
    <row r="1608" spans="1:10">
      <c r="A1608" s="7" t="s">
        <v>3242</v>
      </c>
      <c r="B1608" s="7" t="s">
        <v>3255</v>
      </c>
      <c r="C1608" s="8">
        <f>QS.CONTEXT.CREATE("market.1606",A1608,"USD","SOFR")</f>
        <v/>
      </c>
      <c r="D1608" s="8">
        <f>QS.CONTEXT.ADD.CURVE(C1608,"SOFR",$K$2:$K$7,$L$2:$L$7,,,"Actual360","LogLinear",TRUE)</f>
        <v/>
      </c>
      <c r="E1608" s="8">
        <f>QS.INSTRUMENT.SWAP("swap.1606",C1608,H1608,B1608,"USD","SOFR",I1608,J1608,0,"Actual360","Simple","Annual","Annual","Annual")</f>
        <v/>
      </c>
      <c r="F1608" s="8">
        <f>QS.TRADE.CREATE("trade.1606",C1608,E1608,A1608,"Receive")</f>
        <v/>
      </c>
      <c r="G1608" s="5"/>
      <c r="H1608" s="7" t="s">
        <v>3256</v>
      </c>
      <c r="I1608" s="9">
        <v>1160600</v>
      </c>
      <c r="J1608" s="10">
        <v>0.03560000000000001</v>
      </c>
    </row>
    <row r="1609" spans="1:10">
      <c r="A1609" s="7" t="s">
        <v>3244</v>
      </c>
      <c r="B1609" s="7" t="s">
        <v>3257</v>
      </c>
      <c r="C1609" s="8">
        <f>QS.CONTEXT.CREATE("market.1607",A1609,"USD","SOFR")</f>
        <v/>
      </c>
      <c r="D1609" s="8">
        <f>QS.CONTEXT.ADD.CURVE(C1609,"SOFR",$K$2:$K$7,$L$2:$L$7,,,"Actual360","LogLinear",TRUE)</f>
        <v/>
      </c>
      <c r="E1609" s="8">
        <f>QS.INSTRUMENT.SWAP("swap.1607",C1609,H1609,B1609,"USD","SOFR",I1609,J1609,0,"Actual360","Simple","Annual","Annual","Annual")</f>
        <v/>
      </c>
      <c r="F1609" s="8">
        <f>QS.TRADE.CREATE("trade.1607",C1609,E1609,A1609,"Receive")</f>
        <v/>
      </c>
      <c r="G1609" s="5"/>
      <c r="H1609" s="7" t="s">
        <v>3258</v>
      </c>
      <c r="I1609" s="9">
        <v>1160700</v>
      </c>
      <c r="J1609" s="10">
        <v>0.0357</v>
      </c>
    </row>
    <row r="1610" spans="1:10">
      <c r="A1610" s="7" t="s">
        <v>3246</v>
      </c>
      <c r="B1610" s="7" t="s">
        <v>3259</v>
      </c>
      <c r="C1610" s="8">
        <f>QS.CONTEXT.CREATE("market.1608",A1610,"USD","SOFR")</f>
        <v/>
      </c>
      <c r="D1610" s="8">
        <f>QS.CONTEXT.ADD.CURVE(C1610,"SOFR",$K$2:$K$7,$L$2:$L$7,,,"Actual360","LogLinear",TRUE)</f>
        <v/>
      </c>
      <c r="E1610" s="8">
        <f>QS.INSTRUMENT.SWAP("swap.1608",C1610,H1610,B1610,"USD","SOFR",I1610,J1610,0,"Actual360","Simple","Annual","Annual","Annual")</f>
        <v/>
      </c>
      <c r="F1610" s="8">
        <f>QS.TRADE.CREATE("trade.1608",C1610,E1610,A1610,"Receive")</f>
        <v/>
      </c>
      <c r="G1610" s="5"/>
      <c r="H1610" s="7" t="s">
        <v>3260</v>
      </c>
      <c r="I1610" s="9">
        <v>1160800</v>
      </c>
      <c r="J1610" s="10">
        <v>0.03580000000000001</v>
      </c>
    </row>
    <row r="1611" spans="1:10">
      <c r="A1611" s="7" t="s">
        <v>3248</v>
      </c>
      <c r="B1611" s="7" t="s">
        <v>3261</v>
      </c>
      <c r="C1611" s="8">
        <f>QS.CONTEXT.CREATE("market.1609",A1611,"USD","SOFR")</f>
        <v/>
      </c>
      <c r="D1611" s="8">
        <f>QS.CONTEXT.ADD.CURVE(C1611,"SOFR",$K$2:$K$7,$L$2:$L$7,,,"Actual360","LogLinear",TRUE)</f>
        <v/>
      </c>
      <c r="E1611" s="8">
        <f>QS.INSTRUMENT.SWAP("swap.1609",C1611,H1611,B1611,"USD","SOFR",I1611,J1611,0,"Actual360","Simple","Annual","Annual","Annual")</f>
        <v/>
      </c>
      <c r="F1611" s="8">
        <f>QS.TRADE.CREATE("trade.1609",C1611,E1611,A1611,"Receive")</f>
        <v/>
      </c>
      <c r="G1611" s="5"/>
      <c r="H1611" s="7" t="s">
        <v>3262</v>
      </c>
      <c r="I1611" s="9">
        <v>1160900</v>
      </c>
      <c r="J1611" s="10">
        <v>0.0359</v>
      </c>
    </row>
    <row r="1612" spans="1:10">
      <c r="A1612" s="7" t="s">
        <v>3250</v>
      </c>
      <c r="B1612" s="7" t="s">
        <v>3263</v>
      </c>
      <c r="C1612" s="8">
        <f>QS.CONTEXT.CREATE("market.1610",A1612,"USD","SOFR")</f>
        <v/>
      </c>
      <c r="D1612" s="8">
        <f>QS.CONTEXT.ADD.CURVE(C1612,"SOFR",$K$2:$K$7,$L$2:$L$7,,,"Actual360","LogLinear",TRUE)</f>
        <v/>
      </c>
      <c r="E1612" s="8">
        <f>QS.INSTRUMENT.SWAP("swap.1610",C1612,H1612,B1612,"USD","SOFR",I1612,J1612,0,"Actual360","Simple","Annual","Annual","Annual")</f>
        <v/>
      </c>
      <c r="F1612" s="8">
        <f>QS.TRADE.CREATE("trade.1610",C1612,E1612,A1612,"Receive")</f>
        <v/>
      </c>
      <c r="G1612" s="5"/>
      <c r="H1612" s="7" t="s">
        <v>3264</v>
      </c>
      <c r="I1612" s="9">
        <v>1161000</v>
      </c>
      <c r="J1612" s="10">
        <v>0.036</v>
      </c>
    </row>
    <row r="1613" spans="1:10">
      <c r="A1613" s="7" t="s">
        <v>3252</v>
      </c>
      <c r="B1613" s="7" t="s">
        <v>3265</v>
      </c>
      <c r="C1613" s="8">
        <f>QS.CONTEXT.CREATE("market.1611",A1613,"USD","SOFR")</f>
        <v/>
      </c>
      <c r="D1613" s="8">
        <f>QS.CONTEXT.ADD.CURVE(C1613,"SOFR",$K$2:$K$7,$L$2:$L$7,,,"Actual360","LogLinear",TRUE)</f>
        <v/>
      </c>
      <c r="E1613" s="8">
        <f>QS.INSTRUMENT.SWAP("swap.1611",C1613,H1613,B1613,"USD","SOFR",I1613,J1613,0,"Actual360","Simple","Annual","Annual","Annual")</f>
        <v/>
      </c>
      <c r="F1613" s="8">
        <f>QS.TRADE.CREATE("trade.1611",C1613,E1613,A1613,"Receive")</f>
        <v/>
      </c>
      <c r="G1613" s="5"/>
      <c r="H1613" s="7" t="s">
        <v>3266</v>
      </c>
      <c r="I1613" s="9">
        <v>1161100</v>
      </c>
      <c r="J1613" s="10">
        <v>0.0361</v>
      </c>
    </row>
    <row r="1614" spans="1:10">
      <c r="A1614" s="7" t="s">
        <v>3254</v>
      </c>
      <c r="B1614" s="7" t="s">
        <v>3267</v>
      </c>
      <c r="C1614" s="8">
        <f>QS.CONTEXT.CREATE("market.1612",A1614,"USD","SOFR")</f>
        <v/>
      </c>
      <c r="D1614" s="8">
        <f>QS.CONTEXT.ADD.CURVE(C1614,"SOFR",$K$2:$K$7,$L$2:$L$7,,,"Actual360","LogLinear",TRUE)</f>
        <v/>
      </c>
      <c r="E1614" s="8">
        <f>QS.INSTRUMENT.SWAP("swap.1612",C1614,H1614,B1614,"USD","SOFR",I1614,J1614,0,"Actual360","Simple","Annual","Annual","Annual")</f>
        <v/>
      </c>
      <c r="F1614" s="8">
        <f>QS.TRADE.CREATE("trade.1612",C1614,E1614,A1614,"Receive")</f>
        <v/>
      </c>
      <c r="G1614" s="5"/>
      <c r="H1614" s="7" t="s">
        <v>3268</v>
      </c>
      <c r="I1614" s="9">
        <v>1161200</v>
      </c>
      <c r="J1614" s="10">
        <v>0.0362</v>
      </c>
    </row>
    <row r="1615" spans="1:10">
      <c r="A1615" s="7" t="s">
        <v>3256</v>
      </c>
      <c r="B1615" s="7" t="s">
        <v>3269</v>
      </c>
      <c r="C1615" s="8">
        <f>QS.CONTEXT.CREATE("market.1613",A1615,"USD","SOFR")</f>
        <v/>
      </c>
      <c r="D1615" s="8">
        <f>QS.CONTEXT.ADD.CURVE(C1615,"SOFR",$K$2:$K$7,$L$2:$L$7,,,"Actual360","LogLinear",TRUE)</f>
        <v/>
      </c>
      <c r="E1615" s="8">
        <f>QS.INSTRUMENT.SWAP("swap.1613",C1615,H1615,B1615,"USD","SOFR",I1615,J1615,0,"Actual360","Simple","Annual","Annual","Annual")</f>
        <v/>
      </c>
      <c r="F1615" s="8">
        <f>QS.TRADE.CREATE("trade.1613",C1615,E1615,A1615,"Receive")</f>
        <v/>
      </c>
      <c r="G1615" s="5"/>
      <c r="H1615" s="7" t="s">
        <v>3270</v>
      </c>
      <c r="I1615" s="9">
        <v>1161300</v>
      </c>
      <c r="J1615" s="10">
        <v>0.03630000000000001</v>
      </c>
    </row>
    <row r="1616" spans="1:10">
      <c r="A1616" s="7" t="s">
        <v>3258</v>
      </c>
      <c r="B1616" s="7" t="s">
        <v>3271</v>
      </c>
      <c r="C1616" s="8">
        <f>QS.CONTEXT.CREATE("market.1614",A1616,"USD","SOFR")</f>
        <v/>
      </c>
      <c r="D1616" s="8">
        <f>QS.CONTEXT.ADD.CURVE(C1616,"SOFR",$K$2:$K$7,$L$2:$L$7,,,"Actual360","LogLinear",TRUE)</f>
        <v/>
      </c>
      <c r="E1616" s="8">
        <f>QS.INSTRUMENT.SWAP("swap.1614",C1616,H1616,B1616,"USD","SOFR",I1616,J1616,0,"Actual360","Simple","Annual","Annual","Annual")</f>
        <v/>
      </c>
      <c r="F1616" s="8">
        <f>QS.TRADE.CREATE("trade.1614",C1616,E1616,A1616,"Receive")</f>
        <v/>
      </c>
      <c r="G1616" s="5"/>
      <c r="H1616" s="7" t="s">
        <v>3272</v>
      </c>
      <c r="I1616" s="9">
        <v>1161400</v>
      </c>
      <c r="J1616" s="10">
        <v>0.0364</v>
      </c>
    </row>
    <row r="1617" spans="1:10">
      <c r="A1617" s="7" t="s">
        <v>3260</v>
      </c>
      <c r="B1617" s="7" t="s">
        <v>3273</v>
      </c>
      <c r="C1617" s="8">
        <f>QS.CONTEXT.CREATE("market.1615",A1617,"USD","SOFR")</f>
        <v/>
      </c>
      <c r="D1617" s="8">
        <f>QS.CONTEXT.ADD.CURVE(C1617,"SOFR",$K$2:$K$7,$L$2:$L$7,,,"Actual360","LogLinear",TRUE)</f>
        <v/>
      </c>
      <c r="E1617" s="8">
        <f>QS.INSTRUMENT.SWAP("swap.1615",C1617,H1617,B1617,"USD","SOFR",I1617,J1617,0,"Actual360","Simple","Annual","Annual","Annual")</f>
        <v/>
      </c>
      <c r="F1617" s="8">
        <f>QS.TRADE.CREATE("trade.1615",C1617,E1617,A1617,"Receive")</f>
        <v/>
      </c>
      <c r="G1617" s="5"/>
      <c r="H1617" s="7" t="s">
        <v>3274</v>
      </c>
      <c r="I1617" s="9">
        <v>1161500</v>
      </c>
      <c r="J1617" s="10">
        <v>0.0365</v>
      </c>
    </row>
    <row r="1618" spans="1:10">
      <c r="A1618" s="7" t="s">
        <v>3262</v>
      </c>
      <c r="B1618" s="7" t="s">
        <v>3275</v>
      </c>
      <c r="C1618" s="8">
        <f>QS.CONTEXT.CREATE("market.1616",A1618,"USD","SOFR")</f>
        <v/>
      </c>
      <c r="D1618" s="8">
        <f>QS.CONTEXT.ADD.CURVE(C1618,"SOFR",$K$2:$K$7,$L$2:$L$7,,,"Actual360","LogLinear",TRUE)</f>
        <v/>
      </c>
      <c r="E1618" s="8">
        <f>QS.INSTRUMENT.SWAP("swap.1616",C1618,H1618,B1618,"USD","SOFR",I1618,J1618,0,"Actual360","Simple","Annual","Annual","Annual")</f>
        <v/>
      </c>
      <c r="F1618" s="8">
        <f>QS.TRADE.CREATE("trade.1616",C1618,E1618,A1618,"Receive")</f>
        <v/>
      </c>
      <c r="G1618" s="5"/>
      <c r="H1618" s="7" t="s">
        <v>3276</v>
      </c>
      <c r="I1618" s="9">
        <v>1161600</v>
      </c>
      <c r="J1618" s="10">
        <v>0.0366</v>
      </c>
    </row>
    <row r="1619" spans="1:10">
      <c r="A1619" s="7" t="s">
        <v>3264</v>
      </c>
      <c r="B1619" s="7" t="s">
        <v>3277</v>
      </c>
      <c r="C1619" s="8">
        <f>QS.CONTEXT.CREATE("market.1617",A1619,"USD","SOFR")</f>
        <v/>
      </c>
      <c r="D1619" s="8">
        <f>QS.CONTEXT.ADD.CURVE(C1619,"SOFR",$K$2:$K$7,$L$2:$L$7,,,"Actual360","LogLinear",TRUE)</f>
        <v/>
      </c>
      <c r="E1619" s="8">
        <f>QS.INSTRUMENT.SWAP("swap.1617",C1619,H1619,B1619,"USD","SOFR",I1619,J1619,0,"Actual360","Simple","Annual","Annual","Annual")</f>
        <v/>
      </c>
      <c r="F1619" s="8">
        <f>QS.TRADE.CREATE("trade.1617",C1619,E1619,A1619,"Receive")</f>
        <v/>
      </c>
      <c r="G1619" s="5"/>
      <c r="H1619" s="7" t="s">
        <v>3278</v>
      </c>
      <c r="I1619" s="9">
        <v>1161700</v>
      </c>
      <c r="J1619" s="10">
        <v>0.0367</v>
      </c>
    </row>
    <row r="1620" spans="1:10">
      <c r="A1620" s="7" t="s">
        <v>3266</v>
      </c>
      <c r="B1620" s="7" t="s">
        <v>3279</v>
      </c>
      <c r="C1620" s="8">
        <f>QS.CONTEXT.CREATE("market.1618",A1620,"USD","SOFR")</f>
        <v/>
      </c>
      <c r="D1620" s="8">
        <f>QS.CONTEXT.ADD.CURVE(C1620,"SOFR",$K$2:$K$7,$L$2:$L$7,,,"Actual360","LogLinear",TRUE)</f>
        <v/>
      </c>
      <c r="E1620" s="8">
        <f>QS.INSTRUMENT.SWAP("swap.1618",C1620,H1620,B1620,"USD","SOFR",I1620,J1620,0,"Actual360","Simple","Annual","Annual","Annual")</f>
        <v/>
      </c>
      <c r="F1620" s="8">
        <f>QS.TRADE.CREATE("trade.1618",C1620,E1620,A1620,"Receive")</f>
        <v/>
      </c>
      <c r="G1620" s="5"/>
      <c r="H1620" s="7" t="s">
        <v>3280</v>
      </c>
      <c r="I1620" s="9">
        <v>1161800</v>
      </c>
      <c r="J1620" s="10">
        <v>0.03680000000000001</v>
      </c>
    </row>
    <row r="1621" spans="1:10">
      <c r="A1621" s="7" t="s">
        <v>3268</v>
      </c>
      <c r="B1621" s="7" t="s">
        <v>3281</v>
      </c>
      <c r="C1621" s="8">
        <f>QS.CONTEXT.CREATE("market.1619",A1621,"USD","SOFR")</f>
        <v/>
      </c>
      <c r="D1621" s="8">
        <f>QS.CONTEXT.ADD.CURVE(C1621,"SOFR",$K$2:$K$7,$L$2:$L$7,,,"Actual360","LogLinear",TRUE)</f>
        <v/>
      </c>
      <c r="E1621" s="8">
        <f>QS.INSTRUMENT.SWAP("swap.1619",C1621,H1621,B1621,"USD","SOFR",I1621,J1621,0,"Actual360","Simple","Annual","Annual","Annual")</f>
        <v/>
      </c>
      <c r="F1621" s="8">
        <f>QS.TRADE.CREATE("trade.1619",C1621,E1621,A1621,"Receive")</f>
        <v/>
      </c>
      <c r="G1621" s="5"/>
      <c r="H1621" s="7" t="s">
        <v>3282</v>
      </c>
      <c r="I1621" s="9">
        <v>1161900</v>
      </c>
      <c r="J1621" s="10">
        <v>0.0369</v>
      </c>
    </row>
    <row r="1622" spans="1:10">
      <c r="A1622" s="7" t="s">
        <v>3270</v>
      </c>
      <c r="B1622" s="7" t="s">
        <v>3283</v>
      </c>
      <c r="C1622" s="8">
        <f>QS.CONTEXT.CREATE("market.1620",A1622,"USD","SOFR")</f>
        <v/>
      </c>
      <c r="D1622" s="8">
        <f>QS.CONTEXT.ADD.CURVE(C1622,"SOFR",$K$2:$K$7,$L$2:$L$7,,,"Actual360","LogLinear",TRUE)</f>
        <v/>
      </c>
      <c r="E1622" s="8">
        <f>QS.INSTRUMENT.SWAP("swap.1620",C1622,H1622,B1622,"USD","SOFR",I1622,J1622,0,"Actual360","Simple","Annual","Annual","Annual")</f>
        <v/>
      </c>
      <c r="F1622" s="8">
        <f>QS.TRADE.CREATE("trade.1620",C1622,E1622,A1622,"Receive")</f>
        <v/>
      </c>
      <c r="G1622" s="5"/>
      <c r="H1622" s="7" t="s">
        <v>3284</v>
      </c>
      <c r="I1622" s="9">
        <v>1162000</v>
      </c>
      <c r="J1622" s="10">
        <v>0.03700000000000001</v>
      </c>
    </row>
    <row r="1623" spans="1:10">
      <c r="A1623" s="7" t="s">
        <v>3272</v>
      </c>
      <c r="B1623" s="7" t="s">
        <v>3285</v>
      </c>
      <c r="C1623" s="8">
        <f>QS.CONTEXT.CREATE("market.1621",A1623,"USD","SOFR")</f>
        <v/>
      </c>
      <c r="D1623" s="8">
        <f>QS.CONTEXT.ADD.CURVE(C1623,"SOFR",$K$2:$K$7,$L$2:$L$7,,,"Actual360","LogLinear",TRUE)</f>
        <v/>
      </c>
      <c r="E1623" s="8">
        <f>QS.INSTRUMENT.SWAP("swap.1621",C1623,H1623,B1623,"USD","SOFR",I1623,J1623,0,"Actual360","Simple","Annual","Annual","Annual")</f>
        <v/>
      </c>
      <c r="F1623" s="8">
        <f>QS.TRADE.CREATE("trade.1621",C1623,E1623,A1623,"Receive")</f>
        <v/>
      </c>
      <c r="G1623" s="5"/>
      <c r="H1623" s="7" t="s">
        <v>3286</v>
      </c>
      <c r="I1623" s="9">
        <v>1162100</v>
      </c>
      <c r="J1623" s="10">
        <v>0.0371</v>
      </c>
    </row>
    <row r="1624" spans="1:10">
      <c r="A1624" s="7" t="s">
        <v>3274</v>
      </c>
      <c r="B1624" s="7" t="s">
        <v>3287</v>
      </c>
      <c r="C1624" s="8">
        <f>QS.CONTEXT.CREATE("market.1622",A1624,"USD","SOFR")</f>
        <v/>
      </c>
      <c r="D1624" s="8">
        <f>QS.CONTEXT.ADD.CURVE(C1624,"SOFR",$K$2:$K$7,$L$2:$L$7,,,"Actual360","LogLinear",TRUE)</f>
        <v/>
      </c>
      <c r="E1624" s="8">
        <f>QS.INSTRUMENT.SWAP("swap.1622",C1624,H1624,B1624,"USD","SOFR",I1624,J1624,0,"Actual360","Simple","Annual","Annual","Annual")</f>
        <v/>
      </c>
      <c r="F1624" s="8">
        <f>QS.TRADE.CREATE("trade.1622",C1624,E1624,A1624,"Receive")</f>
        <v/>
      </c>
      <c r="G1624" s="5"/>
      <c r="H1624" s="7" t="s">
        <v>3288</v>
      </c>
      <c r="I1624" s="9">
        <v>1162200</v>
      </c>
      <c r="J1624" s="10">
        <v>0.0372</v>
      </c>
    </row>
    <row r="1625" spans="1:10">
      <c r="A1625" s="7" t="s">
        <v>3276</v>
      </c>
      <c r="B1625" s="7" t="s">
        <v>3289</v>
      </c>
      <c r="C1625" s="8">
        <f>QS.CONTEXT.CREATE("market.1623",A1625,"USD","SOFR")</f>
        <v/>
      </c>
      <c r="D1625" s="8">
        <f>QS.CONTEXT.ADD.CURVE(C1625,"SOFR",$K$2:$K$7,$L$2:$L$7,,,"Actual360","LogLinear",TRUE)</f>
        <v/>
      </c>
      <c r="E1625" s="8">
        <f>QS.INSTRUMENT.SWAP("swap.1623",C1625,H1625,B1625,"USD","SOFR",I1625,J1625,0,"Actual360","Simple","Annual","Annual","Annual")</f>
        <v/>
      </c>
      <c r="F1625" s="8">
        <f>QS.TRADE.CREATE("trade.1623",C1625,E1625,A1625,"Receive")</f>
        <v/>
      </c>
      <c r="G1625" s="5"/>
      <c r="H1625" s="7" t="s">
        <v>3290</v>
      </c>
      <c r="I1625" s="9">
        <v>1162300</v>
      </c>
      <c r="J1625" s="10">
        <v>0.0373</v>
      </c>
    </row>
    <row r="1626" spans="1:10">
      <c r="A1626" s="7" t="s">
        <v>3278</v>
      </c>
      <c r="B1626" s="7" t="s">
        <v>3291</v>
      </c>
      <c r="C1626" s="8">
        <f>QS.CONTEXT.CREATE("market.1624",A1626,"USD","SOFR")</f>
        <v/>
      </c>
      <c r="D1626" s="8">
        <f>QS.CONTEXT.ADD.CURVE(C1626,"SOFR",$K$2:$K$7,$L$2:$L$7,,,"Actual360","LogLinear",TRUE)</f>
        <v/>
      </c>
      <c r="E1626" s="8">
        <f>QS.INSTRUMENT.SWAP("swap.1624",C1626,H1626,B1626,"USD","SOFR",I1626,J1626,0,"Actual360","Simple","Annual","Annual","Annual")</f>
        <v/>
      </c>
      <c r="F1626" s="8">
        <f>QS.TRADE.CREATE("trade.1624",C1626,E1626,A1626,"Receive")</f>
        <v/>
      </c>
      <c r="G1626" s="5"/>
      <c r="H1626" s="7" t="s">
        <v>3292</v>
      </c>
      <c r="I1626" s="9">
        <v>1162400</v>
      </c>
      <c r="J1626" s="10">
        <v>0.0374</v>
      </c>
    </row>
    <row r="1627" spans="1:10">
      <c r="A1627" s="7" t="s">
        <v>3280</v>
      </c>
      <c r="B1627" s="7" t="s">
        <v>3293</v>
      </c>
      <c r="C1627" s="8">
        <f>QS.CONTEXT.CREATE("market.1625",A1627,"USD","SOFR")</f>
        <v/>
      </c>
      <c r="D1627" s="8">
        <f>QS.CONTEXT.ADD.CURVE(C1627,"SOFR",$K$2:$K$7,$L$2:$L$7,,,"Actual360","LogLinear",TRUE)</f>
        <v/>
      </c>
      <c r="E1627" s="8">
        <f>QS.INSTRUMENT.SWAP("swap.1625",C1627,H1627,B1627,"USD","SOFR",I1627,J1627,0,"Actual360","Simple","Annual","Annual","Annual")</f>
        <v/>
      </c>
      <c r="F1627" s="8">
        <f>QS.TRADE.CREATE("trade.1625",C1627,E1627,A1627,"Receive")</f>
        <v/>
      </c>
      <c r="G1627" s="5"/>
      <c r="H1627" s="7" t="s">
        <v>3294</v>
      </c>
      <c r="I1627" s="9">
        <v>1162500</v>
      </c>
      <c r="J1627" s="10">
        <v>0.03750000000000001</v>
      </c>
    </row>
    <row r="1628" spans="1:10">
      <c r="A1628" s="7" t="s">
        <v>3282</v>
      </c>
      <c r="B1628" s="7" t="s">
        <v>3295</v>
      </c>
      <c r="C1628" s="8">
        <f>QS.CONTEXT.CREATE("market.1626",A1628,"USD","SOFR")</f>
        <v/>
      </c>
      <c r="D1628" s="8">
        <f>QS.CONTEXT.ADD.CURVE(C1628,"SOFR",$K$2:$K$7,$L$2:$L$7,,,"Actual360","LogLinear",TRUE)</f>
        <v/>
      </c>
      <c r="E1628" s="8">
        <f>QS.INSTRUMENT.SWAP("swap.1626",C1628,H1628,B1628,"USD","SOFR",I1628,J1628,0,"Actual360","Simple","Annual","Annual","Annual")</f>
        <v/>
      </c>
      <c r="F1628" s="8">
        <f>QS.TRADE.CREATE("trade.1626",C1628,E1628,A1628,"Receive")</f>
        <v/>
      </c>
      <c r="G1628" s="5"/>
      <c r="H1628" s="7" t="s">
        <v>3296</v>
      </c>
      <c r="I1628" s="9">
        <v>1162600</v>
      </c>
      <c r="J1628" s="10">
        <v>0.0376</v>
      </c>
    </row>
    <row r="1629" spans="1:10">
      <c r="A1629" s="7" t="s">
        <v>3284</v>
      </c>
      <c r="B1629" s="7" t="s">
        <v>3297</v>
      </c>
      <c r="C1629" s="8">
        <f>QS.CONTEXT.CREATE("market.1627",A1629,"USD","SOFR")</f>
        <v/>
      </c>
      <c r="D1629" s="8">
        <f>QS.CONTEXT.ADD.CURVE(C1629,"SOFR",$K$2:$K$7,$L$2:$L$7,,,"Actual360","LogLinear",TRUE)</f>
        <v/>
      </c>
      <c r="E1629" s="8">
        <f>QS.INSTRUMENT.SWAP("swap.1627",C1629,H1629,B1629,"USD","SOFR",I1629,J1629,0,"Actual360","Simple","Annual","Annual","Annual")</f>
        <v/>
      </c>
      <c r="F1629" s="8">
        <f>QS.TRADE.CREATE("trade.1627",C1629,E1629,A1629,"Receive")</f>
        <v/>
      </c>
      <c r="G1629" s="5"/>
      <c r="H1629" s="7" t="s">
        <v>3298</v>
      </c>
      <c r="I1629" s="9">
        <v>1162700</v>
      </c>
      <c r="J1629" s="10">
        <v>0.0377</v>
      </c>
    </row>
    <row r="1630" spans="1:10">
      <c r="A1630" s="7" t="s">
        <v>3286</v>
      </c>
      <c r="B1630" s="7" t="s">
        <v>3299</v>
      </c>
      <c r="C1630" s="8">
        <f>QS.CONTEXT.CREATE("market.1628",A1630,"USD","SOFR")</f>
        <v/>
      </c>
      <c r="D1630" s="8">
        <f>QS.CONTEXT.ADD.CURVE(C1630,"SOFR",$K$2:$K$7,$L$2:$L$7,,,"Actual360","LogLinear",TRUE)</f>
        <v/>
      </c>
      <c r="E1630" s="8">
        <f>QS.INSTRUMENT.SWAP("swap.1628",C1630,H1630,B1630,"USD","SOFR",I1630,J1630,0,"Actual360","Simple","Annual","Annual","Annual")</f>
        <v/>
      </c>
      <c r="F1630" s="8">
        <f>QS.TRADE.CREATE("trade.1628",C1630,E1630,A1630,"Receive")</f>
        <v/>
      </c>
      <c r="G1630" s="5"/>
      <c r="H1630" s="7" t="s">
        <v>3300</v>
      </c>
      <c r="I1630" s="9">
        <v>1162800</v>
      </c>
      <c r="J1630" s="10">
        <v>0.0378</v>
      </c>
    </row>
    <row r="1631" spans="1:10">
      <c r="A1631" s="7" t="s">
        <v>3288</v>
      </c>
      <c r="B1631" s="7" t="s">
        <v>3301</v>
      </c>
      <c r="C1631" s="8">
        <f>QS.CONTEXT.CREATE("market.1629",A1631,"USD","SOFR")</f>
        <v/>
      </c>
      <c r="D1631" s="8">
        <f>QS.CONTEXT.ADD.CURVE(C1631,"SOFR",$K$2:$K$7,$L$2:$L$7,,,"Actual360","LogLinear",TRUE)</f>
        <v/>
      </c>
      <c r="E1631" s="8">
        <f>QS.INSTRUMENT.SWAP("swap.1629",C1631,H1631,B1631,"USD","SOFR",I1631,J1631,0,"Actual360","Simple","Annual","Annual","Annual")</f>
        <v/>
      </c>
      <c r="F1631" s="8">
        <f>QS.TRADE.CREATE("trade.1629",C1631,E1631,A1631,"Receive")</f>
        <v/>
      </c>
      <c r="G1631" s="5"/>
      <c r="H1631" s="7" t="s">
        <v>3302</v>
      </c>
      <c r="I1631" s="9">
        <v>1162900</v>
      </c>
      <c r="J1631" s="10">
        <v>0.0379</v>
      </c>
    </row>
    <row r="1632" spans="1:10">
      <c r="A1632" s="7" t="s">
        <v>3290</v>
      </c>
      <c r="B1632" s="7" t="s">
        <v>3303</v>
      </c>
      <c r="C1632" s="8">
        <f>QS.CONTEXT.CREATE("market.1630",A1632,"USD","SOFR")</f>
        <v/>
      </c>
      <c r="D1632" s="8">
        <f>QS.CONTEXT.ADD.CURVE(C1632,"SOFR",$K$2:$K$7,$L$2:$L$7,,,"Actual360","LogLinear",TRUE)</f>
        <v/>
      </c>
      <c r="E1632" s="8">
        <f>QS.INSTRUMENT.SWAP("swap.1630",C1632,H1632,B1632,"USD","SOFR",I1632,J1632,0,"Actual360","Simple","Annual","Annual","Annual")</f>
        <v/>
      </c>
      <c r="F1632" s="8">
        <f>QS.TRADE.CREATE("trade.1630",C1632,E1632,A1632,"Receive")</f>
        <v/>
      </c>
      <c r="G1632" s="5"/>
      <c r="H1632" s="7" t="s">
        <v>3304</v>
      </c>
      <c r="I1632" s="9">
        <v>1163000</v>
      </c>
      <c r="J1632" s="10">
        <v>0.03800000000000001</v>
      </c>
    </row>
    <row r="1633" spans="1:10">
      <c r="A1633" s="7" t="s">
        <v>3292</v>
      </c>
      <c r="B1633" s="7" t="s">
        <v>3305</v>
      </c>
      <c r="C1633" s="8">
        <f>QS.CONTEXT.CREATE("market.1631",A1633,"USD","SOFR")</f>
        <v/>
      </c>
      <c r="D1633" s="8">
        <f>QS.CONTEXT.ADD.CURVE(C1633,"SOFR",$K$2:$K$7,$L$2:$L$7,,,"Actual360","LogLinear",TRUE)</f>
        <v/>
      </c>
      <c r="E1633" s="8">
        <f>QS.INSTRUMENT.SWAP("swap.1631",C1633,H1633,B1633,"USD","SOFR",I1633,J1633,0,"Actual360","Simple","Annual","Annual","Annual")</f>
        <v/>
      </c>
      <c r="F1633" s="8">
        <f>QS.TRADE.CREATE("trade.1631",C1633,E1633,A1633,"Receive")</f>
        <v/>
      </c>
      <c r="G1633" s="5"/>
      <c r="H1633" s="7" t="s">
        <v>3306</v>
      </c>
      <c r="I1633" s="9">
        <v>1163100</v>
      </c>
      <c r="J1633" s="10">
        <v>0.0381</v>
      </c>
    </row>
    <row r="1634" spans="1:10">
      <c r="A1634" s="7" t="s">
        <v>3294</v>
      </c>
      <c r="B1634" s="7" t="s">
        <v>3307</v>
      </c>
      <c r="C1634" s="8">
        <f>QS.CONTEXT.CREATE("market.1632",A1634,"USD","SOFR")</f>
        <v/>
      </c>
      <c r="D1634" s="8">
        <f>QS.CONTEXT.ADD.CURVE(C1634,"SOFR",$K$2:$K$7,$L$2:$L$7,,,"Actual360","LogLinear",TRUE)</f>
        <v/>
      </c>
      <c r="E1634" s="8">
        <f>QS.INSTRUMENT.SWAP("swap.1632",C1634,H1634,B1634,"USD","SOFR",I1634,J1634,0,"Actual360","Simple","Annual","Annual","Annual")</f>
        <v/>
      </c>
      <c r="F1634" s="8">
        <f>QS.TRADE.CREATE("trade.1632",C1634,E1634,A1634,"Receive")</f>
        <v/>
      </c>
      <c r="G1634" s="5"/>
      <c r="H1634" s="7" t="s">
        <v>3308</v>
      </c>
      <c r="I1634" s="9">
        <v>1163200</v>
      </c>
      <c r="J1634" s="10">
        <v>0.0382</v>
      </c>
    </row>
    <row r="1635" spans="1:10">
      <c r="A1635" s="7" t="s">
        <v>3296</v>
      </c>
      <c r="B1635" s="7" t="s">
        <v>3309</v>
      </c>
      <c r="C1635" s="8">
        <f>QS.CONTEXT.CREATE("market.1633",A1635,"USD","SOFR")</f>
        <v/>
      </c>
      <c r="D1635" s="8">
        <f>QS.CONTEXT.ADD.CURVE(C1635,"SOFR",$K$2:$K$7,$L$2:$L$7,,,"Actual360","LogLinear",TRUE)</f>
        <v/>
      </c>
      <c r="E1635" s="8">
        <f>QS.INSTRUMENT.SWAP("swap.1633",C1635,H1635,B1635,"USD","SOFR",I1635,J1635,0,"Actual360","Simple","Annual","Annual","Annual")</f>
        <v/>
      </c>
      <c r="F1635" s="8">
        <f>QS.TRADE.CREATE("trade.1633",C1635,E1635,A1635,"Receive")</f>
        <v/>
      </c>
      <c r="G1635" s="5"/>
      <c r="H1635" s="7" t="s">
        <v>3310</v>
      </c>
      <c r="I1635" s="9">
        <v>1163300</v>
      </c>
      <c r="J1635" s="10">
        <v>0.0383</v>
      </c>
    </row>
    <row r="1636" spans="1:10">
      <c r="A1636" s="7" t="s">
        <v>3298</v>
      </c>
      <c r="B1636" s="7" t="s">
        <v>3311</v>
      </c>
      <c r="C1636" s="8">
        <f>QS.CONTEXT.CREATE("market.1634",A1636,"USD","SOFR")</f>
        <v/>
      </c>
      <c r="D1636" s="8">
        <f>QS.CONTEXT.ADD.CURVE(C1636,"SOFR",$K$2:$K$7,$L$2:$L$7,,,"Actual360","LogLinear",TRUE)</f>
        <v/>
      </c>
      <c r="E1636" s="8">
        <f>QS.INSTRUMENT.SWAP("swap.1634",C1636,H1636,B1636,"USD","SOFR",I1636,J1636,0,"Actual360","Simple","Annual","Annual","Annual")</f>
        <v/>
      </c>
      <c r="F1636" s="8">
        <f>QS.TRADE.CREATE("trade.1634",C1636,E1636,A1636,"Receive")</f>
        <v/>
      </c>
      <c r="G1636" s="5"/>
      <c r="H1636" s="7" t="s">
        <v>3312</v>
      </c>
      <c r="I1636" s="9">
        <v>1163400</v>
      </c>
      <c r="J1636" s="10">
        <v>0.0384</v>
      </c>
    </row>
    <row r="1637" spans="1:10">
      <c r="A1637" s="7" t="s">
        <v>3300</v>
      </c>
      <c r="B1637" s="7" t="s">
        <v>3313</v>
      </c>
      <c r="C1637" s="8">
        <f>QS.CONTEXT.CREATE("market.1635",A1637,"USD","SOFR")</f>
        <v/>
      </c>
      <c r="D1637" s="8">
        <f>QS.CONTEXT.ADD.CURVE(C1637,"SOFR",$K$2:$K$7,$L$2:$L$7,,,"Actual360","LogLinear",TRUE)</f>
        <v/>
      </c>
      <c r="E1637" s="8">
        <f>QS.INSTRUMENT.SWAP("swap.1635",C1637,H1637,B1637,"USD","SOFR",I1637,J1637,0,"Actual360","Simple","Annual","Annual","Annual")</f>
        <v/>
      </c>
      <c r="F1637" s="8">
        <f>QS.TRADE.CREATE("trade.1635",C1637,E1637,A1637,"Receive")</f>
        <v/>
      </c>
      <c r="G1637" s="5"/>
      <c r="H1637" s="7" t="s">
        <v>3314</v>
      </c>
      <c r="I1637" s="9">
        <v>1163500</v>
      </c>
      <c r="J1637" s="10">
        <v>0.03850000000000001</v>
      </c>
    </row>
    <row r="1638" spans="1:10">
      <c r="A1638" s="7" t="s">
        <v>3302</v>
      </c>
      <c r="B1638" s="7" t="s">
        <v>3315</v>
      </c>
      <c r="C1638" s="8">
        <f>QS.CONTEXT.CREATE("market.1636",A1638,"USD","SOFR")</f>
        <v/>
      </c>
      <c r="D1638" s="8">
        <f>QS.CONTEXT.ADD.CURVE(C1638,"SOFR",$K$2:$K$7,$L$2:$L$7,,,"Actual360","LogLinear",TRUE)</f>
        <v/>
      </c>
      <c r="E1638" s="8">
        <f>QS.INSTRUMENT.SWAP("swap.1636",C1638,H1638,B1638,"USD","SOFR",I1638,J1638,0,"Actual360","Simple","Annual","Annual","Annual")</f>
        <v/>
      </c>
      <c r="F1638" s="8">
        <f>QS.TRADE.CREATE("trade.1636",C1638,E1638,A1638,"Receive")</f>
        <v/>
      </c>
      <c r="G1638" s="5"/>
      <c r="H1638" s="7" t="s">
        <v>3316</v>
      </c>
      <c r="I1638" s="9">
        <v>1163600</v>
      </c>
      <c r="J1638" s="10">
        <v>0.0386</v>
      </c>
    </row>
    <row r="1639" spans="1:10">
      <c r="A1639" s="7" t="s">
        <v>3304</v>
      </c>
      <c r="B1639" s="7" t="s">
        <v>3317</v>
      </c>
      <c r="C1639" s="8">
        <f>QS.CONTEXT.CREATE("market.1637",A1639,"USD","SOFR")</f>
        <v/>
      </c>
      <c r="D1639" s="8">
        <f>QS.CONTEXT.ADD.CURVE(C1639,"SOFR",$K$2:$K$7,$L$2:$L$7,,,"Actual360","LogLinear",TRUE)</f>
        <v/>
      </c>
      <c r="E1639" s="8">
        <f>QS.INSTRUMENT.SWAP("swap.1637",C1639,H1639,B1639,"USD","SOFR",I1639,J1639,0,"Actual360","Simple","Annual","Annual","Annual")</f>
        <v/>
      </c>
      <c r="F1639" s="8">
        <f>QS.TRADE.CREATE("trade.1637",C1639,E1639,A1639,"Receive")</f>
        <v/>
      </c>
      <c r="G1639" s="5"/>
      <c r="H1639" s="7" t="s">
        <v>3318</v>
      </c>
      <c r="I1639" s="9">
        <v>1163700</v>
      </c>
      <c r="J1639" s="10">
        <v>0.03870000000000001</v>
      </c>
    </row>
    <row r="1640" spans="1:10">
      <c r="A1640" s="7" t="s">
        <v>3306</v>
      </c>
      <c r="B1640" s="7" t="s">
        <v>3319</v>
      </c>
      <c r="C1640" s="8">
        <f>QS.CONTEXT.CREATE("market.1638",A1640,"USD","SOFR")</f>
        <v/>
      </c>
      <c r="D1640" s="8">
        <f>QS.CONTEXT.ADD.CURVE(C1640,"SOFR",$K$2:$K$7,$L$2:$L$7,,,"Actual360","LogLinear",TRUE)</f>
        <v/>
      </c>
      <c r="E1640" s="8">
        <f>QS.INSTRUMENT.SWAP("swap.1638",C1640,H1640,B1640,"USD","SOFR",I1640,J1640,0,"Actual360","Simple","Annual","Annual","Annual")</f>
        <v/>
      </c>
      <c r="F1640" s="8">
        <f>QS.TRADE.CREATE("trade.1638",C1640,E1640,A1640,"Receive")</f>
        <v/>
      </c>
      <c r="G1640" s="5"/>
      <c r="H1640" s="7" t="s">
        <v>3320</v>
      </c>
      <c r="I1640" s="9">
        <v>1163800</v>
      </c>
      <c r="J1640" s="10">
        <v>0.0388</v>
      </c>
    </row>
    <row r="1641" spans="1:10">
      <c r="A1641" s="7" t="s">
        <v>3308</v>
      </c>
      <c r="B1641" s="7" t="s">
        <v>3321</v>
      </c>
      <c r="C1641" s="8">
        <f>QS.CONTEXT.CREATE("market.1639",A1641,"USD","SOFR")</f>
        <v/>
      </c>
      <c r="D1641" s="8">
        <f>QS.CONTEXT.ADD.CURVE(C1641,"SOFR",$K$2:$K$7,$L$2:$L$7,,,"Actual360","LogLinear",TRUE)</f>
        <v/>
      </c>
      <c r="E1641" s="8">
        <f>QS.INSTRUMENT.SWAP("swap.1639",C1641,H1641,B1641,"USD","SOFR",I1641,J1641,0,"Actual360","Simple","Annual","Annual","Annual")</f>
        <v/>
      </c>
      <c r="F1641" s="8">
        <f>QS.TRADE.CREATE("trade.1639",C1641,E1641,A1641,"Receive")</f>
        <v/>
      </c>
      <c r="G1641" s="5"/>
      <c r="H1641" s="7" t="s">
        <v>3322</v>
      </c>
      <c r="I1641" s="9">
        <v>1163900</v>
      </c>
      <c r="J1641" s="10">
        <v>0.0389</v>
      </c>
    </row>
    <row r="1642" spans="1:10">
      <c r="A1642" s="7" t="s">
        <v>3310</v>
      </c>
      <c r="B1642" s="7" t="s">
        <v>3323</v>
      </c>
      <c r="C1642" s="8">
        <f>QS.CONTEXT.CREATE("market.1640",A1642,"USD","SOFR")</f>
        <v/>
      </c>
      <c r="D1642" s="8">
        <f>QS.CONTEXT.ADD.CURVE(C1642,"SOFR",$K$2:$K$7,$L$2:$L$7,,,"Actual360","LogLinear",TRUE)</f>
        <v/>
      </c>
      <c r="E1642" s="8">
        <f>QS.INSTRUMENT.SWAP("swap.1640",C1642,H1642,B1642,"USD","SOFR",I1642,J1642,0,"Actual360","Simple","Annual","Annual","Annual")</f>
        <v/>
      </c>
      <c r="F1642" s="8">
        <f>QS.TRADE.CREATE("trade.1640",C1642,E1642,A1642,"Receive")</f>
        <v/>
      </c>
      <c r="G1642" s="5"/>
      <c r="H1642" s="7" t="s">
        <v>3324</v>
      </c>
      <c r="I1642" s="9">
        <v>1164000</v>
      </c>
      <c r="J1642" s="10">
        <v>0.03900000000000001</v>
      </c>
    </row>
    <row r="1643" spans="1:10">
      <c r="A1643" s="7" t="s">
        <v>3312</v>
      </c>
      <c r="B1643" s="7" t="s">
        <v>3325</v>
      </c>
      <c r="C1643" s="8">
        <f>QS.CONTEXT.CREATE("market.1641",A1643,"USD","SOFR")</f>
        <v/>
      </c>
      <c r="D1643" s="8">
        <f>QS.CONTEXT.ADD.CURVE(C1643,"SOFR",$K$2:$K$7,$L$2:$L$7,,,"Actual360","LogLinear",TRUE)</f>
        <v/>
      </c>
      <c r="E1643" s="8">
        <f>QS.INSTRUMENT.SWAP("swap.1641",C1643,H1643,B1643,"USD","SOFR",I1643,J1643,0,"Actual360","Simple","Annual","Annual","Annual")</f>
        <v/>
      </c>
      <c r="F1643" s="8">
        <f>QS.TRADE.CREATE("trade.1641",C1643,E1643,A1643,"Receive")</f>
        <v/>
      </c>
      <c r="G1643" s="5"/>
      <c r="H1643" s="7" t="s">
        <v>3326</v>
      </c>
      <c r="I1643" s="9">
        <v>1164100</v>
      </c>
      <c r="J1643" s="10">
        <v>0.0391</v>
      </c>
    </row>
    <row r="1644" spans="1:10">
      <c r="A1644" s="7" t="s">
        <v>3314</v>
      </c>
      <c r="B1644" s="7" t="s">
        <v>3327</v>
      </c>
      <c r="C1644" s="8">
        <f>QS.CONTEXT.CREATE("market.1642",A1644,"USD","SOFR")</f>
        <v/>
      </c>
      <c r="D1644" s="8">
        <f>QS.CONTEXT.ADD.CURVE(C1644,"SOFR",$K$2:$K$7,$L$2:$L$7,,,"Actual360","LogLinear",TRUE)</f>
        <v/>
      </c>
      <c r="E1644" s="8">
        <f>QS.INSTRUMENT.SWAP("swap.1642",C1644,H1644,B1644,"USD","SOFR",I1644,J1644,0,"Actual360","Simple","Annual","Annual","Annual")</f>
        <v/>
      </c>
      <c r="F1644" s="8">
        <f>QS.TRADE.CREATE("trade.1642",C1644,E1644,A1644,"Receive")</f>
        <v/>
      </c>
      <c r="G1644" s="5"/>
      <c r="H1644" s="7" t="s">
        <v>3328</v>
      </c>
      <c r="I1644" s="9">
        <v>1164200</v>
      </c>
      <c r="J1644" s="10">
        <v>0.03920000000000001</v>
      </c>
    </row>
    <row r="1645" spans="1:10">
      <c r="A1645" s="7" t="s">
        <v>3316</v>
      </c>
      <c r="B1645" s="7" t="s">
        <v>3329</v>
      </c>
      <c r="C1645" s="8">
        <f>QS.CONTEXT.CREATE("market.1643",A1645,"USD","SOFR")</f>
        <v/>
      </c>
      <c r="D1645" s="8">
        <f>QS.CONTEXT.ADD.CURVE(C1645,"SOFR",$K$2:$K$7,$L$2:$L$7,,,"Actual360","LogLinear",TRUE)</f>
        <v/>
      </c>
      <c r="E1645" s="8">
        <f>QS.INSTRUMENT.SWAP("swap.1643",C1645,H1645,B1645,"USD","SOFR",I1645,J1645,0,"Actual360","Simple","Annual","Annual","Annual")</f>
        <v/>
      </c>
      <c r="F1645" s="8">
        <f>QS.TRADE.CREATE("trade.1643",C1645,E1645,A1645,"Receive")</f>
        <v/>
      </c>
      <c r="G1645" s="5"/>
      <c r="H1645" s="7" t="s">
        <v>3330</v>
      </c>
      <c r="I1645" s="9">
        <v>1164300</v>
      </c>
      <c r="J1645" s="10">
        <v>0.0393</v>
      </c>
    </row>
    <row r="1646" spans="1:10">
      <c r="A1646" s="7" t="s">
        <v>3318</v>
      </c>
      <c r="B1646" s="7" t="s">
        <v>3331</v>
      </c>
      <c r="C1646" s="8">
        <f>QS.CONTEXT.CREATE("market.1644",A1646,"USD","SOFR")</f>
        <v/>
      </c>
      <c r="D1646" s="8">
        <f>QS.CONTEXT.ADD.CURVE(C1646,"SOFR",$K$2:$K$7,$L$2:$L$7,,,"Actual360","LogLinear",TRUE)</f>
        <v/>
      </c>
      <c r="E1646" s="8">
        <f>QS.INSTRUMENT.SWAP("swap.1644",C1646,H1646,B1646,"USD","SOFR",I1646,J1646,0,"Actual360","Simple","Annual","Annual","Annual")</f>
        <v/>
      </c>
      <c r="F1646" s="8">
        <f>QS.TRADE.CREATE("trade.1644",C1646,E1646,A1646,"Receive")</f>
        <v/>
      </c>
      <c r="G1646" s="5"/>
      <c r="H1646" s="7" t="s">
        <v>3332</v>
      </c>
      <c r="I1646" s="9">
        <v>1164400</v>
      </c>
      <c r="J1646" s="10">
        <v>0.0394</v>
      </c>
    </row>
    <row r="1647" spans="1:10">
      <c r="A1647" s="7" t="s">
        <v>3320</v>
      </c>
      <c r="B1647" s="7" t="s">
        <v>3333</v>
      </c>
      <c r="C1647" s="8">
        <f>QS.CONTEXT.CREATE("market.1645",A1647,"USD","SOFR")</f>
        <v/>
      </c>
      <c r="D1647" s="8">
        <f>QS.CONTEXT.ADD.CURVE(C1647,"SOFR",$K$2:$K$7,$L$2:$L$7,,,"Actual360","LogLinear",TRUE)</f>
        <v/>
      </c>
      <c r="E1647" s="8">
        <f>QS.INSTRUMENT.SWAP("swap.1645",C1647,H1647,B1647,"USD","SOFR",I1647,J1647,0,"Actual360","Simple","Annual","Annual","Annual")</f>
        <v/>
      </c>
      <c r="F1647" s="8">
        <f>QS.TRADE.CREATE("trade.1645",C1647,E1647,A1647,"Receive")</f>
        <v/>
      </c>
      <c r="G1647" s="5"/>
      <c r="H1647" s="7" t="s">
        <v>3334</v>
      </c>
      <c r="I1647" s="9">
        <v>1164500</v>
      </c>
      <c r="J1647" s="10">
        <v>0.03950000000000001</v>
      </c>
    </row>
    <row r="1648" spans="1:10">
      <c r="A1648" s="7" t="s">
        <v>3322</v>
      </c>
      <c r="B1648" s="7" t="s">
        <v>3335</v>
      </c>
      <c r="C1648" s="8">
        <f>QS.CONTEXT.CREATE("market.1646",A1648,"USD","SOFR")</f>
        <v/>
      </c>
      <c r="D1648" s="8">
        <f>QS.CONTEXT.ADD.CURVE(C1648,"SOFR",$K$2:$K$7,$L$2:$L$7,,,"Actual360","LogLinear",TRUE)</f>
        <v/>
      </c>
      <c r="E1648" s="8">
        <f>QS.INSTRUMENT.SWAP("swap.1646",C1648,H1648,B1648,"USD","SOFR",I1648,J1648,0,"Actual360","Simple","Annual","Annual","Annual")</f>
        <v/>
      </c>
      <c r="F1648" s="8">
        <f>QS.TRADE.CREATE("trade.1646",C1648,E1648,A1648,"Receive")</f>
        <v/>
      </c>
      <c r="G1648" s="5"/>
      <c r="H1648" s="7" t="s">
        <v>3336</v>
      </c>
      <c r="I1648" s="9">
        <v>1164600</v>
      </c>
      <c r="J1648" s="10">
        <v>0.0396</v>
      </c>
    </row>
    <row r="1649" spans="1:10">
      <c r="A1649" s="7" t="s">
        <v>3324</v>
      </c>
      <c r="B1649" s="7" t="s">
        <v>3337</v>
      </c>
      <c r="C1649" s="8">
        <f>QS.CONTEXT.CREATE("market.1647",A1649,"USD","SOFR")</f>
        <v/>
      </c>
      <c r="D1649" s="8">
        <f>QS.CONTEXT.ADD.CURVE(C1649,"SOFR",$K$2:$K$7,$L$2:$L$7,,,"Actual360","LogLinear",TRUE)</f>
        <v/>
      </c>
      <c r="E1649" s="8">
        <f>QS.INSTRUMENT.SWAP("swap.1647",C1649,H1649,B1649,"USD","SOFR",I1649,J1649,0,"Actual360","Simple","Annual","Annual","Annual")</f>
        <v/>
      </c>
      <c r="F1649" s="8">
        <f>QS.TRADE.CREATE("trade.1647",C1649,E1649,A1649,"Receive")</f>
        <v/>
      </c>
      <c r="G1649" s="5"/>
      <c r="H1649" s="7" t="s">
        <v>3338</v>
      </c>
      <c r="I1649" s="9">
        <v>1164700</v>
      </c>
      <c r="J1649" s="10">
        <v>0.03970000000000001</v>
      </c>
    </row>
    <row r="1650" spans="1:10">
      <c r="A1650" s="7" t="s">
        <v>3326</v>
      </c>
      <c r="B1650" s="7" t="s">
        <v>3339</v>
      </c>
      <c r="C1650" s="8">
        <f>QS.CONTEXT.CREATE("market.1648",A1650,"USD","SOFR")</f>
        <v/>
      </c>
      <c r="D1650" s="8">
        <f>QS.CONTEXT.ADD.CURVE(C1650,"SOFR",$K$2:$K$7,$L$2:$L$7,,,"Actual360","LogLinear",TRUE)</f>
        <v/>
      </c>
      <c r="E1650" s="8">
        <f>QS.INSTRUMENT.SWAP("swap.1648",C1650,H1650,B1650,"USD","SOFR",I1650,J1650,0,"Actual360","Simple","Annual","Annual","Annual")</f>
        <v/>
      </c>
      <c r="F1650" s="8">
        <f>QS.TRADE.CREATE("trade.1648",C1650,E1650,A1650,"Receive")</f>
        <v/>
      </c>
      <c r="G1650" s="5"/>
      <c r="H1650" s="7" t="s">
        <v>3340</v>
      </c>
      <c r="I1650" s="9">
        <v>1164800</v>
      </c>
      <c r="J1650" s="10">
        <v>0.0398</v>
      </c>
    </row>
    <row r="1651" spans="1:10">
      <c r="A1651" s="7" t="s">
        <v>3328</v>
      </c>
      <c r="B1651" s="7" t="s">
        <v>3341</v>
      </c>
      <c r="C1651" s="8">
        <f>QS.CONTEXT.CREATE("market.1649",A1651,"USD","SOFR")</f>
        <v/>
      </c>
      <c r="D1651" s="8">
        <f>QS.CONTEXT.ADD.CURVE(C1651,"SOFR",$K$2:$K$7,$L$2:$L$7,,,"Actual360","LogLinear",TRUE)</f>
        <v/>
      </c>
      <c r="E1651" s="8">
        <f>QS.INSTRUMENT.SWAP("swap.1649",C1651,H1651,B1651,"USD","SOFR",I1651,J1651,0,"Actual360","Simple","Annual","Annual","Annual")</f>
        <v/>
      </c>
      <c r="F1651" s="8">
        <f>QS.TRADE.CREATE("trade.1649",C1651,E1651,A1651,"Receive")</f>
        <v/>
      </c>
      <c r="G1651" s="5"/>
      <c r="H1651" s="7" t="s">
        <v>3342</v>
      </c>
      <c r="I1651" s="9">
        <v>1164900</v>
      </c>
      <c r="J1651" s="10">
        <v>0.0399</v>
      </c>
    </row>
    <row r="1652" spans="1:10">
      <c r="A1652" s="7" t="s">
        <v>3330</v>
      </c>
      <c r="B1652" s="7" t="s">
        <v>3343</v>
      </c>
      <c r="C1652" s="8">
        <f>QS.CONTEXT.CREATE("market.1650",A1652,"USD","SOFR")</f>
        <v/>
      </c>
      <c r="D1652" s="8">
        <f>QS.CONTEXT.ADD.CURVE(C1652,"SOFR",$K$2:$K$7,$L$2:$L$7,,,"Actual360","LogLinear",TRUE)</f>
        <v/>
      </c>
      <c r="E1652" s="8">
        <f>QS.INSTRUMENT.SWAP("swap.1650",C1652,H1652,B1652,"USD","SOFR",I1652,J1652,0,"Actual360","Simple","Annual","Annual","Annual")</f>
        <v/>
      </c>
      <c r="F1652" s="8">
        <f>QS.TRADE.CREATE("trade.1650",C1652,E1652,A1652,"Receive")</f>
        <v/>
      </c>
      <c r="G1652" s="5"/>
      <c r="H1652" s="7" t="s">
        <v>3344</v>
      </c>
      <c r="I1652" s="9">
        <v>1165000</v>
      </c>
      <c r="J1652" s="10">
        <v>0.035</v>
      </c>
    </row>
    <row r="1653" spans="1:10">
      <c r="A1653" s="7" t="s">
        <v>3332</v>
      </c>
      <c r="B1653" s="7" t="s">
        <v>3345</v>
      </c>
      <c r="C1653" s="8">
        <f>QS.CONTEXT.CREATE("market.1651",A1653,"USD","SOFR")</f>
        <v/>
      </c>
      <c r="D1653" s="8">
        <f>QS.CONTEXT.ADD.CURVE(C1653,"SOFR",$K$2:$K$7,$L$2:$L$7,,,"Actual360","LogLinear",TRUE)</f>
        <v/>
      </c>
      <c r="E1653" s="8">
        <f>QS.INSTRUMENT.SWAP("swap.1651",C1653,H1653,B1653,"USD","SOFR",I1653,J1653,0,"Actual360","Simple","Annual","Annual","Annual")</f>
        <v/>
      </c>
      <c r="F1653" s="8">
        <f>QS.TRADE.CREATE("trade.1651",C1653,E1653,A1653,"Receive")</f>
        <v/>
      </c>
      <c r="G1653" s="5"/>
      <c r="H1653" s="7" t="s">
        <v>3346</v>
      </c>
      <c r="I1653" s="9">
        <v>1165100</v>
      </c>
      <c r="J1653" s="10">
        <v>0.03510000000000001</v>
      </c>
    </row>
    <row r="1654" spans="1:10">
      <c r="A1654" s="7" t="s">
        <v>3334</v>
      </c>
      <c r="B1654" s="7" t="s">
        <v>3347</v>
      </c>
      <c r="C1654" s="8">
        <f>QS.CONTEXT.CREATE("market.1652",A1654,"USD","SOFR")</f>
        <v/>
      </c>
      <c r="D1654" s="8">
        <f>QS.CONTEXT.ADD.CURVE(C1654,"SOFR",$K$2:$K$7,$L$2:$L$7,,,"Actual360","LogLinear",TRUE)</f>
        <v/>
      </c>
      <c r="E1654" s="8">
        <f>QS.INSTRUMENT.SWAP("swap.1652",C1654,H1654,B1654,"USD","SOFR",I1654,J1654,0,"Actual360","Simple","Annual","Annual","Annual")</f>
        <v/>
      </c>
      <c r="F1654" s="8">
        <f>QS.TRADE.CREATE("trade.1652",C1654,E1654,A1654,"Receive")</f>
        <v/>
      </c>
      <c r="G1654" s="5"/>
      <c r="H1654" s="7" t="s">
        <v>3348</v>
      </c>
      <c r="I1654" s="9">
        <v>1165200</v>
      </c>
      <c r="J1654" s="10">
        <v>0.0352</v>
      </c>
    </row>
    <row r="1655" spans="1:10">
      <c r="A1655" s="7" t="s">
        <v>3336</v>
      </c>
      <c r="B1655" s="7" t="s">
        <v>3349</v>
      </c>
      <c r="C1655" s="8">
        <f>QS.CONTEXT.CREATE("market.1653",A1655,"USD","SOFR")</f>
        <v/>
      </c>
      <c r="D1655" s="8">
        <f>QS.CONTEXT.ADD.CURVE(C1655,"SOFR",$K$2:$K$7,$L$2:$L$7,,,"Actual360","LogLinear",TRUE)</f>
        <v/>
      </c>
      <c r="E1655" s="8">
        <f>QS.INSTRUMENT.SWAP("swap.1653",C1655,H1655,B1655,"USD","SOFR",I1655,J1655,0,"Actual360","Simple","Annual","Annual","Annual")</f>
        <v/>
      </c>
      <c r="F1655" s="8">
        <f>QS.TRADE.CREATE("trade.1653",C1655,E1655,A1655,"Receive")</f>
        <v/>
      </c>
      <c r="G1655" s="5"/>
      <c r="H1655" s="7" t="s">
        <v>3350</v>
      </c>
      <c r="I1655" s="9">
        <v>1165300</v>
      </c>
      <c r="J1655" s="10">
        <v>0.0353</v>
      </c>
    </row>
    <row r="1656" spans="1:10">
      <c r="A1656" s="7" t="s">
        <v>3338</v>
      </c>
      <c r="B1656" s="7" t="s">
        <v>3351</v>
      </c>
      <c r="C1656" s="8">
        <f>QS.CONTEXT.CREATE("market.1654",A1656,"USD","SOFR")</f>
        <v/>
      </c>
      <c r="D1656" s="8">
        <f>QS.CONTEXT.ADD.CURVE(C1656,"SOFR",$K$2:$K$7,$L$2:$L$7,,,"Actual360","LogLinear",TRUE)</f>
        <v/>
      </c>
      <c r="E1656" s="8">
        <f>QS.INSTRUMENT.SWAP("swap.1654",C1656,H1656,B1656,"USD","SOFR",I1656,J1656,0,"Actual360","Simple","Annual","Annual","Annual")</f>
        <v/>
      </c>
      <c r="F1656" s="8">
        <f>QS.TRADE.CREATE("trade.1654",C1656,E1656,A1656,"Receive")</f>
        <v/>
      </c>
      <c r="G1656" s="5"/>
      <c r="H1656" s="7" t="s">
        <v>3352</v>
      </c>
      <c r="I1656" s="9">
        <v>1165400</v>
      </c>
      <c r="J1656" s="10">
        <v>0.0354</v>
      </c>
    </row>
    <row r="1657" spans="1:10">
      <c r="A1657" s="7" t="s">
        <v>3340</v>
      </c>
      <c r="B1657" s="7" t="s">
        <v>3353</v>
      </c>
      <c r="C1657" s="8">
        <f>QS.CONTEXT.CREATE("market.1655",A1657,"USD","SOFR")</f>
        <v/>
      </c>
      <c r="D1657" s="8">
        <f>QS.CONTEXT.ADD.CURVE(C1657,"SOFR",$K$2:$K$7,$L$2:$L$7,,,"Actual360","LogLinear",TRUE)</f>
        <v/>
      </c>
      <c r="E1657" s="8">
        <f>QS.INSTRUMENT.SWAP("swap.1655",C1657,H1657,B1657,"USD","SOFR",I1657,J1657,0,"Actual360","Simple","Annual","Annual","Annual")</f>
        <v/>
      </c>
      <c r="F1657" s="8">
        <f>QS.TRADE.CREATE("trade.1655",C1657,E1657,A1657,"Receive")</f>
        <v/>
      </c>
      <c r="G1657" s="5"/>
      <c r="H1657" s="7" t="s">
        <v>3354</v>
      </c>
      <c r="I1657" s="9">
        <v>1165500</v>
      </c>
      <c r="J1657" s="10">
        <v>0.0355</v>
      </c>
    </row>
    <row r="1658" spans="1:10">
      <c r="A1658" s="7" t="s">
        <v>3342</v>
      </c>
      <c r="B1658" s="7" t="s">
        <v>3355</v>
      </c>
      <c r="C1658" s="8">
        <f>QS.CONTEXT.CREATE("market.1656",A1658,"USD","SOFR")</f>
        <v/>
      </c>
      <c r="D1658" s="8">
        <f>QS.CONTEXT.ADD.CURVE(C1658,"SOFR",$K$2:$K$7,$L$2:$L$7,,,"Actual360","LogLinear",TRUE)</f>
        <v/>
      </c>
      <c r="E1658" s="8">
        <f>QS.INSTRUMENT.SWAP("swap.1656",C1658,H1658,B1658,"USD","SOFR",I1658,J1658,0,"Actual360","Simple","Annual","Annual","Annual")</f>
        <v/>
      </c>
      <c r="F1658" s="8">
        <f>QS.TRADE.CREATE("trade.1656",C1658,E1658,A1658,"Receive")</f>
        <v/>
      </c>
      <c r="G1658" s="5"/>
      <c r="H1658" s="7" t="s">
        <v>3356</v>
      </c>
      <c r="I1658" s="9">
        <v>1165600</v>
      </c>
      <c r="J1658" s="10">
        <v>0.03560000000000001</v>
      </c>
    </row>
    <row r="1659" spans="1:10">
      <c r="A1659" s="7" t="s">
        <v>3344</v>
      </c>
      <c r="B1659" s="7" t="s">
        <v>3357</v>
      </c>
      <c r="C1659" s="8">
        <f>QS.CONTEXT.CREATE("market.1657",A1659,"USD","SOFR")</f>
        <v/>
      </c>
      <c r="D1659" s="8">
        <f>QS.CONTEXT.ADD.CURVE(C1659,"SOFR",$K$2:$K$7,$L$2:$L$7,,,"Actual360","LogLinear",TRUE)</f>
        <v/>
      </c>
      <c r="E1659" s="8">
        <f>QS.INSTRUMENT.SWAP("swap.1657",C1659,H1659,B1659,"USD","SOFR",I1659,J1659,0,"Actual360","Simple","Annual","Annual","Annual")</f>
        <v/>
      </c>
      <c r="F1659" s="8">
        <f>QS.TRADE.CREATE("trade.1657",C1659,E1659,A1659,"Receive")</f>
        <v/>
      </c>
      <c r="G1659" s="5"/>
      <c r="H1659" s="7" t="s">
        <v>3358</v>
      </c>
      <c r="I1659" s="9">
        <v>1165700</v>
      </c>
      <c r="J1659" s="10">
        <v>0.0357</v>
      </c>
    </row>
    <row r="1660" spans="1:10">
      <c r="A1660" s="7" t="s">
        <v>3346</v>
      </c>
      <c r="B1660" s="7" t="s">
        <v>3359</v>
      </c>
      <c r="C1660" s="8">
        <f>QS.CONTEXT.CREATE("market.1658",A1660,"USD","SOFR")</f>
        <v/>
      </c>
      <c r="D1660" s="8">
        <f>QS.CONTEXT.ADD.CURVE(C1660,"SOFR",$K$2:$K$7,$L$2:$L$7,,,"Actual360","LogLinear",TRUE)</f>
        <v/>
      </c>
      <c r="E1660" s="8">
        <f>QS.INSTRUMENT.SWAP("swap.1658",C1660,H1660,B1660,"USD","SOFR",I1660,J1660,0,"Actual360","Simple","Annual","Annual","Annual")</f>
        <v/>
      </c>
      <c r="F1660" s="8">
        <f>QS.TRADE.CREATE("trade.1658",C1660,E1660,A1660,"Receive")</f>
        <v/>
      </c>
      <c r="G1660" s="5"/>
      <c r="H1660" s="7" t="s">
        <v>3360</v>
      </c>
      <c r="I1660" s="9">
        <v>1165800</v>
      </c>
      <c r="J1660" s="10">
        <v>0.03580000000000001</v>
      </c>
    </row>
    <row r="1661" spans="1:10">
      <c r="A1661" s="7" t="s">
        <v>3348</v>
      </c>
      <c r="B1661" s="7" t="s">
        <v>3361</v>
      </c>
      <c r="C1661" s="8">
        <f>QS.CONTEXT.CREATE("market.1659",A1661,"USD","SOFR")</f>
        <v/>
      </c>
      <c r="D1661" s="8">
        <f>QS.CONTEXT.ADD.CURVE(C1661,"SOFR",$K$2:$K$7,$L$2:$L$7,,,"Actual360","LogLinear",TRUE)</f>
        <v/>
      </c>
      <c r="E1661" s="8">
        <f>QS.INSTRUMENT.SWAP("swap.1659",C1661,H1661,B1661,"USD","SOFR",I1661,J1661,0,"Actual360","Simple","Annual","Annual","Annual")</f>
        <v/>
      </c>
      <c r="F1661" s="8">
        <f>QS.TRADE.CREATE("trade.1659",C1661,E1661,A1661,"Receive")</f>
        <v/>
      </c>
      <c r="G1661" s="5"/>
      <c r="H1661" s="7" t="s">
        <v>3362</v>
      </c>
      <c r="I1661" s="9">
        <v>1165900</v>
      </c>
      <c r="J1661" s="10">
        <v>0.0359</v>
      </c>
    </row>
    <row r="1662" spans="1:10">
      <c r="A1662" s="7" t="s">
        <v>3350</v>
      </c>
      <c r="B1662" s="7" t="s">
        <v>3363</v>
      </c>
      <c r="C1662" s="8">
        <f>QS.CONTEXT.CREATE("market.1660",A1662,"USD","SOFR")</f>
        <v/>
      </c>
      <c r="D1662" s="8">
        <f>QS.CONTEXT.ADD.CURVE(C1662,"SOFR",$K$2:$K$7,$L$2:$L$7,,,"Actual360","LogLinear",TRUE)</f>
        <v/>
      </c>
      <c r="E1662" s="8">
        <f>QS.INSTRUMENT.SWAP("swap.1660",C1662,H1662,B1662,"USD","SOFR",I1662,J1662,0,"Actual360","Simple","Annual","Annual","Annual")</f>
        <v/>
      </c>
      <c r="F1662" s="8">
        <f>QS.TRADE.CREATE("trade.1660",C1662,E1662,A1662,"Receive")</f>
        <v/>
      </c>
      <c r="G1662" s="5"/>
      <c r="H1662" s="7" t="s">
        <v>3364</v>
      </c>
      <c r="I1662" s="9">
        <v>1166000</v>
      </c>
      <c r="J1662" s="10">
        <v>0.036</v>
      </c>
    </row>
    <row r="1663" spans="1:10">
      <c r="A1663" s="7" t="s">
        <v>3352</v>
      </c>
      <c r="B1663" s="7" t="s">
        <v>3365</v>
      </c>
      <c r="C1663" s="8">
        <f>QS.CONTEXT.CREATE("market.1661",A1663,"USD","SOFR")</f>
        <v/>
      </c>
      <c r="D1663" s="8">
        <f>QS.CONTEXT.ADD.CURVE(C1663,"SOFR",$K$2:$K$7,$L$2:$L$7,,,"Actual360","LogLinear",TRUE)</f>
        <v/>
      </c>
      <c r="E1663" s="8">
        <f>QS.INSTRUMENT.SWAP("swap.1661",C1663,H1663,B1663,"USD","SOFR",I1663,J1663,0,"Actual360","Simple","Annual","Annual","Annual")</f>
        <v/>
      </c>
      <c r="F1663" s="8">
        <f>QS.TRADE.CREATE("trade.1661",C1663,E1663,A1663,"Receive")</f>
        <v/>
      </c>
      <c r="G1663" s="5"/>
      <c r="H1663" s="7" t="s">
        <v>3366</v>
      </c>
      <c r="I1663" s="9">
        <v>1166100</v>
      </c>
      <c r="J1663" s="10">
        <v>0.0361</v>
      </c>
    </row>
    <row r="1664" spans="1:10">
      <c r="A1664" s="7" t="s">
        <v>3354</v>
      </c>
      <c r="B1664" s="7" t="s">
        <v>3367</v>
      </c>
      <c r="C1664" s="8">
        <f>QS.CONTEXT.CREATE("market.1662",A1664,"USD","SOFR")</f>
        <v/>
      </c>
      <c r="D1664" s="8">
        <f>QS.CONTEXT.ADD.CURVE(C1664,"SOFR",$K$2:$K$7,$L$2:$L$7,,,"Actual360","LogLinear",TRUE)</f>
        <v/>
      </c>
      <c r="E1664" s="8">
        <f>QS.INSTRUMENT.SWAP("swap.1662",C1664,H1664,B1664,"USD","SOFR",I1664,J1664,0,"Actual360","Simple","Annual","Annual","Annual")</f>
        <v/>
      </c>
      <c r="F1664" s="8">
        <f>QS.TRADE.CREATE("trade.1662",C1664,E1664,A1664,"Receive")</f>
        <v/>
      </c>
      <c r="G1664" s="5"/>
      <c r="H1664" s="7" t="s">
        <v>3368</v>
      </c>
      <c r="I1664" s="9">
        <v>1166200</v>
      </c>
      <c r="J1664" s="10">
        <v>0.0362</v>
      </c>
    </row>
    <row r="1665" spans="1:10">
      <c r="A1665" s="7" t="s">
        <v>3356</v>
      </c>
      <c r="B1665" s="7" t="s">
        <v>3369</v>
      </c>
      <c r="C1665" s="8">
        <f>QS.CONTEXT.CREATE("market.1663",A1665,"USD","SOFR")</f>
        <v/>
      </c>
      <c r="D1665" s="8">
        <f>QS.CONTEXT.ADD.CURVE(C1665,"SOFR",$K$2:$K$7,$L$2:$L$7,,,"Actual360","LogLinear",TRUE)</f>
        <v/>
      </c>
      <c r="E1665" s="8">
        <f>QS.INSTRUMENT.SWAP("swap.1663",C1665,H1665,B1665,"USD","SOFR",I1665,J1665,0,"Actual360","Simple","Annual","Annual","Annual")</f>
        <v/>
      </c>
      <c r="F1665" s="8">
        <f>QS.TRADE.CREATE("trade.1663",C1665,E1665,A1665,"Receive")</f>
        <v/>
      </c>
      <c r="G1665" s="5"/>
      <c r="H1665" s="7" t="s">
        <v>3370</v>
      </c>
      <c r="I1665" s="9">
        <v>1166300</v>
      </c>
      <c r="J1665" s="10">
        <v>0.03630000000000001</v>
      </c>
    </row>
    <row r="1666" spans="1:10">
      <c r="A1666" s="7" t="s">
        <v>3358</v>
      </c>
      <c r="B1666" s="7" t="s">
        <v>3371</v>
      </c>
      <c r="C1666" s="8">
        <f>QS.CONTEXT.CREATE("market.1664",A1666,"USD","SOFR")</f>
        <v/>
      </c>
      <c r="D1666" s="8">
        <f>QS.CONTEXT.ADD.CURVE(C1666,"SOFR",$K$2:$K$7,$L$2:$L$7,,,"Actual360","LogLinear",TRUE)</f>
        <v/>
      </c>
      <c r="E1666" s="8">
        <f>QS.INSTRUMENT.SWAP("swap.1664",C1666,H1666,B1666,"USD","SOFR",I1666,J1666,0,"Actual360","Simple","Annual","Annual","Annual")</f>
        <v/>
      </c>
      <c r="F1666" s="8">
        <f>QS.TRADE.CREATE("trade.1664",C1666,E1666,A1666,"Receive")</f>
        <v/>
      </c>
      <c r="G1666" s="5"/>
      <c r="H1666" s="7" t="s">
        <v>3372</v>
      </c>
      <c r="I1666" s="9">
        <v>1166400</v>
      </c>
      <c r="J1666" s="10">
        <v>0.0364</v>
      </c>
    </row>
    <row r="1667" spans="1:10">
      <c r="A1667" s="7" t="s">
        <v>3360</v>
      </c>
      <c r="B1667" s="7" t="s">
        <v>3373</v>
      </c>
      <c r="C1667" s="8">
        <f>QS.CONTEXT.CREATE("market.1665",A1667,"USD","SOFR")</f>
        <v/>
      </c>
      <c r="D1667" s="8">
        <f>QS.CONTEXT.ADD.CURVE(C1667,"SOFR",$K$2:$K$7,$L$2:$L$7,,,"Actual360","LogLinear",TRUE)</f>
        <v/>
      </c>
      <c r="E1667" s="8">
        <f>QS.INSTRUMENT.SWAP("swap.1665",C1667,H1667,B1667,"USD","SOFR",I1667,J1667,0,"Actual360","Simple","Annual","Annual","Annual")</f>
        <v/>
      </c>
      <c r="F1667" s="8">
        <f>QS.TRADE.CREATE("trade.1665",C1667,E1667,A1667,"Receive")</f>
        <v/>
      </c>
      <c r="G1667" s="5"/>
      <c r="H1667" s="7" t="s">
        <v>3374</v>
      </c>
      <c r="I1667" s="9">
        <v>1166500</v>
      </c>
      <c r="J1667" s="10">
        <v>0.0365</v>
      </c>
    </row>
    <row r="1668" spans="1:10">
      <c r="A1668" s="7" t="s">
        <v>3362</v>
      </c>
      <c r="B1668" s="7" t="s">
        <v>3375</v>
      </c>
      <c r="C1668" s="8">
        <f>QS.CONTEXT.CREATE("market.1666",A1668,"USD","SOFR")</f>
        <v/>
      </c>
      <c r="D1668" s="8">
        <f>QS.CONTEXT.ADD.CURVE(C1668,"SOFR",$K$2:$K$7,$L$2:$L$7,,,"Actual360","LogLinear",TRUE)</f>
        <v/>
      </c>
      <c r="E1668" s="8">
        <f>QS.INSTRUMENT.SWAP("swap.1666",C1668,H1668,B1668,"USD","SOFR",I1668,J1668,0,"Actual360","Simple","Annual","Annual","Annual")</f>
        <v/>
      </c>
      <c r="F1668" s="8">
        <f>QS.TRADE.CREATE("trade.1666",C1668,E1668,A1668,"Receive")</f>
        <v/>
      </c>
      <c r="G1668" s="5"/>
      <c r="H1668" s="7" t="s">
        <v>3376</v>
      </c>
      <c r="I1668" s="9">
        <v>1166600</v>
      </c>
      <c r="J1668" s="10">
        <v>0.0366</v>
      </c>
    </row>
    <row r="1669" spans="1:10">
      <c r="A1669" s="7" t="s">
        <v>3364</v>
      </c>
      <c r="B1669" s="7" t="s">
        <v>3377</v>
      </c>
      <c r="C1669" s="8">
        <f>QS.CONTEXT.CREATE("market.1667",A1669,"USD","SOFR")</f>
        <v/>
      </c>
      <c r="D1669" s="8">
        <f>QS.CONTEXT.ADD.CURVE(C1669,"SOFR",$K$2:$K$7,$L$2:$L$7,,,"Actual360","LogLinear",TRUE)</f>
        <v/>
      </c>
      <c r="E1669" s="8">
        <f>QS.INSTRUMENT.SWAP("swap.1667",C1669,H1669,B1669,"USD","SOFR",I1669,J1669,0,"Actual360","Simple","Annual","Annual","Annual")</f>
        <v/>
      </c>
      <c r="F1669" s="8">
        <f>QS.TRADE.CREATE("trade.1667",C1669,E1669,A1669,"Receive")</f>
        <v/>
      </c>
      <c r="G1669" s="5"/>
      <c r="H1669" s="7" t="s">
        <v>3378</v>
      </c>
      <c r="I1669" s="9">
        <v>1166700</v>
      </c>
      <c r="J1669" s="10">
        <v>0.0367</v>
      </c>
    </row>
    <row r="1670" spans="1:10">
      <c r="A1670" s="7" t="s">
        <v>3366</v>
      </c>
      <c r="B1670" s="7" t="s">
        <v>3379</v>
      </c>
      <c r="C1670" s="8">
        <f>QS.CONTEXT.CREATE("market.1668",A1670,"USD","SOFR")</f>
        <v/>
      </c>
      <c r="D1670" s="8">
        <f>QS.CONTEXT.ADD.CURVE(C1670,"SOFR",$K$2:$K$7,$L$2:$L$7,,,"Actual360","LogLinear",TRUE)</f>
        <v/>
      </c>
      <c r="E1670" s="8">
        <f>QS.INSTRUMENT.SWAP("swap.1668",C1670,H1670,B1670,"USD","SOFR",I1670,J1670,0,"Actual360","Simple","Annual","Annual","Annual")</f>
        <v/>
      </c>
      <c r="F1670" s="8">
        <f>QS.TRADE.CREATE("trade.1668",C1670,E1670,A1670,"Receive")</f>
        <v/>
      </c>
      <c r="G1670" s="5"/>
      <c r="H1670" s="7" t="s">
        <v>3380</v>
      </c>
      <c r="I1670" s="9">
        <v>1166800</v>
      </c>
      <c r="J1670" s="10">
        <v>0.03680000000000001</v>
      </c>
    </row>
    <row r="1671" spans="1:10">
      <c r="A1671" s="7" t="s">
        <v>3368</v>
      </c>
      <c r="B1671" s="7" t="s">
        <v>3381</v>
      </c>
      <c r="C1671" s="8">
        <f>QS.CONTEXT.CREATE("market.1669",A1671,"USD","SOFR")</f>
        <v/>
      </c>
      <c r="D1671" s="8">
        <f>QS.CONTEXT.ADD.CURVE(C1671,"SOFR",$K$2:$K$7,$L$2:$L$7,,,"Actual360","LogLinear",TRUE)</f>
        <v/>
      </c>
      <c r="E1671" s="8">
        <f>QS.INSTRUMENT.SWAP("swap.1669",C1671,H1671,B1671,"USD","SOFR",I1671,J1671,0,"Actual360","Simple","Annual","Annual","Annual")</f>
        <v/>
      </c>
      <c r="F1671" s="8">
        <f>QS.TRADE.CREATE("trade.1669",C1671,E1671,A1671,"Receive")</f>
        <v/>
      </c>
      <c r="G1671" s="5"/>
      <c r="H1671" s="7" t="s">
        <v>3382</v>
      </c>
      <c r="I1671" s="9">
        <v>1166900</v>
      </c>
      <c r="J1671" s="10">
        <v>0.0369</v>
      </c>
    </row>
    <row r="1672" spans="1:10">
      <c r="A1672" s="7" t="s">
        <v>3370</v>
      </c>
      <c r="B1672" s="7" t="s">
        <v>3383</v>
      </c>
      <c r="C1672" s="8">
        <f>QS.CONTEXT.CREATE("market.1670",A1672,"USD","SOFR")</f>
        <v/>
      </c>
      <c r="D1672" s="8">
        <f>QS.CONTEXT.ADD.CURVE(C1672,"SOFR",$K$2:$K$7,$L$2:$L$7,,,"Actual360","LogLinear",TRUE)</f>
        <v/>
      </c>
      <c r="E1672" s="8">
        <f>QS.INSTRUMENT.SWAP("swap.1670",C1672,H1672,B1672,"USD","SOFR",I1672,J1672,0,"Actual360","Simple","Annual","Annual","Annual")</f>
        <v/>
      </c>
      <c r="F1672" s="8">
        <f>QS.TRADE.CREATE("trade.1670",C1672,E1672,A1672,"Receive")</f>
        <v/>
      </c>
      <c r="G1672" s="5"/>
      <c r="H1672" s="7" t="s">
        <v>3384</v>
      </c>
      <c r="I1672" s="9">
        <v>1167000</v>
      </c>
      <c r="J1672" s="10">
        <v>0.03700000000000001</v>
      </c>
    </row>
    <row r="1673" spans="1:10">
      <c r="A1673" s="7" t="s">
        <v>3372</v>
      </c>
      <c r="B1673" s="7" t="s">
        <v>3385</v>
      </c>
      <c r="C1673" s="8">
        <f>QS.CONTEXT.CREATE("market.1671",A1673,"USD","SOFR")</f>
        <v/>
      </c>
      <c r="D1673" s="8">
        <f>QS.CONTEXT.ADD.CURVE(C1673,"SOFR",$K$2:$K$7,$L$2:$L$7,,,"Actual360","LogLinear",TRUE)</f>
        <v/>
      </c>
      <c r="E1673" s="8">
        <f>QS.INSTRUMENT.SWAP("swap.1671",C1673,H1673,B1673,"USD","SOFR",I1673,J1673,0,"Actual360","Simple","Annual","Annual","Annual")</f>
        <v/>
      </c>
      <c r="F1673" s="8">
        <f>QS.TRADE.CREATE("trade.1671",C1673,E1673,A1673,"Receive")</f>
        <v/>
      </c>
      <c r="G1673" s="5"/>
      <c r="H1673" s="7" t="s">
        <v>3386</v>
      </c>
      <c r="I1673" s="9">
        <v>1167100</v>
      </c>
      <c r="J1673" s="10">
        <v>0.0371</v>
      </c>
    </row>
    <row r="1674" spans="1:10">
      <c r="A1674" s="7" t="s">
        <v>3374</v>
      </c>
      <c r="B1674" s="7" t="s">
        <v>3387</v>
      </c>
      <c r="C1674" s="8">
        <f>QS.CONTEXT.CREATE("market.1672",A1674,"USD","SOFR")</f>
        <v/>
      </c>
      <c r="D1674" s="8">
        <f>QS.CONTEXT.ADD.CURVE(C1674,"SOFR",$K$2:$K$7,$L$2:$L$7,,,"Actual360","LogLinear",TRUE)</f>
        <v/>
      </c>
      <c r="E1674" s="8">
        <f>QS.INSTRUMENT.SWAP("swap.1672",C1674,H1674,B1674,"USD","SOFR",I1674,J1674,0,"Actual360","Simple","Annual","Annual","Annual")</f>
        <v/>
      </c>
      <c r="F1674" s="8">
        <f>QS.TRADE.CREATE("trade.1672",C1674,E1674,A1674,"Receive")</f>
        <v/>
      </c>
      <c r="G1674" s="5"/>
      <c r="H1674" s="7" t="s">
        <v>3388</v>
      </c>
      <c r="I1674" s="9">
        <v>1167200</v>
      </c>
      <c r="J1674" s="10">
        <v>0.0372</v>
      </c>
    </row>
    <row r="1675" spans="1:10">
      <c r="A1675" s="7" t="s">
        <v>3376</v>
      </c>
      <c r="B1675" s="7" t="s">
        <v>3389</v>
      </c>
      <c r="C1675" s="8">
        <f>QS.CONTEXT.CREATE("market.1673",A1675,"USD","SOFR")</f>
        <v/>
      </c>
      <c r="D1675" s="8">
        <f>QS.CONTEXT.ADD.CURVE(C1675,"SOFR",$K$2:$K$7,$L$2:$L$7,,,"Actual360","LogLinear",TRUE)</f>
        <v/>
      </c>
      <c r="E1675" s="8">
        <f>QS.INSTRUMENT.SWAP("swap.1673",C1675,H1675,B1675,"USD","SOFR",I1675,J1675,0,"Actual360","Simple","Annual","Annual","Annual")</f>
        <v/>
      </c>
      <c r="F1675" s="8">
        <f>QS.TRADE.CREATE("trade.1673",C1675,E1675,A1675,"Receive")</f>
        <v/>
      </c>
      <c r="G1675" s="5"/>
      <c r="H1675" s="7" t="s">
        <v>3390</v>
      </c>
      <c r="I1675" s="9">
        <v>1167300</v>
      </c>
      <c r="J1675" s="10">
        <v>0.0373</v>
      </c>
    </row>
    <row r="1676" spans="1:10">
      <c r="A1676" s="7" t="s">
        <v>3378</v>
      </c>
      <c r="B1676" s="7" t="s">
        <v>3391</v>
      </c>
      <c r="C1676" s="8">
        <f>QS.CONTEXT.CREATE("market.1674",A1676,"USD","SOFR")</f>
        <v/>
      </c>
      <c r="D1676" s="8">
        <f>QS.CONTEXT.ADD.CURVE(C1676,"SOFR",$K$2:$K$7,$L$2:$L$7,,,"Actual360","LogLinear",TRUE)</f>
        <v/>
      </c>
      <c r="E1676" s="8">
        <f>QS.INSTRUMENT.SWAP("swap.1674",C1676,H1676,B1676,"USD","SOFR",I1676,J1676,0,"Actual360","Simple","Annual","Annual","Annual")</f>
        <v/>
      </c>
      <c r="F1676" s="8">
        <f>QS.TRADE.CREATE("trade.1674",C1676,E1676,A1676,"Receive")</f>
        <v/>
      </c>
      <c r="G1676" s="5"/>
      <c r="H1676" s="7" t="s">
        <v>3392</v>
      </c>
      <c r="I1676" s="9">
        <v>1167400</v>
      </c>
      <c r="J1676" s="10">
        <v>0.0374</v>
      </c>
    </row>
    <row r="1677" spans="1:10">
      <c r="A1677" s="7" t="s">
        <v>3380</v>
      </c>
      <c r="B1677" s="7" t="s">
        <v>3393</v>
      </c>
      <c r="C1677" s="8">
        <f>QS.CONTEXT.CREATE("market.1675",A1677,"USD","SOFR")</f>
        <v/>
      </c>
      <c r="D1677" s="8">
        <f>QS.CONTEXT.ADD.CURVE(C1677,"SOFR",$K$2:$K$7,$L$2:$L$7,,,"Actual360","LogLinear",TRUE)</f>
        <v/>
      </c>
      <c r="E1677" s="8">
        <f>QS.INSTRUMENT.SWAP("swap.1675",C1677,H1677,B1677,"USD","SOFR",I1677,J1677,0,"Actual360","Simple","Annual","Annual","Annual")</f>
        <v/>
      </c>
      <c r="F1677" s="8">
        <f>QS.TRADE.CREATE("trade.1675",C1677,E1677,A1677,"Receive")</f>
        <v/>
      </c>
      <c r="G1677" s="5"/>
      <c r="H1677" s="7" t="s">
        <v>3394</v>
      </c>
      <c r="I1677" s="9">
        <v>1167500</v>
      </c>
      <c r="J1677" s="10">
        <v>0.03750000000000001</v>
      </c>
    </row>
    <row r="1678" spans="1:10">
      <c r="A1678" s="7" t="s">
        <v>3382</v>
      </c>
      <c r="B1678" s="7" t="s">
        <v>3395</v>
      </c>
      <c r="C1678" s="8">
        <f>QS.CONTEXT.CREATE("market.1676",A1678,"USD","SOFR")</f>
        <v/>
      </c>
      <c r="D1678" s="8">
        <f>QS.CONTEXT.ADD.CURVE(C1678,"SOFR",$K$2:$K$7,$L$2:$L$7,,,"Actual360","LogLinear",TRUE)</f>
        <v/>
      </c>
      <c r="E1678" s="8">
        <f>QS.INSTRUMENT.SWAP("swap.1676",C1678,H1678,B1678,"USD","SOFR",I1678,J1678,0,"Actual360","Simple","Annual","Annual","Annual")</f>
        <v/>
      </c>
      <c r="F1678" s="8">
        <f>QS.TRADE.CREATE("trade.1676",C1678,E1678,A1678,"Receive")</f>
        <v/>
      </c>
      <c r="G1678" s="5"/>
      <c r="H1678" s="7" t="s">
        <v>3396</v>
      </c>
      <c r="I1678" s="9">
        <v>1167600</v>
      </c>
      <c r="J1678" s="10">
        <v>0.0376</v>
      </c>
    </row>
    <row r="1679" spans="1:10">
      <c r="A1679" s="7" t="s">
        <v>3384</v>
      </c>
      <c r="B1679" s="7" t="s">
        <v>3397</v>
      </c>
      <c r="C1679" s="8">
        <f>QS.CONTEXT.CREATE("market.1677",A1679,"USD","SOFR")</f>
        <v/>
      </c>
      <c r="D1679" s="8">
        <f>QS.CONTEXT.ADD.CURVE(C1679,"SOFR",$K$2:$K$7,$L$2:$L$7,,,"Actual360","LogLinear",TRUE)</f>
        <v/>
      </c>
      <c r="E1679" s="8">
        <f>QS.INSTRUMENT.SWAP("swap.1677",C1679,H1679,B1679,"USD","SOFR",I1679,J1679,0,"Actual360","Simple","Annual","Annual","Annual")</f>
        <v/>
      </c>
      <c r="F1679" s="8">
        <f>QS.TRADE.CREATE("trade.1677",C1679,E1679,A1679,"Receive")</f>
        <v/>
      </c>
      <c r="G1679" s="5"/>
      <c r="H1679" s="7" t="s">
        <v>3398</v>
      </c>
      <c r="I1679" s="9">
        <v>1167700</v>
      </c>
      <c r="J1679" s="10">
        <v>0.0377</v>
      </c>
    </row>
    <row r="1680" spans="1:10">
      <c r="A1680" s="7" t="s">
        <v>3386</v>
      </c>
      <c r="B1680" s="7" t="s">
        <v>3399</v>
      </c>
      <c r="C1680" s="8">
        <f>QS.CONTEXT.CREATE("market.1678",A1680,"USD","SOFR")</f>
        <v/>
      </c>
      <c r="D1680" s="8">
        <f>QS.CONTEXT.ADD.CURVE(C1680,"SOFR",$K$2:$K$7,$L$2:$L$7,,,"Actual360","LogLinear",TRUE)</f>
        <v/>
      </c>
      <c r="E1680" s="8">
        <f>QS.INSTRUMENT.SWAP("swap.1678",C1680,H1680,B1680,"USD","SOFR",I1680,J1680,0,"Actual360","Simple","Annual","Annual","Annual")</f>
        <v/>
      </c>
      <c r="F1680" s="8">
        <f>QS.TRADE.CREATE("trade.1678",C1680,E1680,A1680,"Receive")</f>
        <v/>
      </c>
      <c r="G1680" s="5"/>
      <c r="H1680" s="7" t="s">
        <v>3400</v>
      </c>
      <c r="I1680" s="9">
        <v>1167800</v>
      </c>
      <c r="J1680" s="10">
        <v>0.0378</v>
      </c>
    </row>
    <row r="1681" spans="1:10">
      <c r="A1681" s="7" t="s">
        <v>3388</v>
      </c>
      <c r="B1681" s="7" t="s">
        <v>3401</v>
      </c>
      <c r="C1681" s="8">
        <f>QS.CONTEXT.CREATE("market.1679",A1681,"USD","SOFR")</f>
        <v/>
      </c>
      <c r="D1681" s="8">
        <f>QS.CONTEXT.ADD.CURVE(C1681,"SOFR",$K$2:$K$7,$L$2:$L$7,,,"Actual360","LogLinear",TRUE)</f>
        <v/>
      </c>
      <c r="E1681" s="8">
        <f>QS.INSTRUMENT.SWAP("swap.1679",C1681,H1681,B1681,"USD","SOFR",I1681,J1681,0,"Actual360","Simple","Annual","Annual","Annual")</f>
        <v/>
      </c>
      <c r="F1681" s="8">
        <f>QS.TRADE.CREATE("trade.1679",C1681,E1681,A1681,"Receive")</f>
        <v/>
      </c>
      <c r="G1681" s="5"/>
      <c r="H1681" s="7" t="s">
        <v>3402</v>
      </c>
      <c r="I1681" s="9">
        <v>1167900</v>
      </c>
      <c r="J1681" s="10">
        <v>0.0379</v>
      </c>
    </row>
    <row r="1682" spans="1:10">
      <c r="A1682" s="7" t="s">
        <v>3390</v>
      </c>
      <c r="B1682" s="7" t="s">
        <v>3403</v>
      </c>
      <c r="C1682" s="8">
        <f>QS.CONTEXT.CREATE("market.1680",A1682,"USD","SOFR")</f>
        <v/>
      </c>
      <c r="D1682" s="8">
        <f>QS.CONTEXT.ADD.CURVE(C1682,"SOFR",$K$2:$K$7,$L$2:$L$7,,,"Actual360","LogLinear",TRUE)</f>
        <v/>
      </c>
      <c r="E1682" s="8">
        <f>QS.INSTRUMENT.SWAP("swap.1680",C1682,H1682,B1682,"USD","SOFR",I1682,J1682,0,"Actual360","Simple","Annual","Annual","Annual")</f>
        <v/>
      </c>
      <c r="F1682" s="8">
        <f>QS.TRADE.CREATE("trade.1680",C1682,E1682,A1682,"Receive")</f>
        <v/>
      </c>
      <c r="G1682" s="5"/>
      <c r="H1682" s="7" t="s">
        <v>3404</v>
      </c>
      <c r="I1682" s="9">
        <v>1168000</v>
      </c>
      <c r="J1682" s="10">
        <v>0.03800000000000001</v>
      </c>
    </row>
    <row r="1683" spans="1:10">
      <c r="A1683" s="7" t="s">
        <v>3392</v>
      </c>
      <c r="B1683" s="7" t="s">
        <v>3405</v>
      </c>
      <c r="C1683" s="8">
        <f>QS.CONTEXT.CREATE("market.1681",A1683,"USD","SOFR")</f>
        <v/>
      </c>
      <c r="D1683" s="8">
        <f>QS.CONTEXT.ADD.CURVE(C1683,"SOFR",$K$2:$K$7,$L$2:$L$7,,,"Actual360","LogLinear",TRUE)</f>
        <v/>
      </c>
      <c r="E1683" s="8">
        <f>QS.INSTRUMENT.SWAP("swap.1681",C1683,H1683,B1683,"USD","SOFR",I1683,J1683,0,"Actual360","Simple","Annual","Annual","Annual")</f>
        <v/>
      </c>
      <c r="F1683" s="8">
        <f>QS.TRADE.CREATE("trade.1681",C1683,E1683,A1683,"Receive")</f>
        <v/>
      </c>
      <c r="G1683" s="5"/>
      <c r="H1683" s="7" t="s">
        <v>3406</v>
      </c>
      <c r="I1683" s="9">
        <v>1168100</v>
      </c>
      <c r="J1683" s="10">
        <v>0.0381</v>
      </c>
    </row>
    <row r="1684" spans="1:10">
      <c r="A1684" s="7" t="s">
        <v>3394</v>
      </c>
      <c r="B1684" s="7" t="s">
        <v>3407</v>
      </c>
      <c r="C1684" s="8">
        <f>QS.CONTEXT.CREATE("market.1682",A1684,"USD","SOFR")</f>
        <v/>
      </c>
      <c r="D1684" s="8">
        <f>QS.CONTEXT.ADD.CURVE(C1684,"SOFR",$K$2:$K$7,$L$2:$L$7,,,"Actual360","LogLinear",TRUE)</f>
        <v/>
      </c>
      <c r="E1684" s="8">
        <f>QS.INSTRUMENT.SWAP("swap.1682",C1684,H1684,B1684,"USD","SOFR",I1684,J1684,0,"Actual360","Simple","Annual","Annual","Annual")</f>
        <v/>
      </c>
      <c r="F1684" s="8">
        <f>QS.TRADE.CREATE("trade.1682",C1684,E1684,A1684,"Receive")</f>
        <v/>
      </c>
      <c r="G1684" s="5"/>
      <c r="H1684" s="7" t="s">
        <v>3408</v>
      </c>
      <c r="I1684" s="9">
        <v>1168200</v>
      </c>
      <c r="J1684" s="10">
        <v>0.0382</v>
      </c>
    </row>
    <row r="1685" spans="1:10">
      <c r="A1685" s="7" t="s">
        <v>3396</v>
      </c>
      <c r="B1685" s="7" t="s">
        <v>3409</v>
      </c>
      <c r="C1685" s="8">
        <f>QS.CONTEXT.CREATE("market.1683",A1685,"USD","SOFR")</f>
        <v/>
      </c>
      <c r="D1685" s="8">
        <f>QS.CONTEXT.ADD.CURVE(C1685,"SOFR",$K$2:$K$7,$L$2:$L$7,,,"Actual360","LogLinear",TRUE)</f>
        <v/>
      </c>
      <c r="E1685" s="8">
        <f>QS.INSTRUMENT.SWAP("swap.1683",C1685,H1685,B1685,"USD","SOFR",I1685,J1685,0,"Actual360","Simple","Annual","Annual","Annual")</f>
        <v/>
      </c>
      <c r="F1685" s="8">
        <f>QS.TRADE.CREATE("trade.1683",C1685,E1685,A1685,"Receive")</f>
        <v/>
      </c>
      <c r="G1685" s="5"/>
      <c r="H1685" s="7" t="s">
        <v>3410</v>
      </c>
      <c r="I1685" s="9">
        <v>1168300</v>
      </c>
      <c r="J1685" s="10">
        <v>0.0383</v>
      </c>
    </row>
    <row r="1686" spans="1:10">
      <c r="A1686" s="7" t="s">
        <v>3398</v>
      </c>
      <c r="B1686" s="7" t="s">
        <v>3411</v>
      </c>
      <c r="C1686" s="8">
        <f>QS.CONTEXT.CREATE("market.1684",A1686,"USD","SOFR")</f>
        <v/>
      </c>
      <c r="D1686" s="8">
        <f>QS.CONTEXT.ADD.CURVE(C1686,"SOFR",$K$2:$K$7,$L$2:$L$7,,,"Actual360","LogLinear",TRUE)</f>
        <v/>
      </c>
      <c r="E1686" s="8">
        <f>QS.INSTRUMENT.SWAP("swap.1684",C1686,H1686,B1686,"USD","SOFR",I1686,J1686,0,"Actual360","Simple","Annual","Annual","Annual")</f>
        <v/>
      </c>
      <c r="F1686" s="8">
        <f>QS.TRADE.CREATE("trade.1684",C1686,E1686,A1686,"Receive")</f>
        <v/>
      </c>
      <c r="G1686" s="5"/>
      <c r="H1686" s="7" t="s">
        <v>3412</v>
      </c>
      <c r="I1686" s="9">
        <v>1168400</v>
      </c>
      <c r="J1686" s="10">
        <v>0.0384</v>
      </c>
    </row>
    <row r="1687" spans="1:10">
      <c r="A1687" s="7" t="s">
        <v>3400</v>
      </c>
      <c r="B1687" s="7" t="s">
        <v>3413</v>
      </c>
      <c r="C1687" s="8">
        <f>QS.CONTEXT.CREATE("market.1685",A1687,"USD","SOFR")</f>
        <v/>
      </c>
      <c r="D1687" s="8">
        <f>QS.CONTEXT.ADD.CURVE(C1687,"SOFR",$K$2:$K$7,$L$2:$L$7,,,"Actual360","LogLinear",TRUE)</f>
        <v/>
      </c>
      <c r="E1687" s="8">
        <f>QS.INSTRUMENT.SWAP("swap.1685",C1687,H1687,B1687,"USD","SOFR",I1687,J1687,0,"Actual360","Simple","Annual","Annual","Annual")</f>
        <v/>
      </c>
      <c r="F1687" s="8">
        <f>QS.TRADE.CREATE("trade.1685",C1687,E1687,A1687,"Receive")</f>
        <v/>
      </c>
      <c r="G1687" s="5"/>
      <c r="H1687" s="7" t="s">
        <v>3414</v>
      </c>
      <c r="I1687" s="9">
        <v>1168500</v>
      </c>
      <c r="J1687" s="10">
        <v>0.03850000000000001</v>
      </c>
    </row>
    <row r="1688" spans="1:10">
      <c r="A1688" s="7" t="s">
        <v>3402</v>
      </c>
      <c r="B1688" s="7" t="s">
        <v>3415</v>
      </c>
      <c r="C1688" s="8">
        <f>QS.CONTEXT.CREATE("market.1686",A1688,"USD","SOFR")</f>
        <v/>
      </c>
      <c r="D1688" s="8">
        <f>QS.CONTEXT.ADD.CURVE(C1688,"SOFR",$K$2:$K$7,$L$2:$L$7,,,"Actual360","LogLinear",TRUE)</f>
        <v/>
      </c>
      <c r="E1688" s="8">
        <f>QS.INSTRUMENT.SWAP("swap.1686",C1688,H1688,B1688,"USD","SOFR",I1688,J1688,0,"Actual360","Simple","Annual","Annual","Annual")</f>
        <v/>
      </c>
      <c r="F1688" s="8">
        <f>QS.TRADE.CREATE("trade.1686",C1688,E1688,A1688,"Receive")</f>
        <v/>
      </c>
      <c r="G1688" s="5"/>
      <c r="H1688" s="7" t="s">
        <v>3416</v>
      </c>
      <c r="I1688" s="9">
        <v>1168600</v>
      </c>
      <c r="J1688" s="10">
        <v>0.0386</v>
      </c>
    </row>
    <row r="1689" spans="1:10">
      <c r="A1689" s="7" t="s">
        <v>3404</v>
      </c>
      <c r="B1689" s="7" t="s">
        <v>3417</v>
      </c>
      <c r="C1689" s="8">
        <f>QS.CONTEXT.CREATE("market.1687",A1689,"USD","SOFR")</f>
        <v/>
      </c>
      <c r="D1689" s="8">
        <f>QS.CONTEXT.ADD.CURVE(C1689,"SOFR",$K$2:$K$7,$L$2:$L$7,,,"Actual360","LogLinear",TRUE)</f>
        <v/>
      </c>
      <c r="E1689" s="8">
        <f>QS.INSTRUMENT.SWAP("swap.1687",C1689,H1689,B1689,"USD","SOFR",I1689,J1689,0,"Actual360","Simple","Annual","Annual","Annual")</f>
        <v/>
      </c>
      <c r="F1689" s="8">
        <f>QS.TRADE.CREATE("trade.1687",C1689,E1689,A1689,"Receive")</f>
        <v/>
      </c>
      <c r="G1689" s="5"/>
      <c r="H1689" s="7" t="s">
        <v>3418</v>
      </c>
      <c r="I1689" s="9">
        <v>1168700</v>
      </c>
      <c r="J1689" s="10">
        <v>0.03870000000000001</v>
      </c>
    </row>
    <row r="1690" spans="1:10">
      <c r="A1690" s="7" t="s">
        <v>3406</v>
      </c>
      <c r="B1690" s="7" t="s">
        <v>3419</v>
      </c>
      <c r="C1690" s="8">
        <f>QS.CONTEXT.CREATE("market.1688",A1690,"USD","SOFR")</f>
        <v/>
      </c>
      <c r="D1690" s="8">
        <f>QS.CONTEXT.ADD.CURVE(C1690,"SOFR",$K$2:$K$7,$L$2:$L$7,,,"Actual360","LogLinear",TRUE)</f>
        <v/>
      </c>
      <c r="E1690" s="8">
        <f>QS.INSTRUMENT.SWAP("swap.1688",C1690,H1690,B1690,"USD","SOFR",I1690,J1690,0,"Actual360","Simple","Annual","Annual","Annual")</f>
        <v/>
      </c>
      <c r="F1690" s="8">
        <f>QS.TRADE.CREATE("trade.1688",C1690,E1690,A1690,"Receive")</f>
        <v/>
      </c>
      <c r="G1690" s="5"/>
      <c r="H1690" s="7" t="s">
        <v>3420</v>
      </c>
      <c r="I1690" s="9">
        <v>1168800</v>
      </c>
      <c r="J1690" s="10">
        <v>0.0388</v>
      </c>
    </row>
    <row r="1691" spans="1:10">
      <c r="A1691" s="7" t="s">
        <v>3408</v>
      </c>
      <c r="B1691" s="7" t="s">
        <v>3421</v>
      </c>
      <c r="C1691" s="8">
        <f>QS.CONTEXT.CREATE("market.1689",A1691,"USD","SOFR")</f>
        <v/>
      </c>
      <c r="D1691" s="8">
        <f>QS.CONTEXT.ADD.CURVE(C1691,"SOFR",$K$2:$K$7,$L$2:$L$7,,,"Actual360","LogLinear",TRUE)</f>
        <v/>
      </c>
      <c r="E1691" s="8">
        <f>QS.INSTRUMENT.SWAP("swap.1689",C1691,H1691,B1691,"USD","SOFR",I1691,J1691,0,"Actual360","Simple","Annual","Annual","Annual")</f>
        <v/>
      </c>
      <c r="F1691" s="8">
        <f>QS.TRADE.CREATE("trade.1689",C1691,E1691,A1691,"Receive")</f>
        <v/>
      </c>
      <c r="G1691" s="5"/>
      <c r="H1691" s="7" t="s">
        <v>3422</v>
      </c>
      <c r="I1691" s="9">
        <v>1168900</v>
      </c>
      <c r="J1691" s="10">
        <v>0.0389</v>
      </c>
    </row>
    <row r="1692" spans="1:10">
      <c r="A1692" s="7" t="s">
        <v>3410</v>
      </c>
      <c r="B1692" s="7" t="s">
        <v>3423</v>
      </c>
      <c r="C1692" s="8">
        <f>QS.CONTEXT.CREATE("market.1690",A1692,"USD","SOFR")</f>
        <v/>
      </c>
      <c r="D1692" s="8">
        <f>QS.CONTEXT.ADD.CURVE(C1692,"SOFR",$K$2:$K$7,$L$2:$L$7,,,"Actual360","LogLinear",TRUE)</f>
        <v/>
      </c>
      <c r="E1692" s="8">
        <f>QS.INSTRUMENT.SWAP("swap.1690",C1692,H1692,B1692,"USD","SOFR",I1692,J1692,0,"Actual360","Simple","Annual","Annual","Annual")</f>
        <v/>
      </c>
      <c r="F1692" s="8">
        <f>QS.TRADE.CREATE("trade.1690",C1692,E1692,A1692,"Receive")</f>
        <v/>
      </c>
      <c r="G1692" s="5"/>
      <c r="H1692" s="7" t="s">
        <v>3424</v>
      </c>
      <c r="I1692" s="9">
        <v>1169000</v>
      </c>
      <c r="J1692" s="10">
        <v>0.03900000000000001</v>
      </c>
    </row>
    <row r="1693" spans="1:10">
      <c r="A1693" s="7" t="s">
        <v>3412</v>
      </c>
      <c r="B1693" s="7" t="s">
        <v>3425</v>
      </c>
      <c r="C1693" s="8">
        <f>QS.CONTEXT.CREATE("market.1691",A1693,"USD","SOFR")</f>
        <v/>
      </c>
      <c r="D1693" s="8">
        <f>QS.CONTEXT.ADD.CURVE(C1693,"SOFR",$K$2:$K$7,$L$2:$L$7,,,"Actual360","LogLinear",TRUE)</f>
        <v/>
      </c>
      <c r="E1693" s="8">
        <f>QS.INSTRUMENT.SWAP("swap.1691",C1693,H1693,B1693,"USD","SOFR",I1693,J1693,0,"Actual360","Simple","Annual","Annual","Annual")</f>
        <v/>
      </c>
      <c r="F1693" s="8">
        <f>QS.TRADE.CREATE("trade.1691",C1693,E1693,A1693,"Receive")</f>
        <v/>
      </c>
      <c r="G1693" s="5"/>
      <c r="H1693" s="7" t="s">
        <v>3426</v>
      </c>
      <c r="I1693" s="9">
        <v>1169100</v>
      </c>
      <c r="J1693" s="10">
        <v>0.0391</v>
      </c>
    </row>
    <row r="1694" spans="1:10">
      <c r="A1694" s="7" t="s">
        <v>3414</v>
      </c>
      <c r="B1694" s="7" t="s">
        <v>3427</v>
      </c>
      <c r="C1694" s="8">
        <f>QS.CONTEXT.CREATE("market.1692",A1694,"USD","SOFR")</f>
        <v/>
      </c>
      <c r="D1694" s="8">
        <f>QS.CONTEXT.ADD.CURVE(C1694,"SOFR",$K$2:$K$7,$L$2:$L$7,,,"Actual360","LogLinear",TRUE)</f>
        <v/>
      </c>
      <c r="E1694" s="8">
        <f>QS.INSTRUMENT.SWAP("swap.1692",C1694,H1694,B1694,"USD","SOFR",I1694,J1694,0,"Actual360","Simple","Annual","Annual","Annual")</f>
        <v/>
      </c>
      <c r="F1694" s="8">
        <f>QS.TRADE.CREATE("trade.1692",C1694,E1694,A1694,"Receive")</f>
        <v/>
      </c>
      <c r="G1694" s="5"/>
      <c r="H1694" s="7" t="s">
        <v>3428</v>
      </c>
      <c r="I1694" s="9">
        <v>1169200</v>
      </c>
      <c r="J1694" s="10">
        <v>0.03920000000000001</v>
      </c>
    </row>
    <row r="1695" spans="1:10">
      <c r="A1695" s="7" t="s">
        <v>3416</v>
      </c>
      <c r="B1695" s="7" t="s">
        <v>3429</v>
      </c>
      <c r="C1695" s="8">
        <f>QS.CONTEXT.CREATE("market.1693",A1695,"USD","SOFR")</f>
        <v/>
      </c>
      <c r="D1695" s="8">
        <f>QS.CONTEXT.ADD.CURVE(C1695,"SOFR",$K$2:$K$7,$L$2:$L$7,,,"Actual360","LogLinear",TRUE)</f>
        <v/>
      </c>
      <c r="E1695" s="8">
        <f>QS.INSTRUMENT.SWAP("swap.1693",C1695,H1695,B1695,"USD","SOFR",I1695,J1695,0,"Actual360","Simple","Annual","Annual","Annual")</f>
        <v/>
      </c>
      <c r="F1695" s="8">
        <f>QS.TRADE.CREATE("trade.1693",C1695,E1695,A1695,"Receive")</f>
        <v/>
      </c>
      <c r="G1695" s="5"/>
      <c r="H1695" s="7" t="s">
        <v>3430</v>
      </c>
      <c r="I1695" s="9">
        <v>1169300</v>
      </c>
      <c r="J1695" s="10">
        <v>0.0393</v>
      </c>
    </row>
    <row r="1696" spans="1:10">
      <c r="A1696" s="7" t="s">
        <v>3418</v>
      </c>
      <c r="B1696" s="7" t="s">
        <v>3431</v>
      </c>
      <c r="C1696" s="8">
        <f>QS.CONTEXT.CREATE("market.1694",A1696,"USD","SOFR")</f>
        <v/>
      </c>
      <c r="D1696" s="8">
        <f>QS.CONTEXT.ADD.CURVE(C1696,"SOFR",$K$2:$K$7,$L$2:$L$7,,,"Actual360","LogLinear",TRUE)</f>
        <v/>
      </c>
      <c r="E1696" s="8">
        <f>QS.INSTRUMENT.SWAP("swap.1694",C1696,H1696,B1696,"USD","SOFR",I1696,J1696,0,"Actual360","Simple","Annual","Annual","Annual")</f>
        <v/>
      </c>
      <c r="F1696" s="8">
        <f>QS.TRADE.CREATE("trade.1694",C1696,E1696,A1696,"Receive")</f>
        <v/>
      </c>
      <c r="G1696" s="5"/>
      <c r="H1696" s="7" t="s">
        <v>3432</v>
      </c>
      <c r="I1696" s="9">
        <v>1169400</v>
      </c>
      <c r="J1696" s="10">
        <v>0.0394</v>
      </c>
    </row>
    <row r="1697" spans="1:10">
      <c r="A1697" s="7" t="s">
        <v>3420</v>
      </c>
      <c r="B1697" s="7" t="s">
        <v>3433</v>
      </c>
      <c r="C1697" s="8">
        <f>QS.CONTEXT.CREATE("market.1695",A1697,"USD","SOFR")</f>
        <v/>
      </c>
      <c r="D1697" s="8">
        <f>QS.CONTEXT.ADD.CURVE(C1697,"SOFR",$K$2:$K$7,$L$2:$L$7,,,"Actual360","LogLinear",TRUE)</f>
        <v/>
      </c>
      <c r="E1697" s="8">
        <f>QS.INSTRUMENT.SWAP("swap.1695",C1697,H1697,B1697,"USD","SOFR",I1697,J1697,0,"Actual360","Simple","Annual","Annual","Annual")</f>
        <v/>
      </c>
      <c r="F1697" s="8">
        <f>QS.TRADE.CREATE("trade.1695",C1697,E1697,A1697,"Receive")</f>
        <v/>
      </c>
      <c r="G1697" s="5"/>
      <c r="H1697" s="7" t="s">
        <v>3434</v>
      </c>
      <c r="I1697" s="9">
        <v>1169500</v>
      </c>
      <c r="J1697" s="10">
        <v>0.03950000000000001</v>
      </c>
    </row>
    <row r="1698" spans="1:10">
      <c r="A1698" s="7" t="s">
        <v>3422</v>
      </c>
      <c r="B1698" s="7" t="s">
        <v>3435</v>
      </c>
      <c r="C1698" s="8">
        <f>QS.CONTEXT.CREATE("market.1696",A1698,"USD","SOFR")</f>
        <v/>
      </c>
      <c r="D1698" s="8">
        <f>QS.CONTEXT.ADD.CURVE(C1698,"SOFR",$K$2:$K$7,$L$2:$L$7,,,"Actual360","LogLinear",TRUE)</f>
        <v/>
      </c>
      <c r="E1698" s="8">
        <f>QS.INSTRUMENT.SWAP("swap.1696",C1698,H1698,B1698,"USD","SOFR",I1698,J1698,0,"Actual360","Simple","Annual","Annual","Annual")</f>
        <v/>
      </c>
      <c r="F1698" s="8">
        <f>QS.TRADE.CREATE("trade.1696",C1698,E1698,A1698,"Receive")</f>
        <v/>
      </c>
      <c r="G1698" s="5"/>
      <c r="H1698" s="7" t="s">
        <v>3436</v>
      </c>
      <c r="I1698" s="9">
        <v>1169600</v>
      </c>
      <c r="J1698" s="10">
        <v>0.0396</v>
      </c>
    </row>
    <row r="1699" spans="1:10">
      <c r="A1699" s="7" t="s">
        <v>3424</v>
      </c>
      <c r="B1699" s="7" t="s">
        <v>3437</v>
      </c>
      <c r="C1699" s="8">
        <f>QS.CONTEXT.CREATE("market.1697",A1699,"USD","SOFR")</f>
        <v/>
      </c>
      <c r="D1699" s="8">
        <f>QS.CONTEXT.ADD.CURVE(C1699,"SOFR",$K$2:$K$7,$L$2:$L$7,,,"Actual360","LogLinear",TRUE)</f>
        <v/>
      </c>
      <c r="E1699" s="8">
        <f>QS.INSTRUMENT.SWAP("swap.1697",C1699,H1699,B1699,"USD","SOFR",I1699,J1699,0,"Actual360","Simple","Annual","Annual","Annual")</f>
        <v/>
      </c>
      <c r="F1699" s="8">
        <f>QS.TRADE.CREATE("trade.1697",C1699,E1699,A1699,"Receive")</f>
        <v/>
      </c>
      <c r="G1699" s="5"/>
      <c r="H1699" s="7" t="s">
        <v>3438</v>
      </c>
      <c r="I1699" s="9">
        <v>1169700</v>
      </c>
      <c r="J1699" s="10">
        <v>0.03970000000000001</v>
      </c>
    </row>
    <row r="1700" spans="1:10">
      <c r="A1700" s="7" t="s">
        <v>3426</v>
      </c>
      <c r="B1700" s="7" t="s">
        <v>3439</v>
      </c>
      <c r="C1700" s="8">
        <f>QS.CONTEXT.CREATE("market.1698",A1700,"USD","SOFR")</f>
        <v/>
      </c>
      <c r="D1700" s="8">
        <f>QS.CONTEXT.ADD.CURVE(C1700,"SOFR",$K$2:$K$7,$L$2:$L$7,,,"Actual360","LogLinear",TRUE)</f>
        <v/>
      </c>
      <c r="E1700" s="8">
        <f>QS.INSTRUMENT.SWAP("swap.1698",C1700,H1700,B1700,"USD","SOFR",I1700,J1700,0,"Actual360","Simple","Annual","Annual","Annual")</f>
        <v/>
      </c>
      <c r="F1700" s="8">
        <f>QS.TRADE.CREATE("trade.1698",C1700,E1700,A1700,"Receive")</f>
        <v/>
      </c>
      <c r="G1700" s="5"/>
      <c r="H1700" s="7" t="s">
        <v>3440</v>
      </c>
      <c r="I1700" s="9">
        <v>1169800</v>
      </c>
      <c r="J1700" s="10">
        <v>0.0398</v>
      </c>
    </row>
    <row r="1701" spans="1:10">
      <c r="A1701" s="7" t="s">
        <v>3428</v>
      </c>
      <c r="B1701" s="7" t="s">
        <v>3441</v>
      </c>
      <c r="C1701" s="8">
        <f>QS.CONTEXT.CREATE("market.1699",A1701,"USD","SOFR")</f>
        <v/>
      </c>
      <c r="D1701" s="8">
        <f>QS.CONTEXT.ADD.CURVE(C1701,"SOFR",$K$2:$K$7,$L$2:$L$7,,,"Actual360","LogLinear",TRUE)</f>
        <v/>
      </c>
      <c r="E1701" s="8">
        <f>QS.INSTRUMENT.SWAP("swap.1699",C1701,H1701,B1701,"USD","SOFR",I1701,J1701,0,"Actual360","Simple","Annual","Annual","Annual")</f>
        <v/>
      </c>
      <c r="F1701" s="8">
        <f>QS.TRADE.CREATE("trade.1699",C1701,E1701,A1701,"Receive")</f>
        <v/>
      </c>
      <c r="G1701" s="5"/>
      <c r="H1701" s="7" t="s">
        <v>3442</v>
      </c>
      <c r="I1701" s="9">
        <v>1169900</v>
      </c>
      <c r="J1701" s="10">
        <v>0.0399</v>
      </c>
    </row>
    <row r="1702" spans="1:10">
      <c r="A1702" s="7" t="s">
        <v>3430</v>
      </c>
      <c r="B1702" s="7" t="s">
        <v>3443</v>
      </c>
      <c r="C1702" s="8">
        <f>QS.CONTEXT.CREATE("market.1700",A1702,"USD","SOFR")</f>
        <v/>
      </c>
      <c r="D1702" s="8">
        <f>QS.CONTEXT.ADD.CURVE(C1702,"SOFR",$K$2:$K$7,$L$2:$L$7,,,"Actual360","LogLinear",TRUE)</f>
        <v/>
      </c>
      <c r="E1702" s="8">
        <f>QS.INSTRUMENT.SWAP("swap.1700",C1702,H1702,B1702,"USD","SOFR",I1702,J1702,0,"Actual360","Simple","Annual","Annual","Annual")</f>
        <v/>
      </c>
      <c r="F1702" s="8">
        <f>QS.TRADE.CREATE("trade.1700",C1702,E1702,A1702,"Receive")</f>
        <v/>
      </c>
      <c r="G1702" s="5"/>
      <c r="H1702" s="7" t="s">
        <v>3444</v>
      </c>
      <c r="I1702" s="9">
        <v>1170000</v>
      </c>
      <c r="J1702" s="10">
        <v>0.035</v>
      </c>
    </row>
    <row r="1703" spans="1:10">
      <c r="A1703" s="7" t="s">
        <v>3432</v>
      </c>
      <c r="B1703" s="7" t="s">
        <v>3445</v>
      </c>
      <c r="C1703" s="8">
        <f>QS.CONTEXT.CREATE("market.1701",A1703,"USD","SOFR")</f>
        <v/>
      </c>
      <c r="D1703" s="8">
        <f>QS.CONTEXT.ADD.CURVE(C1703,"SOFR",$K$2:$K$7,$L$2:$L$7,,,"Actual360","LogLinear",TRUE)</f>
        <v/>
      </c>
      <c r="E1703" s="8">
        <f>QS.INSTRUMENT.SWAP("swap.1701",C1703,H1703,B1703,"USD","SOFR",I1703,J1703,0,"Actual360","Simple","Annual","Annual","Annual")</f>
        <v/>
      </c>
      <c r="F1703" s="8">
        <f>QS.TRADE.CREATE("trade.1701",C1703,E1703,A1703,"Receive")</f>
        <v/>
      </c>
      <c r="G1703" s="5"/>
      <c r="H1703" s="7" t="s">
        <v>3446</v>
      </c>
      <c r="I1703" s="9">
        <v>1170100</v>
      </c>
      <c r="J1703" s="10">
        <v>0.03510000000000001</v>
      </c>
    </row>
    <row r="1704" spans="1:10">
      <c r="A1704" s="7" t="s">
        <v>3434</v>
      </c>
      <c r="B1704" s="7" t="s">
        <v>3447</v>
      </c>
      <c r="C1704" s="8">
        <f>QS.CONTEXT.CREATE("market.1702",A1704,"USD","SOFR")</f>
        <v/>
      </c>
      <c r="D1704" s="8">
        <f>QS.CONTEXT.ADD.CURVE(C1704,"SOFR",$K$2:$K$7,$L$2:$L$7,,,"Actual360","LogLinear",TRUE)</f>
        <v/>
      </c>
      <c r="E1704" s="8">
        <f>QS.INSTRUMENT.SWAP("swap.1702",C1704,H1704,B1704,"USD","SOFR",I1704,J1704,0,"Actual360","Simple","Annual","Annual","Annual")</f>
        <v/>
      </c>
      <c r="F1704" s="8">
        <f>QS.TRADE.CREATE("trade.1702",C1704,E1704,A1704,"Receive")</f>
        <v/>
      </c>
      <c r="G1704" s="5"/>
      <c r="H1704" s="7" t="s">
        <v>3448</v>
      </c>
      <c r="I1704" s="9">
        <v>1170200</v>
      </c>
      <c r="J1704" s="10">
        <v>0.0352</v>
      </c>
    </row>
    <row r="1705" spans="1:10">
      <c r="A1705" s="7" t="s">
        <v>3436</v>
      </c>
      <c r="B1705" s="7" t="s">
        <v>3449</v>
      </c>
      <c r="C1705" s="8">
        <f>QS.CONTEXT.CREATE("market.1703",A1705,"USD","SOFR")</f>
        <v/>
      </c>
      <c r="D1705" s="8">
        <f>QS.CONTEXT.ADD.CURVE(C1705,"SOFR",$K$2:$K$7,$L$2:$L$7,,,"Actual360","LogLinear",TRUE)</f>
        <v/>
      </c>
      <c r="E1705" s="8">
        <f>QS.INSTRUMENT.SWAP("swap.1703",C1705,H1705,B1705,"USD","SOFR",I1705,J1705,0,"Actual360","Simple","Annual","Annual","Annual")</f>
        <v/>
      </c>
      <c r="F1705" s="8">
        <f>QS.TRADE.CREATE("trade.1703",C1705,E1705,A1705,"Receive")</f>
        <v/>
      </c>
      <c r="G1705" s="5"/>
      <c r="H1705" s="7" t="s">
        <v>3450</v>
      </c>
      <c r="I1705" s="9">
        <v>1170300</v>
      </c>
      <c r="J1705" s="10">
        <v>0.0353</v>
      </c>
    </row>
    <row r="1706" spans="1:10">
      <c r="A1706" s="7" t="s">
        <v>3438</v>
      </c>
      <c r="B1706" s="7" t="s">
        <v>3451</v>
      </c>
      <c r="C1706" s="8">
        <f>QS.CONTEXT.CREATE("market.1704",A1706,"USD","SOFR")</f>
        <v/>
      </c>
      <c r="D1706" s="8">
        <f>QS.CONTEXT.ADD.CURVE(C1706,"SOFR",$K$2:$K$7,$L$2:$L$7,,,"Actual360","LogLinear",TRUE)</f>
        <v/>
      </c>
      <c r="E1706" s="8">
        <f>QS.INSTRUMENT.SWAP("swap.1704",C1706,H1706,B1706,"USD","SOFR",I1706,J1706,0,"Actual360","Simple","Annual","Annual","Annual")</f>
        <v/>
      </c>
      <c r="F1706" s="8">
        <f>QS.TRADE.CREATE("trade.1704",C1706,E1706,A1706,"Receive")</f>
        <v/>
      </c>
      <c r="G1706" s="5"/>
      <c r="H1706" s="7" t="s">
        <v>3452</v>
      </c>
      <c r="I1706" s="9">
        <v>1170400</v>
      </c>
      <c r="J1706" s="10">
        <v>0.0354</v>
      </c>
    </row>
    <row r="1707" spans="1:10">
      <c r="A1707" s="7" t="s">
        <v>3440</v>
      </c>
      <c r="B1707" s="7" t="s">
        <v>3453</v>
      </c>
      <c r="C1707" s="8">
        <f>QS.CONTEXT.CREATE("market.1705",A1707,"USD","SOFR")</f>
        <v/>
      </c>
      <c r="D1707" s="8">
        <f>QS.CONTEXT.ADD.CURVE(C1707,"SOFR",$K$2:$K$7,$L$2:$L$7,,,"Actual360","LogLinear",TRUE)</f>
        <v/>
      </c>
      <c r="E1707" s="8">
        <f>QS.INSTRUMENT.SWAP("swap.1705",C1707,H1707,B1707,"USD","SOFR",I1707,J1707,0,"Actual360","Simple","Annual","Annual","Annual")</f>
        <v/>
      </c>
      <c r="F1707" s="8">
        <f>QS.TRADE.CREATE("trade.1705",C1707,E1707,A1707,"Receive")</f>
        <v/>
      </c>
      <c r="G1707" s="5"/>
      <c r="H1707" s="7" t="s">
        <v>3454</v>
      </c>
      <c r="I1707" s="9">
        <v>1170500</v>
      </c>
      <c r="J1707" s="10">
        <v>0.0355</v>
      </c>
    </row>
    <row r="1708" spans="1:10">
      <c r="A1708" s="7" t="s">
        <v>3442</v>
      </c>
      <c r="B1708" s="7" t="s">
        <v>3455</v>
      </c>
      <c r="C1708" s="8">
        <f>QS.CONTEXT.CREATE("market.1706",A1708,"USD","SOFR")</f>
        <v/>
      </c>
      <c r="D1708" s="8">
        <f>QS.CONTEXT.ADD.CURVE(C1708,"SOFR",$K$2:$K$7,$L$2:$L$7,,,"Actual360","LogLinear",TRUE)</f>
        <v/>
      </c>
      <c r="E1708" s="8">
        <f>QS.INSTRUMENT.SWAP("swap.1706",C1708,H1708,B1708,"USD","SOFR",I1708,J1708,0,"Actual360","Simple","Annual","Annual","Annual")</f>
        <v/>
      </c>
      <c r="F1708" s="8">
        <f>QS.TRADE.CREATE("trade.1706",C1708,E1708,A1708,"Receive")</f>
        <v/>
      </c>
      <c r="G1708" s="5"/>
      <c r="H1708" s="7" t="s">
        <v>3456</v>
      </c>
      <c r="I1708" s="9">
        <v>1170600</v>
      </c>
      <c r="J1708" s="10">
        <v>0.03560000000000001</v>
      </c>
    </row>
    <row r="1709" spans="1:10">
      <c r="A1709" s="7" t="s">
        <v>3444</v>
      </c>
      <c r="B1709" s="7" t="s">
        <v>3457</v>
      </c>
      <c r="C1709" s="8">
        <f>QS.CONTEXT.CREATE("market.1707",A1709,"USD","SOFR")</f>
        <v/>
      </c>
      <c r="D1709" s="8">
        <f>QS.CONTEXT.ADD.CURVE(C1709,"SOFR",$K$2:$K$7,$L$2:$L$7,,,"Actual360","LogLinear",TRUE)</f>
        <v/>
      </c>
      <c r="E1709" s="8">
        <f>QS.INSTRUMENT.SWAP("swap.1707",C1709,H1709,B1709,"USD","SOFR",I1709,J1709,0,"Actual360","Simple","Annual","Annual","Annual")</f>
        <v/>
      </c>
      <c r="F1709" s="8">
        <f>QS.TRADE.CREATE("trade.1707",C1709,E1709,A1709,"Receive")</f>
        <v/>
      </c>
      <c r="G1709" s="5"/>
      <c r="H1709" s="7" t="s">
        <v>3458</v>
      </c>
      <c r="I1709" s="9">
        <v>1170700</v>
      </c>
      <c r="J1709" s="10">
        <v>0.0357</v>
      </c>
    </row>
    <row r="1710" spans="1:10">
      <c r="A1710" s="7" t="s">
        <v>3446</v>
      </c>
      <c r="B1710" s="7" t="s">
        <v>3459</v>
      </c>
      <c r="C1710" s="8">
        <f>QS.CONTEXT.CREATE("market.1708",A1710,"USD","SOFR")</f>
        <v/>
      </c>
      <c r="D1710" s="8">
        <f>QS.CONTEXT.ADD.CURVE(C1710,"SOFR",$K$2:$K$7,$L$2:$L$7,,,"Actual360","LogLinear",TRUE)</f>
        <v/>
      </c>
      <c r="E1710" s="8">
        <f>QS.INSTRUMENT.SWAP("swap.1708",C1710,H1710,B1710,"USD","SOFR",I1710,J1710,0,"Actual360","Simple","Annual","Annual","Annual")</f>
        <v/>
      </c>
      <c r="F1710" s="8">
        <f>QS.TRADE.CREATE("trade.1708",C1710,E1710,A1710,"Receive")</f>
        <v/>
      </c>
      <c r="G1710" s="5"/>
      <c r="H1710" s="7" t="s">
        <v>3460</v>
      </c>
      <c r="I1710" s="9">
        <v>1170800</v>
      </c>
      <c r="J1710" s="10">
        <v>0.03580000000000001</v>
      </c>
    </row>
    <row r="1711" spans="1:10">
      <c r="A1711" s="7" t="s">
        <v>3448</v>
      </c>
      <c r="B1711" s="7" t="s">
        <v>3461</v>
      </c>
      <c r="C1711" s="8">
        <f>QS.CONTEXT.CREATE("market.1709",A1711,"USD","SOFR")</f>
        <v/>
      </c>
      <c r="D1711" s="8">
        <f>QS.CONTEXT.ADD.CURVE(C1711,"SOFR",$K$2:$K$7,$L$2:$L$7,,,"Actual360","LogLinear",TRUE)</f>
        <v/>
      </c>
      <c r="E1711" s="8">
        <f>QS.INSTRUMENT.SWAP("swap.1709",C1711,H1711,B1711,"USD","SOFR",I1711,J1711,0,"Actual360","Simple","Annual","Annual","Annual")</f>
        <v/>
      </c>
      <c r="F1711" s="8">
        <f>QS.TRADE.CREATE("trade.1709",C1711,E1711,A1711,"Receive")</f>
        <v/>
      </c>
      <c r="G1711" s="5"/>
      <c r="H1711" s="7" t="s">
        <v>3462</v>
      </c>
      <c r="I1711" s="9">
        <v>1170900</v>
      </c>
      <c r="J1711" s="10">
        <v>0.0359</v>
      </c>
    </row>
    <row r="1712" spans="1:10">
      <c r="A1712" s="7" t="s">
        <v>3450</v>
      </c>
      <c r="B1712" s="7" t="s">
        <v>3463</v>
      </c>
      <c r="C1712" s="8">
        <f>QS.CONTEXT.CREATE("market.1710",A1712,"USD","SOFR")</f>
        <v/>
      </c>
      <c r="D1712" s="8">
        <f>QS.CONTEXT.ADD.CURVE(C1712,"SOFR",$K$2:$K$7,$L$2:$L$7,,,"Actual360","LogLinear",TRUE)</f>
        <v/>
      </c>
      <c r="E1712" s="8">
        <f>QS.INSTRUMENT.SWAP("swap.1710",C1712,H1712,B1712,"USD","SOFR",I1712,J1712,0,"Actual360","Simple","Annual","Annual","Annual")</f>
        <v/>
      </c>
      <c r="F1712" s="8">
        <f>QS.TRADE.CREATE("trade.1710",C1712,E1712,A1712,"Receive")</f>
        <v/>
      </c>
      <c r="G1712" s="5"/>
      <c r="H1712" s="7" t="s">
        <v>3464</v>
      </c>
      <c r="I1712" s="9">
        <v>1171000</v>
      </c>
      <c r="J1712" s="10">
        <v>0.036</v>
      </c>
    </row>
    <row r="1713" spans="1:10">
      <c r="A1713" s="7" t="s">
        <v>3452</v>
      </c>
      <c r="B1713" s="7" t="s">
        <v>3465</v>
      </c>
      <c r="C1713" s="8">
        <f>QS.CONTEXT.CREATE("market.1711",A1713,"USD","SOFR")</f>
        <v/>
      </c>
      <c r="D1713" s="8">
        <f>QS.CONTEXT.ADD.CURVE(C1713,"SOFR",$K$2:$K$7,$L$2:$L$7,,,"Actual360","LogLinear",TRUE)</f>
        <v/>
      </c>
      <c r="E1713" s="8">
        <f>QS.INSTRUMENT.SWAP("swap.1711",C1713,H1713,B1713,"USD","SOFR",I1713,J1713,0,"Actual360","Simple","Annual","Annual","Annual")</f>
        <v/>
      </c>
      <c r="F1713" s="8">
        <f>QS.TRADE.CREATE("trade.1711",C1713,E1713,A1713,"Receive")</f>
        <v/>
      </c>
      <c r="G1713" s="5"/>
      <c r="H1713" s="7" t="s">
        <v>3466</v>
      </c>
      <c r="I1713" s="9">
        <v>1171100</v>
      </c>
      <c r="J1713" s="10">
        <v>0.0361</v>
      </c>
    </row>
    <row r="1714" spans="1:10">
      <c r="A1714" s="7" t="s">
        <v>3454</v>
      </c>
      <c r="B1714" s="7" t="s">
        <v>3467</v>
      </c>
      <c r="C1714" s="8">
        <f>QS.CONTEXT.CREATE("market.1712",A1714,"USD","SOFR")</f>
        <v/>
      </c>
      <c r="D1714" s="8">
        <f>QS.CONTEXT.ADD.CURVE(C1714,"SOFR",$K$2:$K$7,$L$2:$L$7,,,"Actual360","LogLinear",TRUE)</f>
        <v/>
      </c>
      <c r="E1714" s="8">
        <f>QS.INSTRUMENT.SWAP("swap.1712",C1714,H1714,B1714,"USD","SOFR",I1714,J1714,0,"Actual360","Simple","Annual","Annual","Annual")</f>
        <v/>
      </c>
      <c r="F1714" s="8">
        <f>QS.TRADE.CREATE("trade.1712",C1714,E1714,A1714,"Receive")</f>
        <v/>
      </c>
      <c r="G1714" s="5"/>
      <c r="H1714" s="7" t="s">
        <v>3468</v>
      </c>
      <c r="I1714" s="9">
        <v>1171200</v>
      </c>
      <c r="J1714" s="10">
        <v>0.0362</v>
      </c>
    </row>
    <row r="1715" spans="1:10">
      <c r="A1715" s="7" t="s">
        <v>3456</v>
      </c>
      <c r="B1715" s="7" t="s">
        <v>3469</v>
      </c>
      <c r="C1715" s="8">
        <f>QS.CONTEXT.CREATE("market.1713",A1715,"USD","SOFR")</f>
        <v/>
      </c>
      <c r="D1715" s="8">
        <f>QS.CONTEXT.ADD.CURVE(C1715,"SOFR",$K$2:$K$7,$L$2:$L$7,,,"Actual360","LogLinear",TRUE)</f>
        <v/>
      </c>
      <c r="E1715" s="8">
        <f>QS.INSTRUMENT.SWAP("swap.1713",C1715,H1715,B1715,"USD","SOFR",I1715,J1715,0,"Actual360","Simple","Annual","Annual","Annual")</f>
        <v/>
      </c>
      <c r="F1715" s="8">
        <f>QS.TRADE.CREATE("trade.1713",C1715,E1715,A1715,"Receive")</f>
        <v/>
      </c>
      <c r="G1715" s="5"/>
      <c r="H1715" s="7" t="s">
        <v>3470</v>
      </c>
      <c r="I1715" s="9">
        <v>1171300</v>
      </c>
      <c r="J1715" s="10">
        <v>0.03630000000000001</v>
      </c>
    </row>
    <row r="1716" spans="1:10">
      <c r="A1716" s="7" t="s">
        <v>3458</v>
      </c>
      <c r="B1716" s="7" t="s">
        <v>3471</v>
      </c>
      <c r="C1716" s="8">
        <f>QS.CONTEXT.CREATE("market.1714",A1716,"USD","SOFR")</f>
        <v/>
      </c>
      <c r="D1716" s="8">
        <f>QS.CONTEXT.ADD.CURVE(C1716,"SOFR",$K$2:$K$7,$L$2:$L$7,,,"Actual360","LogLinear",TRUE)</f>
        <v/>
      </c>
      <c r="E1716" s="8">
        <f>QS.INSTRUMENT.SWAP("swap.1714",C1716,H1716,B1716,"USD","SOFR",I1716,J1716,0,"Actual360","Simple","Annual","Annual","Annual")</f>
        <v/>
      </c>
      <c r="F1716" s="8">
        <f>QS.TRADE.CREATE("trade.1714",C1716,E1716,A1716,"Receive")</f>
        <v/>
      </c>
      <c r="G1716" s="5"/>
      <c r="H1716" s="7" t="s">
        <v>3472</v>
      </c>
      <c r="I1716" s="9">
        <v>1171400</v>
      </c>
      <c r="J1716" s="10">
        <v>0.0364</v>
      </c>
    </row>
    <row r="1717" spans="1:10">
      <c r="A1717" s="7" t="s">
        <v>3460</v>
      </c>
      <c r="B1717" s="7" t="s">
        <v>3473</v>
      </c>
      <c r="C1717" s="8">
        <f>QS.CONTEXT.CREATE("market.1715",A1717,"USD","SOFR")</f>
        <v/>
      </c>
      <c r="D1717" s="8">
        <f>QS.CONTEXT.ADD.CURVE(C1717,"SOFR",$K$2:$K$7,$L$2:$L$7,,,"Actual360","LogLinear",TRUE)</f>
        <v/>
      </c>
      <c r="E1717" s="8">
        <f>QS.INSTRUMENT.SWAP("swap.1715",C1717,H1717,B1717,"USD","SOFR",I1717,J1717,0,"Actual360","Simple","Annual","Annual","Annual")</f>
        <v/>
      </c>
      <c r="F1717" s="8">
        <f>QS.TRADE.CREATE("trade.1715",C1717,E1717,A1717,"Receive")</f>
        <v/>
      </c>
      <c r="G1717" s="5"/>
      <c r="H1717" s="7" t="s">
        <v>3474</v>
      </c>
      <c r="I1717" s="9">
        <v>1171500</v>
      </c>
      <c r="J1717" s="10">
        <v>0.0365</v>
      </c>
    </row>
    <row r="1718" spans="1:10">
      <c r="A1718" s="7" t="s">
        <v>3462</v>
      </c>
      <c r="B1718" s="7" t="s">
        <v>3475</v>
      </c>
      <c r="C1718" s="8">
        <f>QS.CONTEXT.CREATE("market.1716",A1718,"USD","SOFR")</f>
        <v/>
      </c>
      <c r="D1718" s="8">
        <f>QS.CONTEXT.ADD.CURVE(C1718,"SOFR",$K$2:$K$7,$L$2:$L$7,,,"Actual360","LogLinear",TRUE)</f>
        <v/>
      </c>
      <c r="E1718" s="8">
        <f>QS.INSTRUMENT.SWAP("swap.1716",C1718,H1718,B1718,"USD","SOFR",I1718,J1718,0,"Actual360","Simple","Annual","Annual","Annual")</f>
        <v/>
      </c>
      <c r="F1718" s="8">
        <f>QS.TRADE.CREATE("trade.1716",C1718,E1718,A1718,"Receive")</f>
        <v/>
      </c>
      <c r="G1718" s="5"/>
      <c r="H1718" s="7" t="s">
        <v>3476</v>
      </c>
      <c r="I1718" s="9">
        <v>1171600</v>
      </c>
      <c r="J1718" s="10">
        <v>0.0366</v>
      </c>
    </row>
    <row r="1719" spans="1:10">
      <c r="A1719" s="7" t="s">
        <v>3464</v>
      </c>
      <c r="B1719" s="7" t="s">
        <v>3477</v>
      </c>
      <c r="C1719" s="8">
        <f>QS.CONTEXT.CREATE("market.1717",A1719,"USD","SOFR")</f>
        <v/>
      </c>
      <c r="D1719" s="8">
        <f>QS.CONTEXT.ADD.CURVE(C1719,"SOFR",$K$2:$K$7,$L$2:$L$7,,,"Actual360","LogLinear",TRUE)</f>
        <v/>
      </c>
      <c r="E1719" s="8">
        <f>QS.INSTRUMENT.SWAP("swap.1717",C1719,H1719,B1719,"USD","SOFR",I1719,J1719,0,"Actual360","Simple","Annual","Annual","Annual")</f>
        <v/>
      </c>
      <c r="F1719" s="8">
        <f>QS.TRADE.CREATE("trade.1717",C1719,E1719,A1719,"Receive")</f>
        <v/>
      </c>
      <c r="G1719" s="5"/>
      <c r="H1719" s="7" t="s">
        <v>3478</v>
      </c>
      <c r="I1719" s="9">
        <v>1171700</v>
      </c>
      <c r="J1719" s="10">
        <v>0.0367</v>
      </c>
    </row>
    <row r="1720" spans="1:10">
      <c r="A1720" s="7" t="s">
        <v>3466</v>
      </c>
      <c r="B1720" s="7" t="s">
        <v>3479</v>
      </c>
      <c r="C1720" s="8">
        <f>QS.CONTEXT.CREATE("market.1718",A1720,"USD","SOFR")</f>
        <v/>
      </c>
      <c r="D1720" s="8">
        <f>QS.CONTEXT.ADD.CURVE(C1720,"SOFR",$K$2:$K$7,$L$2:$L$7,,,"Actual360","LogLinear",TRUE)</f>
        <v/>
      </c>
      <c r="E1720" s="8">
        <f>QS.INSTRUMENT.SWAP("swap.1718",C1720,H1720,B1720,"USD","SOFR",I1720,J1720,0,"Actual360","Simple","Annual","Annual","Annual")</f>
        <v/>
      </c>
      <c r="F1720" s="8">
        <f>QS.TRADE.CREATE("trade.1718",C1720,E1720,A1720,"Receive")</f>
        <v/>
      </c>
      <c r="G1720" s="5"/>
      <c r="H1720" s="7" t="s">
        <v>3480</v>
      </c>
      <c r="I1720" s="9">
        <v>1171800</v>
      </c>
      <c r="J1720" s="10">
        <v>0.03680000000000001</v>
      </c>
    </row>
    <row r="1721" spans="1:10">
      <c r="A1721" s="7" t="s">
        <v>3468</v>
      </c>
      <c r="B1721" s="7" t="s">
        <v>3481</v>
      </c>
      <c r="C1721" s="8">
        <f>QS.CONTEXT.CREATE("market.1719",A1721,"USD","SOFR")</f>
        <v/>
      </c>
      <c r="D1721" s="8">
        <f>QS.CONTEXT.ADD.CURVE(C1721,"SOFR",$K$2:$K$7,$L$2:$L$7,,,"Actual360","LogLinear",TRUE)</f>
        <v/>
      </c>
      <c r="E1721" s="8">
        <f>QS.INSTRUMENT.SWAP("swap.1719",C1721,H1721,B1721,"USD","SOFR",I1721,J1721,0,"Actual360","Simple","Annual","Annual","Annual")</f>
        <v/>
      </c>
      <c r="F1721" s="8">
        <f>QS.TRADE.CREATE("trade.1719",C1721,E1721,A1721,"Receive")</f>
        <v/>
      </c>
      <c r="G1721" s="5"/>
      <c r="H1721" s="7" t="s">
        <v>3482</v>
      </c>
      <c r="I1721" s="9">
        <v>1171900</v>
      </c>
      <c r="J1721" s="10">
        <v>0.0369</v>
      </c>
    </row>
    <row r="1722" spans="1:10">
      <c r="A1722" s="7" t="s">
        <v>3470</v>
      </c>
      <c r="B1722" s="7" t="s">
        <v>3483</v>
      </c>
      <c r="C1722" s="8">
        <f>QS.CONTEXT.CREATE("market.1720",A1722,"USD","SOFR")</f>
        <v/>
      </c>
      <c r="D1722" s="8">
        <f>QS.CONTEXT.ADD.CURVE(C1722,"SOFR",$K$2:$K$7,$L$2:$L$7,,,"Actual360","LogLinear",TRUE)</f>
        <v/>
      </c>
      <c r="E1722" s="8">
        <f>QS.INSTRUMENT.SWAP("swap.1720",C1722,H1722,B1722,"USD","SOFR",I1722,J1722,0,"Actual360","Simple","Annual","Annual","Annual")</f>
        <v/>
      </c>
      <c r="F1722" s="8">
        <f>QS.TRADE.CREATE("trade.1720",C1722,E1722,A1722,"Receive")</f>
        <v/>
      </c>
      <c r="G1722" s="5"/>
      <c r="H1722" s="7" t="s">
        <v>3484</v>
      </c>
      <c r="I1722" s="9">
        <v>1172000</v>
      </c>
      <c r="J1722" s="10">
        <v>0.03700000000000001</v>
      </c>
    </row>
    <row r="1723" spans="1:10">
      <c r="A1723" s="7" t="s">
        <v>3472</v>
      </c>
      <c r="B1723" s="7" t="s">
        <v>3485</v>
      </c>
      <c r="C1723" s="8">
        <f>QS.CONTEXT.CREATE("market.1721",A1723,"USD","SOFR")</f>
        <v/>
      </c>
      <c r="D1723" s="8">
        <f>QS.CONTEXT.ADD.CURVE(C1723,"SOFR",$K$2:$K$7,$L$2:$L$7,,,"Actual360","LogLinear",TRUE)</f>
        <v/>
      </c>
      <c r="E1723" s="8">
        <f>QS.INSTRUMENT.SWAP("swap.1721",C1723,H1723,B1723,"USD","SOFR",I1723,J1723,0,"Actual360","Simple","Annual","Annual","Annual")</f>
        <v/>
      </c>
      <c r="F1723" s="8">
        <f>QS.TRADE.CREATE("trade.1721",C1723,E1723,A1723,"Receive")</f>
        <v/>
      </c>
      <c r="G1723" s="5"/>
      <c r="H1723" s="7" t="s">
        <v>3486</v>
      </c>
      <c r="I1723" s="9">
        <v>1172100</v>
      </c>
      <c r="J1723" s="10">
        <v>0.0371</v>
      </c>
    </row>
    <row r="1724" spans="1:10">
      <c r="A1724" s="7" t="s">
        <v>3474</v>
      </c>
      <c r="B1724" s="7" t="s">
        <v>3487</v>
      </c>
      <c r="C1724" s="8">
        <f>QS.CONTEXT.CREATE("market.1722",A1724,"USD","SOFR")</f>
        <v/>
      </c>
      <c r="D1724" s="8">
        <f>QS.CONTEXT.ADD.CURVE(C1724,"SOFR",$K$2:$K$7,$L$2:$L$7,,,"Actual360","LogLinear",TRUE)</f>
        <v/>
      </c>
      <c r="E1724" s="8">
        <f>QS.INSTRUMENT.SWAP("swap.1722",C1724,H1724,B1724,"USD","SOFR",I1724,J1724,0,"Actual360","Simple","Annual","Annual","Annual")</f>
        <v/>
      </c>
      <c r="F1724" s="8">
        <f>QS.TRADE.CREATE("trade.1722",C1724,E1724,A1724,"Receive")</f>
        <v/>
      </c>
      <c r="G1724" s="5"/>
      <c r="H1724" s="7" t="s">
        <v>3488</v>
      </c>
      <c r="I1724" s="9">
        <v>1172200</v>
      </c>
      <c r="J1724" s="10">
        <v>0.0372</v>
      </c>
    </row>
    <row r="1725" spans="1:10">
      <c r="A1725" s="7" t="s">
        <v>3476</v>
      </c>
      <c r="B1725" s="7" t="s">
        <v>3489</v>
      </c>
      <c r="C1725" s="8">
        <f>QS.CONTEXT.CREATE("market.1723",A1725,"USD","SOFR")</f>
        <v/>
      </c>
      <c r="D1725" s="8">
        <f>QS.CONTEXT.ADD.CURVE(C1725,"SOFR",$K$2:$K$7,$L$2:$L$7,,,"Actual360","LogLinear",TRUE)</f>
        <v/>
      </c>
      <c r="E1725" s="8">
        <f>QS.INSTRUMENT.SWAP("swap.1723",C1725,H1725,B1725,"USD","SOFR",I1725,J1725,0,"Actual360","Simple","Annual","Annual","Annual")</f>
        <v/>
      </c>
      <c r="F1725" s="8">
        <f>QS.TRADE.CREATE("trade.1723",C1725,E1725,A1725,"Receive")</f>
        <v/>
      </c>
      <c r="G1725" s="5"/>
      <c r="H1725" s="7" t="s">
        <v>3490</v>
      </c>
      <c r="I1725" s="9">
        <v>1172300</v>
      </c>
      <c r="J1725" s="10">
        <v>0.0373</v>
      </c>
    </row>
    <row r="1726" spans="1:10">
      <c r="A1726" s="7" t="s">
        <v>3478</v>
      </c>
      <c r="B1726" s="7" t="s">
        <v>3491</v>
      </c>
      <c r="C1726" s="8">
        <f>QS.CONTEXT.CREATE("market.1724",A1726,"USD","SOFR")</f>
        <v/>
      </c>
      <c r="D1726" s="8">
        <f>QS.CONTEXT.ADD.CURVE(C1726,"SOFR",$K$2:$K$7,$L$2:$L$7,,,"Actual360","LogLinear",TRUE)</f>
        <v/>
      </c>
      <c r="E1726" s="8">
        <f>QS.INSTRUMENT.SWAP("swap.1724",C1726,H1726,B1726,"USD","SOFR",I1726,J1726,0,"Actual360","Simple","Annual","Annual","Annual")</f>
        <v/>
      </c>
      <c r="F1726" s="8">
        <f>QS.TRADE.CREATE("trade.1724",C1726,E1726,A1726,"Receive")</f>
        <v/>
      </c>
      <c r="G1726" s="5"/>
      <c r="H1726" s="7" t="s">
        <v>3492</v>
      </c>
      <c r="I1726" s="9">
        <v>1172400</v>
      </c>
      <c r="J1726" s="10">
        <v>0.0374</v>
      </c>
    </row>
    <row r="1727" spans="1:10">
      <c r="A1727" s="7" t="s">
        <v>3480</v>
      </c>
      <c r="B1727" s="7" t="s">
        <v>3493</v>
      </c>
      <c r="C1727" s="8">
        <f>QS.CONTEXT.CREATE("market.1725",A1727,"USD","SOFR")</f>
        <v/>
      </c>
      <c r="D1727" s="8">
        <f>QS.CONTEXT.ADD.CURVE(C1727,"SOFR",$K$2:$K$7,$L$2:$L$7,,,"Actual360","LogLinear",TRUE)</f>
        <v/>
      </c>
      <c r="E1727" s="8">
        <f>QS.INSTRUMENT.SWAP("swap.1725",C1727,H1727,B1727,"USD","SOFR",I1727,J1727,0,"Actual360","Simple","Annual","Annual","Annual")</f>
        <v/>
      </c>
      <c r="F1727" s="8">
        <f>QS.TRADE.CREATE("trade.1725",C1727,E1727,A1727,"Receive")</f>
        <v/>
      </c>
      <c r="G1727" s="5"/>
      <c r="H1727" s="7" t="s">
        <v>3494</v>
      </c>
      <c r="I1727" s="9">
        <v>1172500</v>
      </c>
      <c r="J1727" s="10">
        <v>0.03750000000000001</v>
      </c>
    </row>
    <row r="1728" spans="1:10">
      <c r="A1728" s="7" t="s">
        <v>3482</v>
      </c>
      <c r="B1728" s="7" t="s">
        <v>3495</v>
      </c>
      <c r="C1728" s="8">
        <f>QS.CONTEXT.CREATE("market.1726",A1728,"USD","SOFR")</f>
        <v/>
      </c>
      <c r="D1728" s="8">
        <f>QS.CONTEXT.ADD.CURVE(C1728,"SOFR",$K$2:$K$7,$L$2:$L$7,,,"Actual360","LogLinear",TRUE)</f>
        <v/>
      </c>
      <c r="E1728" s="8">
        <f>QS.INSTRUMENT.SWAP("swap.1726",C1728,H1728,B1728,"USD","SOFR",I1728,J1728,0,"Actual360","Simple","Annual","Annual","Annual")</f>
        <v/>
      </c>
      <c r="F1728" s="8">
        <f>QS.TRADE.CREATE("trade.1726",C1728,E1728,A1728,"Receive")</f>
        <v/>
      </c>
      <c r="G1728" s="5"/>
      <c r="H1728" s="7" t="s">
        <v>3496</v>
      </c>
      <c r="I1728" s="9">
        <v>1172600</v>
      </c>
      <c r="J1728" s="10">
        <v>0.0376</v>
      </c>
    </row>
    <row r="1729" spans="1:10">
      <c r="A1729" s="7" t="s">
        <v>3484</v>
      </c>
      <c r="B1729" s="7" t="s">
        <v>3497</v>
      </c>
      <c r="C1729" s="8">
        <f>QS.CONTEXT.CREATE("market.1727",A1729,"USD","SOFR")</f>
        <v/>
      </c>
      <c r="D1729" s="8">
        <f>QS.CONTEXT.ADD.CURVE(C1729,"SOFR",$K$2:$K$7,$L$2:$L$7,,,"Actual360","LogLinear",TRUE)</f>
        <v/>
      </c>
      <c r="E1729" s="8">
        <f>QS.INSTRUMENT.SWAP("swap.1727",C1729,H1729,B1729,"USD","SOFR",I1729,J1729,0,"Actual360","Simple","Annual","Annual","Annual")</f>
        <v/>
      </c>
      <c r="F1729" s="8">
        <f>QS.TRADE.CREATE("trade.1727",C1729,E1729,A1729,"Receive")</f>
        <v/>
      </c>
      <c r="G1729" s="5"/>
      <c r="H1729" s="7" t="s">
        <v>3498</v>
      </c>
      <c r="I1729" s="9">
        <v>1172700</v>
      </c>
      <c r="J1729" s="10">
        <v>0.0377</v>
      </c>
    </row>
    <row r="1730" spans="1:10">
      <c r="A1730" s="7" t="s">
        <v>3486</v>
      </c>
      <c r="B1730" s="7" t="s">
        <v>3499</v>
      </c>
      <c r="C1730" s="8">
        <f>QS.CONTEXT.CREATE("market.1728",A1730,"USD","SOFR")</f>
        <v/>
      </c>
      <c r="D1730" s="8">
        <f>QS.CONTEXT.ADD.CURVE(C1730,"SOFR",$K$2:$K$7,$L$2:$L$7,,,"Actual360","LogLinear",TRUE)</f>
        <v/>
      </c>
      <c r="E1730" s="8">
        <f>QS.INSTRUMENT.SWAP("swap.1728",C1730,H1730,B1730,"USD","SOFR",I1730,J1730,0,"Actual360","Simple","Annual","Annual","Annual")</f>
        <v/>
      </c>
      <c r="F1730" s="8">
        <f>QS.TRADE.CREATE("trade.1728",C1730,E1730,A1730,"Receive")</f>
        <v/>
      </c>
      <c r="G1730" s="5"/>
      <c r="H1730" s="7" t="s">
        <v>3500</v>
      </c>
      <c r="I1730" s="9">
        <v>1172800</v>
      </c>
      <c r="J1730" s="10">
        <v>0.0378</v>
      </c>
    </row>
    <row r="1731" spans="1:10">
      <c r="A1731" s="7" t="s">
        <v>3488</v>
      </c>
      <c r="B1731" s="7" t="s">
        <v>3501</v>
      </c>
      <c r="C1731" s="8">
        <f>QS.CONTEXT.CREATE("market.1729",A1731,"USD","SOFR")</f>
        <v/>
      </c>
      <c r="D1731" s="8">
        <f>QS.CONTEXT.ADD.CURVE(C1731,"SOFR",$K$2:$K$7,$L$2:$L$7,,,"Actual360","LogLinear",TRUE)</f>
        <v/>
      </c>
      <c r="E1731" s="8">
        <f>QS.INSTRUMENT.SWAP("swap.1729",C1731,H1731,B1731,"USD","SOFR",I1731,J1731,0,"Actual360","Simple","Annual","Annual","Annual")</f>
        <v/>
      </c>
      <c r="F1731" s="8">
        <f>QS.TRADE.CREATE("trade.1729",C1731,E1731,A1731,"Receive")</f>
        <v/>
      </c>
      <c r="G1731" s="5"/>
      <c r="H1731" s="7" t="s">
        <v>3502</v>
      </c>
      <c r="I1731" s="9">
        <v>1172900</v>
      </c>
      <c r="J1731" s="10">
        <v>0.0379</v>
      </c>
    </row>
    <row r="1732" spans="1:10">
      <c r="A1732" s="7" t="s">
        <v>3490</v>
      </c>
      <c r="B1732" s="7" t="s">
        <v>3503</v>
      </c>
      <c r="C1732" s="8">
        <f>QS.CONTEXT.CREATE("market.1730",A1732,"USD","SOFR")</f>
        <v/>
      </c>
      <c r="D1732" s="8">
        <f>QS.CONTEXT.ADD.CURVE(C1732,"SOFR",$K$2:$K$7,$L$2:$L$7,,,"Actual360","LogLinear",TRUE)</f>
        <v/>
      </c>
      <c r="E1732" s="8">
        <f>QS.INSTRUMENT.SWAP("swap.1730",C1732,H1732,B1732,"USD","SOFR",I1732,J1732,0,"Actual360","Simple","Annual","Annual","Annual")</f>
        <v/>
      </c>
      <c r="F1732" s="8">
        <f>QS.TRADE.CREATE("trade.1730",C1732,E1732,A1732,"Receive")</f>
        <v/>
      </c>
      <c r="G1732" s="5"/>
      <c r="H1732" s="7" t="s">
        <v>3504</v>
      </c>
      <c r="I1732" s="9">
        <v>1173000</v>
      </c>
      <c r="J1732" s="10">
        <v>0.03800000000000001</v>
      </c>
    </row>
    <row r="1733" spans="1:10">
      <c r="A1733" s="7" t="s">
        <v>3492</v>
      </c>
      <c r="B1733" s="7" t="s">
        <v>3505</v>
      </c>
      <c r="C1733" s="8">
        <f>QS.CONTEXT.CREATE("market.1731",A1733,"USD","SOFR")</f>
        <v/>
      </c>
      <c r="D1733" s="8">
        <f>QS.CONTEXT.ADD.CURVE(C1733,"SOFR",$K$2:$K$7,$L$2:$L$7,,,"Actual360","LogLinear",TRUE)</f>
        <v/>
      </c>
      <c r="E1733" s="8">
        <f>QS.INSTRUMENT.SWAP("swap.1731",C1733,H1733,B1733,"USD","SOFR",I1733,J1733,0,"Actual360","Simple","Annual","Annual","Annual")</f>
        <v/>
      </c>
      <c r="F1733" s="8">
        <f>QS.TRADE.CREATE("trade.1731",C1733,E1733,A1733,"Receive")</f>
        <v/>
      </c>
      <c r="G1733" s="5"/>
      <c r="H1733" s="7" t="s">
        <v>3506</v>
      </c>
      <c r="I1733" s="9">
        <v>1173100</v>
      </c>
      <c r="J1733" s="10">
        <v>0.0381</v>
      </c>
    </row>
    <row r="1734" spans="1:10">
      <c r="A1734" s="7" t="s">
        <v>3494</v>
      </c>
      <c r="B1734" s="7" t="s">
        <v>3507</v>
      </c>
      <c r="C1734" s="8">
        <f>QS.CONTEXT.CREATE("market.1732",A1734,"USD","SOFR")</f>
        <v/>
      </c>
      <c r="D1734" s="8">
        <f>QS.CONTEXT.ADD.CURVE(C1734,"SOFR",$K$2:$K$7,$L$2:$L$7,,,"Actual360","LogLinear",TRUE)</f>
        <v/>
      </c>
      <c r="E1734" s="8">
        <f>QS.INSTRUMENT.SWAP("swap.1732",C1734,H1734,B1734,"USD","SOFR",I1734,J1734,0,"Actual360","Simple","Annual","Annual","Annual")</f>
        <v/>
      </c>
      <c r="F1734" s="8">
        <f>QS.TRADE.CREATE("trade.1732",C1734,E1734,A1734,"Receive")</f>
        <v/>
      </c>
      <c r="G1734" s="5"/>
      <c r="H1734" s="7" t="s">
        <v>3508</v>
      </c>
      <c r="I1734" s="9">
        <v>1173200</v>
      </c>
      <c r="J1734" s="10">
        <v>0.0382</v>
      </c>
    </row>
    <row r="1735" spans="1:10">
      <c r="A1735" s="7" t="s">
        <v>3496</v>
      </c>
      <c r="B1735" s="7" t="s">
        <v>3509</v>
      </c>
      <c r="C1735" s="8">
        <f>QS.CONTEXT.CREATE("market.1733",A1735,"USD","SOFR")</f>
        <v/>
      </c>
      <c r="D1735" s="8">
        <f>QS.CONTEXT.ADD.CURVE(C1735,"SOFR",$K$2:$K$7,$L$2:$L$7,,,"Actual360","LogLinear",TRUE)</f>
        <v/>
      </c>
      <c r="E1735" s="8">
        <f>QS.INSTRUMENT.SWAP("swap.1733",C1735,H1735,B1735,"USD","SOFR",I1735,J1735,0,"Actual360","Simple","Annual","Annual","Annual")</f>
        <v/>
      </c>
      <c r="F1735" s="8">
        <f>QS.TRADE.CREATE("trade.1733",C1735,E1735,A1735,"Receive")</f>
        <v/>
      </c>
      <c r="G1735" s="5"/>
      <c r="H1735" s="7" t="s">
        <v>3510</v>
      </c>
      <c r="I1735" s="9">
        <v>1173300</v>
      </c>
      <c r="J1735" s="10">
        <v>0.0383</v>
      </c>
    </row>
    <row r="1736" spans="1:10">
      <c r="A1736" s="7" t="s">
        <v>3498</v>
      </c>
      <c r="B1736" s="7" t="s">
        <v>3511</v>
      </c>
      <c r="C1736" s="8">
        <f>QS.CONTEXT.CREATE("market.1734",A1736,"USD","SOFR")</f>
        <v/>
      </c>
      <c r="D1736" s="8">
        <f>QS.CONTEXT.ADD.CURVE(C1736,"SOFR",$K$2:$K$7,$L$2:$L$7,,,"Actual360","LogLinear",TRUE)</f>
        <v/>
      </c>
      <c r="E1736" s="8">
        <f>QS.INSTRUMENT.SWAP("swap.1734",C1736,H1736,B1736,"USD","SOFR",I1736,J1736,0,"Actual360","Simple","Annual","Annual","Annual")</f>
        <v/>
      </c>
      <c r="F1736" s="8">
        <f>QS.TRADE.CREATE("trade.1734",C1736,E1736,A1736,"Receive")</f>
        <v/>
      </c>
      <c r="G1736" s="5"/>
      <c r="H1736" s="7" t="s">
        <v>3512</v>
      </c>
      <c r="I1736" s="9">
        <v>1173400</v>
      </c>
      <c r="J1736" s="10">
        <v>0.0384</v>
      </c>
    </row>
    <row r="1737" spans="1:10">
      <c r="A1737" s="7" t="s">
        <v>3500</v>
      </c>
      <c r="B1737" s="7" t="s">
        <v>3513</v>
      </c>
      <c r="C1737" s="8">
        <f>QS.CONTEXT.CREATE("market.1735",A1737,"USD","SOFR")</f>
        <v/>
      </c>
      <c r="D1737" s="8">
        <f>QS.CONTEXT.ADD.CURVE(C1737,"SOFR",$K$2:$K$7,$L$2:$L$7,,,"Actual360","LogLinear",TRUE)</f>
        <v/>
      </c>
      <c r="E1737" s="8">
        <f>QS.INSTRUMENT.SWAP("swap.1735",C1737,H1737,B1737,"USD","SOFR",I1737,J1737,0,"Actual360","Simple","Annual","Annual","Annual")</f>
        <v/>
      </c>
      <c r="F1737" s="8">
        <f>QS.TRADE.CREATE("trade.1735",C1737,E1737,A1737,"Receive")</f>
        <v/>
      </c>
      <c r="G1737" s="5"/>
      <c r="H1737" s="7" t="s">
        <v>3514</v>
      </c>
      <c r="I1737" s="9">
        <v>1173500</v>
      </c>
      <c r="J1737" s="10">
        <v>0.03850000000000001</v>
      </c>
    </row>
    <row r="1738" spans="1:10">
      <c r="A1738" s="7" t="s">
        <v>3502</v>
      </c>
      <c r="B1738" s="7" t="s">
        <v>3515</v>
      </c>
      <c r="C1738" s="8">
        <f>QS.CONTEXT.CREATE("market.1736",A1738,"USD","SOFR")</f>
        <v/>
      </c>
      <c r="D1738" s="8">
        <f>QS.CONTEXT.ADD.CURVE(C1738,"SOFR",$K$2:$K$7,$L$2:$L$7,,,"Actual360","LogLinear",TRUE)</f>
        <v/>
      </c>
      <c r="E1738" s="8">
        <f>QS.INSTRUMENT.SWAP("swap.1736",C1738,H1738,B1738,"USD","SOFR",I1738,J1738,0,"Actual360","Simple","Annual","Annual","Annual")</f>
        <v/>
      </c>
      <c r="F1738" s="8">
        <f>QS.TRADE.CREATE("trade.1736",C1738,E1738,A1738,"Receive")</f>
        <v/>
      </c>
      <c r="G1738" s="5"/>
      <c r="H1738" s="7" t="s">
        <v>3516</v>
      </c>
      <c r="I1738" s="9">
        <v>1173600</v>
      </c>
      <c r="J1738" s="10">
        <v>0.0386</v>
      </c>
    </row>
    <row r="1739" spans="1:10">
      <c r="A1739" s="7" t="s">
        <v>3504</v>
      </c>
      <c r="B1739" s="7" t="s">
        <v>3517</v>
      </c>
      <c r="C1739" s="8">
        <f>QS.CONTEXT.CREATE("market.1737",A1739,"USD","SOFR")</f>
        <v/>
      </c>
      <c r="D1739" s="8">
        <f>QS.CONTEXT.ADD.CURVE(C1739,"SOFR",$K$2:$K$7,$L$2:$L$7,,,"Actual360","LogLinear",TRUE)</f>
        <v/>
      </c>
      <c r="E1739" s="8">
        <f>QS.INSTRUMENT.SWAP("swap.1737",C1739,H1739,B1739,"USD","SOFR",I1739,J1739,0,"Actual360","Simple","Annual","Annual","Annual")</f>
        <v/>
      </c>
      <c r="F1739" s="8">
        <f>QS.TRADE.CREATE("trade.1737",C1739,E1739,A1739,"Receive")</f>
        <v/>
      </c>
      <c r="G1739" s="5"/>
      <c r="H1739" s="7" t="s">
        <v>3518</v>
      </c>
      <c r="I1739" s="9">
        <v>1173700</v>
      </c>
      <c r="J1739" s="10">
        <v>0.03870000000000001</v>
      </c>
    </row>
    <row r="1740" spans="1:10">
      <c r="A1740" s="7" t="s">
        <v>3506</v>
      </c>
      <c r="B1740" s="7" t="s">
        <v>3519</v>
      </c>
      <c r="C1740" s="8">
        <f>QS.CONTEXT.CREATE("market.1738",A1740,"USD","SOFR")</f>
        <v/>
      </c>
      <c r="D1740" s="8">
        <f>QS.CONTEXT.ADD.CURVE(C1740,"SOFR",$K$2:$K$7,$L$2:$L$7,,,"Actual360","LogLinear",TRUE)</f>
        <v/>
      </c>
      <c r="E1740" s="8">
        <f>QS.INSTRUMENT.SWAP("swap.1738",C1740,H1740,B1740,"USD","SOFR",I1740,J1740,0,"Actual360","Simple","Annual","Annual","Annual")</f>
        <v/>
      </c>
      <c r="F1740" s="8">
        <f>QS.TRADE.CREATE("trade.1738",C1740,E1740,A1740,"Receive")</f>
        <v/>
      </c>
      <c r="G1740" s="5"/>
      <c r="H1740" s="7" t="s">
        <v>3520</v>
      </c>
      <c r="I1740" s="9">
        <v>1173800</v>
      </c>
      <c r="J1740" s="10">
        <v>0.0388</v>
      </c>
    </row>
    <row r="1741" spans="1:10">
      <c r="A1741" s="7" t="s">
        <v>3508</v>
      </c>
      <c r="B1741" s="7" t="s">
        <v>3521</v>
      </c>
      <c r="C1741" s="8">
        <f>QS.CONTEXT.CREATE("market.1739",A1741,"USD","SOFR")</f>
        <v/>
      </c>
      <c r="D1741" s="8">
        <f>QS.CONTEXT.ADD.CURVE(C1741,"SOFR",$K$2:$K$7,$L$2:$L$7,,,"Actual360","LogLinear",TRUE)</f>
        <v/>
      </c>
      <c r="E1741" s="8">
        <f>QS.INSTRUMENT.SWAP("swap.1739",C1741,H1741,B1741,"USD","SOFR",I1741,J1741,0,"Actual360","Simple","Annual","Annual","Annual")</f>
        <v/>
      </c>
      <c r="F1741" s="8">
        <f>QS.TRADE.CREATE("trade.1739",C1741,E1741,A1741,"Receive")</f>
        <v/>
      </c>
      <c r="G1741" s="5"/>
      <c r="H1741" s="7" t="s">
        <v>3522</v>
      </c>
      <c r="I1741" s="9">
        <v>1173900</v>
      </c>
      <c r="J1741" s="10">
        <v>0.0389</v>
      </c>
    </row>
    <row r="1742" spans="1:10">
      <c r="A1742" s="7" t="s">
        <v>3510</v>
      </c>
      <c r="B1742" s="7" t="s">
        <v>3523</v>
      </c>
      <c r="C1742" s="8">
        <f>QS.CONTEXT.CREATE("market.1740",A1742,"USD","SOFR")</f>
        <v/>
      </c>
      <c r="D1742" s="8">
        <f>QS.CONTEXT.ADD.CURVE(C1742,"SOFR",$K$2:$K$7,$L$2:$L$7,,,"Actual360","LogLinear",TRUE)</f>
        <v/>
      </c>
      <c r="E1742" s="8">
        <f>QS.INSTRUMENT.SWAP("swap.1740",C1742,H1742,B1742,"USD","SOFR",I1742,J1742,0,"Actual360","Simple","Annual","Annual","Annual")</f>
        <v/>
      </c>
      <c r="F1742" s="8">
        <f>QS.TRADE.CREATE("trade.1740",C1742,E1742,A1742,"Receive")</f>
        <v/>
      </c>
      <c r="G1742" s="5"/>
      <c r="H1742" s="7" t="s">
        <v>3524</v>
      </c>
      <c r="I1742" s="9">
        <v>1174000</v>
      </c>
      <c r="J1742" s="10">
        <v>0.03900000000000001</v>
      </c>
    </row>
    <row r="1743" spans="1:10">
      <c r="A1743" s="7" t="s">
        <v>3512</v>
      </c>
      <c r="B1743" s="7" t="s">
        <v>3525</v>
      </c>
      <c r="C1743" s="8">
        <f>QS.CONTEXT.CREATE("market.1741",A1743,"USD","SOFR")</f>
        <v/>
      </c>
      <c r="D1743" s="8">
        <f>QS.CONTEXT.ADD.CURVE(C1743,"SOFR",$K$2:$K$7,$L$2:$L$7,,,"Actual360","LogLinear",TRUE)</f>
        <v/>
      </c>
      <c r="E1743" s="8">
        <f>QS.INSTRUMENT.SWAP("swap.1741",C1743,H1743,B1743,"USD","SOFR",I1743,J1743,0,"Actual360","Simple","Annual","Annual","Annual")</f>
        <v/>
      </c>
      <c r="F1743" s="8">
        <f>QS.TRADE.CREATE("trade.1741",C1743,E1743,A1743,"Receive")</f>
        <v/>
      </c>
      <c r="G1743" s="5"/>
      <c r="H1743" s="7" t="s">
        <v>3526</v>
      </c>
      <c r="I1743" s="9">
        <v>1174100</v>
      </c>
      <c r="J1743" s="10">
        <v>0.0391</v>
      </c>
    </row>
    <row r="1744" spans="1:10">
      <c r="A1744" s="7" t="s">
        <v>3514</v>
      </c>
      <c r="B1744" s="7" t="s">
        <v>3527</v>
      </c>
      <c r="C1744" s="8">
        <f>QS.CONTEXT.CREATE("market.1742",A1744,"USD","SOFR")</f>
        <v/>
      </c>
      <c r="D1744" s="8">
        <f>QS.CONTEXT.ADD.CURVE(C1744,"SOFR",$K$2:$K$7,$L$2:$L$7,,,"Actual360","LogLinear",TRUE)</f>
        <v/>
      </c>
      <c r="E1744" s="8">
        <f>QS.INSTRUMENT.SWAP("swap.1742",C1744,H1744,B1744,"USD","SOFR",I1744,J1744,0,"Actual360","Simple","Annual","Annual","Annual")</f>
        <v/>
      </c>
      <c r="F1744" s="8">
        <f>QS.TRADE.CREATE("trade.1742",C1744,E1744,A1744,"Receive")</f>
        <v/>
      </c>
      <c r="G1744" s="5"/>
      <c r="H1744" s="7" t="s">
        <v>3528</v>
      </c>
      <c r="I1744" s="9">
        <v>1174200</v>
      </c>
      <c r="J1744" s="10">
        <v>0.03920000000000001</v>
      </c>
    </row>
    <row r="1745" spans="1:10">
      <c r="A1745" s="7" t="s">
        <v>3516</v>
      </c>
      <c r="B1745" s="7" t="s">
        <v>3529</v>
      </c>
      <c r="C1745" s="8">
        <f>QS.CONTEXT.CREATE("market.1743",A1745,"USD","SOFR")</f>
        <v/>
      </c>
      <c r="D1745" s="8">
        <f>QS.CONTEXT.ADD.CURVE(C1745,"SOFR",$K$2:$K$7,$L$2:$L$7,,,"Actual360","LogLinear",TRUE)</f>
        <v/>
      </c>
      <c r="E1745" s="8">
        <f>QS.INSTRUMENT.SWAP("swap.1743",C1745,H1745,B1745,"USD","SOFR",I1745,J1745,0,"Actual360","Simple","Annual","Annual","Annual")</f>
        <v/>
      </c>
      <c r="F1745" s="8">
        <f>QS.TRADE.CREATE("trade.1743",C1745,E1745,A1745,"Receive")</f>
        <v/>
      </c>
      <c r="G1745" s="5"/>
      <c r="H1745" s="7" t="s">
        <v>3530</v>
      </c>
      <c r="I1745" s="9">
        <v>1174300</v>
      </c>
      <c r="J1745" s="10">
        <v>0.0393</v>
      </c>
    </row>
    <row r="1746" spans="1:10">
      <c r="A1746" s="7" t="s">
        <v>3518</v>
      </c>
      <c r="B1746" s="7" t="s">
        <v>3531</v>
      </c>
      <c r="C1746" s="8">
        <f>QS.CONTEXT.CREATE("market.1744",A1746,"USD","SOFR")</f>
        <v/>
      </c>
      <c r="D1746" s="8">
        <f>QS.CONTEXT.ADD.CURVE(C1746,"SOFR",$K$2:$K$7,$L$2:$L$7,,,"Actual360","LogLinear",TRUE)</f>
        <v/>
      </c>
      <c r="E1746" s="8">
        <f>QS.INSTRUMENT.SWAP("swap.1744",C1746,H1746,B1746,"USD","SOFR",I1746,J1746,0,"Actual360","Simple","Annual","Annual","Annual")</f>
        <v/>
      </c>
      <c r="F1746" s="8">
        <f>QS.TRADE.CREATE("trade.1744",C1746,E1746,A1746,"Receive")</f>
        <v/>
      </c>
      <c r="G1746" s="5"/>
      <c r="H1746" s="7" t="s">
        <v>3532</v>
      </c>
      <c r="I1746" s="9">
        <v>1174400</v>
      </c>
      <c r="J1746" s="10">
        <v>0.0394</v>
      </c>
    </row>
    <row r="1747" spans="1:10">
      <c r="A1747" s="7" t="s">
        <v>3520</v>
      </c>
      <c r="B1747" s="7" t="s">
        <v>3533</v>
      </c>
      <c r="C1747" s="8">
        <f>QS.CONTEXT.CREATE("market.1745",A1747,"USD","SOFR")</f>
        <v/>
      </c>
      <c r="D1747" s="8">
        <f>QS.CONTEXT.ADD.CURVE(C1747,"SOFR",$K$2:$K$7,$L$2:$L$7,,,"Actual360","LogLinear",TRUE)</f>
        <v/>
      </c>
      <c r="E1747" s="8">
        <f>QS.INSTRUMENT.SWAP("swap.1745",C1747,H1747,B1747,"USD","SOFR",I1747,J1747,0,"Actual360","Simple","Annual","Annual","Annual")</f>
        <v/>
      </c>
      <c r="F1747" s="8">
        <f>QS.TRADE.CREATE("trade.1745",C1747,E1747,A1747,"Receive")</f>
        <v/>
      </c>
      <c r="G1747" s="5"/>
      <c r="H1747" s="7" t="s">
        <v>3534</v>
      </c>
      <c r="I1747" s="9">
        <v>1174500</v>
      </c>
      <c r="J1747" s="10">
        <v>0.03950000000000001</v>
      </c>
    </row>
    <row r="1748" spans="1:10">
      <c r="A1748" s="7" t="s">
        <v>3522</v>
      </c>
      <c r="B1748" s="7" t="s">
        <v>3535</v>
      </c>
      <c r="C1748" s="8">
        <f>QS.CONTEXT.CREATE("market.1746",A1748,"USD","SOFR")</f>
        <v/>
      </c>
      <c r="D1748" s="8">
        <f>QS.CONTEXT.ADD.CURVE(C1748,"SOFR",$K$2:$K$7,$L$2:$L$7,,,"Actual360","LogLinear",TRUE)</f>
        <v/>
      </c>
      <c r="E1748" s="8">
        <f>QS.INSTRUMENT.SWAP("swap.1746",C1748,H1748,B1748,"USD","SOFR",I1748,J1748,0,"Actual360","Simple","Annual","Annual","Annual")</f>
        <v/>
      </c>
      <c r="F1748" s="8">
        <f>QS.TRADE.CREATE("trade.1746",C1748,E1748,A1748,"Receive")</f>
        <v/>
      </c>
      <c r="G1748" s="5"/>
      <c r="H1748" s="7" t="s">
        <v>3536</v>
      </c>
      <c r="I1748" s="9">
        <v>1174600</v>
      </c>
      <c r="J1748" s="10">
        <v>0.0396</v>
      </c>
    </row>
    <row r="1749" spans="1:10">
      <c r="A1749" s="7" t="s">
        <v>3524</v>
      </c>
      <c r="B1749" s="7" t="s">
        <v>3537</v>
      </c>
      <c r="C1749" s="8">
        <f>QS.CONTEXT.CREATE("market.1747",A1749,"USD","SOFR")</f>
        <v/>
      </c>
      <c r="D1749" s="8">
        <f>QS.CONTEXT.ADD.CURVE(C1749,"SOFR",$K$2:$K$7,$L$2:$L$7,,,"Actual360","LogLinear",TRUE)</f>
        <v/>
      </c>
      <c r="E1749" s="8">
        <f>QS.INSTRUMENT.SWAP("swap.1747",C1749,H1749,B1749,"USD","SOFR",I1749,J1749,0,"Actual360","Simple","Annual","Annual","Annual")</f>
        <v/>
      </c>
      <c r="F1749" s="8">
        <f>QS.TRADE.CREATE("trade.1747",C1749,E1749,A1749,"Receive")</f>
        <v/>
      </c>
      <c r="G1749" s="5"/>
      <c r="H1749" s="7" t="s">
        <v>3538</v>
      </c>
      <c r="I1749" s="9">
        <v>1174700</v>
      </c>
      <c r="J1749" s="10">
        <v>0.03970000000000001</v>
      </c>
    </row>
    <row r="1750" spans="1:10">
      <c r="A1750" s="7" t="s">
        <v>3526</v>
      </c>
      <c r="B1750" s="7" t="s">
        <v>3539</v>
      </c>
      <c r="C1750" s="8">
        <f>QS.CONTEXT.CREATE("market.1748",A1750,"USD","SOFR")</f>
        <v/>
      </c>
      <c r="D1750" s="8">
        <f>QS.CONTEXT.ADD.CURVE(C1750,"SOFR",$K$2:$K$7,$L$2:$L$7,,,"Actual360","LogLinear",TRUE)</f>
        <v/>
      </c>
      <c r="E1750" s="8">
        <f>QS.INSTRUMENT.SWAP("swap.1748",C1750,H1750,B1750,"USD","SOFR",I1750,J1750,0,"Actual360","Simple","Annual","Annual","Annual")</f>
        <v/>
      </c>
      <c r="F1750" s="8">
        <f>QS.TRADE.CREATE("trade.1748",C1750,E1750,A1750,"Receive")</f>
        <v/>
      </c>
      <c r="G1750" s="5"/>
      <c r="H1750" s="7" t="s">
        <v>3540</v>
      </c>
      <c r="I1750" s="9">
        <v>1174800</v>
      </c>
      <c r="J1750" s="10">
        <v>0.0398</v>
      </c>
    </row>
    <row r="1751" spans="1:10">
      <c r="A1751" s="7" t="s">
        <v>3528</v>
      </c>
      <c r="B1751" s="7" t="s">
        <v>3541</v>
      </c>
      <c r="C1751" s="8">
        <f>QS.CONTEXT.CREATE("market.1749",A1751,"USD","SOFR")</f>
        <v/>
      </c>
      <c r="D1751" s="8">
        <f>QS.CONTEXT.ADD.CURVE(C1751,"SOFR",$K$2:$K$7,$L$2:$L$7,,,"Actual360","LogLinear",TRUE)</f>
        <v/>
      </c>
      <c r="E1751" s="8">
        <f>QS.INSTRUMENT.SWAP("swap.1749",C1751,H1751,B1751,"USD","SOFR",I1751,J1751,0,"Actual360","Simple","Annual","Annual","Annual")</f>
        <v/>
      </c>
      <c r="F1751" s="8">
        <f>QS.TRADE.CREATE("trade.1749",C1751,E1751,A1751,"Receive")</f>
        <v/>
      </c>
      <c r="G1751" s="5"/>
      <c r="H1751" s="7" t="s">
        <v>3542</v>
      </c>
      <c r="I1751" s="9">
        <v>1174900</v>
      </c>
      <c r="J1751" s="10">
        <v>0.0399</v>
      </c>
    </row>
    <row r="1752" spans="1:10">
      <c r="A1752" s="7" t="s">
        <v>3530</v>
      </c>
      <c r="B1752" s="7" t="s">
        <v>3543</v>
      </c>
      <c r="C1752" s="8">
        <f>QS.CONTEXT.CREATE("market.1750",A1752,"USD","SOFR")</f>
        <v/>
      </c>
      <c r="D1752" s="8">
        <f>QS.CONTEXT.ADD.CURVE(C1752,"SOFR",$K$2:$K$7,$L$2:$L$7,,,"Actual360","LogLinear",TRUE)</f>
        <v/>
      </c>
      <c r="E1752" s="8">
        <f>QS.INSTRUMENT.SWAP("swap.1750",C1752,H1752,B1752,"USD","SOFR",I1752,J1752,0,"Actual360","Simple","Annual","Annual","Annual")</f>
        <v/>
      </c>
      <c r="F1752" s="8">
        <f>QS.TRADE.CREATE("trade.1750",C1752,E1752,A1752,"Receive")</f>
        <v/>
      </c>
      <c r="G1752" s="5"/>
      <c r="H1752" s="7" t="s">
        <v>3544</v>
      </c>
      <c r="I1752" s="9">
        <v>1175000</v>
      </c>
      <c r="J1752" s="10">
        <v>0.035</v>
      </c>
    </row>
    <row r="1753" spans="1:10">
      <c r="A1753" s="7" t="s">
        <v>3532</v>
      </c>
      <c r="B1753" s="7" t="s">
        <v>3545</v>
      </c>
      <c r="C1753" s="8">
        <f>QS.CONTEXT.CREATE("market.1751",A1753,"USD","SOFR")</f>
        <v/>
      </c>
      <c r="D1753" s="8">
        <f>QS.CONTEXT.ADD.CURVE(C1753,"SOFR",$K$2:$K$7,$L$2:$L$7,,,"Actual360","LogLinear",TRUE)</f>
        <v/>
      </c>
      <c r="E1753" s="8">
        <f>QS.INSTRUMENT.SWAP("swap.1751",C1753,H1753,B1753,"USD","SOFR",I1753,J1753,0,"Actual360","Simple","Annual","Annual","Annual")</f>
        <v/>
      </c>
      <c r="F1753" s="8">
        <f>QS.TRADE.CREATE("trade.1751",C1753,E1753,A1753,"Receive")</f>
        <v/>
      </c>
      <c r="G1753" s="5"/>
      <c r="H1753" s="7" t="s">
        <v>3546</v>
      </c>
      <c r="I1753" s="9">
        <v>1175100</v>
      </c>
      <c r="J1753" s="10">
        <v>0.03510000000000001</v>
      </c>
    </row>
    <row r="1754" spans="1:10">
      <c r="A1754" s="7" t="s">
        <v>3534</v>
      </c>
      <c r="B1754" s="7" t="s">
        <v>3547</v>
      </c>
      <c r="C1754" s="8">
        <f>QS.CONTEXT.CREATE("market.1752",A1754,"USD","SOFR")</f>
        <v/>
      </c>
      <c r="D1754" s="8">
        <f>QS.CONTEXT.ADD.CURVE(C1754,"SOFR",$K$2:$K$7,$L$2:$L$7,,,"Actual360","LogLinear",TRUE)</f>
        <v/>
      </c>
      <c r="E1754" s="8">
        <f>QS.INSTRUMENT.SWAP("swap.1752",C1754,H1754,B1754,"USD","SOFR",I1754,J1754,0,"Actual360","Simple","Annual","Annual","Annual")</f>
        <v/>
      </c>
      <c r="F1754" s="8">
        <f>QS.TRADE.CREATE("trade.1752",C1754,E1754,A1754,"Receive")</f>
        <v/>
      </c>
      <c r="G1754" s="5"/>
      <c r="H1754" s="7" t="s">
        <v>3548</v>
      </c>
      <c r="I1754" s="9">
        <v>1175200</v>
      </c>
      <c r="J1754" s="10">
        <v>0.0352</v>
      </c>
    </row>
    <row r="1755" spans="1:10">
      <c r="A1755" s="7" t="s">
        <v>3536</v>
      </c>
      <c r="B1755" s="7" t="s">
        <v>3549</v>
      </c>
      <c r="C1755" s="8">
        <f>QS.CONTEXT.CREATE("market.1753",A1755,"USD","SOFR")</f>
        <v/>
      </c>
      <c r="D1755" s="8">
        <f>QS.CONTEXT.ADD.CURVE(C1755,"SOFR",$K$2:$K$7,$L$2:$L$7,,,"Actual360","LogLinear",TRUE)</f>
        <v/>
      </c>
      <c r="E1755" s="8">
        <f>QS.INSTRUMENT.SWAP("swap.1753",C1755,H1755,B1755,"USD","SOFR",I1755,J1755,0,"Actual360","Simple","Annual","Annual","Annual")</f>
        <v/>
      </c>
      <c r="F1755" s="8">
        <f>QS.TRADE.CREATE("trade.1753",C1755,E1755,A1755,"Receive")</f>
        <v/>
      </c>
      <c r="G1755" s="5"/>
      <c r="H1755" s="7" t="s">
        <v>3550</v>
      </c>
      <c r="I1755" s="9">
        <v>1175300</v>
      </c>
      <c r="J1755" s="10">
        <v>0.0353</v>
      </c>
    </row>
    <row r="1756" spans="1:10">
      <c r="A1756" s="7" t="s">
        <v>3538</v>
      </c>
      <c r="B1756" s="7" t="s">
        <v>3551</v>
      </c>
      <c r="C1756" s="8">
        <f>QS.CONTEXT.CREATE("market.1754",A1756,"USD","SOFR")</f>
        <v/>
      </c>
      <c r="D1756" s="8">
        <f>QS.CONTEXT.ADD.CURVE(C1756,"SOFR",$K$2:$K$7,$L$2:$L$7,,,"Actual360","LogLinear",TRUE)</f>
        <v/>
      </c>
      <c r="E1756" s="8">
        <f>QS.INSTRUMENT.SWAP("swap.1754",C1756,H1756,B1756,"USD","SOFR",I1756,J1756,0,"Actual360","Simple","Annual","Annual","Annual")</f>
        <v/>
      </c>
      <c r="F1756" s="8">
        <f>QS.TRADE.CREATE("trade.1754",C1756,E1756,A1756,"Receive")</f>
        <v/>
      </c>
      <c r="G1756" s="5"/>
      <c r="H1756" s="7" t="s">
        <v>3552</v>
      </c>
      <c r="I1756" s="9">
        <v>1175400</v>
      </c>
      <c r="J1756" s="10">
        <v>0.0354</v>
      </c>
    </row>
    <row r="1757" spans="1:10">
      <c r="A1757" s="7" t="s">
        <v>3540</v>
      </c>
      <c r="B1757" s="7" t="s">
        <v>3553</v>
      </c>
      <c r="C1757" s="8">
        <f>QS.CONTEXT.CREATE("market.1755",A1757,"USD","SOFR")</f>
        <v/>
      </c>
      <c r="D1757" s="8">
        <f>QS.CONTEXT.ADD.CURVE(C1757,"SOFR",$K$2:$K$7,$L$2:$L$7,,,"Actual360","LogLinear",TRUE)</f>
        <v/>
      </c>
      <c r="E1757" s="8">
        <f>QS.INSTRUMENT.SWAP("swap.1755",C1757,H1757,B1757,"USD","SOFR",I1757,J1757,0,"Actual360","Simple","Annual","Annual","Annual")</f>
        <v/>
      </c>
      <c r="F1757" s="8">
        <f>QS.TRADE.CREATE("trade.1755",C1757,E1757,A1757,"Receive")</f>
        <v/>
      </c>
      <c r="G1757" s="5"/>
      <c r="H1757" s="7" t="s">
        <v>3554</v>
      </c>
      <c r="I1757" s="9">
        <v>1175500</v>
      </c>
      <c r="J1757" s="10">
        <v>0.0355</v>
      </c>
    </row>
    <row r="1758" spans="1:10">
      <c r="A1758" s="7" t="s">
        <v>3542</v>
      </c>
      <c r="B1758" s="7" t="s">
        <v>3555</v>
      </c>
      <c r="C1758" s="8">
        <f>QS.CONTEXT.CREATE("market.1756",A1758,"USD","SOFR")</f>
        <v/>
      </c>
      <c r="D1758" s="8">
        <f>QS.CONTEXT.ADD.CURVE(C1758,"SOFR",$K$2:$K$7,$L$2:$L$7,,,"Actual360","LogLinear",TRUE)</f>
        <v/>
      </c>
      <c r="E1758" s="8">
        <f>QS.INSTRUMENT.SWAP("swap.1756",C1758,H1758,B1758,"USD","SOFR",I1758,J1758,0,"Actual360","Simple","Annual","Annual","Annual")</f>
        <v/>
      </c>
      <c r="F1758" s="8">
        <f>QS.TRADE.CREATE("trade.1756",C1758,E1758,A1758,"Receive")</f>
        <v/>
      </c>
      <c r="G1758" s="5"/>
      <c r="H1758" s="7" t="s">
        <v>3556</v>
      </c>
      <c r="I1758" s="9">
        <v>1175600</v>
      </c>
      <c r="J1758" s="10">
        <v>0.03560000000000001</v>
      </c>
    </row>
    <row r="1759" spans="1:10">
      <c r="A1759" s="7" t="s">
        <v>3544</v>
      </c>
      <c r="B1759" s="7" t="s">
        <v>3557</v>
      </c>
      <c r="C1759" s="8">
        <f>QS.CONTEXT.CREATE("market.1757",A1759,"USD","SOFR")</f>
        <v/>
      </c>
      <c r="D1759" s="8">
        <f>QS.CONTEXT.ADD.CURVE(C1759,"SOFR",$K$2:$K$7,$L$2:$L$7,,,"Actual360","LogLinear",TRUE)</f>
        <v/>
      </c>
      <c r="E1759" s="8">
        <f>QS.INSTRUMENT.SWAP("swap.1757",C1759,H1759,B1759,"USD","SOFR",I1759,J1759,0,"Actual360","Simple","Annual","Annual","Annual")</f>
        <v/>
      </c>
      <c r="F1759" s="8">
        <f>QS.TRADE.CREATE("trade.1757",C1759,E1759,A1759,"Receive")</f>
        <v/>
      </c>
      <c r="G1759" s="5"/>
      <c r="H1759" s="7" t="s">
        <v>3558</v>
      </c>
      <c r="I1759" s="9">
        <v>1175700</v>
      </c>
      <c r="J1759" s="10">
        <v>0.0357</v>
      </c>
    </row>
    <row r="1760" spans="1:10">
      <c r="A1760" s="7" t="s">
        <v>3546</v>
      </c>
      <c r="B1760" s="7" t="s">
        <v>3559</v>
      </c>
      <c r="C1760" s="8">
        <f>QS.CONTEXT.CREATE("market.1758",A1760,"USD","SOFR")</f>
        <v/>
      </c>
      <c r="D1760" s="8">
        <f>QS.CONTEXT.ADD.CURVE(C1760,"SOFR",$K$2:$K$7,$L$2:$L$7,,,"Actual360","LogLinear",TRUE)</f>
        <v/>
      </c>
      <c r="E1760" s="8">
        <f>QS.INSTRUMENT.SWAP("swap.1758",C1760,H1760,B1760,"USD","SOFR",I1760,J1760,0,"Actual360","Simple","Annual","Annual","Annual")</f>
        <v/>
      </c>
      <c r="F1760" s="8">
        <f>QS.TRADE.CREATE("trade.1758",C1760,E1760,A1760,"Receive")</f>
        <v/>
      </c>
      <c r="G1760" s="5"/>
      <c r="H1760" s="7" t="s">
        <v>3560</v>
      </c>
      <c r="I1760" s="9">
        <v>1175800</v>
      </c>
      <c r="J1760" s="10">
        <v>0.03580000000000001</v>
      </c>
    </row>
    <row r="1761" spans="1:10">
      <c r="A1761" s="7" t="s">
        <v>3548</v>
      </c>
      <c r="B1761" s="7" t="s">
        <v>3561</v>
      </c>
      <c r="C1761" s="8">
        <f>QS.CONTEXT.CREATE("market.1759",A1761,"USD","SOFR")</f>
        <v/>
      </c>
      <c r="D1761" s="8">
        <f>QS.CONTEXT.ADD.CURVE(C1761,"SOFR",$K$2:$K$7,$L$2:$L$7,,,"Actual360","LogLinear",TRUE)</f>
        <v/>
      </c>
      <c r="E1761" s="8">
        <f>QS.INSTRUMENT.SWAP("swap.1759",C1761,H1761,B1761,"USD","SOFR",I1761,J1761,0,"Actual360","Simple","Annual","Annual","Annual")</f>
        <v/>
      </c>
      <c r="F1761" s="8">
        <f>QS.TRADE.CREATE("trade.1759",C1761,E1761,A1761,"Receive")</f>
        <v/>
      </c>
      <c r="G1761" s="5"/>
      <c r="H1761" s="7" t="s">
        <v>3562</v>
      </c>
      <c r="I1761" s="9">
        <v>1175900</v>
      </c>
      <c r="J1761" s="10">
        <v>0.0359</v>
      </c>
    </row>
    <row r="1762" spans="1:10">
      <c r="A1762" s="7" t="s">
        <v>3550</v>
      </c>
      <c r="B1762" s="7" t="s">
        <v>3563</v>
      </c>
      <c r="C1762" s="8">
        <f>QS.CONTEXT.CREATE("market.1760",A1762,"USD","SOFR")</f>
        <v/>
      </c>
      <c r="D1762" s="8">
        <f>QS.CONTEXT.ADD.CURVE(C1762,"SOFR",$K$2:$K$7,$L$2:$L$7,,,"Actual360","LogLinear",TRUE)</f>
        <v/>
      </c>
      <c r="E1762" s="8">
        <f>QS.INSTRUMENT.SWAP("swap.1760",C1762,H1762,B1762,"USD","SOFR",I1762,J1762,0,"Actual360","Simple","Annual","Annual","Annual")</f>
        <v/>
      </c>
      <c r="F1762" s="8">
        <f>QS.TRADE.CREATE("trade.1760",C1762,E1762,A1762,"Receive")</f>
        <v/>
      </c>
      <c r="G1762" s="5"/>
      <c r="H1762" s="7" t="s">
        <v>3564</v>
      </c>
      <c r="I1762" s="9">
        <v>1176000</v>
      </c>
      <c r="J1762" s="10">
        <v>0.036</v>
      </c>
    </row>
    <row r="1763" spans="1:10">
      <c r="A1763" s="7" t="s">
        <v>3552</v>
      </c>
      <c r="B1763" s="7" t="s">
        <v>3565</v>
      </c>
      <c r="C1763" s="8">
        <f>QS.CONTEXT.CREATE("market.1761",A1763,"USD","SOFR")</f>
        <v/>
      </c>
      <c r="D1763" s="8">
        <f>QS.CONTEXT.ADD.CURVE(C1763,"SOFR",$K$2:$K$7,$L$2:$L$7,,,"Actual360","LogLinear",TRUE)</f>
        <v/>
      </c>
      <c r="E1763" s="8">
        <f>QS.INSTRUMENT.SWAP("swap.1761",C1763,H1763,B1763,"USD","SOFR",I1763,J1763,0,"Actual360","Simple","Annual","Annual","Annual")</f>
        <v/>
      </c>
      <c r="F1763" s="8">
        <f>QS.TRADE.CREATE("trade.1761",C1763,E1763,A1763,"Receive")</f>
        <v/>
      </c>
      <c r="G1763" s="5"/>
      <c r="H1763" s="7" t="s">
        <v>3566</v>
      </c>
      <c r="I1763" s="9">
        <v>1176100</v>
      </c>
      <c r="J1763" s="10">
        <v>0.0361</v>
      </c>
    </row>
    <row r="1764" spans="1:10">
      <c r="A1764" s="7" t="s">
        <v>3554</v>
      </c>
      <c r="B1764" s="7" t="s">
        <v>3567</v>
      </c>
      <c r="C1764" s="8">
        <f>QS.CONTEXT.CREATE("market.1762",A1764,"USD","SOFR")</f>
        <v/>
      </c>
      <c r="D1764" s="8">
        <f>QS.CONTEXT.ADD.CURVE(C1764,"SOFR",$K$2:$K$7,$L$2:$L$7,,,"Actual360","LogLinear",TRUE)</f>
        <v/>
      </c>
      <c r="E1764" s="8">
        <f>QS.INSTRUMENT.SWAP("swap.1762",C1764,H1764,B1764,"USD","SOFR",I1764,J1764,0,"Actual360","Simple","Annual","Annual","Annual")</f>
        <v/>
      </c>
      <c r="F1764" s="8">
        <f>QS.TRADE.CREATE("trade.1762",C1764,E1764,A1764,"Receive")</f>
        <v/>
      </c>
      <c r="G1764" s="5"/>
      <c r="H1764" s="7" t="s">
        <v>3568</v>
      </c>
      <c r="I1764" s="9">
        <v>1176200</v>
      </c>
      <c r="J1764" s="10">
        <v>0.0362</v>
      </c>
    </row>
    <row r="1765" spans="1:10">
      <c r="A1765" s="7" t="s">
        <v>3556</v>
      </c>
      <c r="B1765" s="7" t="s">
        <v>3569</v>
      </c>
      <c r="C1765" s="8">
        <f>QS.CONTEXT.CREATE("market.1763",A1765,"USD","SOFR")</f>
        <v/>
      </c>
      <c r="D1765" s="8">
        <f>QS.CONTEXT.ADD.CURVE(C1765,"SOFR",$K$2:$K$7,$L$2:$L$7,,,"Actual360","LogLinear",TRUE)</f>
        <v/>
      </c>
      <c r="E1765" s="8">
        <f>QS.INSTRUMENT.SWAP("swap.1763",C1765,H1765,B1765,"USD","SOFR",I1765,J1765,0,"Actual360","Simple","Annual","Annual","Annual")</f>
        <v/>
      </c>
      <c r="F1765" s="8">
        <f>QS.TRADE.CREATE("trade.1763",C1765,E1765,A1765,"Receive")</f>
        <v/>
      </c>
      <c r="G1765" s="5"/>
      <c r="H1765" s="7" t="s">
        <v>3570</v>
      </c>
      <c r="I1765" s="9">
        <v>1176300</v>
      </c>
      <c r="J1765" s="10">
        <v>0.03630000000000001</v>
      </c>
    </row>
    <row r="1766" spans="1:10">
      <c r="A1766" s="7" t="s">
        <v>3558</v>
      </c>
      <c r="B1766" s="7" t="s">
        <v>3571</v>
      </c>
      <c r="C1766" s="8">
        <f>QS.CONTEXT.CREATE("market.1764",A1766,"USD","SOFR")</f>
        <v/>
      </c>
      <c r="D1766" s="8">
        <f>QS.CONTEXT.ADD.CURVE(C1766,"SOFR",$K$2:$K$7,$L$2:$L$7,,,"Actual360","LogLinear",TRUE)</f>
        <v/>
      </c>
      <c r="E1766" s="8">
        <f>QS.INSTRUMENT.SWAP("swap.1764",C1766,H1766,B1766,"USD","SOFR",I1766,J1766,0,"Actual360","Simple","Annual","Annual","Annual")</f>
        <v/>
      </c>
      <c r="F1766" s="8">
        <f>QS.TRADE.CREATE("trade.1764",C1766,E1766,A1766,"Receive")</f>
        <v/>
      </c>
      <c r="G1766" s="5"/>
      <c r="H1766" s="7" t="s">
        <v>3572</v>
      </c>
      <c r="I1766" s="9">
        <v>1176400</v>
      </c>
      <c r="J1766" s="10">
        <v>0.0364</v>
      </c>
    </row>
    <row r="1767" spans="1:10">
      <c r="A1767" s="7" t="s">
        <v>3560</v>
      </c>
      <c r="B1767" s="7" t="s">
        <v>3573</v>
      </c>
      <c r="C1767" s="8">
        <f>QS.CONTEXT.CREATE("market.1765",A1767,"USD","SOFR")</f>
        <v/>
      </c>
      <c r="D1767" s="8">
        <f>QS.CONTEXT.ADD.CURVE(C1767,"SOFR",$K$2:$K$7,$L$2:$L$7,,,"Actual360","LogLinear",TRUE)</f>
        <v/>
      </c>
      <c r="E1767" s="8">
        <f>QS.INSTRUMENT.SWAP("swap.1765",C1767,H1767,B1767,"USD","SOFR",I1767,J1767,0,"Actual360","Simple","Annual","Annual","Annual")</f>
        <v/>
      </c>
      <c r="F1767" s="8">
        <f>QS.TRADE.CREATE("trade.1765",C1767,E1767,A1767,"Receive")</f>
        <v/>
      </c>
      <c r="G1767" s="5"/>
      <c r="H1767" s="7" t="s">
        <v>3574</v>
      </c>
      <c r="I1767" s="9">
        <v>1176500</v>
      </c>
      <c r="J1767" s="10">
        <v>0.0365</v>
      </c>
    </row>
    <row r="1768" spans="1:10">
      <c r="A1768" s="7" t="s">
        <v>3562</v>
      </c>
      <c r="B1768" s="7" t="s">
        <v>3575</v>
      </c>
      <c r="C1768" s="8">
        <f>QS.CONTEXT.CREATE("market.1766",A1768,"USD","SOFR")</f>
        <v/>
      </c>
      <c r="D1768" s="8">
        <f>QS.CONTEXT.ADD.CURVE(C1768,"SOFR",$K$2:$K$7,$L$2:$L$7,,,"Actual360","LogLinear",TRUE)</f>
        <v/>
      </c>
      <c r="E1768" s="8">
        <f>QS.INSTRUMENT.SWAP("swap.1766",C1768,H1768,B1768,"USD","SOFR",I1768,J1768,0,"Actual360","Simple","Annual","Annual","Annual")</f>
        <v/>
      </c>
      <c r="F1768" s="8">
        <f>QS.TRADE.CREATE("trade.1766",C1768,E1768,A1768,"Receive")</f>
        <v/>
      </c>
      <c r="G1768" s="5"/>
      <c r="H1768" s="7" t="s">
        <v>3576</v>
      </c>
      <c r="I1768" s="9">
        <v>1176600</v>
      </c>
      <c r="J1768" s="10">
        <v>0.0366</v>
      </c>
    </row>
    <row r="1769" spans="1:10">
      <c r="A1769" s="7" t="s">
        <v>3564</v>
      </c>
      <c r="B1769" s="7" t="s">
        <v>3577</v>
      </c>
      <c r="C1769" s="8">
        <f>QS.CONTEXT.CREATE("market.1767",A1769,"USD","SOFR")</f>
        <v/>
      </c>
      <c r="D1769" s="8">
        <f>QS.CONTEXT.ADD.CURVE(C1769,"SOFR",$K$2:$K$7,$L$2:$L$7,,,"Actual360","LogLinear",TRUE)</f>
        <v/>
      </c>
      <c r="E1769" s="8">
        <f>QS.INSTRUMENT.SWAP("swap.1767",C1769,H1769,B1769,"USD","SOFR",I1769,J1769,0,"Actual360","Simple","Annual","Annual","Annual")</f>
        <v/>
      </c>
      <c r="F1769" s="8">
        <f>QS.TRADE.CREATE("trade.1767",C1769,E1769,A1769,"Receive")</f>
        <v/>
      </c>
      <c r="G1769" s="5"/>
      <c r="H1769" s="7" t="s">
        <v>3578</v>
      </c>
      <c r="I1769" s="9">
        <v>1176700</v>
      </c>
      <c r="J1769" s="10">
        <v>0.0367</v>
      </c>
    </row>
    <row r="1770" spans="1:10">
      <c r="A1770" s="7" t="s">
        <v>3566</v>
      </c>
      <c r="B1770" s="7" t="s">
        <v>3579</v>
      </c>
      <c r="C1770" s="8">
        <f>QS.CONTEXT.CREATE("market.1768",A1770,"USD","SOFR")</f>
        <v/>
      </c>
      <c r="D1770" s="8">
        <f>QS.CONTEXT.ADD.CURVE(C1770,"SOFR",$K$2:$K$7,$L$2:$L$7,,,"Actual360","LogLinear",TRUE)</f>
        <v/>
      </c>
      <c r="E1770" s="8">
        <f>QS.INSTRUMENT.SWAP("swap.1768",C1770,H1770,B1770,"USD","SOFR",I1770,J1770,0,"Actual360","Simple","Annual","Annual","Annual")</f>
        <v/>
      </c>
      <c r="F1770" s="8">
        <f>QS.TRADE.CREATE("trade.1768",C1770,E1770,A1770,"Receive")</f>
        <v/>
      </c>
      <c r="G1770" s="5"/>
      <c r="H1770" s="7" t="s">
        <v>3580</v>
      </c>
      <c r="I1770" s="9">
        <v>1176800</v>
      </c>
      <c r="J1770" s="10">
        <v>0.03680000000000001</v>
      </c>
    </row>
    <row r="1771" spans="1:10">
      <c r="A1771" s="7" t="s">
        <v>3568</v>
      </c>
      <c r="B1771" s="7" t="s">
        <v>3581</v>
      </c>
      <c r="C1771" s="8">
        <f>QS.CONTEXT.CREATE("market.1769",A1771,"USD","SOFR")</f>
        <v/>
      </c>
      <c r="D1771" s="8">
        <f>QS.CONTEXT.ADD.CURVE(C1771,"SOFR",$K$2:$K$7,$L$2:$L$7,,,"Actual360","LogLinear",TRUE)</f>
        <v/>
      </c>
      <c r="E1771" s="8">
        <f>QS.INSTRUMENT.SWAP("swap.1769",C1771,H1771,B1771,"USD","SOFR",I1771,J1771,0,"Actual360","Simple","Annual","Annual","Annual")</f>
        <v/>
      </c>
      <c r="F1771" s="8">
        <f>QS.TRADE.CREATE("trade.1769",C1771,E1771,A1771,"Receive")</f>
        <v/>
      </c>
      <c r="G1771" s="5"/>
      <c r="H1771" s="7" t="s">
        <v>3582</v>
      </c>
      <c r="I1771" s="9">
        <v>1176900</v>
      </c>
      <c r="J1771" s="10">
        <v>0.0369</v>
      </c>
    </row>
    <row r="1772" spans="1:10">
      <c r="A1772" s="7" t="s">
        <v>3570</v>
      </c>
      <c r="B1772" s="7" t="s">
        <v>3583</v>
      </c>
      <c r="C1772" s="8">
        <f>QS.CONTEXT.CREATE("market.1770",A1772,"USD","SOFR")</f>
        <v/>
      </c>
      <c r="D1772" s="8">
        <f>QS.CONTEXT.ADD.CURVE(C1772,"SOFR",$K$2:$K$7,$L$2:$L$7,,,"Actual360","LogLinear",TRUE)</f>
        <v/>
      </c>
      <c r="E1772" s="8">
        <f>QS.INSTRUMENT.SWAP("swap.1770",C1772,H1772,B1772,"USD","SOFR",I1772,J1772,0,"Actual360","Simple","Annual","Annual","Annual")</f>
        <v/>
      </c>
      <c r="F1772" s="8">
        <f>QS.TRADE.CREATE("trade.1770",C1772,E1772,A1772,"Receive")</f>
        <v/>
      </c>
      <c r="G1772" s="5"/>
      <c r="H1772" s="7" t="s">
        <v>3584</v>
      </c>
      <c r="I1772" s="9">
        <v>1177000</v>
      </c>
      <c r="J1772" s="10">
        <v>0.03700000000000001</v>
      </c>
    </row>
    <row r="1773" spans="1:10">
      <c r="A1773" s="7" t="s">
        <v>3572</v>
      </c>
      <c r="B1773" s="7" t="s">
        <v>3585</v>
      </c>
      <c r="C1773" s="8">
        <f>QS.CONTEXT.CREATE("market.1771",A1773,"USD","SOFR")</f>
        <v/>
      </c>
      <c r="D1773" s="8">
        <f>QS.CONTEXT.ADD.CURVE(C1773,"SOFR",$K$2:$K$7,$L$2:$L$7,,,"Actual360","LogLinear",TRUE)</f>
        <v/>
      </c>
      <c r="E1773" s="8">
        <f>QS.INSTRUMENT.SWAP("swap.1771",C1773,H1773,B1773,"USD","SOFR",I1773,J1773,0,"Actual360","Simple","Annual","Annual","Annual")</f>
        <v/>
      </c>
      <c r="F1773" s="8">
        <f>QS.TRADE.CREATE("trade.1771",C1773,E1773,A1773,"Receive")</f>
        <v/>
      </c>
      <c r="G1773" s="5"/>
      <c r="H1773" s="7" t="s">
        <v>3586</v>
      </c>
      <c r="I1773" s="9">
        <v>1177100</v>
      </c>
      <c r="J1773" s="10">
        <v>0.0371</v>
      </c>
    </row>
    <row r="1774" spans="1:10">
      <c r="A1774" s="7" t="s">
        <v>3574</v>
      </c>
      <c r="B1774" s="7" t="s">
        <v>3587</v>
      </c>
      <c r="C1774" s="8">
        <f>QS.CONTEXT.CREATE("market.1772",A1774,"USD","SOFR")</f>
        <v/>
      </c>
      <c r="D1774" s="8">
        <f>QS.CONTEXT.ADD.CURVE(C1774,"SOFR",$K$2:$K$7,$L$2:$L$7,,,"Actual360","LogLinear",TRUE)</f>
        <v/>
      </c>
      <c r="E1774" s="8">
        <f>QS.INSTRUMENT.SWAP("swap.1772",C1774,H1774,B1774,"USD","SOFR",I1774,J1774,0,"Actual360","Simple","Annual","Annual","Annual")</f>
        <v/>
      </c>
      <c r="F1774" s="8">
        <f>QS.TRADE.CREATE("trade.1772",C1774,E1774,A1774,"Receive")</f>
        <v/>
      </c>
      <c r="G1774" s="5"/>
      <c r="H1774" s="7" t="s">
        <v>3588</v>
      </c>
      <c r="I1774" s="9">
        <v>1177200</v>
      </c>
      <c r="J1774" s="10">
        <v>0.0372</v>
      </c>
    </row>
    <row r="1775" spans="1:10">
      <c r="A1775" s="7" t="s">
        <v>3576</v>
      </c>
      <c r="B1775" s="7" t="s">
        <v>3589</v>
      </c>
      <c r="C1775" s="8">
        <f>QS.CONTEXT.CREATE("market.1773",A1775,"USD","SOFR")</f>
        <v/>
      </c>
      <c r="D1775" s="8">
        <f>QS.CONTEXT.ADD.CURVE(C1775,"SOFR",$K$2:$K$7,$L$2:$L$7,,,"Actual360","LogLinear",TRUE)</f>
        <v/>
      </c>
      <c r="E1775" s="8">
        <f>QS.INSTRUMENT.SWAP("swap.1773",C1775,H1775,B1775,"USD","SOFR",I1775,J1775,0,"Actual360","Simple","Annual","Annual","Annual")</f>
        <v/>
      </c>
      <c r="F1775" s="8">
        <f>QS.TRADE.CREATE("trade.1773",C1775,E1775,A1775,"Receive")</f>
        <v/>
      </c>
      <c r="G1775" s="5"/>
      <c r="H1775" s="7" t="s">
        <v>3590</v>
      </c>
      <c r="I1775" s="9">
        <v>1177300</v>
      </c>
      <c r="J1775" s="10">
        <v>0.0373</v>
      </c>
    </row>
    <row r="1776" spans="1:10">
      <c r="A1776" s="7" t="s">
        <v>3578</v>
      </c>
      <c r="B1776" s="7" t="s">
        <v>3591</v>
      </c>
      <c r="C1776" s="8">
        <f>QS.CONTEXT.CREATE("market.1774",A1776,"USD","SOFR")</f>
        <v/>
      </c>
      <c r="D1776" s="8">
        <f>QS.CONTEXT.ADD.CURVE(C1776,"SOFR",$K$2:$K$7,$L$2:$L$7,,,"Actual360","LogLinear",TRUE)</f>
        <v/>
      </c>
      <c r="E1776" s="8">
        <f>QS.INSTRUMENT.SWAP("swap.1774",C1776,H1776,B1776,"USD","SOFR",I1776,J1776,0,"Actual360","Simple","Annual","Annual","Annual")</f>
        <v/>
      </c>
      <c r="F1776" s="8">
        <f>QS.TRADE.CREATE("trade.1774",C1776,E1776,A1776,"Receive")</f>
        <v/>
      </c>
      <c r="G1776" s="5"/>
      <c r="H1776" s="7" t="s">
        <v>3592</v>
      </c>
      <c r="I1776" s="9">
        <v>1177400</v>
      </c>
      <c r="J1776" s="10">
        <v>0.0374</v>
      </c>
    </row>
    <row r="1777" spans="1:10">
      <c r="A1777" s="7" t="s">
        <v>3580</v>
      </c>
      <c r="B1777" s="7" t="s">
        <v>3593</v>
      </c>
      <c r="C1777" s="8">
        <f>QS.CONTEXT.CREATE("market.1775",A1777,"USD","SOFR")</f>
        <v/>
      </c>
      <c r="D1777" s="8">
        <f>QS.CONTEXT.ADD.CURVE(C1777,"SOFR",$K$2:$K$7,$L$2:$L$7,,,"Actual360","LogLinear",TRUE)</f>
        <v/>
      </c>
      <c r="E1777" s="8">
        <f>QS.INSTRUMENT.SWAP("swap.1775",C1777,H1777,B1777,"USD","SOFR",I1777,J1777,0,"Actual360","Simple","Annual","Annual","Annual")</f>
        <v/>
      </c>
      <c r="F1777" s="8">
        <f>QS.TRADE.CREATE("trade.1775",C1777,E1777,A1777,"Receive")</f>
        <v/>
      </c>
      <c r="G1777" s="5"/>
      <c r="H1777" s="7" t="s">
        <v>3594</v>
      </c>
      <c r="I1777" s="9">
        <v>1177500</v>
      </c>
      <c r="J1777" s="10">
        <v>0.03750000000000001</v>
      </c>
    </row>
    <row r="1778" spans="1:10">
      <c r="A1778" s="7" t="s">
        <v>3582</v>
      </c>
      <c r="B1778" s="7" t="s">
        <v>3595</v>
      </c>
      <c r="C1778" s="8">
        <f>QS.CONTEXT.CREATE("market.1776",A1778,"USD","SOFR")</f>
        <v/>
      </c>
      <c r="D1778" s="8">
        <f>QS.CONTEXT.ADD.CURVE(C1778,"SOFR",$K$2:$K$7,$L$2:$L$7,,,"Actual360","LogLinear",TRUE)</f>
        <v/>
      </c>
      <c r="E1778" s="8">
        <f>QS.INSTRUMENT.SWAP("swap.1776",C1778,H1778,B1778,"USD","SOFR",I1778,J1778,0,"Actual360","Simple","Annual","Annual","Annual")</f>
        <v/>
      </c>
      <c r="F1778" s="8">
        <f>QS.TRADE.CREATE("trade.1776",C1778,E1778,A1778,"Receive")</f>
        <v/>
      </c>
      <c r="G1778" s="5"/>
      <c r="H1778" s="7" t="s">
        <v>3596</v>
      </c>
      <c r="I1778" s="9">
        <v>1177600</v>
      </c>
      <c r="J1778" s="10">
        <v>0.0376</v>
      </c>
    </row>
    <row r="1779" spans="1:10">
      <c r="A1779" s="7" t="s">
        <v>3584</v>
      </c>
      <c r="B1779" s="7" t="s">
        <v>3597</v>
      </c>
      <c r="C1779" s="8">
        <f>QS.CONTEXT.CREATE("market.1777",A1779,"USD","SOFR")</f>
        <v/>
      </c>
      <c r="D1779" s="8">
        <f>QS.CONTEXT.ADD.CURVE(C1779,"SOFR",$K$2:$K$7,$L$2:$L$7,,,"Actual360","LogLinear",TRUE)</f>
        <v/>
      </c>
      <c r="E1779" s="8">
        <f>QS.INSTRUMENT.SWAP("swap.1777",C1779,H1779,B1779,"USD","SOFR",I1779,J1779,0,"Actual360","Simple","Annual","Annual","Annual")</f>
        <v/>
      </c>
      <c r="F1779" s="8">
        <f>QS.TRADE.CREATE("trade.1777",C1779,E1779,A1779,"Receive")</f>
        <v/>
      </c>
      <c r="G1779" s="5"/>
      <c r="H1779" s="7" t="s">
        <v>3598</v>
      </c>
      <c r="I1779" s="9">
        <v>1177700</v>
      </c>
      <c r="J1779" s="10">
        <v>0.0377</v>
      </c>
    </row>
    <row r="1780" spans="1:10">
      <c r="A1780" s="7" t="s">
        <v>3586</v>
      </c>
      <c r="B1780" s="7" t="s">
        <v>3599</v>
      </c>
      <c r="C1780" s="8">
        <f>QS.CONTEXT.CREATE("market.1778",A1780,"USD","SOFR")</f>
        <v/>
      </c>
      <c r="D1780" s="8">
        <f>QS.CONTEXT.ADD.CURVE(C1780,"SOFR",$K$2:$K$7,$L$2:$L$7,,,"Actual360","LogLinear",TRUE)</f>
        <v/>
      </c>
      <c r="E1780" s="8">
        <f>QS.INSTRUMENT.SWAP("swap.1778",C1780,H1780,B1780,"USD","SOFR",I1780,J1780,0,"Actual360","Simple","Annual","Annual","Annual")</f>
        <v/>
      </c>
      <c r="F1780" s="8">
        <f>QS.TRADE.CREATE("trade.1778",C1780,E1780,A1780,"Receive")</f>
        <v/>
      </c>
      <c r="G1780" s="5"/>
      <c r="H1780" s="7" t="s">
        <v>3600</v>
      </c>
      <c r="I1780" s="9">
        <v>1177800</v>
      </c>
      <c r="J1780" s="10">
        <v>0.0378</v>
      </c>
    </row>
    <row r="1781" spans="1:10">
      <c r="A1781" s="7" t="s">
        <v>3588</v>
      </c>
      <c r="B1781" s="7" t="s">
        <v>3601</v>
      </c>
      <c r="C1781" s="8">
        <f>QS.CONTEXT.CREATE("market.1779",A1781,"USD","SOFR")</f>
        <v/>
      </c>
      <c r="D1781" s="8">
        <f>QS.CONTEXT.ADD.CURVE(C1781,"SOFR",$K$2:$K$7,$L$2:$L$7,,,"Actual360","LogLinear",TRUE)</f>
        <v/>
      </c>
      <c r="E1781" s="8">
        <f>QS.INSTRUMENT.SWAP("swap.1779",C1781,H1781,B1781,"USD","SOFR",I1781,J1781,0,"Actual360","Simple","Annual","Annual","Annual")</f>
        <v/>
      </c>
      <c r="F1781" s="8">
        <f>QS.TRADE.CREATE("trade.1779",C1781,E1781,A1781,"Receive")</f>
        <v/>
      </c>
      <c r="G1781" s="5"/>
      <c r="H1781" s="7" t="s">
        <v>3602</v>
      </c>
      <c r="I1781" s="9">
        <v>1177900</v>
      </c>
      <c r="J1781" s="10">
        <v>0.0379</v>
      </c>
    </row>
    <row r="1782" spans="1:10">
      <c r="A1782" s="7" t="s">
        <v>3590</v>
      </c>
      <c r="B1782" s="7" t="s">
        <v>3603</v>
      </c>
      <c r="C1782" s="8">
        <f>QS.CONTEXT.CREATE("market.1780",A1782,"USD","SOFR")</f>
        <v/>
      </c>
      <c r="D1782" s="8">
        <f>QS.CONTEXT.ADD.CURVE(C1782,"SOFR",$K$2:$K$7,$L$2:$L$7,,,"Actual360","LogLinear",TRUE)</f>
        <v/>
      </c>
      <c r="E1782" s="8">
        <f>QS.INSTRUMENT.SWAP("swap.1780",C1782,H1782,B1782,"USD","SOFR",I1782,J1782,0,"Actual360","Simple","Annual","Annual","Annual")</f>
        <v/>
      </c>
      <c r="F1782" s="8">
        <f>QS.TRADE.CREATE("trade.1780",C1782,E1782,A1782,"Receive")</f>
        <v/>
      </c>
      <c r="G1782" s="5"/>
      <c r="H1782" s="7" t="s">
        <v>3604</v>
      </c>
      <c r="I1782" s="9">
        <v>1178000</v>
      </c>
      <c r="J1782" s="10">
        <v>0.03800000000000001</v>
      </c>
    </row>
    <row r="1783" spans="1:10">
      <c r="A1783" s="7" t="s">
        <v>3592</v>
      </c>
      <c r="B1783" s="7" t="s">
        <v>3605</v>
      </c>
      <c r="C1783" s="8">
        <f>QS.CONTEXT.CREATE("market.1781",A1783,"USD","SOFR")</f>
        <v/>
      </c>
      <c r="D1783" s="8">
        <f>QS.CONTEXT.ADD.CURVE(C1783,"SOFR",$K$2:$K$7,$L$2:$L$7,,,"Actual360","LogLinear",TRUE)</f>
        <v/>
      </c>
      <c r="E1783" s="8">
        <f>QS.INSTRUMENT.SWAP("swap.1781",C1783,H1783,B1783,"USD","SOFR",I1783,J1783,0,"Actual360","Simple","Annual","Annual","Annual")</f>
        <v/>
      </c>
      <c r="F1783" s="8">
        <f>QS.TRADE.CREATE("trade.1781",C1783,E1783,A1783,"Receive")</f>
        <v/>
      </c>
      <c r="G1783" s="5"/>
      <c r="H1783" s="7" t="s">
        <v>3606</v>
      </c>
      <c r="I1783" s="9">
        <v>1178100</v>
      </c>
      <c r="J1783" s="10">
        <v>0.0381</v>
      </c>
    </row>
    <row r="1784" spans="1:10">
      <c r="A1784" s="7" t="s">
        <v>3594</v>
      </c>
      <c r="B1784" s="7" t="s">
        <v>3607</v>
      </c>
      <c r="C1784" s="8">
        <f>QS.CONTEXT.CREATE("market.1782",A1784,"USD","SOFR")</f>
        <v/>
      </c>
      <c r="D1784" s="8">
        <f>QS.CONTEXT.ADD.CURVE(C1784,"SOFR",$K$2:$K$7,$L$2:$L$7,,,"Actual360","LogLinear",TRUE)</f>
        <v/>
      </c>
      <c r="E1784" s="8">
        <f>QS.INSTRUMENT.SWAP("swap.1782",C1784,H1784,B1784,"USD","SOFR",I1784,J1784,0,"Actual360","Simple","Annual","Annual","Annual")</f>
        <v/>
      </c>
      <c r="F1784" s="8">
        <f>QS.TRADE.CREATE("trade.1782",C1784,E1784,A1784,"Receive")</f>
        <v/>
      </c>
      <c r="G1784" s="5"/>
      <c r="H1784" s="7" t="s">
        <v>3608</v>
      </c>
      <c r="I1784" s="9">
        <v>1178200</v>
      </c>
      <c r="J1784" s="10">
        <v>0.0382</v>
      </c>
    </row>
    <row r="1785" spans="1:10">
      <c r="A1785" s="7" t="s">
        <v>3596</v>
      </c>
      <c r="B1785" s="7" t="s">
        <v>3609</v>
      </c>
      <c r="C1785" s="8">
        <f>QS.CONTEXT.CREATE("market.1783",A1785,"USD","SOFR")</f>
        <v/>
      </c>
      <c r="D1785" s="8">
        <f>QS.CONTEXT.ADD.CURVE(C1785,"SOFR",$K$2:$K$7,$L$2:$L$7,,,"Actual360","LogLinear",TRUE)</f>
        <v/>
      </c>
      <c r="E1785" s="8">
        <f>QS.INSTRUMENT.SWAP("swap.1783",C1785,H1785,B1785,"USD","SOFR",I1785,J1785,0,"Actual360","Simple","Annual","Annual","Annual")</f>
        <v/>
      </c>
      <c r="F1785" s="8">
        <f>QS.TRADE.CREATE("trade.1783",C1785,E1785,A1785,"Receive")</f>
        <v/>
      </c>
      <c r="G1785" s="5"/>
      <c r="H1785" s="7" t="s">
        <v>3610</v>
      </c>
      <c r="I1785" s="9">
        <v>1178300</v>
      </c>
      <c r="J1785" s="10">
        <v>0.0383</v>
      </c>
    </row>
    <row r="1786" spans="1:10">
      <c r="A1786" s="7" t="s">
        <v>3598</v>
      </c>
      <c r="B1786" s="7" t="s">
        <v>3611</v>
      </c>
      <c r="C1786" s="8">
        <f>QS.CONTEXT.CREATE("market.1784",A1786,"USD","SOFR")</f>
        <v/>
      </c>
      <c r="D1786" s="8">
        <f>QS.CONTEXT.ADD.CURVE(C1786,"SOFR",$K$2:$K$7,$L$2:$L$7,,,"Actual360","LogLinear",TRUE)</f>
        <v/>
      </c>
      <c r="E1786" s="8">
        <f>QS.INSTRUMENT.SWAP("swap.1784",C1786,H1786,B1786,"USD","SOFR",I1786,J1786,0,"Actual360","Simple","Annual","Annual","Annual")</f>
        <v/>
      </c>
      <c r="F1786" s="8">
        <f>QS.TRADE.CREATE("trade.1784",C1786,E1786,A1786,"Receive")</f>
        <v/>
      </c>
      <c r="G1786" s="5"/>
      <c r="H1786" s="7" t="s">
        <v>3612</v>
      </c>
      <c r="I1786" s="9">
        <v>1178400</v>
      </c>
      <c r="J1786" s="10">
        <v>0.0384</v>
      </c>
    </row>
    <row r="1787" spans="1:10">
      <c r="A1787" s="7" t="s">
        <v>3600</v>
      </c>
      <c r="B1787" s="7" t="s">
        <v>3613</v>
      </c>
      <c r="C1787" s="8">
        <f>QS.CONTEXT.CREATE("market.1785",A1787,"USD","SOFR")</f>
        <v/>
      </c>
      <c r="D1787" s="8">
        <f>QS.CONTEXT.ADD.CURVE(C1787,"SOFR",$K$2:$K$7,$L$2:$L$7,,,"Actual360","LogLinear",TRUE)</f>
        <v/>
      </c>
      <c r="E1787" s="8">
        <f>QS.INSTRUMENT.SWAP("swap.1785",C1787,H1787,B1787,"USD","SOFR",I1787,J1787,0,"Actual360","Simple","Annual","Annual","Annual")</f>
        <v/>
      </c>
      <c r="F1787" s="8">
        <f>QS.TRADE.CREATE("trade.1785",C1787,E1787,A1787,"Receive")</f>
        <v/>
      </c>
      <c r="G1787" s="5"/>
      <c r="H1787" s="7" t="s">
        <v>3614</v>
      </c>
      <c r="I1787" s="9">
        <v>1178500</v>
      </c>
      <c r="J1787" s="10">
        <v>0.03850000000000001</v>
      </c>
    </row>
    <row r="1788" spans="1:10">
      <c r="A1788" s="7" t="s">
        <v>3602</v>
      </c>
      <c r="B1788" s="7" t="s">
        <v>3615</v>
      </c>
      <c r="C1788" s="8">
        <f>QS.CONTEXT.CREATE("market.1786",A1788,"USD","SOFR")</f>
        <v/>
      </c>
      <c r="D1788" s="8">
        <f>QS.CONTEXT.ADD.CURVE(C1788,"SOFR",$K$2:$K$7,$L$2:$L$7,,,"Actual360","LogLinear",TRUE)</f>
        <v/>
      </c>
      <c r="E1788" s="8">
        <f>QS.INSTRUMENT.SWAP("swap.1786",C1788,H1788,B1788,"USD","SOFR",I1788,J1788,0,"Actual360","Simple","Annual","Annual","Annual")</f>
        <v/>
      </c>
      <c r="F1788" s="8">
        <f>QS.TRADE.CREATE("trade.1786",C1788,E1788,A1788,"Receive")</f>
        <v/>
      </c>
      <c r="G1788" s="5"/>
      <c r="H1788" s="7" t="s">
        <v>3616</v>
      </c>
      <c r="I1788" s="9">
        <v>1178600</v>
      </c>
      <c r="J1788" s="10">
        <v>0.0386</v>
      </c>
    </row>
    <row r="1789" spans="1:10">
      <c r="A1789" s="7" t="s">
        <v>3604</v>
      </c>
      <c r="B1789" s="7" t="s">
        <v>3617</v>
      </c>
      <c r="C1789" s="8">
        <f>QS.CONTEXT.CREATE("market.1787",A1789,"USD","SOFR")</f>
        <v/>
      </c>
      <c r="D1789" s="8">
        <f>QS.CONTEXT.ADD.CURVE(C1789,"SOFR",$K$2:$K$7,$L$2:$L$7,,,"Actual360","LogLinear",TRUE)</f>
        <v/>
      </c>
      <c r="E1789" s="8">
        <f>QS.INSTRUMENT.SWAP("swap.1787",C1789,H1789,B1789,"USD","SOFR",I1789,J1789,0,"Actual360","Simple","Annual","Annual","Annual")</f>
        <v/>
      </c>
      <c r="F1789" s="8">
        <f>QS.TRADE.CREATE("trade.1787",C1789,E1789,A1789,"Receive")</f>
        <v/>
      </c>
      <c r="G1789" s="5"/>
      <c r="H1789" s="7" t="s">
        <v>3618</v>
      </c>
      <c r="I1789" s="9">
        <v>1178700</v>
      </c>
      <c r="J1789" s="10">
        <v>0.03870000000000001</v>
      </c>
    </row>
    <row r="1790" spans="1:10">
      <c r="A1790" s="7" t="s">
        <v>3606</v>
      </c>
      <c r="B1790" s="7" t="s">
        <v>3619</v>
      </c>
      <c r="C1790" s="8">
        <f>QS.CONTEXT.CREATE("market.1788",A1790,"USD","SOFR")</f>
        <v/>
      </c>
      <c r="D1790" s="8">
        <f>QS.CONTEXT.ADD.CURVE(C1790,"SOFR",$K$2:$K$7,$L$2:$L$7,,,"Actual360","LogLinear",TRUE)</f>
        <v/>
      </c>
      <c r="E1790" s="8">
        <f>QS.INSTRUMENT.SWAP("swap.1788",C1790,H1790,B1790,"USD","SOFR",I1790,J1790,0,"Actual360","Simple","Annual","Annual","Annual")</f>
        <v/>
      </c>
      <c r="F1790" s="8">
        <f>QS.TRADE.CREATE("trade.1788",C1790,E1790,A1790,"Receive")</f>
        <v/>
      </c>
      <c r="G1790" s="5"/>
      <c r="H1790" s="7" t="s">
        <v>3620</v>
      </c>
      <c r="I1790" s="9">
        <v>1178800</v>
      </c>
      <c r="J1790" s="10">
        <v>0.0388</v>
      </c>
    </row>
    <row r="1791" spans="1:10">
      <c r="A1791" s="7" t="s">
        <v>3608</v>
      </c>
      <c r="B1791" s="7" t="s">
        <v>3621</v>
      </c>
      <c r="C1791" s="8">
        <f>QS.CONTEXT.CREATE("market.1789",A1791,"USD","SOFR")</f>
        <v/>
      </c>
      <c r="D1791" s="8">
        <f>QS.CONTEXT.ADD.CURVE(C1791,"SOFR",$K$2:$K$7,$L$2:$L$7,,,"Actual360","LogLinear",TRUE)</f>
        <v/>
      </c>
      <c r="E1791" s="8">
        <f>QS.INSTRUMENT.SWAP("swap.1789",C1791,H1791,B1791,"USD","SOFR",I1791,J1791,0,"Actual360","Simple","Annual","Annual","Annual")</f>
        <v/>
      </c>
      <c r="F1791" s="8">
        <f>QS.TRADE.CREATE("trade.1789",C1791,E1791,A1791,"Receive")</f>
        <v/>
      </c>
      <c r="G1791" s="5"/>
      <c r="H1791" s="7" t="s">
        <v>3622</v>
      </c>
      <c r="I1791" s="9">
        <v>1178900</v>
      </c>
      <c r="J1791" s="10">
        <v>0.0389</v>
      </c>
    </row>
    <row r="1792" spans="1:10">
      <c r="A1792" s="7" t="s">
        <v>3610</v>
      </c>
      <c r="B1792" s="7" t="s">
        <v>3623</v>
      </c>
      <c r="C1792" s="8">
        <f>QS.CONTEXT.CREATE("market.1790",A1792,"USD","SOFR")</f>
        <v/>
      </c>
      <c r="D1792" s="8">
        <f>QS.CONTEXT.ADD.CURVE(C1792,"SOFR",$K$2:$K$7,$L$2:$L$7,,,"Actual360","LogLinear",TRUE)</f>
        <v/>
      </c>
      <c r="E1792" s="8">
        <f>QS.INSTRUMENT.SWAP("swap.1790",C1792,H1792,B1792,"USD","SOFR",I1792,J1792,0,"Actual360","Simple","Annual","Annual","Annual")</f>
        <v/>
      </c>
      <c r="F1792" s="8">
        <f>QS.TRADE.CREATE("trade.1790",C1792,E1792,A1792,"Receive")</f>
        <v/>
      </c>
      <c r="G1792" s="5"/>
      <c r="H1792" s="7" t="s">
        <v>3624</v>
      </c>
      <c r="I1792" s="9">
        <v>1179000</v>
      </c>
      <c r="J1792" s="10">
        <v>0.03900000000000001</v>
      </c>
    </row>
    <row r="1793" spans="1:10">
      <c r="A1793" s="7" t="s">
        <v>3612</v>
      </c>
      <c r="B1793" s="7" t="s">
        <v>3625</v>
      </c>
      <c r="C1793" s="8">
        <f>QS.CONTEXT.CREATE("market.1791",A1793,"USD","SOFR")</f>
        <v/>
      </c>
      <c r="D1793" s="8">
        <f>QS.CONTEXT.ADD.CURVE(C1793,"SOFR",$K$2:$K$7,$L$2:$L$7,,,"Actual360","LogLinear",TRUE)</f>
        <v/>
      </c>
      <c r="E1793" s="8">
        <f>QS.INSTRUMENT.SWAP("swap.1791",C1793,H1793,B1793,"USD","SOFR",I1793,J1793,0,"Actual360","Simple","Annual","Annual","Annual")</f>
        <v/>
      </c>
      <c r="F1793" s="8">
        <f>QS.TRADE.CREATE("trade.1791",C1793,E1793,A1793,"Receive")</f>
        <v/>
      </c>
      <c r="G1793" s="5"/>
      <c r="H1793" s="7" t="s">
        <v>3626</v>
      </c>
      <c r="I1793" s="9">
        <v>1179100</v>
      </c>
      <c r="J1793" s="10">
        <v>0.0391</v>
      </c>
    </row>
    <row r="1794" spans="1:10">
      <c r="A1794" s="7" t="s">
        <v>3614</v>
      </c>
      <c r="B1794" s="7" t="s">
        <v>3627</v>
      </c>
      <c r="C1794" s="8">
        <f>QS.CONTEXT.CREATE("market.1792",A1794,"USD","SOFR")</f>
        <v/>
      </c>
      <c r="D1794" s="8">
        <f>QS.CONTEXT.ADD.CURVE(C1794,"SOFR",$K$2:$K$7,$L$2:$L$7,,,"Actual360","LogLinear",TRUE)</f>
        <v/>
      </c>
      <c r="E1794" s="8">
        <f>QS.INSTRUMENT.SWAP("swap.1792",C1794,H1794,B1794,"USD","SOFR",I1794,J1794,0,"Actual360","Simple","Annual","Annual","Annual")</f>
        <v/>
      </c>
      <c r="F1794" s="8">
        <f>QS.TRADE.CREATE("trade.1792",C1794,E1794,A1794,"Receive")</f>
        <v/>
      </c>
      <c r="G1794" s="5"/>
      <c r="H1794" s="7" t="s">
        <v>3628</v>
      </c>
      <c r="I1794" s="9">
        <v>1179200</v>
      </c>
      <c r="J1794" s="10">
        <v>0.03920000000000001</v>
      </c>
    </row>
    <row r="1795" spans="1:10">
      <c r="A1795" s="7" t="s">
        <v>3616</v>
      </c>
      <c r="B1795" s="7" t="s">
        <v>3629</v>
      </c>
      <c r="C1795" s="8">
        <f>QS.CONTEXT.CREATE("market.1793",A1795,"USD","SOFR")</f>
        <v/>
      </c>
      <c r="D1795" s="8">
        <f>QS.CONTEXT.ADD.CURVE(C1795,"SOFR",$K$2:$K$7,$L$2:$L$7,,,"Actual360","LogLinear",TRUE)</f>
        <v/>
      </c>
      <c r="E1795" s="8">
        <f>QS.INSTRUMENT.SWAP("swap.1793",C1795,H1795,B1795,"USD","SOFR",I1795,J1795,0,"Actual360","Simple","Annual","Annual","Annual")</f>
        <v/>
      </c>
      <c r="F1795" s="8">
        <f>QS.TRADE.CREATE("trade.1793",C1795,E1795,A1795,"Receive")</f>
        <v/>
      </c>
      <c r="G1795" s="5"/>
      <c r="H1795" s="7" t="s">
        <v>3630</v>
      </c>
      <c r="I1795" s="9">
        <v>1179300</v>
      </c>
      <c r="J1795" s="10">
        <v>0.0393</v>
      </c>
    </row>
    <row r="1796" spans="1:10">
      <c r="A1796" s="7" t="s">
        <v>3618</v>
      </c>
      <c r="B1796" s="7" t="s">
        <v>3631</v>
      </c>
      <c r="C1796" s="8">
        <f>QS.CONTEXT.CREATE("market.1794",A1796,"USD","SOFR")</f>
        <v/>
      </c>
      <c r="D1796" s="8">
        <f>QS.CONTEXT.ADD.CURVE(C1796,"SOFR",$K$2:$K$7,$L$2:$L$7,,,"Actual360","LogLinear",TRUE)</f>
        <v/>
      </c>
      <c r="E1796" s="8">
        <f>QS.INSTRUMENT.SWAP("swap.1794",C1796,H1796,B1796,"USD","SOFR",I1796,J1796,0,"Actual360","Simple","Annual","Annual","Annual")</f>
        <v/>
      </c>
      <c r="F1796" s="8">
        <f>QS.TRADE.CREATE("trade.1794",C1796,E1796,A1796,"Receive")</f>
        <v/>
      </c>
      <c r="G1796" s="5"/>
      <c r="H1796" s="7" t="s">
        <v>3632</v>
      </c>
      <c r="I1796" s="9">
        <v>1179400</v>
      </c>
      <c r="J1796" s="10">
        <v>0.0394</v>
      </c>
    </row>
    <row r="1797" spans="1:10">
      <c r="A1797" s="7" t="s">
        <v>3620</v>
      </c>
      <c r="B1797" s="7" t="s">
        <v>3633</v>
      </c>
      <c r="C1797" s="8">
        <f>QS.CONTEXT.CREATE("market.1795",A1797,"USD","SOFR")</f>
        <v/>
      </c>
      <c r="D1797" s="8">
        <f>QS.CONTEXT.ADD.CURVE(C1797,"SOFR",$K$2:$K$7,$L$2:$L$7,,,"Actual360","LogLinear",TRUE)</f>
        <v/>
      </c>
      <c r="E1797" s="8">
        <f>QS.INSTRUMENT.SWAP("swap.1795",C1797,H1797,B1797,"USD","SOFR",I1797,J1797,0,"Actual360","Simple","Annual","Annual","Annual")</f>
        <v/>
      </c>
      <c r="F1797" s="8">
        <f>QS.TRADE.CREATE("trade.1795",C1797,E1797,A1797,"Receive")</f>
        <v/>
      </c>
      <c r="G1797" s="5"/>
      <c r="H1797" s="7" t="s">
        <v>3634</v>
      </c>
      <c r="I1797" s="9">
        <v>1179500</v>
      </c>
      <c r="J1797" s="10">
        <v>0.03950000000000001</v>
      </c>
    </row>
    <row r="1798" spans="1:10">
      <c r="A1798" s="7" t="s">
        <v>3622</v>
      </c>
      <c r="B1798" s="7" t="s">
        <v>3635</v>
      </c>
      <c r="C1798" s="8">
        <f>QS.CONTEXT.CREATE("market.1796",A1798,"USD","SOFR")</f>
        <v/>
      </c>
      <c r="D1798" s="8">
        <f>QS.CONTEXT.ADD.CURVE(C1798,"SOFR",$K$2:$K$7,$L$2:$L$7,,,"Actual360","LogLinear",TRUE)</f>
        <v/>
      </c>
      <c r="E1798" s="8">
        <f>QS.INSTRUMENT.SWAP("swap.1796",C1798,H1798,B1798,"USD","SOFR",I1798,J1798,0,"Actual360","Simple","Annual","Annual","Annual")</f>
        <v/>
      </c>
      <c r="F1798" s="8">
        <f>QS.TRADE.CREATE("trade.1796",C1798,E1798,A1798,"Receive")</f>
        <v/>
      </c>
      <c r="G1798" s="5"/>
      <c r="H1798" s="7" t="s">
        <v>3636</v>
      </c>
      <c r="I1798" s="9">
        <v>1179600</v>
      </c>
      <c r="J1798" s="10">
        <v>0.0396</v>
      </c>
    </row>
    <row r="1799" spans="1:10">
      <c r="A1799" s="7" t="s">
        <v>3624</v>
      </c>
      <c r="B1799" s="7" t="s">
        <v>3637</v>
      </c>
      <c r="C1799" s="8">
        <f>QS.CONTEXT.CREATE("market.1797",A1799,"USD","SOFR")</f>
        <v/>
      </c>
      <c r="D1799" s="8">
        <f>QS.CONTEXT.ADD.CURVE(C1799,"SOFR",$K$2:$K$7,$L$2:$L$7,,,"Actual360","LogLinear",TRUE)</f>
        <v/>
      </c>
      <c r="E1799" s="8">
        <f>QS.INSTRUMENT.SWAP("swap.1797",C1799,H1799,B1799,"USD","SOFR",I1799,J1799,0,"Actual360","Simple","Annual","Annual","Annual")</f>
        <v/>
      </c>
      <c r="F1799" s="8">
        <f>QS.TRADE.CREATE("trade.1797",C1799,E1799,A1799,"Receive")</f>
        <v/>
      </c>
      <c r="G1799" s="5"/>
      <c r="H1799" s="7" t="s">
        <v>3638</v>
      </c>
      <c r="I1799" s="9">
        <v>1179700</v>
      </c>
      <c r="J1799" s="10">
        <v>0.03970000000000001</v>
      </c>
    </row>
    <row r="1800" spans="1:10">
      <c r="A1800" s="7" t="s">
        <v>3626</v>
      </c>
      <c r="B1800" s="7" t="s">
        <v>3639</v>
      </c>
      <c r="C1800" s="8">
        <f>QS.CONTEXT.CREATE("market.1798",A1800,"USD","SOFR")</f>
        <v/>
      </c>
      <c r="D1800" s="8">
        <f>QS.CONTEXT.ADD.CURVE(C1800,"SOFR",$K$2:$K$7,$L$2:$L$7,,,"Actual360","LogLinear",TRUE)</f>
        <v/>
      </c>
      <c r="E1800" s="8">
        <f>QS.INSTRUMENT.SWAP("swap.1798",C1800,H1800,B1800,"USD","SOFR",I1800,J1800,0,"Actual360","Simple","Annual","Annual","Annual")</f>
        <v/>
      </c>
      <c r="F1800" s="8">
        <f>QS.TRADE.CREATE("trade.1798",C1800,E1800,A1800,"Receive")</f>
        <v/>
      </c>
      <c r="G1800" s="5"/>
      <c r="H1800" s="7" t="s">
        <v>3640</v>
      </c>
      <c r="I1800" s="9">
        <v>1179800</v>
      </c>
      <c r="J1800" s="10">
        <v>0.0398</v>
      </c>
    </row>
    <row r="1801" spans="1:10">
      <c r="A1801" s="7" t="s">
        <v>3628</v>
      </c>
      <c r="B1801" s="7" t="s">
        <v>3641</v>
      </c>
      <c r="C1801" s="8">
        <f>QS.CONTEXT.CREATE("market.1799",A1801,"USD","SOFR")</f>
        <v/>
      </c>
      <c r="D1801" s="8">
        <f>QS.CONTEXT.ADD.CURVE(C1801,"SOFR",$K$2:$K$7,$L$2:$L$7,,,"Actual360","LogLinear",TRUE)</f>
        <v/>
      </c>
      <c r="E1801" s="8">
        <f>QS.INSTRUMENT.SWAP("swap.1799",C1801,H1801,B1801,"USD","SOFR",I1801,J1801,0,"Actual360","Simple","Annual","Annual","Annual")</f>
        <v/>
      </c>
      <c r="F1801" s="8">
        <f>QS.TRADE.CREATE("trade.1799",C1801,E1801,A1801,"Receive")</f>
        <v/>
      </c>
      <c r="G1801" s="5"/>
      <c r="H1801" s="7" t="s">
        <v>3642</v>
      </c>
      <c r="I1801" s="9">
        <v>1179900</v>
      </c>
      <c r="J1801" s="10">
        <v>0.0399</v>
      </c>
    </row>
    <row r="1802" spans="1:10">
      <c r="A1802" s="7" t="s">
        <v>3630</v>
      </c>
      <c r="B1802" s="7" t="s">
        <v>3643</v>
      </c>
      <c r="C1802" s="8">
        <f>QS.CONTEXT.CREATE("market.1800",A1802,"USD","SOFR")</f>
        <v/>
      </c>
      <c r="D1802" s="8">
        <f>QS.CONTEXT.ADD.CURVE(C1802,"SOFR",$K$2:$K$7,$L$2:$L$7,,,"Actual360","LogLinear",TRUE)</f>
        <v/>
      </c>
      <c r="E1802" s="8">
        <f>QS.INSTRUMENT.SWAP("swap.1800",C1802,H1802,B1802,"USD","SOFR",I1802,J1802,0,"Actual360","Simple","Annual","Annual","Annual")</f>
        <v/>
      </c>
      <c r="F1802" s="8">
        <f>QS.TRADE.CREATE("trade.1800",C1802,E1802,A1802,"Receive")</f>
        <v/>
      </c>
      <c r="G1802" s="5"/>
      <c r="H1802" s="7" t="s">
        <v>3644</v>
      </c>
      <c r="I1802" s="9">
        <v>1180000</v>
      </c>
      <c r="J1802" s="10">
        <v>0.035</v>
      </c>
    </row>
    <row r="1803" spans="1:10">
      <c r="A1803" s="7" t="s">
        <v>3632</v>
      </c>
      <c r="B1803" s="7" t="s">
        <v>3645</v>
      </c>
      <c r="C1803" s="8">
        <f>QS.CONTEXT.CREATE("market.1801",A1803,"USD","SOFR")</f>
        <v/>
      </c>
      <c r="D1803" s="8">
        <f>QS.CONTEXT.ADD.CURVE(C1803,"SOFR",$K$2:$K$7,$L$2:$L$7,,,"Actual360","LogLinear",TRUE)</f>
        <v/>
      </c>
      <c r="E1803" s="8">
        <f>QS.INSTRUMENT.SWAP("swap.1801",C1803,H1803,B1803,"USD","SOFR",I1803,J1803,0,"Actual360","Simple","Annual","Annual","Annual")</f>
        <v/>
      </c>
      <c r="F1803" s="8">
        <f>QS.TRADE.CREATE("trade.1801",C1803,E1803,A1803,"Receive")</f>
        <v/>
      </c>
      <c r="G1803" s="5"/>
      <c r="H1803" s="7" t="s">
        <v>3646</v>
      </c>
      <c r="I1803" s="9">
        <v>1180100</v>
      </c>
      <c r="J1803" s="10">
        <v>0.03510000000000001</v>
      </c>
    </row>
    <row r="1804" spans="1:10">
      <c r="A1804" s="7" t="s">
        <v>3634</v>
      </c>
      <c r="B1804" s="7" t="s">
        <v>3647</v>
      </c>
      <c r="C1804" s="8">
        <f>QS.CONTEXT.CREATE("market.1802",A1804,"USD","SOFR")</f>
        <v/>
      </c>
      <c r="D1804" s="8">
        <f>QS.CONTEXT.ADD.CURVE(C1804,"SOFR",$K$2:$K$7,$L$2:$L$7,,,"Actual360","LogLinear",TRUE)</f>
        <v/>
      </c>
      <c r="E1804" s="8">
        <f>QS.INSTRUMENT.SWAP("swap.1802",C1804,H1804,B1804,"USD","SOFR",I1804,J1804,0,"Actual360","Simple","Annual","Annual","Annual")</f>
        <v/>
      </c>
      <c r="F1804" s="8">
        <f>QS.TRADE.CREATE("trade.1802",C1804,E1804,A1804,"Receive")</f>
        <v/>
      </c>
      <c r="G1804" s="5"/>
      <c r="H1804" s="7" t="s">
        <v>3648</v>
      </c>
      <c r="I1804" s="9">
        <v>1180200</v>
      </c>
      <c r="J1804" s="10">
        <v>0.0352</v>
      </c>
    </row>
    <row r="1805" spans="1:10">
      <c r="A1805" s="7" t="s">
        <v>3636</v>
      </c>
      <c r="B1805" s="7" t="s">
        <v>3649</v>
      </c>
      <c r="C1805" s="8">
        <f>QS.CONTEXT.CREATE("market.1803",A1805,"USD","SOFR")</f>
        <v/>
      </c>
      <c r="D1805" s="8">
        <f>QS.CONTEXT.ADD.CURVE(C1805,"SOFR",$K$2:$K$7,$L$2:$L$7,,,"Actual360","LogLinear",TRUE)</f>
        <v/>
      </c>
      <c r="E1805" s="8">
        <f>QS.INSTRUMENT.SWAP("swap.1803",C1805,H1805,B1805,"USD","SOFR",I1805,J1805,0,"Actual360","Simple","Annual","Annual","Annual")</f>
        <v/>
      </c>
      <c r="F1805" s="8">
        <f>QS.TRADE.CREATE("trade.1803",C1805,E1805,A1805,"Receive")</f>
        <v/>
      </c>
      <c r="G1805" s="5"/>
      <c r="H1805" s="7" t="s">
        <v>3650</v>
      </c>
      <c r="I1805" s="9">
        <v>1180300</v>
      </c>
      <c r="J1805" s="10">
        <v>0.0353</v>
      </c>
    </row>
    <row r="1806" spans="1:10">
      <c r="A1806" s="7" t="s">
        <v>3638</v>
      </c>
      <c r="B1806" s="7" t="s">
        <v>3651</v>
      </c>
      <c r="C1806" s="8">
        <f>QS.CONTEXT.CREATE("market.1804",A1806,"USD","SOFR")</f>
        <v/>
      </c>
      <c r="D1806" s="8">
        <f>QS.CONTEXT.ADD.CURVE(C1806,"SOFR",$K$2:$K$7,$L$2:$L$7,,,"Actual360","LogLinear",TRUE)</f>
        <v/>
      </c>
      <c r="E1806" s="8">
        <f>QS.INSTRUMENT.SWAP("swap.1804",C1806,H1806,B1806,"USD","SOFR",I1806,J1806,0,"Actual360","Simple","Annual","Annual","Annual")</f>
        <v/>
      </c>
      <c r="F1806" s="8">
        <f>QS.TRADE.CREATE("trade.1804",C1806,E1806,A1806,"Receive")</f>
        <v/>
      </c>
      <c r="G1806" s="5"/>
      <c r="H1806" s="7" t="s">
        <v>3652</v>
      </c>
      <c r="I1806" s="9">
        <v>1180400</v>
      </c>
      <c r="J1806" s="10">
        <v>0.0354</v>
      </c>
    </row>
    <row r="1807" spans="1:10">
      <c r="A1807" s="7" t="s">
        <v>3640</v>
      </c>
      <c r="B1807" s="7" t="s">
        <v>3653</v>
      </c>
      <c r="C1807" s="8">
        <f>QS.CONTEXT.CREATE("market.1805",A1807,"USD","SOFR")</f>
        <v/>
      </c>
      <c r="D1807" s="8">
        <f>QS.CONTEXT.ADD.CURVE(C1807,"SOFR",$K$2:$K$7,$L$2:$L$7,,,"Actual360","LogLinear",TRUE)</f>
        <v/>
      </c>
      <c r="E1807" s="8">
        <f>QS.INSTRUMENT.SWAP("swap.1805",C1807,H1807,B1807,"USD","SOFR",I1807,J1807,0,"Actual360","Simple","Annual","Annual","Annual")</f>
        <v/>
      </c>
      <c r="F1807" s="8">
        <f>QS.TRADE.CREATE("trade.1805",C1807,E1807,A1807,"Receive")</f>
        <v/>
      </c>
      <c r="G1807" s="5"/>
      <c r="H1807" s="7" t="s">
        <v>3654</v>
      </c>
      <c r="I1807" s="9">
        <v>1180500</v>
      </c>
      <c r="J1807" s="10">
        <v>0.0355</v>
      </c>
    </row>
    <row r="1808" spans="1:10">
      <c r="A1808" s="7" t="s">
        <v>3642</v>
      </c>
      <c r="B1808" s="7" t="s">
        <v>3655</v>
      </c>
      <c r="C1808" s="8">
        <f>QS.CONTEXT.CREATE("market.1806",A1808,"USD","SOFR")</f>
        <v/>
      </c>
      <c r="D1808" s="8">
        <f>QS.CONTEXT.ADD.CURVE(C1808,"SOFR",$K$2:$K$7,$L$2:$L$7,,,"Actual360","LogLinear",TRUE)</f>
        <v/>
      </c>
      <c r="E1808" s="8">
        <f>QS.INSTRUMENT.SWAP("swap.1806",C1808,H1808,B1808,"USD","SOFR",I1808,J1808,0,"Actual360","Simple","Annual","Annual","Annual")</f>
        <v/>
      </c>
      <c r="F1808" s="8">
        <f>QS.TRADE.CREATE("trade.1806",C1808,E1808,A1808,"Receive")</f>
        <v/>
      </c>
      <c r="G1808" s="5"/>
      <c r="H1808" s="7" t="s">
        <v>3656</v>
      </c>
      <c r="I1808" s="9">
        <v>1180600</v>
      </c>
      <c r="J1808" s="10">
        <v>0.03560000000000001</v>
      </c>
    </row>
    <row r="1809" spans="1:10">
      <c r="A1809" s="7" t="s">
        <v>3644</v>
      </c>
      <c r="B1809" s="7" t="s">
        <v>3657</v>
      </c>
      <c r="C1809" s="8">
        <f>QS.CONTEXT.CREATE("market.1807",A1809,"USD","SOFR")</f>
        <v/>
      </c>
      <c r="D1809" s="8">
        <f>QS.CONTEXT.ADD.CURVE(C1809,"SOFR",$K$2:$K$7,$L$2:$L$7,,,"Actual360","LogLinear",TRUE)</f>
        <v/>
      </c>
      <c r="E1809" s="8">
        <f>QS.INSTRUMENT.SWAP("swap.1807",C1809,H1809,B1809,"USD","SOFR",I1809,J1809,0,"Actual360","Simple","Annual","Annual","Annual")</f>
        <v/>
      </c>
      <c r="F1809" s="8">
        <f>QS.TRADE.CREATE("trade.1807",C1809,E1809,A1809,"Receive")</f>
        <v/>
      </c>
      <c r="G1809" s="5"/>
      <c r="H1809" s="7" t="s">
        <v>3658</v>
      </c>
      <c r="I1809" s="9">
        <v>1180700</v>
      </c>
      <c r="J1809" s="10">
        <v>0.0357</v>
      </c>
    </row>
    <row r="1810" spans="1:10">
      <c r="A1810" s="7" t="s">
        <v>3646</v>
      </c>
      <c r="B1810" s="7" t="s">
        <v>3659</v>
      </c>
      <c r="C1810" s="8">
        <f>QS.CONTEXT.CREATE("market.1808",A1810,"USD","SOFR")</f>
        <v/>
      </c>
      <c r="D1810" s="8">
        <f>QS.CONTEXT.ADD.CURVE(C1810,"SOFR",$K$2:$K$7,$L$2:$L$7,,,"Actual360","LogLinear",TRUE)</f>
        <v/>
      </c>
      <c r="E1810" s="8">
        <f>QS.INSTRUMENT.SWAP("swap.1808",C1810,H1810,B1810,"USD","SOFR",I1810,J1810,0,"Actual360","Simple","Annual","Annual","Annual")</f>
        <v/>
      </c>
      <c r="F1810" s="8">
        <f>QS.TRADE.CREATE("trade.1808",C1810,E1810,A1810,"Receive")</f>
        <v/>
      </c>
      <c r="G1810" s="5"/>
      <c r="H1810" s="7" t="s">
        <v>3660</v>
      </c>
      <c r="I1810" s="9">
        <v>1180800</v>
      </c>
      <c r="J1810" s="10">
        <v>0.03580000000000001</v>
      </c>
    </row>
    <row r="1811" spans="1:10">
      <c r="A1811" s="7" t="s">
        <v>3648</v>
      </c>
      <c r="B1811" s="7" t="s">
        <v>3661</v>
      </c>
      <c r="C1811" s="8">
        <f>QS.CONTEXT.CREATE("market.1809",A1811,"USD","SOFR")</f>
        <v/>
      </c>
      <c r="D1811" s="8">
        <f>QS.CONTEXT.ADD.CURVE(C1811,"SOFR",$K$2:$K$7,$L$2:$L$7,,,"Actual360","LogLinear",TRUE)</f>
        <v/>
      </c>
      <c r="E1811" s="8">
        <f>QS.INSTRUMENT.SWAP("swap.1809",C1811,H1811,B1811,"USD","SOFR",I1811,J1811,0,"Actual360","Simple","Annual","Annual","Annual")</f>
        <v/>
      </c>
      <c r="F1811" s="8">
        <f>QS.TRADE.CREATE("trade.1809",C1811,E1811,A1811,"Receive")</f>
        <v/>
      </c>
      <c r="G1811" s="5"/>
      <c r="H1811" s="7" t="s">
        <v>3662</v>
      </c>
      <c r="I1811" s="9">
        <v>1180900</v>
      </c>
      <c r="J1811" s="10">
        <v>0.0359</v>
      </c>
    </row>
    <row r="1812" spans="1:10">
      <c r="A1812" s="7" t="s">
        <v>3650</v>
      </c>
      <c r="B1812" s="7" t="s">
        <v>3663</v>
      </c>
      <c r="C1812" s="8">
        <f>QS.CONTEXT.CREATE("market.1810",A1812,"USD","SOFR")</f>
        <v/>
      </c>
      <c r="D1812" s="8">
        <f>QS.CONTEXT.ADD.CURVE(C1812,"SOFR",$K$2:$K$7,$L$2:$L$7,,,"Actual360","LogLinear",TRUE)</f>
        <v/>
      </c>
      <c r="E1812" s="8">
        <f>QS.INSTRUMENT.SWAP("swap.1810",C1812,H1812,B1812,"USD","SOFR",I1812,J1812,0,"Actual360","Simple","Annual","Annual","Annual")</f>
        <v/>
      </c>
      <c r="F1812" s="8">
        <f>QS.TRADE.CREATE("trade.1810",C1812,E1812,A1812,"Receive")</f>
        <v/>
      </c>
      <c r="G1812" s="5"/>
      <c r="H1812" s="7" t="s">
        <v>3664</v>
      </c>
      <c r="I1812" s="9">
        <v>1181000</v>
      </c>
      <c r="J1812" s="10">
        <v>0.036</v>
      </c>
    </row>
    <row r="1813" spans="1:10">
      <c r="A1813" s="7" t="s">
        <v>3652</v>
      </c>
      <c r="B1813" s="7" t="s">
        <v>3665</v>
      </c>
      <c r="C1813" s="8">
        <f>QS.CONTEXT.CREATE("market.1811",A1813,"USD","SOFR")</f>
        <v/>
      </c>
      <c r="D1813" s="8">
        <f>QS.CONTEXT.ADD.CURVE(C1813,"SOFR",$K$2:$K$7,$L$2:$L$7,,,"Actual360","LogLinear",TRUE)</f>
        <v/>
      </c>
      <c r="E1813" s="8">
        <f>QS.INSTRUMENT.SWAP("swap.1811",C1813,H1813,B1813,"USD","SOFR",I1813,J1813,0,"Actual360","Simple","Annual","Annual","Annual")</f>
        <v/>
      </c>
      <c r="F1813" s="8">
        <f>QS.TRADE.CREATE("trade.1811",C1813,E1813,A1813,"Receive")</f>
        <v/>
      </c>
      <c r="G1813" s="5"/>
      <c r="H1813" s="7" t="s">
        <v>3666</v>
      </c>
      <c r="I1813" s="9">
        <v>1181100</v>
      </c>
      <c r="J1813" s="10">
        <v>0.0361</v>
      </c>
    </row>
    <row r="1814" spans="1:10">
      <c r="A1814" s="7" t="s">
        <v>3654</v>
      </c>
      <c r="B1814" s="7" t="s">
        <v>3667</v>
      </c>
      <c r="C1814" s="8">
        <f>QS.CONTEXT.CREATE("market.1812",A1814,"USD","SOFR")</f>
        <v/>
      </c>
      <c r="D1814" s="8">
        <f>QS.CONTEXT.ADD.CURVE(C1814,"SOFR",$K$2:$K$7,$L$2:$L$7,,,"Actual360","LogLinear",TRUE)</f>
        <v/>
      </c>
      <c r="E1814" s="8">
        <f>QS.INSTRUMENT.SWAP("swap.1812",C1814,H1814,B1814,"USD","SOFR",I1814,J1814,0,"Actual360","Simple","Annual","Annual","Annual")</f>
        <v/>
      </c>
      <c r="F1814" s="8">
        <f>QS.TRADE.CREATE("trade.1812",C1814,E1814,A1814,"Receive")</f>
        <v/>
      </c>
      <c r="G1814" s="5"/>
      <c r="H1814" s="7" t="s">
        <v>3668</v>
      </c>
      <c r="I1814" s="9">
        <v>1181200</v>
      </c>
      <c r="J1814" s="10">
        <v>0.0362</v>
      </c>
    </row>
    <row r="1815" spans="1:10">
      <c r="A1815" s="7" t="s">
        <v>3656</v>
      </c>
      <c r="B1815" s="7" t="s">
        <v>3669</v>
      </c>
      <c r="C1815" s="8">
        <f>QS.CONTEXT.CREATE("market.1813",A1815,"USD","SOFR")</f>
        <v/>
      </c>
      <c r="D1815" s="8">
        <f>QS.CONTEXT.ADD.CURVE(C1815,"SOFR",$K$2:$K$7,$L$2:$L$7,,,"Actual360","LogLinear",TRUE)</f>
        <v/>
      </c>
      <c r="E1815" s="8">
        <f>QS.INSTRUMENT.SWAP("swap.1813",C1815,H1815,B1815,"USD","SOFR",I1815,J1815,0,"Actual360","Simple","Annual","Annual","Annual")</f>
        <v/>
      </c>
      <c r="F1815" s="8">
        <f>QS.TRADE.CREATE("trade.1813",C1815,E1815,A1815,"Receive")</f>
        <v/>
      </c>
      <c r="G1815" s="5"/>
      <c r="H1815" s="7" t="s">
        <v>3670</v>
      </c>
      <c r="I1815" s="9">
        <v>1181300</v>
      </c>
      <c r="J1815" s="10">
        <v>0.03630000000000001</v>
      </c>
    </row>
    <row r="1816" spans="1:10">
      <c r="A1816" s="7" t="s">
        <v>3658</v>
      </c>
      <c r="B1816" s="7" t="s">
        <v>3671</v>
      </c>
      <c r="C1816" s="8">
        <f>QS.CONTEXT.CREATE("market.1814",A1816,"USD","SOFR")</f>
        <v/>
      </c>
      <c r="D1816" s="8">
        <f>QS.CONTEXT.ADD.CURVE(C1816,"SOFR",$K$2:$K$7,$L$2:$L$7,,,"Actual360","LogLinear",TRUE)</f>
        <v/>
      </c>
      <c r="E1816" s="8">
        <f>QS.INSTRUMENT.SWAP("swap.1814",C1816,H1816,B1816,"USD","SOFR",I1816,J1816,0,"Actual360","Simple","Annual","Annual","Annual")</f>
        <v/>
      </c>
      <c r="F1816" s="8">
        <f>QS.TRADE.CREATE("trade.1814",C1816,E1816,A1816,"Receive")</f>
        <v/>
      </c>
      <c r="G1816" s="5"/>
      <c r="H1816" s="7" t="s">
        <v>3672</v>
      </c>
      <c r="I1816" s="9">
        <v>1181400</v>
      </c>
      <c r="J1816" s="10">
        <v>0.0364</v>
      </c>
    </row>
    <row r="1817" spans="1:10">
      <c r="A1817" s="7" t="s">
        <v>3660</v>
      </c>
      <c r="B1817" s="7" t="s">
        <v>3673</v>
      </c>
      <c r="C1817" s="8">
        <f>QS.CONTEXT.CREATE("market.1815",A1817,"USD","SOFR")</f>
        <v/>
      </c>
      <c r="D1817" s="8">
        <f>QS.CONTEXT.ADD.CURVE(C1817,"SOFR",$K$2:$K$7,$L$2:$L$7,,,"Actual360","LogLinear",TRUE)</f>
        <v/>
      </c>
      <c r="E1817" s="8">
        <f>QS.INSTRUMENT.SWAP("swap.1815",C1817,H1817,B1817,"USD","SOFR",I1817,J1817,0,"Actual360","Simple","Annual","Annual","Annual")</f>
        <v/>
      </c>
      <c r="F1817" s="8">
        <f>QS.TRADE.CREATE("trade.1815",C1817,E1817,A1817,"Receive")</f>
        <v/>
      </c>
      <c r="G1817" s="5"/>
      <c r="H1817" s="7" t="s">
        <v>3674</v>
      </c>
      <c r="I1817" s="9">
        <v>1181500</v>
      </c>
      <c r="J1817" s="10">
        <v>0.0365</v>
      </c>
    </row>
    <row r="1818" spans="1:10">
      <c r="A1818" s="7" t="s">
        <v>3662</v>
      </c>
      <c r="B1818" s="7" t="s">
        <v>3675</v>
      </c>
      <c r="C1818" s="8">
        <f>QS.CONTEXT.CREATE("market.1816",A1818,"USD","SOFR")</f>
        <v/>
      </c>
      <c r="D1818" s="8">
        <f>QS.CONTEXT.ADD.CURVE(C1818,"SOFR",$K$2:$K$7,$L$2:$L$7,,,"Actual360","LogLinear",TRUE)</f>
        <v/>
      </c>
      <c r="E1818" s="8">
        <f>QS.INSTRUMENT.SWAP("swap.1816",C1818,H1818,B1818,"USD","SOFR",I1818,J1818,0,"Actual360","Simple","Annual","Annual","Annual")</f>
        <v/>
      </c>
      <c r="F1818" s="8">
        <f>QS.TRADE.CREATE("trade.1816",C1818,E1818,A1818,"Receive")</f>
        <v/>
      </c>
      <c r="G1818" s="5"/>
      <c r="H1818" s="7" t="s">
        <v>3676</v>
      </c>
      <c r="I1818" s="9">
        <v>1181600</v>
      </c>
      <c r="J1818" s="10">
        <v>0.0366</v>
      </c>
    </row>
    <row r="1819" spans="1:10">
      <c r="A1819" s="7" t="s">
        <v>3664</v>
      </c>
      <c r="B1819" s="7" t="s">
        <v>3677</v>
      </c>
      <c r="C1819" s="8">
        <f>QS.CONTEXT.CREATE("market.1817",A1819,"USD","SOFR")</f>
        <v/>
      </c>
      <c r="D1819" s="8">
        <f>QS.CONTEXT.ADD.CURVE(C1819,"SOFR",$K$2:$K$7,$L$2:$L$7,,,"Actual360","LogLinear",TRUE)</f>
        <v/>
      </c>
      <c r="E1819" s="8">
        <f>QS.INSTRUMENT.SWAP("swap.1817",C1819,H1819,B1819,"USD","SOFR",I1819,J1819,0,"Actual360","Simple","Annual","Annual","Annual")</f>
        <v/>
      </c>
      <c r="F1819" s="8">
        <f>QS.TRADE.CREATE("trade.1817",C1819,E1819,A1819,"Receive")</f>
        <v/>
      </c>
      <c r="G1819" s="5"/>
      <c r="H1819" s="7" t="s">
        <v>3678</v>
      </c>
      <c r="I1819" s="9">
        <v>1181700</v>
      </c>
      <c r="J1819" s="10">
        <v>0.0367</v>
      </c>
    </row>
    <row r="1820" spans="1:10">
      <c r="A1820" s="7" t="s">
        <v>3666</v>
      </c>
      <c r="B1820" s="7" t="s">
        <v>3679</v>
      </c>
      <c r="C1820" s="8">
        <f>QS.CONTEXT.CREATE("market.1818",A1820,"USD","SOFR")</f>
        <v/>
      </c>
      <c r="D1820" s="8">
        <f>QS.CONTEXT.ADD.CURVE(C1820,"SOFR",$K$2:$K$7,$L$2:$L$7,,,"Actual360","LogLinear",TRUE)</f>
        <v/>
      </c>
      <c r="E1820" s="8">
        <f>QS.INSTRUMENT.SWAP("swap.1818",C1820,H1820,B1820,"USD","SOFR",I1820,J1820,0,"Actual360","Simple","Annual","Annual","Annual")</f>
        <v/>
      </c>
      <c r="F1820" s="8">
        <f>QS.TRADE.CREATE("trade.1818",C1820,E1820,A1820,"Receive")</f>
        <v/>
      </c>
      <c r="G1820" s="5"/>
      <c r="H1820" s="7" t="s">
        <v>3680</v>
      </c>
      <c r="I1820" s="9">
        <v>1181800</v>
      </c>
      <c r="J1820" s="10">
        <v>0.03680000000000001</v>
      </c>
    </row>
    <row r="1821" spans="1:10">
      <c r="A1821" s="7" t="s">
        <v>3668</v>
      </c>
      <c r="B1821" s="7" t="s">
        <v>3681</v>
      </c>
      <c r="C1821" s="8">
        <f>QS.CONTEXT.CREATE("market.1819",A1821,"USD","SOFR")</f>
        <v/>
      </c>
      <c r="D1821" s="8">
        <f>QS.CONTEXT.ADD.CURVE(C1821,"SOFR",$K$2:$K$7,$L$2:$L$7,,,"Actual360","LogLinear",TRUE)</f>
        <v/>
      </c>
      <c r="E1821" s="8">
        <f>QS.INSTRUMENT.SWAP("swap.1819",C1821,H1821,B1821,"USD","SOFR",I1821,J1821,0,"Actual360","Simple","Annual","Annual","Annual")</f>
        <v/>
      </c>
      <c r="F1821" s="8">
        <f>QS.TRADE.CREATE("trade.1819",C1821,E1821,A1821,"Receive")</f>
        <v/>
      </c>
      <c r="G1821" s="5"/>
      <c r="H1821" s="7" t="s">
        <v>3682</v>
      </c>
      <c r="I1821" s="9">
        <v>1181900</v>
      </c>
      <c r="J1821" s="10">
        <v>0.0369</v>
      </c>
    </row>
    <row r="1822" spans="1:10">
      <c r="A1822" s="7" t="s">
        <v>3670</v>
      </c>
      <c r="B1822" s="7" t="s">
        <v>3683</v>
      </c>
      <c r="C1822" s="8">
        <f>QS.CONTEXT.CREATE("market.1820",A1822,"USD","SOFR")</f>
        <v/>
      </c>
      <c r="D1822" s="8">
        <f>QS.CONTEXT.ADD.CURVE(C1822,"SOFR",$K$2:$K$7,$L$2:$L$7,,,"Actual360","LogLinear",TRUE)</f>
        <v/>
      </c>
      <c r="E1822" s="8">
        <f>QS.INSTRUMENT.SWAP("swap.1820",C1822,H1822,B1822,"USD","SOFR",I1822,J1822,0,"Actual360","Simple","Annual","Annual","Annual")</f>
        <v/>
      </c>
      <c r="F1822" s="8">
        <f>QS.TRADE.CREATE("trade.1820",C1822,E1822,A1822,"Receive")</f>
        <v/>
      </c>
      <c r="G1822" s="5"/>
      <c r="H1822" s="7" t="s">
        <v>3684</v>
      </c>
      <c r="I1822" s="9">
        <v>1182000</v>
      </c>
      <c r="J1822" s="10">
        <v>0.03700000000000001</v>
      </c>
    </row>
    <row r="1823" spans="1:10">
      <c r="A1823" s="7" t="s">
        <v>3672</v>
      </c>
      <c r="B1823" s="7" t="s">
        <v>3685</v>
      </c>
      <c r="C1823" s="8">
        <f>QS.CONTEXT.CREATE("market.1821",A1823,"USD","SOFR")</f>
        <v/>
      </c>
      <c r="D1823" s="8">
        <f>QS.CONTEXT.ADD.CURVE(C1823,"SOFR",$K$2:$K$7,$L$2:$L$7,,,"Actual360","LogLinear",TRUE)</f>
        <v/>
      </c>
      <c r="E1823" s="8">
        <f>QS.INSTRUMENT.SWAP("swap.1821",C1823,H1823,B1823,"USD","SOFR",I1823,J1823,0,"Actual360","Simple","Annual","Annual","Annual")</f>
        <v/>
      </c>
      <c r="F1823" s="8">
        <f>QS.TRADE.CREATE("trade.1821",C1823,E1823,A1823,"Receive")</f>
        <v/>
      </c>
      <c r="G1823" s="5"/>
      <c r="H1823" s="7" t="s">
        <v>3686</v>
      </c>
      <c r="I1823" s="9">
        <v>1182100</v>
      </c>
      <c r="J1823" s="10">
        <v>0.0371</v>
      </c>
    </row>
    <row r="1824" spans="1:10">
      <c r="A1824" s="7" t="s">
        <v>3674</v>
      </c>
      <c r="B1824" s="7" t="s">
        <v>3687</v>
      </c>
      <c r="C1824" s="8">
        <f>QS.CONTEXT.CREATE("market.1822",A1824,"USD","SOFR")</f>
        <v/>
      </c>
      <c r="D1824" s="8">
        <f>QS.CONTEXT.ADD.CURVE(C1824,"SOFR",$K$2:$K$7,$L$2:$L$7,,,"Actual360","LogLinear",TRUE)</f>
        <v/>
      </c>
      <c r="E1824" s="8">
        <f>QS.INSTRUMENT.SWAP("swap.1822",C1824,H1824,B1824,"USD","SOFR",I1824,J1824,0,"Actual360","Simple","Annual","Annual","Annual")</f>
        <v/>
      </c>
      <c r="F1824" s="8">
        <f>QS.TRADE.CREATE("trade.1822",C1824,E1824,A1824,"Receive")</f>
        <v/>
      </c>
      <c r="G1824" s="5"/>
      <c r="H1824" s="7" t="s">
        <v>3688</v>
      </c>
      <c r="I1824" s="9">
        <v>1182200</v>
      </c>
      <c r="J1824" s="10">
        <v>0.0372</v>
      </c>
    </row>
    <row r="1825" spans="1:10">
      <c r="A1825" s="7" t="s">
        <v>3676</v>
      </c>
      <c r="B1825" s="7" t="s">
        <v>3689</v>
      </c>
      <c r="C1825" s="8">
        <f>QS.CONTEXT.CREATE("market.1823",A1825,"USD","SOFR")</f>
        <v/>
      </c>
      <c r="D1825" s="8">
        <f>QS.CONTEXT.ADD.CURVE(C1825,"SOFR",$K$2:$K$7,$L$2:$L$7,,,"Actual360","LogLinear",TRUE)</f>
        <v/>
      </c>
      <c r="E1825" s="8">
        <f>QS.INSTRUMENT.SWAP("swap.1823",C1825,H1825,B1825,"USD","SOFR",I1825,J1825,0,"Actual360","Simple","Annual","Annual","Annual")</f>
        <v/>
      </c>
      <c r="F1825" s="8">
        <f>QS.TRADE.CREATE("trade.1823",C1825,E1825,A1825,"Receive")</f>
        <v/>
      </c>
      <c r="G1825" s="5"/>
      <c r="H1825" s="7" t="s">
        <v>3690</v>
      </c>
      <c r="I1825" s="9">
        <v>1182300</v>
      </c>
      <c r="J1825" s="10">
        <v>0.0373</v>
      </c>
    </row>
    <row r="1826" spans="1:10">
      <c r="A1826" s="7" t="s">
        <v>3678</v>
      </c>
      <c r="B1826" s="7" t="s">
        <v>3691</v>
      </c>
      <c r="C1826" s="8">
        <f>QS.CONTEXT.CREATE("market.1824",A1826,"USD","SOFR")</f>
        <v/>
      </c>
      <c r="D1826" s="8">
        <f>QS.CONTEXT.ADD.CURVE(C1826,"SOFR",$K$2:$K$7,$L$2:$L$7,,,"Actual360","LogLinear",TRUE)</f>
        <v/>
      </c>
      <c r="E1826" s="8">
        <f>QS.INSTRUMENT.SWAP("swap.1824",C1826,H1826,B1826,"USD","SOFR",I1826,J1826,0,"Actual360","Simple","Annual","Annual","Annual")</f>
        <v/>
      </c>
      <c r="F1826" s="8">
        <f>QS.TRADE.CREATE("trade.1824",C1826,E1826,A1826,"Receive")</f>
        <v/>
      </c>
      <c r="G1826" s="5"/>
      <c r="H1826" s="7" t="s">
        <v>3692</v>
      </c>
      <c r="I1826" s="9">
        <v>1182400</v>
      </c>
      <c r="J1826" s="10">
        <v>0.0374</v>
      </c>
    </row>
    <row r="1827" spans="1:10">
      <c r="A1827" s="7" t="s">
        <v>3680</v>
      </c>
      <c r="B1827" s="7" t="s">
        <v>3693</v>
      </c>
      <c r="C1827" s="8">
        <f>QS.CONTEXT.CREATE("market.1825",A1827,"USD","SOFR")</f>
        <v/>
      </c>
      <c r="D1827" s="8">
        <f>QS.CONTEXT.ADD.CURVE(C1827,"SOFR",$K$2:$K$7,$L$2:$L$7,,,"Actual360","LogLinear",TRUE)</f>
        <v/>
      </c>
      <c r="E1827" s="8">
        <f>QS.INSTRUMENT.SWAP("swap.1825",C1827,H1827,B1827,"USD","SOFR",I1827,J1827,0,"Actual360","Simple","Annual","Annual","Annual")</f>
        <v/>
      </c>
      <c r="F1827" s="8">
        <f>QS.TRADE.CREATE("trade.1825",C1827,E1827,A1827,"Receive")</f>
        <v/>
      </c>
      <c r="G1827" s="5"/>
      <c r="H1827" s="7" t="s">
        <v>3694</v>
      </c>
      <c r="I1827" s="9">
        <v>1182500</v>
      </c>
      <c r="J1827" s="10">
        <v>0.03750000000000001</v>
      </c>
    </row>
    <row r="1828" spans="1:10">
      <c r="A1828" s="7" t="s">
        <v>3682</v>
      </c>
      <c r="B1828" s="7" t="s">
        <v>3695</v>
      </c>
      <c r="C1828" s="8">
        <f>QS.CONTEXT.CREATE("market.1826",A1828,"USD","SOFR")</f>
        <v/>
      </c>
      <c r="D1828" s="8">
        <f>QS.CONTEXT.ADD.CURVE(C1828,"SOFR",$K$2:$K$7,$L$2:$L$7,,,"Actual360","LogLinear",TRUE)</f>
        <v/>
      </c>
      <c r="E1828" s="8">
        <f>QS.INSTRUMENT.SWAP("swap.1826",C1828,H1828,B1828,"USD","SOFR",I1828,J1828,0,"Actual360","Simple","Annual","Annual","Annual")</f>
        <v/>
      </c>
      <c r="F1828" s="8">
        <f>QS.TRADE.CREATE("trade.1826",C1828,E1828,A1828,"Receive")</f>
        <v/>
      </c>
      <c r="G1828" s="5"/>
      <c r="H1828" s="7" t="s">
        <v>38</v>
      </c>
      <c r="I1828" s="9">
        <v>1182600</v>
      </c>
      <c r="J1828" s="10">
        <v>0.0376</v>
      </c>
    </row>
    <row r="1829" spans="1:10">
      <c r="A1829" s="7" t="s">
        <v>3684</v>
      </c>
      <c r="B1829" s="7" t="s">
        <v>3696</v>
      </c>
      <c r="C1829" s="8">
        <f>QS.CONTEXT.CREATE("market.1827",A1829,"USD","SOFR")</f>
        <v/>
      </c>
      <c r="D1829" s="8">
        <f>QS.CONTEXT.ADD.CURVE(C1829,"SOFR",$K$2:$K$7,$L$2:$L$7,,,"Actual360","LogLinear",TRUE)</f>
        <v/>
      </c>
      <c r="E1829" s="8">
        <f>QS.INSTRUMENT.SWAP("swap.1827",C1829,H1829,B1829,"USD","SOFR",I1829,J1829,0,"Actual360","Simple","Annual","Annual","Annual")</f>
        <v/>
      </c>
      <c r="F1829" s="8">
        <f>QS.TRADE.CREATE("trade.1827",C1829,E1829,A1829,"Receive")</f>
        <v/>
      </c>
      <c r="G1829" s="5"/>
      <c r="H1829" s="7" t="s">
        <v>41</v>
      </c>
      <c r="I1829" s="9">
        <v>1182700</v>
      </c>
      <c r="J1829" s="10">
        <v>0.0377</v>
      </c>
    </row>
    <row r="1830" spans="1:10">
      <c r="A1830" s="7" t="s">
        <v>3686</v>
      </c>
      <c r="B1830" s="7" t="s">
        <v>3697</v>
      </c>
      <c r="C1830" s="8">
        <f>QS.CONTEXT.CREATE("market.1828",A1830,"USD","SOFR")</f>
        <v/>
      </c>
      <c r="D1830" s="8">
        <f>QS.CONTEXT.ADD.CURVE(C1830,"SOFR",$K$2:$K$7,$L$2:$L$7,,,"Actual360","LogLinear",TRUE)</f>
        <v/>
      </c>
      <c r="E1830" s="8">
        <f>QS.INSTRUMENT.SWAP("swap.1828",C1830,H1830,B1830,"USD","SOFR",I1830,J1830,0,"Actual360","Simple","Annual","Annual","Annual")</f>
        <v/>
      </c>
      <c r="F1830" s="8">
        <f>QS.TRADE.CREATE("trade.1828",C1830,E1830,A1830,"Receive")</f>
        <v/>
      </c>
      <c r="G1830" s="5"/>
      <c r="H1830" s="7" t="s">
        <v>44</v>
      </c>
      <c r="I1830" s="9">
        <v>1182800</v>
      </c>
      <c r="J1830" s="10">
        <v>0.0378</v>
      </c>
    </row>
    <row r="1831" spans="1:10">
      <c r="A1831" s="7" t="s">
        <v>3688</v>
      </c>
      <c r="B1831" s="7" t="s">
        <v>3698</v>
      </c>
      <c r="C1831" s="8">
        <f>QS.CONTEXT.CREATE("market.1829",A1831,"USD","SOFR")</f>
        <v/>
      </c>
      <c r="D1831" s="8">
        <f>QS.CONTEXT.ADD.CURVE(C1831,"SOFR",$K$2:$K$7,$L$2:$L$7,,,"Actual360","LogLinear",TRUE)</f>
        <v/>
      </c>
      <c r="E1831" s="8">
        <f>QS.INSTRUMENT.SWAP("swap.1829",C1831,H1831,B1831,"USD","SOFR",I1831,J1831,0,"Actual360","Simple","Annual","Annual","Annual")</f>
        <v/>
      </c>
      <c r="F1831" s="8">
        <f>QS.TRADE.CREATE("trade.1829",C1831,E1831,A1831,"Receive")</f>
        <v/>
      </c>
      <c r="G1831" s="5"/>
      <c r="H1831" s="7" t="s">
        <v>47</v>
      </c>
      <c r="I1831" s="9">
        <v>1182900</v>
      </c>
      <c r="J1831" s="10">
        <v>0.0379</v>
      </c>
    </row>
    <row r="1832" spans="1:10">
      <c r="A1832" s="7" t="s">
        <v>3690</v>
      </c>
      <c r="B1832" s="7" t="s">
        <v>3699</v>
      </c>
      <c r="C1832" s="8">
        <f>QS.CONTEXT.CREATE("market.1830",A1832,"USD","SOFR")</f>
        <v/>
      </c>
      <c r="D1832" s="8">
        <f>QS.CONTEXT.ADD.CURVE(C1832,"SOFR",$K$2:$K$7,$L$2:$L$7,,,"Actual360","LogLinear",TRUE)</f>
        <v/>
      </c>
      <c r="E1832" s="8">
        <f>QS.INSTRUMENT.SWAP("swap.1830",C1832,H1832,B1832,"USD","SOFR",I1832,J1832,0,"Actual360","Simple","Annual","Annual","Annual")</f>
        <v/>
      </c>
      <c r="F1832" s="8">
        <f>QS.TRADE.CREATE("trade.1830",C1832,E1832,A1832,"Receive")</f>
        <v/>
      </c>
      <c r="G1832" s="5"/>
      <c r="H1832" s="7" t="s">
        <v>50</v>
      </c>
      <c r="I1832" s="9">
        <v>1183000</v>
      </c>
      <c r="J1832" s="10">
        <v>0.03800000000000001</v>
      </c>
    </row>
    <row r="1833" spans="1:10">
      <c r="A1833" s="7" t="s">
        <v>3692</v>
      </c>
      <c r="B1833" s="7" t="s">
        <v>3700</v>
      </c>
      <c r="C1833" s="8">
        <f>QS.CONTEXT.CREATE("market.1831",A1833,"USD","SOFR")</f>
        <v/>
      </c>
      <c r="D1833" s="8">
        <f>QS.CONTEXT.ADD.CURVE(C1833,"SOFR",$K$2:$K$7,$L$2:$L$7,,,"Actual360","LogLinear",TRUE)</f>
        <v/>
      </c>
      <c r="E1833" s="8">
        <f>QS.INSTRUMENT.SWAP("swap.1831",C1833,H1833,B1833,"USD","SOFR",I1833,J1833,0,"Actual360","Simple","Annual","Annual","Annual")</f>
        <v/>
      </c>
      <c r="F1833" s="8">
        <f>QS.TRADE.CREATE("trade.1831",C1833,E1833,A1833,"Receive")</f>
        <v/>
      </c>
      <c r="G1833" s="5"/>
      <c r="H1833" s="7" t="s">
        <v>53</v>
      </c>
      <c r="I1833" s="9">
        <v>1183100</v>
      </c>
      <c r="J1833" s="10">
        <v>0.0381</v>
      </c>
    </row>
    <row r="1834" spans="1:10">
      <c r="A1834" s="7" t="s">
        <v>3694</v>
      </c>
      <c r="B1834" s="7" t="s">
        <v>3701</v>
      </c>
      <c r="C1834" s="8">
        <f>QS.CONTEXT.CREATE("market.1832",A1834,"USD","SOFR")</f>
        <v/>
      </c>
      <c r="D1834" s="8">
        <f>QS.CONTEXT.ADD.CURVE(C1834,"SOFR",$K$2:$K$7,$L$2:$L$7,,,"Actual360","LogLinear",TRUE)</f>
        <v/>
      </c>
      <c r="E1834" s="8">
        <f>QS.INSTRUMENT.SWAP("swap.1832",C1834,H1834,B1834,"USD","SOFR",I1834,J1834,0,"Actual360","Simple","Annual","Annual","Annual")</f>
        <v/>
      </c>
      <c r="F1834" s="8">
        <f>QS.TRADE.CREATE("trade.1832",C1834,E1834,A1834,"Receive")</f>
        <v/>
      </c>
      <c r="G1834" s="5"/>
      <c r="H1834" s="7" t="s">
        <v>56</v>
      </c>
      <c r="I1834" s="9">
        <v>1183200</v>
      </c>
      <c r="J1834" s="10">
        <v>0.0382</v>
      </c>
    </row>
    <row r="1835" spans="1:10">
      <c r="A1835" s="7" t="s">
        <v>38</v>
      </c>
      <c r="B1835" s="7" t="s">
        <v>3702</v>
      </c>
      <c r="C1835" s="8">
        <f>QS.CONTEXT.CREATE("market.1833",A1835,"USD","SOFR")</f>
        <v/>
      </c>
      <c r="D1835" s="8">
        <f>QS.CONTEXT.ADD.CURVE(C1835,"SOFR",$K$2:$K$7,$L$2:$L$7,,,"Actual360","LogLinear",TRUE)</f>
        <v/>
      </c>
      <c r="E1835" s="8">
        <f>QS.INSTRUMENT.SWAP("swap.1833",C1835,H1835,B1835,"USD","SOFR",I1835,J1835,0,"Actual360","Simple","Annual","Annual","Annual")</f>
        <v/>
      </c>
      <c r="F1835" s="8">
        <f>QS.TRADE.CREATE("trade.1833",C1835,E1835,A1835,"Receive")</f>
        <v/>
      </c>
      <c r="G1835" s="5"/>
      <c r="H1835" s="7" t="s">
        <v>58</v>
      </c>
      <c r="I1835" s="9">
        <v>1183300</v>
      </c>
      <c r="J1835" s="10">
        <v>0.0383</v>
      </c>
    </row>
    <row r="1836" spans="1:10">
      <c r="A1836" s="7" t="s">
        <v>41</v>
      </c>
      <c r="B1836" s="7" t="s">
        <v>3703</v>
      </c>
      <c r="C1836" s="8">
        <f>QS.CONTEXT.CREATE("market.1834",A1836,"USD","SOFR")</f>
        <v/>
      </c>
      <c r="D1836" s="8">
        <f>QS.CONTEXT.ADD.CURVE(C1836,"SOFR",$K$2:$K$7,$L$2:$L$7,,,"Actual360","LogLinear",TRUE)</f>
        <v/>
      </c>
      <c r="E1836" s="8">
        <f>QS.INSTRUMENT.SWAP("swap.1834",C1836,H1836,B1836,"USD","SOFR",I1836,J1836,0,"Actual360","Simple","Annual","Annual","Annual")</f>
        <v/>
      </c>
      <c r="F1836" s="8">
        <f>QS.TRADE.CREATE("trade.1834",C1836,E1836,A1836,"Receive")</f>
        <v/>
      </c>
      <c r="G1836" s="5"/>
      <c r="H1836" s="7" t="s">
        <v>60</v>
      </c>
      <c r="I1836" s="9">
        <v>1183400</v>
      </c>
      <c r="J1836" s="10">
        <v>0.0384</v>
      </c>
    </row>
    <row r="1837" spans="1:10">
      <c r="A1837" s="7" t="s">
        <v>44</v>
      </c>
      <c r="B1837" s="7" t="s">
        <v>3704</v>
      </c>
      <c r="C1837" s="8">
        <f>QS.CONTEXT.CREATE("market.1835",A1837,"USD","SOFR")</f>
        <v/>
      </c>
      <c r="D1837" s="8">
        <f>QS.CONTEXT.ADD.CURVE(C1837,"SOFR",$K$2:$K$7,$L$2:$L$7,,,"Actual360","LogLinear",TRUE)</f>
        <v/>
      </c>
      <c r="E1837" s="8">
        <f>QS.INSTRUMENT.SWAP("swap.1835",C1837,H1837,B1837,"USD","SOFR",I1837,J1837,0,"Actual360","Simple","Annual","Annual","Annual")</f>
        <v/>
      </c>
      <c r="F1837" s="8">
        <f>QS.TRADE.CREATE("trade.1835",C1837,E1837,A1837,"Receive")</f>
        <v/>
      </c>
      <c r="G1837" s="5"/>
      <c r="H1837" s="7" t="s">
        <v>62</v>
      </c>
      <c r="I1837" s="9">
        <v>1183500</v>
      </c>
      <c r="J1837" s="10">
        <v>0.03850000000000001</v>
      </c>
    </row>
    <row r="1838" spans="1:10">
      <c r="A1838" s="7" t="s">
        <v>47</v>
      </c>
      <c r="B1838" s="7" t="s">
        <v>3705</v>
      </c>
      <c r="C1838" s="8">
        <f>QS.CONTEXT.CREATE("market.1836",A1838,"USD","SOFR")</f>
        <v/>
      </c>
      <c r="D1838" s="8">
        <f>QS.CONTEXT.ADD.CURVE(C1838,"SOFR",$K$2:$K$7,$L$2:$L$7,,,"Actual360","LogLinear",TRUE)</f>
        <v/>
      </c>
      <c r="E1838" s="8">
        <f>QS.INSTRUMENT.SWAP("swap.1836",C1838,H1838,B1838,"USD","SOFR",I1838,J1838,0,"Actual360","Simple","Annual","Annual","Annual")</f>
        <v/>
      </c>
      <c r="F1838" s="8">
        <f>QS.TRADE.CREATE("trade.1836",C1838,E1838,A1838,"Receive")</f>
        <v/>
      </c>
      <c r="G1838" s="5"/>
      <c r="H1838" s="7" t="s">
        <v>64</v>
      </c>
      <c r="I1838" s="9">
        <v>1183600</v>
      </c>
      <c r="J1838" s="10">
        <v>0.0386</v>
      </c>
    </row>
    <row r="1839" spans="1:10">
      <c r="A1839" s="7" t="s">
        <v>50</v>
      </c>
      <c r="B1839" s="7" t="s">
        <v>3706</v>
      </c>
      <c r="C1839" s="8">
        <f>QS.CONTEXT.CREATE("market.1837",A1839,"USD","SOFR")</f>
        <v/>
      </c>
      <c r="D1839" s="8">
        <f>QS.CONTEXT.ADD.CURVE(C1839,"SOFR",$K$2:$K$7,$L$2:$L$7,,,"Actual360","LogLinear",TRUE)</f>
        <v/>
      </c>
      <c r="E1839" s="8">
        <f>QS.INSTRUMENT.SWAP("swap.1837",C1839,H1839,B1839,"USD","SOFR",I1839,J1839,0,"Actual360","Simple","Annual","Annual","Annual")</f>
        <v/>
      </c>
      <c r="F1839" s="8">
        <f>QS.TRADE.CREATE("trade.1837",C1839,E1839,A1839,"Receive")</f>
        <v/>
      </c>
      <c r="G1839" s="5"/>
      <c r="H1839" s="7" t="s">
        <v>66</v>
      </c>
      <c r="I1839" s="9">
        <v>1183700</v>
      </c>
      <c r="J1839" s="10">
        <v>0.03870000000000001</v>
      </c>
    </row>
    <row r="1840" spans="1:10">
      <c r="A1840" s="7" t="s">
        <v>53</v>
      </c>
      <c r="B1840" s="7" t="s">
        <v>3707</v>
      </c>
      <c r="C1840" s="8">
        <f>QS.CONTEXT.CREATE("market.1838",A1840,"USD","SOFR")</f>
        <v/>
      </c>
      <c r="D1840" s="8">
        <f>QS.CONTEXT.ADD.CURVE(C1840,"SOFR",$K$2:$K$7,$L$2:$L$7,,,"Actual360","LogLinear",TRUE)</f>
        <v/>
      </c>
      <c r="E1840" s="8">
        <f>QS.INSTRUMENT.SWAP("swap.1838",C1840,H1840,B1840,"USD","SOFR",I1840,J1840,0,"Actual360","Simple","Annual","Annual","Annual")</f>
        <v/>
      </c>
      <c r="F1840" s="8">
        <f>QS.TRADE.CREATE("trade.1838",C1840,E1840,A1840,"Receive")</f>
        <v/>
      </c>
      <c r="G1840" s="5"/>
      <c r="H1840" s="7" t="s">
        <v>68</v>
      </c>
      <c r="I1840" s="9">
        <v>1183800</v>
      </c>
      <c r="J1840" s="10">
        <v>0.0388</v>
      </c>
    </row>
    <row r="1841" spans="1:10">
      <c r="A1841" s="7" t="s">
        <v>56</v>
      </c>
      <c r="B1841" s="7" t="s">
        <v>3708</v>
      </c>
      <c r="C1841" s="8">
        <f>QS.CONTEXT.CREATE("market.1839",A1841,"USD","SOFR")</f>
        <v/>
      </c>
      <c r="D1841" s="8">
        <f>QS.CONTEXT.ADD.CURVE(C1841,"SOFR",$K$2:$K$7,$L$2:$L$7,,,"Actual360","LogLinear",TRUE)</f>
        <v/>
      </c>
      <c r="E1841" s="8">
        <f>QS.INSTRUMENT.SWAP("swap.1839",C1841,H1841,B1841,"USD","SOFR",I1841,J1841,0,"Actual360","Simple","Annual","Annual","Annual")</f>
        <v/>
      </c>
      <c r="F1841" s="8">
        <f>QS.TRADE.CREATE("trade.1839",C1841,E1841,A1841,"Receive")</f>
        <v/>
      </c>
      <c r="G1841" s="5"/>
      <c r="H1841" s="7" t="s">
        <v>70</v>
      </c>
      <c r="I1841" s="9">
        <v>1183900</v>
      </c>
      <c r="J1841" s="10">
        <v>0.0389</v>
      </c>
    </row>
    <row r="1842" spans="1:10">
      <c r="A1842" s="7" t="s">
        <v>58</v>
      </c>
      <c r="B1842" s="7" t="s">
        <v>3709</v>
      </c>
      <c r="C1842" s="8">
        <f>QS.CONTEXT.CREATE("market.1840",A1842,"USD","SOFR")</f>
        <v/>
      </c>
      <c r="D1842" s="8">
        <f>QS.CONTEXT.ADD.CURVE(C1842,"SOFR",$K$2:$K$7,$L$2:$L$7,,,"Actual360","LogLinear",TRUE)</f>
        <v/>
      </c>
      <c r="E1842" s="8">
        <f>QS.INSTRUMENT.SWAP("swap.1840",C1842,H1842,B1842,"USD","SOFR",I1842,J1842,0,"Actual360","Simple","Annual","Annual","Annual")</f>
        <v/>
      </c>
      <c r="F1842" s="8">
        <f>QS.TRADE.CREATE("trade.1840",C1842,E1842,A1842,"Receive")</f>
        <v/>
      </c>
      <c r="G1842" s="5"/>
      <c r="H1842" s="7" t="s">
        <v>72</v>
      </c>
      <c r="I1842" s="9">
        <v>1184000</v>
      </c>
      <c r="J1842" s="10">
        <v>0.03900000000000001</v>
      </c>
    </row>
    <row r="1843" spans="1:10">
      <c r="A1843" s="7" t="s">
        <v>60</v>
      </c>
      <c r="B1843" s="7" t="s">
        <v>3710</v>
      </c>
      <c r="C1843" s="8">
        <f>QS.CONTEXT.CREATE("market.1841",A1843,"USD","SOFR")</f>
        <v/>
      </c>
      <c r="D1843" s="8">
        <f>QS.CONTEXT.ADD.CURVE(C1843,"SOFR",$K$2:$K$7,$L$2:$L$7,,,"Actual360","LogLinear",TRUE)</f>
        <v/>
      </c>
      <c r="E1843" s="8">
        <f>QS.INSTRUMENT.SWAP("swap.1841",C1843,H1843,B1843,"USD","SOFR",I1843,J1843,0,"Actual360","Simple","Annual","Annual","Annual")</f>
        <v/>
      </c>
      <c r="F1843" s="8">
        <f>QS.TRADE.CREATE("trade.1841",C1843,E1843,A1843,"Receive")</f>
        <v/>
      </c>
      <c r="G1843" s="5"/>
      <c r="H1843" s="7" t="s">
        <v>74</v>
      </c>
      <c r="I1843" s="9">
        <v>1184100</v>
      </c>
      <c r="J1843" s="10">
        <v>0.0391</v>
      </c>
    </row>
    <row r="1844" spans="1:10">
      <c r="A1844" s="7" t="s">
        <v>62</v>
      </c>
      <c r="B1844" s="7" t="s">
        <v>3711</v>
      </c>
      <c r="C1844" s="8">
        <f>QS.CONTEXT.CREATE("market.1842",A1844,"USD","SOFR")</f>
        <v/>
      </c>
      <c r="D1844" s="8">
        <f>QS.CONTEXT.ADD.CURVE(C1844,"SOFR",$K$2:$K$7,$L$2:$L$7,,,"Actual360","LogLinear",TRUE)</f>
        <v/>
      </c>
      <c r="E1844" s="8">
        <f>QS.INSTRUMENT.SWAP("swap.1842",C1844,H1844,B1844,"USD","SOFR",I1844,J1844,0,"Actual360","Simple","Annual","Annual","Annual")</f>
        <v/>
      </c>
      <c r="F1844" s="8">
        <f>QS.TRADE.CREATE("trade.1842",C1844,E1844,A1844,"Receive")</f>
        <v/>
      </c>
      <c r="G1844" s="5"/>
      <c r="H1844" s="7" t="s">
        <v>76</v>
      </c>
      <c r="I1844" s="9">
        <v>1184200</v>
      </c>
      <c r="J1844" s="10">
        <v>0.03920000000000001</v>
      </c>
    </row>
    <row r="1845" spans="1:10">
      <c r="A1845" s="7" t="s">
        <v>64</v>
      </c>
      <c r="B1845" s="7" t="s">
        <v>3712</v>
      </c>
      <c r="C1845" s="8">
        <f>QS.CONTEXT.CREATE("market.1843",A1845,"USD","SOFR")</f>
        <v/>
      </c>
      <c r="D1845" s="8">
        <f>QS.CONTEXT.ADD.CURVE(C1845,"SOFR",$K$2:$K$7,$L$2:$L$7,,,"Actual360","LogLinear",TRUE)</f>
        <v/>
      </c>
      <c r="E1845" s="8">
        <f>QS.INSTRUMENT.SWAP("swap.1843",C1845,H1845,B1845,"USD","SOFR",I1845,J1845,0,"Actual360","Simple","Annual","Annual","Annual")</f>
        <v/>
      </c>
      <c r="F1845" s="8">
        <f>QS.TRADE.CREATE("trade.1843",C1845,E1845,A1845,"Receive")</f>
        <v/>
      </c>
      <c r="G1845" s="5"/>
      <c r="H1845" s="7" t="s">
        <v>78</v>
      </c>
      <c r="I1845" s="9">
        <v>1184300</v>
      </c>
      <c r="J1845" s="10">
        <v>0.0393</v>
      </c>
    </row>
    <row r="1846" spans="1:10">
      <c r="A1846" s="7" t="s">
        <v>66</v>
      </c>
      <c r="B1846" s="7" t="s">
        <v>3713</v>
      </c>
      <c r="C1846" s="8">
        <f>QS.CONTEXT.CREATE("market.1844",A1846,"USD","SOFR")</f>
        <v/>
      </c>
      <c r="D1846" s="8">
        <f>QS.CONTEXT.ADD.CURVE(C1846,"SOFR",$K$2:$K$7,$L$2:$L$7,,,"Actual360","LogLinear",TRUE)</f>
        <v/>
      </c>
      <c r="E1846" s="8">
        <f>QS.INSTRUMENT.SWAP("swap.1844",C1846,H1846,B1846,"USD","SOFR",I1846,J1846,0,"Actual360","Simple","Annual","Annual","Annual")</f>
        <v/>
      </c>
      <c r="F1846" s="8">
        <f>QS.TRADE.CREATE("trade.1844",C1846,E1846,A1846,"Receive")</f>
        <v/>
      </c>
      <c r="G1846" s="5"/>
      <c r="H1846" s="7" t="s">
        <v>80</v>
      </c>
      <c r="I1846" s="9">
        <v>1184400</v>
      </c>
      <c r="J1846" s="10">
        <v>0.0394</v>
      </c>
    </row>
    <row r="1847" spans="1:10">
      <c r="A1847" s="7" t="s">
        <v>68</v>
      </c>
      <c r="B1847" s="7" t="s">
        <v>3714</v>
      </c>
      <c r="C1847" s="8">
        <f>QS.CONTEXT.CREATE("market.1845",A1847,"USD","SOFR")</f>
        <v/>
      </c>
      <c r="D1847" s="8">
        <f>QS.CONTEXT.ADD.CURVE(C1847,"SOFR",$K$2:$K$7,$L$2:$L$7,,,"Actual360","LogLinear",TRUE)</f>
        <v/>
      </c>
      <c r="E1847" s="8">
        <f>QS.INSTRUMENT.SWAP("swap.1845",C1847,H1847,B1847,"USD","SOFR",I1847,J1847,0,"Actual360","Simple","Annual","Annual","Annual")</f>
        <v/>
      </c>
      <c r="F1847" s="8">
        <f>QS.TRADE.CREATE("trade.1845",C1847,E1847,A1847,"Receive")</f>
        <v/>
      </c>
      <c r="G1847" s="5"/>
      <c r="H1847" s="7" t="s">
        <v>82</v>
      </c>
      <c r="I1847" s="9">
        <v>1184500</v>
      </c>
      <c r="J1847" s="10">
        <v>0.03950000000000001</v>
      </c>
    </row>
    <row r="1848" spans="1:10">
      <c r="A1848" s="7" t="s">
        <v>70</v>
      </c>
      <c r="B1848" s="7" t="s">
        <v>3715</v>
      </c>
      <c r="C1848" s="8">
        <f>QS.CONTEXT.CREATE("market.1846",A1848,"USD","SOFR")</f>
        <v/>
      </c>
      <c r="D1848" s="8">
        <f>QS.CONTEXT.ADD.CURVE(C1848,"SOFR",$K$2:$K$7,$L$2:$L$7,,,"Actual360","LogLinear",TRUE)</f>
        <v/>
      </c>
      <c r="E1848" s="8">
        <f>QS.INSTRUMENT.SWAP("swap.1846",C1848,H1848,B1848,"USD","SOFR",I1848,J1848,0,"Actual360","Simple","Annual","Annual","Annual")</f>
        <v/>
      </c>
      <c r="F1848" s="8">
        <f>QS.TRADE.CREATE("trade.1846",C1848,E1848,A1848,"Receive")</f>
        <v/>
      </c>
      <c r="G1848" s="5"/>
      <c r="H1848" s="7" t="s">
        <v>84</v>
      </c>
      <c r="I1848" s="9">
        <v>1184600</v>
      </c>
      <c r="J1848" s="10">
        <v>0.0396</v>
      </c>
    </row>
    <row r="1849" spans="1:10">
      <c r="A1849" s="7" t="s">
        <v>72</v>
      </c>
      <c r="B1849" s="7" t="s">
        <v>3716</v>
      </c>
      <c r="C1849" s="8">
        <f>QS.CONTEXT.CREATE("market.1847",A1849,"USD","SOFR")</f>
        <v/>
      </c>
      <c r="D1849" s="8">
        <f>QS.CONTEXT.ADD.CURVE(C1849,"SOFR",$K$2:$K$7,$L$2:$L$7,,,"Actual360","LogLinear",TRUE)</f>
        <v/>
      </c>
      <c r="E1849" s="8">
        <f>QS.INSTRUMENT.SWAP("swap.1847",C1849,H1849,B1849,"USD","SOFR",I1849,J1849,0,"Actual360","Simple","Annual","Annual","Annual")</f>
        <v/>
      </c>
      <c r="F1849" s="8">
        <f>QS.TRADE.CREATE("trade.1847",C1849,E1849,A1849,"Receive")</f>
        <v/>
      </c>
      <c r="G1849" s="5"/>
      <c r="H1849" s="7" t="s">
        <v>86</v>
      </c>
      <c r="I1849" s="9">
        <v>1184700</v>
      </c>
      <c r="J1849" s="10">
        <v>0.03970000000000001</v>
      </c>
    </row>
    <row r="1850" spans="1:10">
      <c r="A1850" s="7" t="s">
        <v>74</v>
      </c>
      <c r="B1850" s="7" t="s">
        <v>3717</v>
      </c>
      <c r="C1850" s="8">
        <f>QS.CONTEXT.CREATE("market.1848",A1850,"USD","SOFR")</f>
        <v/>
      </c>
      <c r="D1850" s="8">
        <f>QS.CONTEXT.ADD.CURVE(C1850,"SOFR",$K$2:$K$7,$L$2:$L$7,,,"Actual360","LogLinear",TRUE)</f>
        <v/>
      </c>
      <c r="E1850" s="8">
        <f>QS.INSTRUMENT.SWAP("swap.1848",C1850,H1850,B1850,"USD","SOFR",I1850,J1850,0,"Actual360","Simple","Annual","Annual","Annual")</f>
        <v/>
      </c>
      <c r="F1850" s="8">
        <f>QS.TRADE.CREATE("trade.1848",C1850,E1850,A1850,"Receive")</f>
        <v/>
      </c>
      <c r="G1850" s="5"/>
      <c r="H1850" s="7" t="s">
        <v>88</v>
      </c>
      <c r="I1850" s="9">
        <v>1184800</v>
      </c>
      <c r="J1850" s="10">
        <v>0.0398</v>
      </c>
    </row>
    <row r="1851" spans="1:10">
      <c r="A1851" s="7" t="s">
        <v>76</v>
      </c>
      <c r="B1851" s="7" t="s">
        <v>3718</v>
      </c>
      <c r="C1851" s="8">
        <f>QS.CONTEXT.CREATE("market.1849",A1851,"USD","SOFR")</f>
        <v/>
      </c>
      <c r="D1851" s="8">
        <f>QS.CONTEXT.ADD.CURVE(C1851,"SOFR",$K$2:$K$7,$L$2:$L$7,,,"Actual360","LogLinear",TRUE)</f>
        <v/>
      </c>
      <c r="E1851" s="8">
        <f>QS.INSTRUMENT.SWAP("swap.1849",C1851,H1851,B1851,"USD","SOFR",I1851,J1851,0,"Actual360","Simple","Annual","Annual","Annual")</f>
        <v/>
      </c>
      <c r="F1851" s="8">
        <f>QS.TRADE.CREATE("trade.1849",C1851,E1851,A1851,"Receive")</f>
        <v/>
      </c>
      <c r="G1851" s="5"/>
      <c r="H1851" s="7" t="s">
        <v>90</v>
      </c>
      <c r="I1851" s="9">
        <v>1184900</v>
      </c>
      <c r="J1851" s="10">
        <v>0.0399</v>
      </c>
    </row>
    <row r="1852" spans="1:10">
      <c r="A1852" s="7" t="s">
        <v>78</v>
      </c>
      <c r="B1852" s="7" t="s">
        <v>3719</v>
      </c>
      <c r="C1852" s="8">
        <f>QS.CONTEXT.CREATE("market.1850",A1852,"USD","SOFR")</f>
        <v/>
      </c>
      <c r="D1852" s="8">
        <f>QS.CONTEXT.ADD.CURVE(C1852,"SOFR",$K$2:$K$7,$L$2:$L$7,,,"Actual360","LogLinear",TRUE)</f>
        <v/>
      </c>
      <c r="E1852" s="8">
        <f>QS.INSTRUMENT.SWAP("swap.1850",C1852,H1852,B1852,"USD","SOFR",I1852,J1852,0,"Actual360","Simple","Annual","Annual","Annual")</f>
        <v/>
      </c>
      <c r="F1852" s="8">
        <f>QS.TRADE.CREATE("trade.1850",C1852,E1852,A1852,"Receive")</f>
        <v/>
      </c>
      <c r="G1852" s="5"/>
      <c r="H1852" s="7" t="s">
        <v>92</v>
      </c>
      <c r="I1852" s="9">
        <v>1185000</v>
      </c>
      <c r="J1852" s="10">
        <v>0.035</v>
      </c>
    </row>
    <row r="1853" spans="1:10">
      <c r="A1853" s="7" t="s">
        <v>80</v>
      </c>
      <c r="B1853" s="7" t="s">
        <v>3720</v>
      </c>
      <c r="C1853" s="8">
        <f>QS.CONTEXT.CREATE("market.1851",A1853,"USD","SOFR")</f>
        <v/>
      </c>
      <c r="D1853" s="8">
        <f>QS.CONTEXT.ADD.CURVE(C1853,"SOFR",$K$2:$K$7,$L$2:$L$7,,,"Actual360","LogLinear",TRUE)</f>
        <v/>
      </c>
      <c r="E1853" s="8">
        <f>QS.INSTRUMENT.SWAP("swap.1851",C1853,H1853,B1853,"USD","SOFR",I1853,J1853,0,"Actual360","Simple","Annual","Annual","Annual")</f>
        <v/>
      </c>
      <c r="F1853" s="8">
        <f>QS.TRADE.CREATE("trade.1851",C1853,E1853,A1853,"Receive")</f>
        <v/>
      </c>
      <c r="G1853" s="5"/>
      <c r="H1853" s="7" t="s">
        <v>94</v>
      </c>
      <c r="I1853" s="9">
        <v>1185100</v>
      </c>
      <c r="J1853" s="10">
        <v>0.03510000000000001</v>
      </c>
    </row>
    <row r="1854" spans="1:10">
      <c r="A1854" s="7" t="s">
        <v>82</v>
      </c>
      <c r="B1854" s="7" t="s">
        <v>3721</v>
      </c>
      <c r="C1854" s="8">
        <f>QS.CONTEXT.CREATE("market.1852",A1854,"USD","SOFR")</f>
        <v/>
      </c>
      <c r="D1854" s="8">
        <f>QS.CONTEXT.ADD.CURVE(C1854,"SOFR",$K$2:$K$7,$L$2:$L$7,,,"Actual360","LogLinear",TRUE)</f>
        <v/>
      </c>
      <c r="E1854" s="8">
        <f>QS.INSTRUMENT.SWAP("swap.1852",C1854,H1854,B1854,"USD","SOFR",I1854,J1854,0,"Actual360","Simple","Annual","Annual","Annual")</f>
        <v/>
      </c>
      <c r="F1854" s="8">
        <f>QS.TRADE.CREATE("trade.1852",C1854,E1854,A1854,"Receive")</f>
        <v/>
      </c>
      <c r="G1854" s="5"/>
      <c r="H1854" s="7" t="s">
        <v>96</v>
      </c>
      <c r="I1854" s="9">
        <v>1185200</v>
      </c>
      <c r="J1854" s="10">
        <v>0.0352</v>
      </c>
    </row>
    <row r="1855" spans="1:10">
      <c r="A1855" s="7" t="s">
        <v>84</v>
      </c>
      <c r="B1855" s="7" t="s">
        <v>3722</v>
      </c>
      <c r="C1855" s="8">
        <f>QS.CONTEXT.CREATE("market.1853",A1855,"USD","SOFR")</f>
        <v/>
      </c>
      <c r="D1855" s="8">
        <f>QS.CONTEXT.ADD.CURVE(C1855,"SOFR",$K$2:$K$7,$L$2:$L$7,,,"Actual360","LogLinear",TRUE)</f>
        <v/>
      </c>
      <c r="E1855" s="8">
        <f>QS.INSTRUMENT.SWAP("swap.1853",C1855,H1855,B1855,"USD","SOFR",I1855,J1855,0,"Actual360","Simple","Annual","Annual","Annual")</f>
        <v/>
      </c>
      <c r="F1855" s="8">
        <f>QS.TRADE.CREATE("trade.1853",C1855,E1855,A1855,"Receive")</f>
        <v/>
      </c>
      <c r="G1855" s="5"/>
      <c r="H1855" s="7" t="s">
        <v>98</v>
      </c>
      <c r="I1855" s="9">
        <v>1185300</v>
      </c>
      <c r="J1855" s="10">
        <v>0.0353</v>
      </c>
    </row>
    <row r="1856" spans="1:10">
      <c r="A1856" s="7" t="s">
        <v>86</v>
      </c>
      <c r="B1856" s="7" t="s">
        <v>3723</v>
      </c>
      <c r="C1856" s="8">
        <f>QS.CONTEXT.CREATE("market.1854",A1856,"USD","SOFR")</f>
        <v/>
      </c>
      <c r="D1856" s="8">
        <f>QS.CONTEXT.ADD.CURVE(C1856,"SOFR",$K$2:$K$7,$L$2:$L$7,,,"Actual360","LogLinear",TRUE)</f>
        <v/>
      </c>
      <c r="E1856" s="8">
        <f>QS.INSTRUMENT.SWAP("swap.1854",C1856,H1856,B1856,"USD","SOFR",I1856,J1856,0,"Actual360","Simple","Annual","Annual","Annual")</f>
        <v/>
      </c>
      <c r="F1856" s="8">
        <f>QS.TRADE.CREATE("trade.1854",C1856,E1856,A1856,"Receive")</f>
        <v/>
      </c>
      <c r="G1856" s="5"/>
      <c r="H1856" s="7" t="s">
        <v>100</v>
      </c>
      <c r="I1856" s="9">
        <v>1185400</v>
      </c>
      <c r="J1856" s="10">
        <v>0.0354</v>
      </c>
    </row>
    <row r="1857" spans="1:10">
      <c r="A1857" s="7" t="s">
        <v>88</v>
      </c>
      <c r="B1857" s="7" t="s">
        <v>3724</v>
      </c>
      <c r="C1857" s="8">
        <f>QS.CONTEXT.CREATE("market.1855",A1857,"USD","SOFR")</f>
        <v/>
      </c>
      <c r="D1857" s="8">
        <f>QS.CONTEXT.ADD.CURVE(C1857,"SOFR",$K$2:$K$7,$L$2:$L$7,,,"Actual360","LogLinear",TRUE)</f>
        <v/>
      </c>
      <c r="E1857" s="8">
        <f>QS.INSTRUMENT.SWAP("swap.1855",C1857,H1857,B1857,"USD","SOFR",I1857,J1857,0,"Actual360","Simple","Annual","Annual","Annual")</f>
        <v/>
      </c>
      <c r="F1857" s="8">
        <f>QS.TRADE.CREATE("trade.1855",C1857,E1857,A1857,"Receive")</f>
        <v/>
      </c>
      <c r="G1857" s="5"/>
      <c r="H1857" s="7" t="s">
        <v>102</v>
      </c>
      <c r="I1857" s="9">
        <v>1185500</v>
      </c>
      <c r="J1857" s="10">
        <v>0.0355</v>
      </c>
    </row>
    <row r="1858" spans="1:10">
      <c r="A1858" s="7" t="s">
        <v>90</v>
      </c>
      <c r="B1858" s="7" t="s">
        <v>3725</v>
      </c>
      <c r="C1858" s="8">
        <f>QS.CONTEXT.CREATE("market.1856",A1858,"USD","SOFR")</f>
        <v/>
      </c>
      <c r="D1858" s="8">
        <f>QS.CONTEXT.ADD.CURVE(C1858,"SOFR",$K$2:$K$7,$L$2:$L$7,,,"Actual360","LogLinear",TRUE)</f>
        <v/>
      </c>
      <c r="E1858" s="8">
        <f>QS.INSTRUMENT.SWAP("swap.1856",C1858,H1858,B1858,"USD","SOFR",I1858,J1858,0,"Actual360","Simple","Annual","Annual","Annual")</f>
        <v/>
      </c>
      <c r="F1858" s="8">
        <f>QS.TRADE.CREATE("trade.1856",C1858,E1858,A1858,"Receive")</f>
        <v/>
      </c>
      <c r="G1858" s="5"/>
      <c r="H1858" s="7" t="s">
        <v>104</v>
      </c>
      <c r="I1858" s="9">
        <v>1185600</v>
      </c>
      <c r="J1858" s="10">
        <v>0.03560000000000001</v>
      </c>
    </row>
    <row r="1859" spans="1:10">
      <c r="A1859" s="7" t="s">
        <v>92</v>
      </c>
      <c r="B1859" s="7" t="s">
        <v>3726</v>
      </c>
      <c r="C1859" s="8">
        <f>QS.CONTEXT.CREATE("market.1857",A1859,"USD","SOFR")</f>
        <v/>
      </c>
      <c r="D1859" s="8">
        <f>QS.CONTEXT.ADD.CURVE(C1859,"SOFR",$K$2:$K$7,$L$2:$L$7,,,"Actual360","LogLinear",TRUE)</f>
        <v/>
      </c>
      <c r="E1859" s="8">
        <f>QS.INSTRUMENT.SWAP("swap.1857",C1859,H1859,B1859,"USD","SOFR",I1859,J1859,0,"Actual360","Simple","Annual","Annual","Annual")</f>
        <v/>
      </c>
      <c r="F1859" s="8">
        <f>QS.TRADE.CREATE("trade.1857",C1859,E1859,A1859,"Receive")</f>
        <v/>
      </c>
      <c r="G1859" s="5"/>
      <c r="H1859" s="7" t="s">
        <v>106</v>
      </c>
      <c r="I1859" s="9">
        <v>1185700</v>
      </c>
      <c r="J1859" s="10">
        <v>0.0357</v>
      </c>
    </row>
    <row r="1860" spans="1:10">
      <c r="A1860" s="7" t="s">
        <v>94</v>
      </c>
      <c r="B1860" s="7" t="s">
        <v>3727</v>
      </c>
      <c r="C1860" s="8">
        <f>QS.CONTEXT.CREATE("market.1858",A1860,"USD","SOFR")</f>
        <v/>
      </c>
      <c r="D1860" s="8">
        <f>QS.CONTEXT.ADD.CURVE(C1860,"SOFR",$K$2:$K$7,$L$2:$L$7,,,"Actual360","LogLinear",TRUE)</f>
        <v/>
      </c>
      <c r="E1860" s="8">
        <f>QS.INSTRUMENT.SWAP("swap.1858",C1860,H1860,B1860,"USD","SOFR",I1860,J1860,0,"Actual360","Simple","Annual","Annual","Annual")</f>
        <v/>
      </c>
      <c r="F1860" s="8">
        <f>QS.TRADE.CREATE("trade.1858",C1860,E1860,A1860,"Receive")</f>
        <v/>
      </c>
      <c r="G1860" s="5"/>
      <c r="H1860" s="7" t="s">
        <v>108</v>
      </c>
      <c r="I1860" s="9">
        <v>1185800</v>
      </c>
      <c r="J1860" s="10">
        <v>0.03580000000000001</v>
      </c>
    </row>
    <row r="1861" spans="1:10">
      <c r="A1861" s="7" t="s">
        <v>96</v>
      </c>
      <c r="B1861" s="7" t="s">
        <v>3728</v>
      </c>
      <c r="C1861" s="8">
        <f>QS.CONTEXT.CREATE("market.1859",A1861,"USD","SOFR")</f>
        <v/>
      </c>
      <c r="D1861" s="8">
        <f>QS.CONTEXT.ADD.CURVE(C1861,"SOFR",$K$2:$K$7,$L$2:$L$7,,,"Actual360","LogLinear",TRUE)</f>
        <v/>
      </c>
      <c r="E1861" s="8">
        <f>QS.INSTRUMENT.SWAP("swap.1859",C1861,H1861,B1861,"USD","SOFR",I1861,J1861,0,"Actual360","Simple","Annual","Annual","Annual")</f>
        <v/>
      </c>
      <c r="F1861" s="8">
        <f>QS.TRADE.CREATE("trade.1859",C1861,E1861,A1861,"Receive")</f>
        <v/>
      </c>
      <c r="G1861" s="5"/>
      <c r="H1861" s="7" t="s">
        <v>110</v>
      </c>
      <c r="I1861" s="9">
        <v>1185900</v>
      </c>
      <c r="J1861" s="10">
        <v>0.0359</v>
      </c>
    </row>
    <row r="1862" spans="1:10">
      <c r="A1862" s="7" t="s">
        <v>98</v>
      </c>
      <c r="B1862" s="7" t="s">
        <v>3729</v>
      </c>
      <c r="C1862" s="8">
        <f>QS.CONTEXT.CREATE("market.1860",A1862,"USD","SOFR")</f>
        <v/>
      </c>
      <c r="D1862" s="8">
        <f>QS.CONTEXT.ADD.CURVE(C1862,"SOFR",$K$2:$K$7,$L$2:$L$7,,,"Actual360","LogLinear",TRUE)</f>
        <v/>
      </c>
      <c r="E1862" s="8">
        <f>QS.INSTRUMENT.SWAP("swap.1860",C1862,H1862,B1862,"USD","SOFR",I1862,J1862,0,"Actual360","Simple","Annual","Annual","Annual")</f>
        <v/>
      </c>
      <c r="F1862" s="8">
        <f>QS.TRADE.CREATE("trade.1860",C1862,E1862,A1862,"Receive")</f>
        <v/>
      </c>
      <c r="G1862" s="5"/>
      <c r="H1862" s="7" t="s">
        <v>112</v>
      </c>
      <c r="I1862" s="9">
        <v>1186000</v>
      </c>
      <c r="J1862" s="10">
        <v>0.036</v>
      </c>
    </row>
    <row r="1863" spans="1:10">
      <c r="A1863" s="7" t="s">
        <v>100</v>
      </c>
      <c r="B1863" s="7" t="s">
        <v>3730</v>
      </c>
      <c r="C1863" s="8">
        <f>QS.CONTEXT.CREATE("market.1861",A1863,"USD","SOFR")</f>
        <v/>
      </c>
      <c r="D1863" s="8">
        <f>QS.CONTEXT.ADD.CURVE(C1863,"SOFR",$K$2:$K$7,$L$2:$L$7,,,"Actual360","LogLinear",TRUE)</f>
        <v/>
      </c>
      <c r="E1863" s="8">
        <f>QS.INSTRUMENT.SWAP("swap.1861",C1863,H1863,B1863,"USD","SOFR",I1863,J1863,0,"Actual360","Simple","Annual","Annual","Annual")</f>
        <v/>
      </c>
      <c r="F1863" s="8">
        <f>QS.TRADE.CREATE("trade.1861",C1863,E1863,A1863,"Receive")</f>
        <v/>
      </c>
      <c r="G1863" s="5"/>
      <c r="H1863" s="7" t="s">
        <v>114</v>
      </c>
      <c r="I1863" s="9">
        <v>1186100</v>
      </c>
      <c r="J1863" s="10">
        <v>0.0361</v>
      </c>
    </row>
    <row r="1864" spans="1:10">
      <c r="A1864" s="7" t="s">
        <v>102</v>
      </c>
      <c r="B1864" s="7" t="s">
        <v>3731</v>
      </c>
      <c r="C1864" s="8">
        <f>QS.CONTEXT.CREATE("market.1862",A1864,"USD","SOFR")</f>
        <v/>
      </c>
      <c r="D1864" s="8">
        <f>QS.CONTEXT.ADD.CURVE(C1864,"SOFR",$K$2:$K$7,$L$2:$L$7,,,"Actual360","LogLinear",TRUE)</f>
        <v/>
      </c>
      <c r="E1864" s="8">
        <f>QS.INSTRUMENT.SWAP("swap.1862",C1864,H1864,B1864,"USD","SOFR",I1864,J1864,0,"Actual360","Simple","Annual","Annual","Annual")</f>
        <v/>
      </c>
      <c r="F1864" s="8">
        <f>QS.TRADE.CREATE("trade.1862",C1864,E1864,A1864,"Receive")</f>
        <v/>
      </c>
      <c r="G1864" s="5"/>
      <c r="H1864" s="7" t="s">
        <v>116</v>
      </c>
      <c r="I1864" s="9">
        <v>1186200</v>
      </c>
      <c r="J1864" s="10">
        <v>0.0362</v>
      </c>
    </row>
    <row r="1865" spans="1:10">
      <c r="A1865" s="7" t="s">
        <v>104</v>
      </c>
      <c r="B1865" s="7" t="s">
        <v>3732</v>
      </c>
      <c r="C1865" s="8">
        <f>QS.CONTEXT.CREATE("market.1863",A1865,"USD","SOFR")</f>
        <v/>
      </c>
      <c r="D1865" s="8">
        <f>QS.CONTEXT.ADD.CURVE(C1865,"SOFR",$K$2:$K$7,$L$2:$L$7,,,"Actual360","LogLinear",TRUE)</f>
        <v/>
      </c>
      <c r="E1865" s="8">
        <f>QS.INSTRUMENT.SWAP("swap.1863",C1865,H1865,B1865,"USD","SOFR",I1865,J1865,0,"Actual360","Simple","Annual","Annual","Annual")</f>
        <v/>
      </c>
      <c r="F1865" s="8">
        <f>QS.TRADE.CREATE("trade.1863",C1865,E1865,A1865,"Receive")</f>
        <v/>
      </c>
      <c r="G1865" s="5"/>
      <c r="H1865" s="7" t="s">
        <v>118</v>
      </c>
      <c r="I1865" s="9">
        <v>1186300</v>
      </c>
      <c r="J1865" s="10">
        <v>0.03630000000000001</v>
      </c>
    </row>
    <row r="1866" spans="1:10">
      <c r="A1866" s="7" t="s">
        <v>106</v>
      </c>
      <c r="B1866" s="7" t="s">
        <v>3733</v>
      </c>
      <c r="C1866" s="8">
        <f>QS.CONTEXT.CREATE("market.1864",A1866,"USD","SOFR")</f>
        <v/>
      </c>
      <c r="D1866" s="8">
        <f>QS.CONTEXT.ADD.CURVE(C1866,"SOFR",$K$2:$K$7,$L$2:$L$7,,,"Actual360","LogLinear",TRUE)</f>
        <v/>
      </c>
      <c r="E1866" s="8">
        <f>QS.INSTRUMENT.SWAP("swap.1864",C1866,H1866,B1866,"USD","SOFR",I1866,J1866,0,"Actual360","Simple","Annual","Annual","Annual")</f>
        <v/>
      </c>
      <c r="F1866" s="8">
        <f>QS.TRADE.CREATE("trade.1864",C1866,E1866,A1866,"Receive")</f>
        <v/>
      </c>
      <c r="G1866" s="5"/>
      <c r="H1866" s="7" t="s">
        <v>120</v>
      </c>
      <c r="I1866" s="9">
        <v>1186400</v>
      </c>
      <c r="J1866" s="10">
        <v>0.0364</v>
      </c>
    </row>
    <row r="1867" spans="1:10">
      <c r="A1867" s="7" t="s">
        <v>108</v>
      </c>
      <c r="B1867" s="7" t="s">
        <v>3734</v>
      </c>
      <c r="C1867" s="8">
        <f>QS.CONTEXT.CREATE("market.1865",A1867,"USD","SOFR")</f>
        <v/>
      </c>
      <c r="D1867" s="8">
        <f>QS.CONTEXT.ADD.CURVE(C1867,"SOFR",$K$2:$K$7,$L$2:$L$7,,,"Actual360","LogLinear",TRUE)</f>
        <v/>
      </c>
      <c r="E1867" s="8">
        <f>QS.INSTRUMENT.SWAP("swap.1865",C1867,H1867,B1867,"USD","SOFR",I1867,J1867,0,"Actual360","Simple","Annual","Annual","Annual")</f>
        <v/>
      </c>
      <c r="F1867" s="8">
        <f>QS.TRADE.CREATE("trade.1865",C1867,E1867,A1867,"Receive")</f>
        <v/>
      </c>
      <c r="G1867" s="5"/>
      <c r="H1867" s="7" t="s">
        <v>122</v>
      </c>
      <c r="I1867" s="9">
        <v>1186500</v>
      </c>
      <c r="J1867" s="10">
        <v>0.0365</v>
      </c>
    </row>
    <row r="1868" spans="1:10">
      <c r="A1868" s="7" t="s">
        <v>110</v>
      </c>
      <c r="B1868" s="7" t="s">
        <v>3735</v>
      </c>
      <c r="C1868" s="8">
        <f>QS.CONTEXT.CREATE("market.1866",A1868,"USD","SOFR")</f>
        <v/>
      </c>
      <c r="D1868" s="8">
        <f>QS.CONTEXT.ADD.CURVE(C1868,"SOFR",$K$2:$K$7,$L$2:$L$7,,,"Actual360","LogLinear",TRUE)</f>
        <v/>
      </c>
      <c r="E1868" s="8">
        <f>QS.INSTRUMENT.SWAP("swap.1866",C1868,H1868,B1868,"USD","SOFR",I1868,J1868,0,"Actual360","Simple","Annual","Annual","Annual")</f>
        <v/>
      </c>
      <c r="F1868" s="8">
        <f>QS.TRADE.CREATE("trade.1866",C1868,E1868,A1868,"Receive")</f>
        <v/>
      </c>
      <c r="G1868" s="5"/>
      <c r="H1868" s="7" t="s">
        <v>124</v>
      </c>
      <c r="I1868" s="9">
        <v>1186600</v>
      </c>
      <c r="J1868" s="10">
        <v>0.0366</v>
      </c>
    </row>
    <row r="1869" spans="1:10">
      <c r="A1869" s="7" t="s">
        <v>112</v>
      </c>
      <c r="B1869" s="7" t="s">
        <v>3736</v>
      </c>
      <c r="C1869" s="8">
        <f>QS.CONTEXT.CREATE("market.1867",A1869,"USD","SOFR")</f>
        <v/>
      </c>
      <c r="D1869" s="8">
        <f>QS.CONTEXT.ADD.CURVE(C1869,"SOFR",$K$2:$K$7,$L$2:$L$7,,,"Actual360","LogLinear",TRUE)</f>
        <v/>
      </c>
      <c r="E1869" s="8">
        <f>QS.INSTRUMENT.SWAP("swap.1867",C1869,H1869,B1869,"USD","SOFR",I1869,J1869,0,"Actual360","Simple","Annual","Annual","Annual")</f>
        <v/>
      </c>
      <c r="F1869" s="8">
        <f>QS.TRADE.CREATE("trade.1867",C1869,E1869,A1869,"Receive")</f>
        <v/>
      </c>
      <c r="G1869" s="5"/>
      <c r="H1869" s="7" t="s">
        <v>126</v>
      </c>
      <c r="I1869" s="9">
        <v>1186700</v>
      </c>
      <c r="J1869" s="10">
        <v>0.0367</v>
      </c>
    </row>
    <row r="1870" spans="1:10">
      <c r="A1870" s="7" t="s">
        <v>114</v>
      </c>
      <c r="B1870" s="7" t="s">
        <v>3737</v>
      </c>
      <c r="C1870" s="8">
        <f>QS.CONTEXT.CREATE("market.1868",A1870,"USD","SOFR")</f>
        <v/>
      </c>
      <c r="D1870" s="8">
        <f>QS.CONTEXT.ADD.CURVE(C1870,"SOFR",$K$2:$K$7,$L$2:$L$7,,,"Actual360","LogLinear",TRUE)</f>
        <v/>
      </c>
      <c r="E1870" s="8">
        <f>QS.INSTRUMENT.SWAP("swap.1868",C1870,H1870,B1870,"USD","SOFR",I1870,J1870,0,"Actual360","Simple","Annual","Annual","Annual")</f>
        <v/>
      </c>
      <c r="F1870" s="8">
        <f>QS.TRADE.CREATE("trade.1868",C1870,E1870,A1870,"Receive")</f>
        <v/>
      </c>
      <c r="G1870" s="5"/>
      <c r="H1870" s="7" t="s">
        <v>128</v>
      </c>
      <c r="I1870" s="9">
        <v>1186800</v>
      </c>
      <c r="J1870" s="10">
        <v>0.03680000000000001</v>
      </c>
    </row>
    <row r="1871" spans="1:10">
      <c r="A1871" s="7" t="s">
        <v>116</v>
      </c>
      <c r="B1871" s="7" t="s">
        <v>3738</v>
      </c>
      <c r="C1871" s="8">
        <f>QS.CONTEXT.CREATE("market.1869",A1871,"USD","SOFR")</f>
        <v/>
      </c>
      <c r="D1871" s="8">
        <f>QS.CONTEXT.ADD.CURVE(C1871,"SOFR",$K$2:$K$7,$L$2:$L$7,,,"Actual360","LogLinear",TRUE)</f>
        <v/>
      </c>
      <c r="E1871" s="8">
        <f>QS.INSTRUMENT.SWAP("swap.1869",C1871,H1871,B1871,"USD","SOFR",I1871,J1871,0,"Actual360","Simple","Annual","Annual","Annual")</f>
        <v/>
      </c>
      <c r="F1871" s="8">
        <f>QS.TRADE.CREATE("trade.1869",C1871,E1871,A1871,"Receive")</f>
        <v/>
      </c>
      <c r="G1871" s="5"/>
      <c r="H1871" s="7" t="s">
        <v>130</v>
      </c>
      <c r="I1871" s="9">
        <v>1186900</v>
      </c>
      <c r="J1871" s="10">
        <v>0.0369</v>
      </c>
    </row>
    <row r="1872" spans="1:10">
      <c r="A1872" s="7" t="s">
        <v>118</v>
      </c>
      <c r="B1872" s="7" t="s">
        <v>3739</v>
      </c>
      <c r="C1872" s="8">
        <f>QS.CONTEXT.CREATE("market.1870",A1872,"USD","SOFR")</f>
        <v/>
      </c>
      <c r="D1872" s="8">
        <f>QS.CONTEXT.ADD.CURVE(C1872,"SOFR",$K$2:$K$7,$L$2:$L$7,,,"Actual360","LogLinear",TRUE)</f>
        <v/>
      </c>
      <c r="E1872" s="8">
        <f>QS.INSTRUMENT.SWAP("swap.1870",C1872,H1872,B1872,"USD","SOFR",I1872,J1872,0,"Actual360","Simple","Annual","Annual","Annual")</f>
        <v/>
      </c>
      <c r="F1872" s="8">
        <f>QS.TRADE.CREATE("trade.1870",C1872,E1872,A1872,"Receive")</f>
        <v/>
      </c>
      <c r="G1872" s="5"/>
      <c r="H1872" s="7" t="s">
        <v>132</v>
      </c>
      <c r="I1872" s="9">
        <v>1187000</v>
      </c>
      <c r="J1872" s="10">
        <v>0.03700000000000001</v>
      </c>
    </row>
    <row r="1873" spans="1:10">
      <c r="A1873" s="7" t="s">
        <v>120</v>
      </c>
      <c r="B1873" s="7" t="s">
        <v>3740</v>
      </c>
      <c r="C1873" s="8">
        <f>QS.CONTEXT.CREATE("market.1871",A1873,"USD","SOFR")</f>
        <v/>
      </c>
      <c r="D1873" s="8">
        <f>QS.CONTEXT.ADD.CURVE(C1873,"SOFR",$K$2:$K$7,$L$2:$L$7,,,"Actual360","LogLinear",TRUE)</f>
        <v/>
      </c>
      <c r="E1873" s="8">
        <f>QS.INSTRUMENT.SWAP("swap.1871",C1873,H1873,B1873,"USD","SOFR",I1873,J1873,0,"Actual360","Simple","Annual","Annual","Annual")</f>
        <v/>
      </c>
      <c r="F1873" s="8">
        <f>QS.TRADE.CREATE("trade.1871",C1873,E1873,A1873,"Receive")</f>
        <v/>
      </c>
      <c r="G1873" s="5"/>
      <c r="H1873" s="7" t="s">
        <v>134</v>
      </c>
      <c r="I1873" s="9">
        <v>1187100</v>
      </c>
      <c r="J1873" s="10">
        <v>0.0371</v>
      </c>
    </row>
    <row r="1874" spans="1:10">
      <c r="A1874" s="7" t="s">
        <v>122</v>
      </c>
      <c r="B1874" s="7" t="s">
        <v>3741</v>
      </c>
      <c r="C1874" s="8">
        <f>QS.CONTEXT.CREATE("market.1872",A1874,"USD","SOFR")</f>
        <v/>
      </c>
      <c r="D1874" s="8">
        <f>QS.CONTEXT.ADD.CURVE(C1874,"SOFR",$K$2:$K$7,$L$2:$L$7,,,"Actual360","LogLinear",TRUE)</f>
        <v/>
      </c>
      <c r="E1874" s="8">
        <f>QS.INSTRUMENT.SWAP("swap.1872",C1874,H1874,B1874,"USD","SOFR",I1874,J1874,0,"Actual360","Simple","Annual","Annual","Annual")</f>
        <v/>
      </c>
      <c r="F1874" s="8">
        <f>QS.TRADE.CREATE("trade.1872",C1874,E1874,A1874,"Receive")</f>
        <v/>
      </c>
      <c r="G1874" s="5"/>
      <c r="H1874" s="7" t="s">
        <v>136</v>
      </c>
      <c r="I1874" s="9">
        <v>1187200</v>
      </c>
      <c r="J1874" s="10">
        <v>0.0372</v>
      </c>
    </row>
    <row r="1875" spans="1:10">
      <c r="A1875" s="7" t="s">
        <v>124</v>
      </c>
      <c r="B1875" s="7" t="s">
        <v>3742</v>
      </c>
      <c r="C1875" s="8">
        <f>QS.CONTEXT.CREATE("market.1873",A1875,"USD","SOFR")</f>
        <v/>
      </c>
      <c r="D1875" s="8">
        <f>QS.CONTEXT.ADD.CURVE(C1875,"SOFR",$K$2:$K$7,$L$2:$L$7,,,"Actual360","LogLinear",TRUE)</f>
        <v/>
      </c>
      <c r="E1875" s="8">
        <f>QS.INSTRUMENT.SWAP("swap.1873",C1875,H1875,B1875,"USD","SOFR",I1875,J1875,0,"Actual360","Simple","Annual","Annual","Annual")</f>
        <v/>
      </c>
      <c r="F1875" s="8">
        <f>QS.TRADE.CREATE("trade.1873",C1875,E1875,A1875,"Receive")</f>
        <v/>
      </c>
      <c r="G1875" s="5"/>
      <c r="H1875" s="7" t="s">
        <v>138</v>
      </c>
      <c r="I1875" s="9">
        <v>1187300</v>
      </c>
      <c r="J1875" s="10">
        <v>0.0373</v>
      </c>
    </row>
    <row r="1876" spans="1:10">
      <c r="A1876" s="7" t="s">
        <v>126</v>
      </c>
      <c r="B1876" s="7" t="s">
        <v>3743</v>
      </c>
      <c r="C1876" s="8">
        <f>QS.CONTEXT.CREATE("market.1874",A1876,"USD","SOFR")</f>
        <v/>
      </c>
      <c r="D1876" s="8">
        <f>QS.CONTEXT.ADD.CURVE(C1876,"SOFR",$K$2:$K$7,$L$2:$L$7,,,"Actual360","LogLinear",TRUE)</f>
        <v/>
      </c>
      <c r="E1876" s="8">
        <f>QS.INSTRUMENT.SWAP("swap.1874",C1876,H1876,B1876,"USD","SOFR",I1876,J1876,0,"Actual360","Simple","Annual","Annual","Annual")</f>
        <v/>
      </c>
      <c r="F1876" s="8">
        <f>QS.TRADE.CREATE("trade.1874",C1876,E1876,A1876,"Receive")</f>
        <v/>
      </c>
      <c r="G1876" s="5"/>
      <c r="H1876" s="7" t="s">
        <v>140</v>
      </c>
      <c r="I1876" s="9">
        <v>1187400</v>
      </c>
      <c r="J1876" s="10">
        <v>0.0374</v>
      </c>
    </row>
    <row r="1877" spans="1:10">
      <c r="A1877" s="7" t="s">
        <v>128</v>
      </c>
      <c r="B1877" s="7" t="s">
        <v>3744</v>
      </c>
      <c r="C1877" s="8">
        <f>QS.CONTEXT.CREATE("market.1875",A1877,"USD","SOFR")</f>
        <v/>
      </c>
      <c r="D1877" s="8">
        <f>QS.CONTEXT.ADD.CURVE(C1877,"SOFR",$K$2:$K$7,$L$2:$L$7,,,"Actual360","LogLinear",TRUE)</f>
        <v/>
      </c>
      <c r="E1877" s="8">
        <f>QS.INSTRUMENT.SWAP("swap.1875",C1877,H1877,B1877,"USD","SOFR",I1877,J1877,0,"Actual360","Simple","Annual","Annual","Annual")</f>
        <v/>
      </c>
      <c r="F1877" s="8">
        <f>QS.TRADE.CREATE("trade.1875",C1877,E1877,A1877,"Receive")</f>
        <v/>
      </c>
      <c r="G1877" s="5"/>
      <c r="H1877" s="7" t="s">
        <v>142</v>
      </c>
      <c r="I1877" s="9">
        <v>1187500</v>
      </c>
      <c r="J1877" s="10">
        <v>0.03750000000000001</v>
      </c>
    </row>
    <row r="1878" spans="1:10">
      <c r="A1878" s="7" t="s">
        <v>130</v>
      </c>
      <c r="B1878" s="7" t="s">
        <v>3745</v>
      </c>
      <c r="C1878" s="8">
        <f>QS.CONTEXT.CREATE("market.1876",A1878,"USD","SOFR")</f>
        <v/>
      </c>
      <c r="D1878" s="8">
        <f>QS.CONTEXT.ADD.CURVE(C1878,"SOFR",$K$2:$K$7,$L$2:$L$7,,,"Actual360","LogLinear",TRUE)</f>
        <v/>
      </c>
      <c r="E1878" s="8">
        <f>QS.INSTRUMENT.SWAP("swap.1876",C1878,H1878,B1878,"USD","SOFR",I1878,J1878,0,"Actual360","Simple","Annual","Annual","Annual")</f>
        <v/>
      </c>
      <c r="F1878" s="8">
        <f>QS.TRADE.CREATE("trade.1876",C1878,E1878,A1878,"Receive")</f>
        <v/>
      </c>
      <c r="G1878" s="5"/>
      <c r="H1878" s="7" t="s">
        <v>144</v>
      </c>
      <c r="I1878" s="9">
        <v>1187600</v>
      </c>
      <c r="J1878" s="10">
        <v>0.0376</v>
      </c>
    </row>
    <row r="1879" spans="1:10">
      <c r="A1879" s="7" t="s">
        <v>132</v>
      </c>
      <c r="B1879" s="7" t="s">
        <v>3746</v>
      </c>
      <c r="C1879" s="8">
        <f>QS.CONTEXT.CREATE("market.1877",A1879,"USD","SOFR")</f>
        <v/>
      </c>
      <c r="D1879" s="8">
        <f>QS.CONTEXT.ADD.CURVE(C1879,"SOFR",$K$2:$K$7,$L$2:$L$7,,,"Actual360","LogLinear",TRUE)</f>
        <v/>
      </c>
      <c r="E1879" s="8">
        <f>QS.INSTRUMENT.SWAP("swap.1877",C1879,H1879,B1879,"USD","SOFR",I1879,J1879,0,"Actual360","Simple","Annual","Annual","Annual")</f>
        <v/>
      </c>
      <c r="F1879" s="8">
        <f>QS.TRADE.CREATE("trade.1877",C1879,E1879,A1879,"Receive")</f>
        <v/>
      </c>
      <c r="G1879" s="5"/>
      <c r="H1879" s="7" t="s">
        <v>146</v>
      </c>
      <c r="I1879" s="9">
        <v>1187700</v>
      </c>
      <c r="J1879" s="10">
        <v>0.0377</v>
      </c>
    </row>
    <row r="1880" spans="1:10">
      <c r="A1880" s="7" t="s">
        <v>134</v>
      </c>
      <c r="B1880" s="7" t="s">
        <v>3747</v>
      </c>
      <c r="C1880" s="8">
        <f>QS.CONTEXT.CREATE("market.1878",A1880,"USD","SOFR")</f>
        <v/>
      </c>
      <c r="D1880" s="8">
        <f>QS.CONTEXT.ADD.CURVE(C1880,"SOFR",$K$2:$K$7,$L$2:$L$7,,,"Actual360","LogLinear",TRUE)</f>
        <v/>
      </c>
      <c r="E1880" s="8">
        <f>QS.INSTRUMENT.SWAP("swap.1878",C1880,H1880,B1880,"USD","SOFR",I1880,J1880,0,"Actual360","Simple","Annual","Annual","Annual")</f>
        <v/>
      </c>
      <c r="F1880" s="8">
        <f>QS.TRADE.CREATE("trade.1878",C1880,E1880,A1880,"Receive")</f>
        <v/>
      </c>
      <c r="G1880" s="5"/>
      <c r="H1880" s="7" t="s">
        <v>148</v>
      </c>
      <c r="I1880" s="9">
        <v>1187800</v>
      </c>
      <c r="J1880" s="10">
        <v>0.0378</v>
      </c>
    </row>
    <row r="1881" spans="1:10">
      <c r="A1881" s="7" t="s">
        <v>136</v>
      </c>
      <c r="B1881" s="7" t="s">
        <v>3748</v>
      </c>
      <c r="C1881" s="8">
        <f>QS.CONTEXT.CREATE("market.1879",A1881,"USD","SOFR")</f>
        <v/>
      </c>
      <c r="D1881" s="8">
        <f>QS.CONTEXT.ADD.CURVE(C1881,"SOFR",$K$2:$K$7,$L$2:$L$7,,,"Actual360","LogLinear",TRUE)</f>
        <v/>
      </c>
      <c r="E1881" s="8">
        <f>QS.INSTRUMENT.SWAP("swap.1879",C1881,H1881,B1881,"USD","SOFR",I1881,J1881,0,"Actual360","Simple","Annual","Annual","Annual")</f>
        <v/>
      </c>
      <c r="F1881" s="8">
        <f>QS.TRADE.CREATE("trade.1879",C1881,E1881,A1881,"Receive")</f>
        <v/>
      </c>
      <c r="G1881" s="5"/>
      <c r="H1881" s="7" t="s">
        <v>150</v>
      </c>
      <c r="I1881" s="9">
        <v>1187900</v>
      </c>
      <c r="J1881" s="10">
        <v>0.0379</v>
      </c>
    </row>
    <row r="1882" spans="1:10">
      <c r="A1882" s="7" t="s">
        <v>138</v>
      </c>
      <c r="B1882" s="7" t="s">
        <v>3749</v>
      </c>
      <c r="C1882" s="8">
        <f>QS.CONTEXT.CREATE("market.1880",A1882,"USD","SOFR")</f>
        <v/>
      </c>
      <c r="D1882" s="8">
        <f>QS.CONTEXT.ADD.CURVE(C1882,"SOFR",$K$2:$K$7,$L$2:$L$7,,,"Actual360","LogLinear",TRUE)</f>
        <v/>
      </c>
      <c r="E1882" s="8">
        <f>QS.INSTRUMENT.SWAP("swap.1880",C1882,H1882,B1882,"USD","SOFR",I1882,J1882,0,"Actual360","Simple","Annual","Annual","Annual")</f>
        <v/>
      </c>
      <c r="F1882" s="8">
        <f>QS.TRADE.CREATE("trade.1880",C1882,E1882,A1882,"Receive")</f>
        <v/>
      </c>
      <c r="G1882" s="5"/>
      <c r="H1882" s="7" t="s">
        <v>152</v>
      </c>
      <c r="I1882" s="9">
        <v>1188000</v>
      </c>
      <c r="J1882" s="10">
        <v>0.03800000000000001</v>
      </c>
    </row>
    <row r="1883" spans="1:10">
      <c r="A1883" s="7" t="s">
        <v>140</v>
      </c>
      <c r="B1883" s="7" t="s">
        <v>3750</v>
      </c>
      <c r="C1883" s="8">
        <f>QS.CONTEXT.CREATE("market.1881",A1883,"USD","SOFR")</f>
        <v/>
      </c>
      <c r="D1883" s="8">
        <f>QS.CONTEXT.ADD.CURVE(C1883,"SOFR",$K$2:$K$7,$L$2:$L$7,,,"Actual360","LogLinear",TRUE)</f>
        <v/>
      </c>
      <c r="E1883" s="8">
        <f>QS.INSTRUMENT.SWAP("swap.1881",C1883,H1883,B1883,"USD","SOFR",I1883,J1883,0,"Actual360","Simple","Annual","Annual","Annual")</f>
        <v/>
      </c>
      <c r="F1883" s="8">
        <f>QS.TRADE.CREATE("trade.1881",C1883,E1883,A1883,"Receive")</f>
        <v/>
      </c>
      <c r="G1883" s="5"/>
      <c r="H1883" s="7" t="s">
        <v>154</v>
      </c>
      <c r="I1883" s="9">
        <v>1188100</v>
      </c>
      <c r="J1883" s="10">
        <v>0.0381</v>
      </c>
    </row>
    <row r="1884" spans="1:10">
      <c r="A1884" s="7" t="s">
        <v>142</v>
      </c>
      <c r="B1884" s="7" t="s">
        <v>3751</v>
      </c>
      <c r="C1884" s="8">
        <f>QS.CONTEXT.CREATE("market.1882",A1884,"USD","SOFR")</f>
        <v/>
      </c>
      <c r="D1884" s="8">
        <f>QS.CONTEXT.ADD.CURVE(C1884,"SOFR",$K$2:$K$7,$L$2:$L$7,,,"Actual360","LogLinear",TRUE)</f>
        <v/>
      </c>
      <c r="E1884" s="8">
        <f>QS.INSTRUMENT.SWAP("swap.1882",C1884,H1884,B1884,"USD","SOFR",I1884,J1884,0,"Actual360","Simple","Annual","Annual","Annual")</f>
        <v/>
      </c>
      <c r="F1884" s="8">
        <f>QS.TRADE.CREATE("trade.1882",C1884,E1884,A1884,"Receive")</f>
        <v/>
      </c>
      <c r="G1884" s="5"/>
      <c r="H1884" s="7" t="s">
        <v>156</v>
      </c>
      <c r="I1884" s="9">
        <v>1188200</v>
      </c>
      <c r="J1884" s="10">
        <v>0.0382</v>
      </c>
    </row>
    <row r="1885" spans="1:10">
      <c r="A1885" s="7" t="s">
        <v>144</v>
      </c>
      <c r="B1885" s="7" t="s">
        <v>3752</v>
      </c>
      <c r="C1885" s="8">
        <f>QS.CONTEXT.CREATE("market.1883",A1885,"USD","SOFR")</f>
        <v/>
      </c>
      <c r="D1885" s="8">
        <f>QS.CONTEXT.ADD.CURVE(C1885,"SOFR",$K$2:$K$7,$L$2:$L$7,,,"Actual360","LogLinear",TRUE)</f>
        <v/>
      </c>
      <c r="E1885" s="8">
        <f>QS.INSTRUMENT.SWAP("swap.1883",C1885,H1885,B1885,"USD","SOFR",I1885,J1885,0,"Actual360","Simple","Annual","Annual","Annual")</f>
        <v/>
      </c>
      <c r="F1885" s="8">
        <f>QS.TRADE.CREATE("trade.1883",C1885,E1885,A1885,"Receive")</f>
        <v/>
      </c>
      <c r="G1885" s="5"/>
      <c r="H1885" s="7" t="s">
        <v>158</v>
      </c>
      <c r="I1885" s="9">
        <v>1188300</v>
      </c>
      <c r="J1885" s="10">
        <v>0.0383</v>
      </c>
    </row>
    <row r="1886" spans="1:10">
      <c r="A1886" s="7" t="s">
        <v>146</v>
      </c>
      <c r="B1886" s="7" t="s">
        <v>3753</v>
      </c>
      <c r="C1886" s="8">
        <f>QS.CONTEXT.CREATE("market.1884",A1886,"USD","SOFR")</f>
        <v/>
      </c>
      <c r="D1886" s="8">
        <f>QS.CONTEXT.ADD.CURVE(C1886,"SOFR",$K$2:$K$7,$L$2:$L$7,,,"Actual360","LogLinear",TRUE)</f>
        <v/>
      </c>
      <c r="E1886" s="8">
        <f>QS.INSTRUMENT.SWAP("swap.1884",C1886,H1886,B1886,"USD","SOFR",I1886,J1886,0,"Actual360","Simple","Annual","Annual","Annual")</f>
        <v/>
      </c>
      <c r="F1886" s="8">
        <f>QS.TRADE.CREATE("trade.1884",C1886,E1886,A1886,"Receive")</f>
        <v/>
      </c>
      <c r="G1886" s="5"/>
      <c r="H1886" s="7" t="s">
        <v>160</v>
      </c>
      <c r="I1886" s="9">
        <v>1188400</v>
      </c>
      <c r="J1886" s="10">
        <v>0.0384</v>
      </c>
    </row>
    <row r="1887" spans="1:10">
      <c r="A1887" s="7" t="s">
        <v>148</v>
      </c>
      <c r="B1887" s="7" t="s">
        <v>3754</v>
      </c>
      <c r="C1887" s="8">
        <f>QS.CONTEXT.CREATE("market.1885",A1887,"USD","SOFR")</f>
        <v/>
      </c>
      <c r="D1887" s="8">
        <f>QS.CONTEXT.ADD.CURVE(C1887,"SOFR",$K$2:$K$7,$L$2:$L$7,,,"Actual360","LogLinear",TRUE)</f>
        <v/>
      </c>
      <c r="E1887" s="8">
        <f>QS.INSTRUMENT.SWAP("swap.1885",C1887,H1887,B1887,"USD","SOFR",I1887,J1887,0,"Actual360","Simple","Annual","Annual","Annual")</f>
        <v/>
      </c>
      <c r="F1887" s="8">
        <f>QS.TRADE.CREATE("trade.1885",C1887,E1887,A1887,"Receive")</f>
        <v/>
      </c>
      <c r="G1887" s="5"/>
      <c r="H1887" s="7" t="s">
        <v>162</v>
      </c>
      <c r="I1887" s="9">
        <v>1188500</v>
      </c>
      <c r="J1887" s="10">
        <v>0.03850000000000001</v>
      </c>
    </row>
    <row r="1888" spans="1:10">
      <c r="A1888" s="7" t="s">
        <v>150</v>
      </c>
      <c r="B1888" s="7" t="s">
        <v>3755</v>
      </c>
      <c r="C1888" s="8">
        <f>QS.CONTEXT.CREATE("market.1886",A1888,"USD","SOFR")</f>
        <v/>
      </c>
      <c r="D1888" s="8">
        <f>QS.CONTEXT.ADD.CURVE(C1888,"SOFR",$K$2:$K$7,$L$2:$L$7,,,"Actual360","LogLinear",TRUE)</f>
        <v/>
      </c>
      <c r="E1888" s="8">
        <f>QS.INSTRUMENT.SWAP("swap.1886",C1888,H1888,B1888,"USD","SOFR",I1888,J1888,0,"Actual360","Simple","Annual","Annual","Annual")</f>
        <v/>
      </c>
      <c r="F1888" s="8">
        <f>QS.TRADE.CREATE("trade.1886",C1888,E1888,A1888,"Receive")</f>
        <v/>
      </c>
      <c r="G1888" s="5"/>
      <c r="H1888" s="7" t="s">
        <v>164</v>
      </c>
      <c r="I1888" s="9">
        <v>1188600</v>
      </c>
      <c r="J1888" s="10">
        <v>0.0386</v>
      </c>
    </row>
    <row r="1889" spans="1:10">
      <c r="A1889" s="7" t="s">
        <v>152</v>
      </c>
      <c r="B1889" s="7" t="s">
        <v>3756</v>
      </c>
      <c r="C1889" s="8">
        <f>QS.CONTEXT.CREATE("market.1887",A1889,"USD","SOFR")</f>
        <v/>
      </c>
      <c r="D1889" s="8">
        <f>QS.CONTEXT.ADD.CURVE(C1889,"SOFR",$K$2:$K$7,$L$2:$L$7,,,"Actual360","LogLinear",TRUE)</f>
        <v/>
      </c>
      <c r="E1889" s="8">
        <f>QS.INSTRUMENT.SWAP("swap.1887",C1889,H1889,B1889,"USD","SOFR",I1889,J1889,0,"Actual360","Simple","Annual","Annual","Annual")</f>
        <v/>
      </c>
      <c r="F1889" s="8">
        <f>QS.TRADE.CREATE("trade.1887",C1889,E1889,A1889,"Receive")</f>
        <v/>
      </c>
      <c r="G1889" s="5"/>
      <c r="H1889" s="7" t="s">
        <v>166</v>
      </c>
      <c r="I1889" s="9">
        <v>1188700</v>
      </c>
      <c r="J1889" s="10">
        <v>0.03870000000000001</v>
      </c>
    </row>
    <row r="1890" spans="1:10">
      <c r="A1890" s="7" t="s">
        <v>154</v>
      </c>
      <c r="B1890" s="7" t="s">
        <v>3757</v>
      </c>
      <c r="C1890" s="8">
        <f>QS.CONTEXT.CREATE("market.1888",A1890,"USD","SOFR")</f>
        <v/>
      </c>
      <c r="D1890" s="8">
        <f>QS.CONTEXT.ADD.CURVE(C1890,"SOFR",$K$2:$K$7,$L$2:$L$7,,,"Actual360","LogLinear",TRUE)</f>
        <v/>
      </c>
      <c r="E1890" s="8">
        <f>QS.INSTRUMENT.SWAP("swap.1888",C1890,H1890,B1890,"USD","SOFR",I1890,J1890,0,"Actual360","Simple","Annual","Annual","Annual")</f>
        <v/>
      </c>
      <c r="F1890" s="8">
        <f>QS.TRADE.CREATE("trade.1888",C1890,E1890,A1890,"Receive")</f>
        <v/>
      </c>
      <c r="G1890" s="5"/>
      <c r="H1890" s="7" t="s">
        <v>168</v>
      </c>
      <c r="I1890" s="9">
        <v>1188800</v>
      </c>
      <c r="J1890" s="10">
        <v>0.0388</v>
      </c>
    </row>
    <row r="1891" spans="1:10">
      <c r="A1891" s="7" t="s">
        <v>156</v>
      </c>
      <c r="B1891" s="7" t="s">
        <v>3758</v>
      </c>
      <c r="C1891" s="8">
        <f>QS.CONTEXT.CREATE("market.1889",A1891,"USD","SOFR")</f>
        <v/>
      </c>
      <c r="D1891" s="8">
        <f>QS.CONTEXT.ADD.CURVE(C1891,"SOFR",$K$2:$K$7,$L$2:$L$7,,,"Actual360","LogLinear",TRUE)</f>
        <v/>
      </c>
      <c r="E1891" s="8">
        <f>QS.INSTRUMENT.SWAP("swap.1889",C1891,H1891,B1891,"USD","SOFR",I1891,J1891,0,"Actual360","Simple","Annual","Annual","Annual")</f>
        <v/>
      </c>
      <c r="F1891" s="8">
        <f>QS.TRADE.CREATE("trade.1889",C1891,E1891,A1891,"Receive")</f>
        <v/>
      </c>
      <c r="G1891" s="5"/>
      <c r="H1891" s="7" t="s">
        <v>170</v>
      </c>
      <c r="I1891" s="9">
        <v>1188900</v>
      </c>
      <c r="J1891" s="10">
        <v>0.0389</v>
      </c>
    </row>
    <row r="1892" spans="1:10">
      <c r="A1892" s="7" t="s">
        <v>158</v>
      </c>
      <c r="B1892" s="7" t="s">
        <v>3759</v>
      </c>
      <c r="C1892" s="8">
        <f>QS.CONTEXT.CREATE("market.1890",A1892,"USD","SOFR")</f>
        <v/>
      </c>
      <c r="D1892" s="8">
        <f>QS.CONTEXT.ADD.CURVE(C1892,"SOFR",$K$2:$K$7,$L$2:$L$7,,,"Actual360","LogLinear",TRUE)</f>
        <v/>
      </c>
      <c r="E1892" s="8">
        <f>QS.INSTRUMENT.SWAP("swap.1890",C1892,H1892,B1892,"USD","SOFR",I1892,J1892,0,"Actual360","Simple","Annual","Annual","Annual")</f>
        <v/>
      </c>
      <c r="F1892" s="8">
        <f>QS.TRADE.CREATE("trade.1890",C1892,E1892,A1892,"Receive")</f>
        <v/>
      </c>
      <c r="G1892" s="5"/>
      <c r="H1892" s="7" t="s">
        <v>172</v>
      </c>
      <c r="I1892" s="9">
        <v>1189000</v>
      </c>
      <c r="J1892" s="10">
        <v>0.03900000000000001</v>
      </c>
    </row>
    <row r="1893" spans="1:10">
      <c r="A1893" s="7" t="s">
        <v>160</v>
      </c>
      <c r="B1893" s="7" t="s">
        <v>3760</v>
      </c>
      <c r="C1893" s="8">
        <f>QS.CONTEXT.CREATE("market.1891",A1893,"USD","SOFR")</f>
        <v/>
      </c>
      <c r="D1893" s="8">
        <f>QS.CONTEXT.ADD.CURVE(C1893,"SOFR",$K$2:$K$7,$L$2:$L$7,,,"Actual360","LogLinear",TRUE)</f>
        <v/>
      </c>
      <c r="E1893" s="8">
        <f>QS.INSTRUMENT.SWAP("swap.1891",C1893,H1893,B1893,"USD","SOFR",I1893,J1893,0,"Actual360","Simple","Annual","Annual","Annual")</f>
        <v/>
      </c>
      <c r="F1893" s="8">
        <f>QS.TRADE.CREATE("trade.1891",C1893,E1893,A1893,"Receive")</f>
        <v/>
      </c>
      <c r="G1893" s="5"/>
      <c r="H1893" s="7" t="s">
        <v>174</v>
      </c>
      <c r="I1893" s="9">
        <v>1189100</v>
      </c>
      <c r="J1893" s="10">
        <v>0.0391</v>
      </c>
    </row>
    <row r="1894" spans="1:10">
      <c r="A1894" s="7" t="s">
        <v>162</v>
      </c>
      <c r="B1894" s="7" t="s">
        <v>3761</v>
      </c>
      <c r="C1894" s="8">
        <f>QS.CONTEXT.CREATE("market.1892",A1894,"USD","SOFR")</f>
        <v/>
      </c>
      <c r="D1894" s="8">
        <f>QS.CONTEXT.ADD.CURVE(C1894,"SOFR",$K$2:$K$7,$L$2:$L$7,,,"Actual360","LogLinear",TRUE)</f>
        <v/>
      </c>
      <c r="E1894" s="8">
        <f>QS.INSTRUMENT.SWAP("swap.1892",C1894,H1894,B1894,"USD","SOFR",I1894,J1894,0,"Actual360","Simple","Annual","Annual","Annual")</f>
        <v/>
      </c>
      <c r="F1894" s="8">
        <f>QS.TRADE.CREATE("trade.1892",C1894,E1894,A1894,"Receive")</f>
        <v/>
      </c>
      <c r="G1894" s="5"/>
      <c r="H1894" s="7" t="s">
        <v>176</v>
      </c>
      <c r="I1894" s="9">
        <v>1189200</v>
      </c>
      <c r="J1894" s="10">
        <v>0.03920000000000001</v>
      </c>
    </row>
    <row r="1895" spans="1:10">
      <c r="A1895" s="7" t="s">
        <v>164</v>
      </c>
      <c r="B1895" s="7" t="s">
        <v>3762</v>
      </c>
      <c r="C1895" s="8">
        <f>QS.CONTEXT.CREATE("market.1893",A1895,"USD","SOFR")</f>
        <v/>
      </c>
      <c r="D1895" s="8">
        <f>QS.CONTEXT.ADD.CURVE(C1895,"SOFR",$K$2:$K$7,$L$2:$L$7,,,"Actual360","LogLinear",TRUE)</f>
        <v/>
      </c>
      <c r="E1895" s="8">
        <f>QS.INSTRUMENT.SWAP("swap.1893",C1895,H1895,B1895,"USD","SOFR",I1895,J1895,0,"Actual360","Simple","Annual","Annual","Annual")</f>
        <v/>
      </c>
      <c r="F1895" s="8">
        <f>QS.TRADE.CREATE("trade.1893",C1895,E1895,A1895,"Receive")</f>
        <v/>
      </c>
      <c r="G1895" s="5"/>
      <c r="H1895" s="7" t="s">
        <v>178</v>
      </c>
      <c r="I1895" s="9">
        <v>1189300</v>
      </c>
      <c r="J1895" s="10">
        <v>0.0393</v>
      </c>
    </row>
    <row r="1896" spans="1:10">
      <c r="A1896" s="7" t="s">
        <v>166</v>
      </c>
      <c r="B1896" s="7" t="s">
        <v>3763</v>
      </c>
      <c r="C1896" s="8">
        <f>QS.CONTEXT.CREATE("market.1894",A1896,"USD","SOFR")</f>
        <v/>
      </c>
      <c r="D1896" s="8">
        <f>QS.CONTEXT.ADD.CURVE(C1896,"SOFR",$K$2:$K$7,$L$2:$L$7,,,"Actual360","LogLinear",TRUE)</f>
        <v/>
      </c>
      <c r="E1896" s="8">
        <f>QS.INSTRUMENT.SWAP("swap.1894",C1896,H1896,B1896,"USD","SOFR",I1896,J1896,0,"Actual360","Simple","Annual","Annual","Annual")</f>
        <v/>
      </c>
      <c r="F1896" s="8">
        <f>QS.TRADE.CREATE("trade.1894",C1896,E1896,A1896,"Receive")</f>
        <v/>
      </c>
      <c r="G1896" s="5"/>
      <c r="H1896" s="7" t="s">
        <v>180</v>
      </c>
      <c r="I1896" s="9">
        <v>1189400</v>
      </c>
      <c r="J1896" s="10">
        <v>0.0394</v>
      </c>
    </row>
    <row r="1897" spans="1:10">
      <c r="A1897" s="7" t="s">
        <v>168</v>
      </c>
      <c r="B1897" s="7" t="s">
        <v>3764</v>
      </c>
      <c r="C1897" s="8">
        <f>QS.CONTEXT.CREATE("market.1895",A1897,"USD","SOFR")</f>
        <v/>
      </c>
      <c r="D1897" s="8">
        <f>QS.CONTEXT.ADD.CURVE(C1897,"SOFR",$K$2:$K$7,$L$2:$L$7,,,"Actual360","LogLinear",TRUE)</f>
        <v/>
      </c>
      <c r="E1897" s="8">
        <f>QS.INSTRUMENT.SWAP("swap.1895",C1897,H1897,B1897,"USD","SOFR",I1897,J1897,0,"Actual360","Simple","Annual","Annual","Annual")</f>
        <v/>
      </c>
      <c r="F1897" s="8">
        <f>QS.TRADE.CREATE("trade.1895",C1897,E1897,A1897,"Receive")</f>
        <v/>
      </c>
      <c r="G1897" s="5"/>
      <c r="H1897" s="7" t="s">
        <v>182</v>
      </c>
      <c r="I1897" s="9">
        <v>1189500</v>
      </c>
      <c r="J1897" s="10">
        <v>0.03950000000000001</v>
      </c>
    </row>
    <row r="1898" spans="1:10">
      <c r="A1898" s="7" t="s">
        <v>170</v>
      </c>
      <c r="B1898" s="7" t="s">
        <v>3765</v>
      </c>
      <c r="C1898" s="8">
        <f>QS.CONTEXT.CREATE("market.1896",A1898,"USD","SOFR")</f>
        <v/>
      </c>
      <c r="D1898" s="8">
        <f>QS.CONTEXT.ADD.CURVE(C1898,"SOFR",$K$2:$K$7,$L$2:$L$7,,,"Actual360","LogLinear",TRUE)</f>
        <v/>
      </c>
      <c r="E1898" s="8">
        <f>QS.INSTRUMENT.SWAP("swap.1896",C1898,H1898,B1898,"USD","SOFR",I1898,J1898,0,"Actual360","Simple","Annual","Annual","Annual")</f>
        <v/>
      </c>
      <c r="F1898" s="8">
        <f>QS.TRADE.CREATE("trade.1896",C1898,E1898,A1898,"Receive")</f>
        <v/>
      </c>
      <c r="G1898" s="5"/>
      <c r="H1898" s="7" t="s">
        <v>184</v>
      </c>
      <c r="I1898" s="9">
        <v>1189600</v>
      </c>
      <c r="J1898" s="10">
        <v>0.0396</v>
      </c>
    </row>
    <row r="1899" spans="1:10">
      <c r="A1899" s="7" t="s">
        <v>172</v>
      </c>
      <c r="B1899" s="7" t="s">
        <v>3766</v>
      </c>
      <c r="C1899" s="8">
        <f>QS.CONTEXT.CREATE("market.1897",A1899,"USD","SOFR")</f>
        <v/>
      </c>
      <c r="D1899" s="8">
        <f>QS.CONTEXT.ADD.CURVE(C1899,"SOFR",$K$2:$K$7,$L$2:$L$7,,,"Actual360","LogLinear",TRUE)</f>
        <v/>
      </c>
      <c r="E1899" s="8">
        <f>QS.INSTRUMENT.SWAP("swap.1897",C1899,H1899,B1899,"USD","SOFR",I1899,J1899,0,"Actual360","Simple","Annual","Annual","Annual")</f>
        <v/>
      </c>
      <c r="F1899" s="8">
        <f>QS.TRADE.CREATE("trade.1897",C1899,E1899,A1899,"Receive")</f>
        <v/>
      </c>
      <c r="G1899" s="5"/>
      <c r="H1899" s="7" t="s">
        <v>186</v>
      </c>
      <c r="I1899" s="9">
        <v>1189700</v>
      </c>
      <c r="J1899" s="10">
        <v>0.03970000000000001</v>
      </c>
    </row>
    <row r="1900" spans="1:10">
      <c r="A1900" s="7" t="s">
        <v>174</v>
      </c>
      <c r="B1900" s="7" t="s">
        <v>3767</v>
      </c>
      <c r="C1900" s="8">
        <f>QS.CONTEXT.CREATE("market.1898",A1900,"USD","SOFR")</f>
        <v/>
      </c>
      <c r="D1900" s="8">
        <f>QS.CONTEXT.ADD.CURVE(C1900,"SOFR",$K$2:$K$7,$L$2:$L$7,,,"Actual360","LogLinear",TRUE)</f>
        <v/>
      </c>
      <c r="E1900" s="8">
        <f>QS.INSTRUMENT.SWAP("swap.1898",C1900,H1900,B1900,"USD","SOFR",I1900,J1900,0,"Actual360","Simple","Annual","Annual","Annual")</f>
        <v/>
      </c>
      <c r="F1900" s="8">
        <f>QS.TRADE.CREATE("trade.1898",C1900,E1900,A1900,"Receive")</f>
        <v/>
      </c>
      <c r="G1900" s="5"/>
      <c r="H1900" s="7" t="s">
        <v>188</v>
      </c>
      <c r="I1900" s="9">
        <v>1189800</v>
      </c>
      <c r="J1900" s="10">
        <v>0.0398</v>
      </c>
    </row>
    <row r="1901" spans="1:10">
      <c r="A1901" s="7" t="s">
        <v>176</v>
      </c>
      <c r="B1901" s="7" t="s">
        <v>3768</v>
      </c>
      <c r="C1901" s="8">
        <f>QS.CONTEXT.CREATE("market.1899",A1901,"USD","SOFR")</f>
        <v/>
      </c>
      <c r="D1901" s="8">
        <f>QS.CONTEXT.ADD.CURVE(C1901,"SOFR",$K$2:$K$7,$L$2:$L$7,,,"Actual360","LogLinear",TRUE)</f>
        <v/>
      </c>
      <c r="E1901" s="8">
        <f>QS.INSTRUMENT.SWAP("swap.1899",C1901,H1901,B1901,"USD","SOFR",I1901,J1901,0,"Actual360","Simple","Annual","Annual","Annual")</f>
        <v/>
      </c>
      <c r="F1901" s="8">
        <f>QS.TRADE.CREATE("trade.1899",C1901,E1901,A1901,"Receive")</f>
        <v/>
      </c>
      <c r="G1901" s="5"/>
      <c r="H1901" s="7" t="s">
        <v>190</v>
      </c>
      <c r="I1901" s="9">
        <v>1189900</v>
      </c>
      <c r="J1901" s="10">
        <v>0.0399</v>
      </c>
    </row>
    <row r="1902" spans="1:10">
      <c r="A1902" s="7" t="s">
        <v>178</v>
      </c>
      <c r="B1902" s="7" t="s">
        <v>3769</v>
      </c>
      <c r="C1902" s="8">
        <f>QS.CONTEXT.CREATE("market.1900",A1902,"USD","SOFR")</f>
        <v/>
      </c>
      <c r="D1902" s="8">
        <f>QS.CONTEXT.ADD.CURVE(C1902,"SOFR",$K$2:$K$7,$L$2:$L$7,,,"Actual360","LogLinear",TRUE)</f>
        <v/>
      </c>
      <c r="E1902" s="8">
        <f>QS.INSTRUMENT.SWAP("swap.1900",C1902,H1902,B1902,"USD","SOFR",I1902,J1902,0,"Actual360","Simple","Annual","Annual","Annual")</f>
        <v/>
      </c>
      <c r="F1902" s="8">
        <f>QS.TRADE.CREATE("trade.1900",C1902,E1902,A1902,"Receive")</f>
        <v/>
      </c>
      <c r="G1902" s="5"/>
      <c r="H1902" s="7" t="s">
        <v>192</v>
      </c>
      <c r="I1902" s="9">
        <v>1190000</v>
      </c>
      <c r="J1902" s="10">
        <v>0.035</v>
      </c>
    </row>
    <row r="1903" spans="1:10">
      <c r="A1903" s="7" t="s">
        <v>180</v>
      </c>
      <c r="B1903" s="7" t="s">
        <v>3770</v>
      </c>
      <c r="C1903" s="8">
        <f>QS.CONTEXT.CREATE("market.1901",A1903,"USD","SOFR")</f>
        <v/>
      </c>
      <c r="D1903" s="8">
        <f>QS.CONTEXT.ADD.CURVE(C1903,"SOFR",$K$2:$K$7,$L$2:$L$7,,,"Actual360","LogLinear",TRUE)</f>
        <v/>
      </c>
      <c r="E1903" s="8">
        <f>QS.INSTRUMENT.SWAP("swap.1901",C1903,H1903,B1903,"USD","SOFR",I1903,J1903,0,"Actual360","Simple","Annual","Annual","Annual")</f>
        <v/>
      </c>
      <c r="F1903" s="8">
        <f>QS.TRADE.CREATE("trade.1901",C1903,E1903,A1903,"Receive")</f>
        <v/>
      </c>
      <c r="G1903" s="5"/>
      <c r="H1903" s="7" t="s">
        <v>194</v>
      </c>
      <c r="I1903" s="9">
        <v>1190100</v>
      </c>
      <c r="J1903" s="10">
        <v>0.03510000000000001</v>
      </c>
    </row>
    <row r="1904" spans="1:10">
      <c r="A1904" s="7" t="s">
        <v>182</v>
      </c>
      <c r="B1904" s="7" t="s">
        <v>3771</v>
      </c>
      <c r="C1904" s="8">
        <f>QS.CONTEXT.CREATE("market.1902",A1904,"USD","SOFR")</f>
        <v/>
      </c>
      <c r="D1904" s="8">
        <f>QS.CONTEXT.ADD.CURVE(C1904,"SOFR",$K$2:$K$7,$L$2:$L$7,,,"Actual360","LogLinear",TRUE)</f>
        <v/>
      </c>
      <c r="E1904" s="8">
        <f>QS.INSTRUMENT.SWAP("swap.1902",C1904,H1904,B1904,"USD","SOFR",I1904,J1904,0,"Actual360","Simple","Annual","Annual","Annual")</f>
        <v/>
      </c>
      <c r="F1904" s="8">
        <f>QS.TRADE.CREATE("trade.1902",C1904,E1904,A1904,"Receive")</f>
        <v/>
      </c>
      <c r="G1904" s="5"/>
      <c r="H1904" s="7" t="s">
        <v>196</v>
      </c>
      <c r="I1904" s="9">
        <v>1190200</v>
      </c>
      <c r="J1904" s="10">
        <v>0.0352</v>
      </c>
    </row>
    <row r="1905" spans="1:10">
      <c r="A1905" s="7" t="s">
        <v>184</v>
      </c>
      <c r="B1905" s="7" t="s">
        <v>3772</v>
      </c>
      <c r="C1905" s="8">
        <f>QS.CONTEXT.CREATE("market.1903",A1905,"USD","SOFR")</f>
        <v/>
      </c>
      <c r="D1905" s="8">
        <f>QS.CONTEXT.ADD.CURVE(C1905,"SOFR",$K$2:$K$7,$L$2:$L$7,,,"Actual360","LogLinear",TRUE)</f>
        <v/>
      </c>
      <c r="E1905" s="8">
        <f>QS.INSTRUMENT.SWAP("swap.1903",C1905,H1905,B1905,"USD","SOFR",I1905,J1905,0,"Actual360","Simple","Annual","Annual","Annual")</f>
        <v/>
      </c>
      <c r="F1905" s="8">
        <f>QS.TRADE.CREATE("trade.1903",C1905,E1905,A1905,"Receive")</f>
        <v/>
      </c>
      <c r="G1905" s="5"/>
      <c r="H1905" s="7" t="s">
        <v>198</v>
      </c>
      <c r="I1905" s="9">
        <v>1190300</v>
      </c>
      <c r="J1905" s="10">
        <v>0.0353</v>
      </c>
    </row>
    <row r="1906" spans="1:10">
      <c r="A1906" s="7" t="s">
        <v>186</v>
      </c>
      <c r="B1906" s="7" t="s">
        <v>3773</v>
      </c>
      <c r="C1906" s="8">
        <f>QS.CONTEXT.CREATE("market.1904",A1906,"USD","SOFR")</f>
        <v/>
      </c>
      <c r="D1906" s="8">
        <f>QS.CONTEXT.ADD.CURVE(C1906,"SOFR",$K$2:$K$7,$L$2:$L$7,,,"Actual360","LogLinear",TRUE)</f>
        <v/>
      </c>
      <c r="E1906" s="8">
        <f>QS.INSTRUMENT.SWAP("swap.1904",C1906,H1906,B1906,"USD","SOFR",I1906,J1906,0,"Actual360","Simple","Annual","Annual","Annual")</f>
        <v/>
      </c>
      <c r="F1906" s="8">
        <f>QS.TRADE.CREATE("trade.1904",C1906,E1906,A1906,"Receive")</f>
        <v/>
      </c>
      <c r="G1906" s="5"/>
      <c r="H1906" s="7" t="s">
        <v>200</v>
      </c>
      <c r="I1906" s="9">
        <v>1190400</v>
      </c>
      <c r="J1906" s="10">
        <v>0.0354</v>
      </c>
    </row>
    <row r="1907" spans="1:10">
      <c r="A1907" s="7" t="s">
        <v>188</v>
      </c>
      <c r="B1907" s="7" t="s">
        <v>3774</v>
      </c>
      <c r="C1907" s="8">
        <f>QS.CONTEXT.CREATE("market.1905",A1907,"USD","SOFR")</f>
        <v/>
      </c>
      <c r="D1907" s="8">
        <f>QS.CONTEXT.ADD.CURVE(C1907,"SOFR",$K$2:$K$7,$L$2:$L$7,,,"Actual360","LogLinear",TRUE)</f>
        <v/>
      </c>
      <c r="E1907" s="8">
        <f>QS.INSTRUMENT.SWAP("swap.1905",C1907,H1907,B1907,"USD","SOFR",I1907,J1907,0,"Actual360","Simple","Annual","Annual","Annual")</f>
        <v/>
      </c>
      <c r="F1907" s="8">
        <f>QS.TRADE.CREATE("trade.1905",C1907,E1907,A1907,"Receive")</f>
        <v/>
      </c>
      <c r="G1907" s="5"/>
      <c r="H1907" s="7" t="s">
        <v>202</v>
      </c>
      <c r="I1907" s="9">
        <v>1190500</v>
      </c>
      <c r="J1907" s="10">
        <v>0.0355</v>
      </c>
    </row>
    <row r="1908" spans="1:10">
      <c r="A1908" s="7" t="s">
        <v>190</v>
      </c>
      <c r="B1908" s="7" t="s">
        <v>3775</v>
      </c>
      <c r="C1908" s="8">
        <f>QS.CONTEXT.CREATE("market.1906",A1908,"USD","SOFR")</f>
        <v/>
      </c>
      <c r="D1908" s="8">
        <f>QS.CONTEXT.ADD.CURVE(C1908,"SOFR",$K$2:$K$7,$L$2:$L$7,,,"Actual360","LogLinear",TRUE)</f>
        <v/>
      </c>
      <c r="E1908" s="8">
        <f>QS.INSTRUMENT.SWAP("swap.1906",C1908,H1908,B1908,"USD","SOFR",I1908,J1908,0,"Actual360","Simple","Annual","Annual","Annual")</f>
        <v/>
      </c>
      <c r="F1908" s="8">
        <f>QS.TRADE.CREATE("trade.1906",C1908,E1908,A1908,"Receive")</f>
        <v/>
      </c>
      <c r="G1908" s="5"/>
      <c r="H1908" s="7" t="s">
        <v>204</v>
      </c>
      <c r="I1908" s="9">
        <v>1190600</v>
      </c>
      <c r="J1908" s="10">
        <v>0.03560000000000001</v>
      </c>
    </row>
    <row r="1909" spans="1:10">
      <c r="A1909" s="7" t="s">
        <v>192</v>
      </c>
      <c r="B1909" s="7" t="s">
        <v>3776</v>
      </c>
      <c r="C1909" s="8">
        <f>QS.CONTEXT.CREATE("market.1907",A1909,"USD","SOFR")</f>
        <v/>
      </c>
      <c r="D1909" s="8">
        <f>QS.CONTEXT.ADD.CURVE(C1909,"SOFR",$K$2:$K$7,$L$2:$L$7,,,"Actual360","LogLinear",TRUE)</f>
        <v/>
      </c>
      <c r="E1909" s="8">
        <f>QS.INSTRUMENT.SWAP("swap.1907",C1909,H1909,B1909,"USD","SOFR",I1909,J1909,0,"Actual360","Simple","Annual","Annual","Annual")</f>
        <v/>
      </c>
      <c r="F1909" s="8">
        <f>QS.TRADE.CREATE("trade.1907",C1909,E1909,A1909,"Receive")</f>
        <v/>
      </c>
      <c r="G1909" s="5"/>
      <c r="H1909" s="7" t="s">
        <v>206</v>
      </c>
      <c r="I1909" s="9">
        <v>1190700</v>
      </c>
      <c r="J1909" s="10">
        <v>0.0357</v>
      </c>
    </row>
    <row r="1910" spans="1:10">
      <c r="A1910" s="7" t="s">
        <v>194</v>
      </c>
      <c r="B1910" s="7" t="s">
        <v>3777</v>
      </c>
      <c r="C1910" s="8">
        <f>QS.CONTEXT.CREATE("market.1908",A1910,"USD","SOFR")</f>
        <v/>
      </c>
      <c r="D1910" s="8">
        <f>QS.CONTEXT.ADD.CURVE(C1910,"SOFR",$K$2:$K$7,$L$2:$L$7,,,"Actual360","LogLinear",TRUE)</f>
        <v/>
      </c>
      <c r="E1910" s="8">
        <f>QS.INSTRUMENT.SWAP("swap.1908",C1910,H1910,B1910,"USD","SOFR",I1910,J1910,0,"Actual360","Simple","Annual","Annual","Annual")</f>
        <v/>
      </c>
      <c r="F1910" s="8">
        <f>QS.TRADE.CREATE("trade.1908",C1910,E1910,A1910,"Receive")</f>
        <v/>
      </c>
      <c r="G1910" s="5"/>
      <c r="H1910" s="7" t="s">
        <v>208</v>
      </c>
      <c r="I1910" s="9">
        <v>1190800</v>
      </c>
      <c r="J1910" s="10">
        <v>0.03580000000000001</v>
      </c>
    </row>
    <row r="1911" spans="1:10">
      <c r="A1911" s="7" t="s">
        <v>196</v>
      </c>
      <c r="B1911" s="7" t="s">
        <v>3778</v>
      </c>
      <c r="C1911" s="8">
        <f>QS.CONTEXT.CREATE("market.1909",A1911,"USD","SOFR")</f>
        <v/>
      </c>
      <c r="D1911" s="8">
        <f>QS.CONTEXT.ADD.CURVE(C1911,"SOFR",$K$2:$K$7,$L$2:$L$7,,,"Actual360","LogLinear",TRUE)</f>
        <v/>
      </c>
      <c r="E1911" s="8">
        <f>QS.INSTRUMENT.SWAP("swap.1909",C1911,H1911,B1911,"USD","SOFR",I1911,J1911,0,"Actual360","Simple","Annual","Annual","Annual")</f>
        <v/>
      </c>
      <c r="F1911" s="8">
        <f>QS.TRADE.CREATE("trade.1909",C1911,E1911,A1911,"Receive")</f>
        <v/>
      </c>
      <c r="G1911" s="5"/>
      <c r="H1911" s="7" t="s">
        <v>210</v>
      </c>
      <c r="I1911" s="9">
        <v>1190900</v>
      </c>
      <c r="J1911" s="10">
        <v>0.0359</v>
      </c>
    </row>
    <row r="1912" spans="1:10">
      <c r="A1912" s="7" t="s">
        <v>198</v>
      </c>
      <c r="B1912" s="7" t="s">
        <v>3779</v>
      </c>
      <c r="C1912" s="8">
        <f>QS.CONTEXT.CREATE("market.1910",A1912,"USD","SOFR")</f>
        <v/>
      </c>
      <c r="D1912" s="8">
        <f>QS.CONTEXT.ADD.CURVE(C1912,"SOFR",$K$2:$K$7,$L$2:$L$7,,,"Actual360","LogLinear",TRUE)</f>
        <v/>
      </c>
      <c r="E1912" s="8">
        <f>QS.INSTRUMENT.SWAP("swap.1910",C1912,H1912,B1912,"USD","SOFR",I1912,J1912,0,"Actual360","Simple","Annual","Annual","Annual")</f>
        <v/>
      </c>
      <c r="F1912" s="8">
        <f>QS.TRADE.CREATE("trade.1910",C1912,E1912,A1912,"Receive")</f>
        <v/>
      </c>
      <c r="G1912" s="5"/>
      <c r="H1912" s="7" t="s">
        <v>212</v>
      </c>
      <c r="I1912" s="9">
        <v>1191000</v>
      </c>
      <c r="J1912" s="10">
        <v>0.036</v>
      </c>
    </row>
    <row r="1913" spans="1:10">
      <c r="A1913" s="7" t="s">
        <v>200</v>
      </c>
      <c r="B1913" s="7" t="s">
        <v>3780</v>
      </c>
      <c r="C1913" s="8">
        <f>QS.CONTEXT.CREATE("market.1911",A1913,"USD","SOFR")</f>
        <v/>
      </c>
      <c r="D1913" s="8">
        <f>QS.CONTEXT.ADD.CURVE(C1913,"SOFR",$K$2:$K$7,$L$2:$L$7,,,"Actual360","LogLinear",TRUE)</f>
        <v/>
      </c>
      <c r="E1913" s="8">
        <f>QS.INSTRUMENT.SWAP("swap.1911",C1913,H1913,B1913,"USD","SOFR",I1913,J1913,0,"Actual360","Simple","Annual","Annual","Annual")</f>
        <v/>
      </c>
      <c r="F1913" s="8">
        <f>QS.TRADE.CREATE("trade.1911",C1913,E1913,A1913,"Receive")</f>
        <v/>
      </c>
      <c r="G1913" s="5"/>
      <c r="H1913" s="7" t="s">
        <v>214</v>
      </c>
      <c r="I1913" s="9">
        <v>1191100</v>
      </c>
      <c r="J1913" s="10">
        <v>0.0361</v>
      </c>
    </row>
    <row r="1914" spans="1:10">
      <c r="A1914" s="7" t="s">
        <v>202</v>
      </c>
      <c r="B1914" s="7" t="s">
        <v>3781</v>
      </c>
      <c r="C1914" s="8">
        <f>QS.CONTEXT.CREATE("market.1912",A1914,"USD","SOFR")</f>
        <v/>
      </c>
      <c r="D1914" s="8">
        <f>QS.CONTEXT.ADD.CURVE(C1914,"SOFR",$K$2:$K$7,$L$2:$L$7,,,"Actual360","LogLinear",TRUE)</f>
        <v/>
      </c>
      <c r="E1914" s="8">
        <f>QS.INSTRUMENT.SWAP("swap.1912",C1914,H1914,B1914,"USD","SOFR",I1914,J1914,0,"Actual360","Simple","Annual","Annual","Annual")</f>
        <v/>
      </c>
      <c r="F1914" s="8">
        <f>QS.TRADE.CREATE("trade.1912",C1914,E1914,A1914,"Receive")</f>
        <v/>
      </c>
      <c r="G1914" s="5"/>
      <c r="H1914" s="7" t="s">
        <v>216</v>
      </c>
      <c r="I1914" s="9">
        <v>1191200</v>
      </c>
      <c r="J1914" s="10">
        <v>0.0362</v>
      </c>
    </row>
    <row r="1915" spans="1:10">
      <c r="A1915" s="7" t="s">
        <v>204</v>
      </c>
      <c r="B1915" s="7" t="s">
        <v>3782</v>
      </c>
      <c r="C1915" s="8">
        <f>QS.CONTEXT.CREATE("market.1913",A1915,"USD","SOFR")</f>
        <v/>
      </c>
      <c r="D1915" s="8">
        <f>QS.CONTEXT.ADD.CURVE(C1915,"SOFR",$K$2:$K$7,$L$2:$L$7,,,"Actual360","LogLinear",TRUE)</f>
        <v/>
      </c>
      <c r="E1915" s="8">
        <f>QS.INSTRUMENT.SWAP("swap.1913",C1915,H1915,B1915,"USD","SOFR",I1915,J1915,0,"Actual360","Simple","Annual","Annual","Annual")</f>
        <v/>
      </c>
      <c r="F1915" s="8">
        <f>QS.TRADE.CREATE("trade.1913",C1915,E1915,A1915,"Receive")</f>
        <v/>
      </c>
      <c r="G1915" s="5"/>
      <c r="H1915" s="7" t="s">
        <v>218</v>
      </c>
      <c r="I1915" s="9">
        <v>1191300</v>
      </c>
      <c r="J1915" s="10">
        <v>0.03630000000000001</v>
      </c>
    </row>
    <row r="1916" spans="1:10">
      <c r="A1916" s="7" t="s">
        <v>206</v>
      </c>
      <c r="B1916" s="7" t="s">
        <v>3783</v>
      </c>
      <c r="C1916" s="8">
        <f>QS.CONTEXT.CREATE("market.1914",A1916,"USD","SOFR")</f>
        <v/>
      </c>
      <c r="D1916" s="8">
        <f>QS.CONTEXT.ADD.CURVE(C1916,"SOFR",$K$2:$K$7,$L$2:$L$7,,,"Actual360","LogLinear",TRUE)</f>
        <v/>
      </c>
      <c r="E1916" s="8">
        <f>QS.INSTRUMENT.SWAP("swap.1914",C1916,H1916,B1916,"USD","SOFR",I1916,J1916,0,"Actual360","Simple","Annual","Annual","Annual")</f>
        <v/>
      </c>
      <c r="F1916" s="8">
        <f>QS.TRADE.CREATE("trade.1914",C1916,E1916,A1916,"Receive")</f>
        <v/>
      </c>
      <c r="G1916" s="5"/>
      <c r="H1916" s="7" t="s">
        <v>220</v>
      </c>
      <c r="I1916" s="9">
        <v>1191400</v>
      </c>
      <c r="J1916" s="10">
        <v>0.0364</v>
      </c>
    </row>
    <row r="1917" spans="1:10">
      <c r="A1917" s="7" t="s">
        <v>208</v>
      </c>
      <c r="B1917" s="7" t="s">
        <v>3784</v>
      </c>
      <c r="C1917" s="8">
        <f>QS.CONTEXT.CREATE("market.1915",A1917,"USD","SOFR")</f>
        <v/>
      </c>
      <c r="D1917" s="8">
        <f>QS.CONTEXT.ADD.CURVE(C1917,"SOFR",$K$2:$K$7,$L$2:$L$7,,,"Actual360","LogLinear",TRUE)</f>
        <v/>
      </c>
      <c r="E1917" s="8">
        <f>QS.INSTRUMENT.SWAP("swap.1915",C1917,H1917,B1917,"USD","SOFR",I1917,J1917,0,"Actual360","Simple","Annual","Annual","Annual")</f>
        <v/>
      </c>
      <c r="F1917" s="8">
        <f>QS.TRADE.CREATE("trade.1915",C1917,E1917,A1917,"Receive")</f>
        <v/>
      </c>
      <c r="G1917" s="5"/>
      <c r="H1917" s="7" t="s">
        <v>222</v>
      </c>
      <c r="I1917" s="9">
        <v>1191500</v>
      </c>
      <c r="J1917" s="10">
        <v>0.0365</v>
      </c>
    </row>
    <row r="1918" spans="1:10">
      <c r="A1918" s="7" t="s">
        <v>210</v>
      </c>
      <c r="B1918" s="7" t="s">
        <v>3785</v>
      </c>
      <c r="C1918" s="8">
        <f>QS.CONTEXT.CREATE("market.1916",A1918,"USD","SOFR")</f>
        <v/>
      </c>
      <c r="D1918" s="8">
        <f>QS.CONTEXT.ADD.CURVE(C1918,"SOFR",$K$2:$K$7,$L$2:$L$7,,,"Actual360","LogLinear",TRUE)</f>
        <v/>
      </c>
      <c r="E1918" s="8">
        <f>QS.INSTRUMENT.SWAP("swap.1916",C1918,H1918,B1918,"USD","SOFR",I1918,J1918,0,"Actual360","Simple","Annual","Annual","Annual")</f>
        <v/>
      </c>
      <c r="F1918" s="8">
        <f>QS.TRADE.CREATE("trade.1916",C1918,E1918,A1918,"Receive")</f>
        <v/>
      </c>
      <c r="G1918" s="5"/>
      <c r="H1918" s="7" t="s">
        <v>224</v>
      </c>
      <c r="I1918" s="9">
        <v>1191600</v>
      </c>
      <c r="J1918" s="10">
        <v>0.0366</v>
      </c>
    </row>
    <row r="1919" spans="1:10">
      <c r="A1919" s="7" t="s">
        <v>212</v>
      </c>
      <c r="B1919" s="7" t="s">
        <v>3786</v>
      </c>
      <c r="C1919" s="8">
        <f>QS.CONTEXT.CREATE("market.1917",A1919,"USD","SOFR")</f>
        <v/>
      </c>
      <c r="D1919" s="8">
        <f>QS.CONTEXT.ADD.CURVE(C1919,"SOFR",$K$2:$K$7,$L$2:$L$7,,,"Actual360","LogLinear",TRUE)</f>
        <v/>
      </c>
      <c r="E1919" s="8">
        <f>QS.INSTRUMENT.SWAP("swap.1917",C1919,H1919,B1919,"USD","SOFR",I1919,J1919,0,"Actual360","Simple","Annual","Annual","Annual")</f>
        <v/>
      </c>
      <c r="F1919" s="8">
        <f>QS.TRADE.CREATE("trade.1917",C1919,E1919,A1919,"Receive")</f>
        <v/>
      </c>
      <c r="G1919" s="5"/>
      <c r="H1919" s="7" t="s">
        <v>226</v>
      </c>
      <c r="I1919" s="9">
        <v>1191700</v>
      </c>
      <c r="J1919" s="10">
        <v>0.0367</v>
      </c>
    </row>
    <row r="1920" spans="1:10">
      <c r="A1920" s="7" t="s">
        <v>214</v>
      </c>
      <c r="B1920" s="7" t="s">
        <v>3787</v>
      </c>
      <c r="C1920" s="8">
        <f>QS.CONTEXT.CREATE("market.1918",A1920,"USD","SOFR")</f>
        <v/>
      </c>
      <c r="D1920" s="8">
        <f>QS.CONTEXT.ADD.CURVE(C1920,"SOFR",$K$2:$K$7,$L$2:$L$7,,,"Actual360","LogLinear",TRUE)</f>
        <v/>
      </c>
      <c r="E1920" s="8">
        <f>QS.INSTRUMENT.SWAP("swap.1918",C1920,H1920,B1920,"USD","SOFR",I1920,J1920,0,"Actual360","Simple","Annual","Annual","Annual")</f>
        <v/>
      </c>
      <c r="F1920" s="8">
        <f>QS.TRADE.CREATE("trade.1918",C1920,E1920,A1920,"Receive")</f>
        <v/>
      </c>
      <c r="G1920" s="5"/>
      <c r="H1920" s="7" t="s">
        <v>228</v>
      </c>
      <c r="I1920" s="9">
        <v>1191800</v>
      </c>
      <c r="J1920" s="10">
        <v>0.03680000000000001</v>
      </c>
    </row>
    <row r="1921" spans="1:10">
      <c r="A1921" s="7" t="s">
        <v>216</v>
      </c>
      <c r="B1921" s="7" t="s">
        <v>3788</v>
      </c>
      <c r="C1921" s="8">
        <f>QS.CONTEXT.CREATE("market.1919",A1921,"USD","SOFR")</f>
        <v/>
      </c>
      <c r="D1921" s="8">
        <f>QS.CONTEXT.ADD.CURVE(C1921,"SOFR",$K$2:$K$7,$L$2:$L$7,,,"Actual360","LogLinear",TRUE)</f>
        <v/>
      </c>
      <c r="E1921" s="8">
        <f>QS.INSTRUMENT.SWAP("swap.1919",C1921,H1921,B1921,"USD","SOFR",I1921,J1921,0,"Actual360","Simple","Annual","Annual","Annual")</f>
        <v/>
      </c>
      <c r="F1921" s="8">
        <f>QS.TRADE.CREATE("trade.1919",C1921,E1921,A1921,"Receive")</f>
        <v/>
      </c>
      <c r="G1921" s="5"/>
      <c r="H1921" s="7" t="s">
        <v>230</v>
      </c>
      <c r="I1921" s="9">
        <v>1191900</v>
      </c>
      <c r="J1921" s="10">
        <v>0.0369</v>
      </c>
    </row>
    <row r="1922" spans="1:10">
      <c r="A1922" s="7" t="s">
        <v>218</v>
      </c>
      <c r="B1922" s="7" t="s">
        <v>3789</v>
      </c>
      <c r="C1922" s="8">
        <f>QS.CONTEXT.CREATE("market.1920",A1922,"USD","SOFR")</f>
        <v/>
      </c>
      <c r="D1922" s="8">
        <f>QS.CONTEXT.ADD.CURVE(C1922,"SOFR",$K$2:$K$7,$L$2:$L$7,,,"Actual360","LogLinear",TRUE)</f>
        <v/>
      </c>
      <c r="E1922" s="8">
        <f>QS.INSTRUMENT.SWAP("swap.1920",C1922,H1922,B1922,"USD","SOFR",I1922,J1922,0,"Actual360","Simple","Annual","Annual","Annual")</f>
        <v/>
      </c>
      <c r="F1922" s="8">
        <f>QS.TRADE.CREATE("trade.1920",C1922,E1922,A1922,"Receive")</f>
        <v/>
      </c>
      <c r="G1922" s="5"/>
      <c r="H1922" s="7" t="s">
        <v>232</v>
      </c>
      <c r="I1922" s="9">
        <v>1192000</v>
      </c>
      <c r="J1922" s="10">
        <v>0.03700000000000001</v>
      </c>
    </row>
    <row r="1923" spans="1:10">
      <c r="A1923" s="7" t="s">
        <v>220</v>
      </c>
      <c r="B1923" s="7" t="s">
        <v>3790</v>
      </c>
      <c r="C1923" s="8">
        <f>QS.CONTEXT.CREATE("market.1921",A1923,"USD","SOFR")</f>
        <v/>
      </c>
      <c r="D1923" s="8">
        <f>QS.CONTEXT.ADD.CURVE(C1923,"SOFR",$K$2:$K$7,$L$2:$L$7,,,"Actual360","LogLinear",TRUE)</f>
        <v/>
      </c>
      <c r="E1923" s="8">
        <f>QS.INSTRUMENT.SWAP("swap.1921",C1923,H1923,B1923,"USD","SOFR",I1923,J1923,0,"Actual360","Simple","Annual","Annual","Annual")</f>
        <v/>
      </c>
      <c r="F1923" s="8">
        <f>QS.TRADE.CREATE("trade.1921",C1923,E1923,A1923,"Receive")</f>
        <v/>
      </c>
      <c r="G1923" s="5"/>
      <c r="H1923" s="7" t="s">
        <v>234</v>
      </c>
      <c r="I1923" s="9">
        <v>1192100</v>
      </c>
      <c r="J1923" s="10">
        <v>0.0371</v>
      </c>
    </row>
    <row r="1924" spans="1:10">
      <c r="A1924" s="7" t="s">
        <v>222</v>
      </c>
      <c r="B1924" s="7" t="s">
        <v>3791</v>
      </c>
      <c r="C1924" s="8">
        <f>QS.CONTEXT.CREATE("market.1922",A1924,"USD","SOFR")</f>
        <v/>
      </c>
      <c r="D1924" s="8">
        <f>QS.CONTEXT.ADD.CURVE(C1924,"SOFR",$K$2:$K$7,$L$2:$L$7,,,"Actual360","LogLinear",TRUE)</f>
        <v/>
      </c>
      <c r="E1924" s="8">
        <f>QS.INSTRUMENT.SWAP("swap.1922",C1924,H1924,B1924,"USD","SOFR",I1924,J1924,0,"Actual360","Simple","Annual","Annual","Annual")</f>
        <v/>
      </c>
      <c r="F1924" s="8">
        <f>QS.TRADE.CREATE("trade.1922",C1924,E1924,A1924,"Receive")</f>
        <v/>
      </c>
      <c r="G1924" s="5"/>
      <c r="H1924" s="7" t="s">
        <v>236</v>
      </c>
      <c r="I1924" s="9">
        <v>1192200</v>
      </c>
      <c r="J1924" s="10">
        <v>0.0372</v>
      </c>
    </row>
    <row r="1925" spans="1:10">
      <c r="A1925" s="7" t="s">
        <v>224</v>
      </c>
      <c r="B1925" s="7" t="s">
        <v>3792</v>
      </c>
      <c r="C1925" s="8">
        <f>QS.CONTEXT.CREATE("market.1923",A1925,"USD","SOFR")</f>
        <v/>
      </c>
      <c r="D1925" s="8">
        <f>QS.CONTEXT.ADD.CURVE(C1925,"SOFR",$K$2:$K$7,$L$2:$L$7,,,"Actual360","LogLinear",TRUE)</f>
        <v/>
      </c>
      <c r="E1925" s="8">
        <f>QS.INSTRUMENT.SWAP("swap.1923",C1925,H1925,B1925,"USD","SOFR",I1925,J1925,0,"Actual360","Simple","Annual","Annual","Annual")</f>
        <v/>
      </c>
      <c r="F1925" s="8">
        <f>QS.TRADE.CREATE("trade.1923",C1925,E1925,A1925,"Receive")</f>
        <v/>
      </c>
      <c r="G1925" s="5"/>
      <c r="H1925" s="7" t="s">
        <v>238</v>
      </c>
      <c r="I1925" s="9">
        <v>1192300</v>
      </c>
      <c r="J1925" s="10">
        <v>0.0373</v>
      </c>
    </row>
    <row r="1926" spans="1:10">
      <c r="A1926" s="7" t="s">
        <v>226</v>
      </c>
      <c r="B1926" s="7" t="s">
        <v>3793</v>
      </c>
      <c r="C1926" s="8">
        <f>QS.CONTEXT.CREATE("market.1924",A1926,"USD","SOFR")</f>
        <v/>
      </c>
      <c r="D1926" s="8">
        <f>QS.CONTEXT.ADD.CURVE(C1926,"SOFR",$K$2:$K$7,$L$2:$L$7,,,"Actual360","LogLinear",TRUE)</f>
        <v/>
      </c>
      <c r="E1926" s="8">
        <f>QS.INSTRUMENT.SWAP("swap.1924",C1926,H1926,B1926,"USD","SOFR",I1926,J1926,0,"Actual360","Simple","Annual","Annual","Annual")</f>
        <v/>
      </c>
      <c r="F1926" s="8">
        <f>QS.TRADE.CREATE("trade.1924",C1926,E1926,A1926,"Receive")</f>
        <v/>
      </c>
      <c r="G1926" s="5"/>
      <c r="H1926" s="7" t="s">
        <v>240</v>
      </c>
      <c r="I1926" s="9">
        <v>1192400</v>
      </c>
      <c r="J1926" s="10">
        <v>0.0374</v>
      </c>
    </row>
    <row r="1927" spans="1:10">
      <c r="A1927" s="7" t="s">
        <v>228</v>
      </c>
      <c r="B1927" s="7" t="s">
        <v>3794</v>
      </c>
      <c r="C1927" s="8">
        <f>QS.CONTEXT.CREATE("market.1925",A1927,"USD","SOFR")</f>
        <v/>
      </c>
      <c r="D1927" s="8">
        <f>QS.CONTEXT.ADD.CURVE(C1927,"SOFR",$K$2:$K$7,$L$2:$L$7,,,"Actual360","LogLinear",TRUE)</f>
        <v/>
      </c>
      <c r="E1927" s="8">
        <f>QS.INSTRUMENT.SWAP("swap.1925",C1927,H1927,B1927,"USD","SOFR",I1927,J1927,0,"Actual360","Simple","Annual","Annual","Annual")</f>
        <v/>
      </c>
      <c r="F1927" s="8">
        <f>QS.TRADE.CREATE("trade.1925",C1927,E1927,A1927,"Receive")</f>
        <v/>
      </c>
      <c r="G1927" s="5"/>
      <c r="H1927" s="7" t="s">
        <v>242</v>
      </c>
      <c r="I1927" s="9">
        <v>1192500</v>
      </c>
      <c r="J1927" s="10">
        <v>0.03750000000000001</v>
      </c>
    </row>
    <row r="1928" spans="1:10">
      <c r="A1928" s="7" t="s">
        <v>230</v>
      </c>
      <c r="B1928" s="7" t="s">
        <v>3795</v>
      </c>
      <c r="C1928" s="8">
        <f>QS.CONTEXT.CREATE("market.1926",A1928,"USD","SOFR")</f>
        <v/>
      </c>
      <c r="D1928" s="8">
        <f>QS.CONTEXT.ADD.CURVE(C1928,"SOFR",$K$2:$K$7,$L$2:$L$7,,,"Actual360","LogLinear",TRUE)</f>
        <v/>
      </c>
      <c r="E1928" s="8">
        <f>QS.INSTRUMENT.SWAP("swap.1926",C1928,H1928,B1928,"USD","SOFR",I1928,J1928,0,"Actual360","Simple","Annual","Annual","Annual")</f>
        <v/>
      </c>
      <c r="F1928" s="8">
        <f>QS.TRADE.CREATE("trade.1926",C1928,E1928,A1928,"Receive")</f>
        <v/>
      </c>
      <c r="G1928" s="5"/>
      <c r="H1928" s="7" t="s">
        <v>244</v>
      </c>
      <c r="I1928" s="9">
        <v>1192600</v>
      </c>
      <c r="J1928" s="10">
        <v>0.0376</v>
      </c>
    </row>
    <row r="1929" spans="1:10">
      <c r="A1929" s="7" t="s">
        <v>232</v>
      </c>
      <c r="B1929" s="7" t="s">
        <v>3796</v>
      </c>
      <c r="C1929" s="8">
        <f>QS.CONTEXT.CREATE("market.1927",A1929,"USD","SOFR")</f>
        <v/>
      </c>
      <c r="D1929" s="8">
        <f>QS.CONTEXT.ADD.CURVE(C1929,"SOFR",$K$2:$K$7,$L$2:$L$7,,,"Actual360","LogLinear",TRUE)</f>
        <v/>
      </c>
      <c r="E1929" s="8">
        <f>QS.INSTRUMENT.SWAP("swap.1927",C1929,H1929,B1929,"USD","SOFR",I1929,J1929,0,"Actual360","Simple","Annual","Annual","Annual")</f>
        <v/>
      </c>
      <c r="F1929" s="8">
        <f>QS.TRADE.CREATE("trade.1927",C1929,E1929,A1929,"Receive")</f>
        <v/>
      </c>
      <c r="G1929" s="5"/>
      <c r="H1929" s="7" t="s">
        <v>246</v>
      </c>
      <c r="I1929" s="9">
        <v>1192700</v>
      </c>
      <c r="J1929" s="10">
        <v>0.0377</v>
      </c>
    </row>
    <row r="1930" spans="1:10">
      <c r="A1930" s="7" t="s">
        <v>234</v>
      </c>
      <c r="B1930" s="7" t="s">
        <v>3797</v>
      </c>
      <c r="C1930" s="8">
        <f>QS.CONTEXT.CREATE("market.1928",A1930,"USD","SOFR")</f>
        <v/>
      </c>
      <c r="D1930" s="8">
        <f>QS.CONTEXT.ADD.CURVE(C1930,"SOFR",$K$2:$K$7,$L$2:$L$7,,,"Actual360","LogLinear",TRUE)</f>
        <v/>
      </c>
      <c r="E1930" s="8">
        <f>QS.INSTRUMENT.SWAP("swap.1928",C1930,H1930,B1930,"USD","SOFR",I1930,J1930,0,"Actual360","Simple","Annual","Annual","Annual")</f>
        <v/>
      </c>
      <c r="F1930" s="8">
        <f>QS.TRADE.CREATE("trade.1928",C1930,E1930,A1930,"Receive")</f>
        <v/>
      </c>
      <c r="G1930" s="5"/>
      <c r="H1930" s="7" t="s">
        <v>248</v>
      </c>
      <c r="I1930" s="9">
        <v>1192800</v>
      </c>
      <c r="J1930" s="10">
        <v>0.0378</v>
      </c>
    </row>
    <row r="1931" spans="1:10">
      <c r="A1931" s="7" t="s">
        <v>236</v>
      </c>
      <c r="B1931" s="7" t="s">
        <v>3798</v>
      </c>
      <c r="C1931" s="8">
        <f>QS.CONTEXT.CREATE("market.1929",A1931,"USD","SOFR")</f>
        <v/>
      </c>
      <c r="D1931" s="8">
        <f>QS.CONTEXT.ADD.CURVE(C1931,"SOFR",$K$2:$K$7,$L$2:$L$7,,,"Actual360","LogLinear",TRUE)</f>
        <v/>
      </c>
      <c r="E1931" s="8">
        <f>QS.INSTRUMENT.SWAP("swap.1929",C1931,H1931,B1931,"USD","SOFR",I1931,J1931,0,"Actual360","Simple","Annual","Annual","Annual")</f>
        <v/>
      </c>
      <c r="F1931" s="8">
        <f>QS.TRADE.CREATE("trade.1929",C1931,E1931,A1931,"Receive")</f>
        <v/>
      </c>
      <c r="G1931" s="5"/>
      <c r="H1931" s="7" t="s">
        <v>250</v>
      </c>
      <c r="I1931" s="9">
        <v>1192900</v>
      </c>
      <c r="J1931" s="10">
        <v>0.0379</v>
      </c>
    </row>
    <row r="1932" spans="1:10">
      <c r="A1932" s="7" t="s">
        <v>238</v>
      </c>
      <c r="B1932" s="7" t="s">
        <v>3799</v>
      </c>
      <c r="C1932" s="8">
        <f>QS.CONTEXT.CREATE("market.1930",A1932,"USD","SOFR")</f>
        <v/>
      </c>
      <c r="D1932" s="8">
        <f>QS.CONTEXT.ADD.CURVE(C1932,"SOFR",$K$2:$K$7,$L$2:$L$7,,,"Actual360","LogLinear",TRUE)</f>
        <v/>
      </c>
      <c r="E1932" s="8">
        <f>QS.INSTRUMENT.SWAP("swap.1930",C1932,H1932,B1932,"USD","SOFR",I1932,J1932,0,"Actual360","Simple","Annual","Annual","Annual")</f>
        <v/>
      </c>
      <c r="F1932" s="8">
        <f>QS.TRADE.CREATE("trade.1930",C1932,E1932,A1932,"Receive")</f>
        <v/>
      </c>
      <c r="G1932" s="5"/>
      <c r="H1932" s="7" t="s">
        <v>252</v>
      </c>
      <c r="I1932" s="9">
        <v>1193000</v>
      </c>
      <c r="J1932" s="10">
        <v>0.03800000000000001</v>
      </c>
    </row>
    <row r="1933" spans="1:10">
      <c r="A1933" s="7" t="s">
        <v>240</v>
      </c>
      <c r="B1933" s="7" t="s">
        <v>3800</v>
      </c>
      <c r="C1933" s="8">
        <f>QS.CONTEXT.CREATE("market.1931",A1933,"USD","SOFR")</f>
        <v/>
      </c>
      <c r="D1933" s="8">
        <f>QS.CONTEXT.ADD.CURVE(C1933,"SOFR",$K$2:$K$7,$L$2:$L$7,,,"Actual360","LogLinear",TRUE)</f>
        <v/>
      </c>
      <c r="E1933" s="8">
        <f>QS.INSTRUMENT.SWAP("swap.1931",C1933,H1933,B1933,"USD","SOFR",I1933,J1933,0,"Actual360","Simple","Annual","Annual","Annual")</f>
        <v/>
      </c>
      <c r="F1933" s="8">
        <f>QS.TRADE.CREATE("trade.1931",C1933,E1933,A1933,"Receive")</f>
        <v/>
      </c>
      <c r="G1933" s="5"/>
      <c r="H1933" s="7" t="s">
        <v>254</v>
      </c>
      <c r="I1933" s="9">
        <v>1193100</v>
      </c>
      <c r="J1933" s="10">
        <v>0.0381</v>
      </c>
    </row>
    <row r="1934" spans="1:10">
      <c r="A1934" s="7" t="s">
        <v>242</v>
      </c>
      <c r="B1934" s="7" t="s">
        <v>3801</v>
      </c>
      <c r="C1934" s="8">
        <f>QS.CONTEXT.CREATE("market.1932",A1934,"USD","SOFR")</f>
        <v/>
      </c>
      <c r="D1934" s="8">
        <f>QS.CONTEXT.ADD.CURVE(C1934,"SOFR",$K$2:$K$7,$L$2:$L$7,,,"Actual360","LogLinear",TRUE)</f>
        <v/>
      </c>
      <c r="E1934" s="8">
        <f>QS.INSTRUMENT.SWAP("swap.1932",C1934,H1934,B1934,"USD","SOFR",I1934,J1934,0,"Actual360","Simple","Annual","Annual","Annual")</f>
        <v/>
      </c>
      <c r="F1934" s="8">
        <f>QS.TRADE.CREATE("trade.1932",C1934,E1934,A1934,"Receive")</f>
        <v/>
      </c>
      <c r="G1934" s="5"/>
      <c r="H1934" s="7" t="s">
        <v>256</v>
      </c>
      <c r="I1934" s="9">
        <v>1193200</v>
      </c>
      <c r="J1934" s="10">
        <v>0.0382</v>
      </c>
    </row>
    <row r="1935" spans="1:10">
      <c r="A1935" s="7" t="s">
        <v>244</v>
      </c>
      <c r="B1935" s="7" t="s">
        <v>3802</v>
      </c>
      <c r="C1935" s="8">
        <f>QS.CONTEXT.CREATE("market.1933",A1935,"USD","SOFR")</f>
        <v/>
      </c>
      <c r="D1935" s="8">
        <f>QS.CONTEXT.ADD.CURVE(C1935,"SOFR",$K$2:$K$7,$L$2:$L$7,,,"Actual360","LogLinear",TRUE)</f>
        <v/>
      </c>
      <c r="E1935" s="8">
        <f>QS.INSTRUMENT.SWAP("swap.1933",C1935,H1935,B1935,"USD","SOFR",I1935,J1935,0,"Actual360","Simple","Annual","Annual","Annual")</f>
        <v/>
      </c>
      <c r="F1935" s="8">
        <f>QS.TRADE.CREATE("trade.1933",C1935,E1935,A1935,"Receive")</f>
        <v/>
      </c>
      <c r="G1935" s="5"/>
      <c r="H1935" s="7" t="s">
        <v>258</v>
      </c>
      <c r="I1935" s="9">
        <v>1193300</v>
      </c>
      <c r="J1935" s="10">
        <v>0.0383</v>
      </c>
    </row>
    <row r="1936" spans="1:10">
      <c r="A1936" s="7" t="s">
        <v>246</v>
      </c>
      <c r="B1936" s="7" t="s">
        <v>3803</v>
      </c>
      <c r="C1936" s="8">
        <f>QS.CONTEXT.CREATE("market.1934",A1936,"USD","SOFR")</f>
        <v/>
      </c>
      <c r="D1936" s="8">
        <f>QS.CONTEXT.ADD.CURVE(C1936,"SOFR",$K$2:$K$7,$L$2:$L$7,,,"Actual360","LogLinear",TRUE)</f>
        <v/>
      </c>
      <c r="E1936" s="8">
        <f>QS.INSTRUMENT.SWAP("swap.1934",C1936,H1936,B1936,"USD","SOFR",I1936,J1936,0,"Actual360","Simple","Annual","Annual","Annual")</f>
        <v/>
      </c>
      <c r="F1936" s="8">
        <f>QS.TRADE.CREATE("trade.1934",C1936,E1936,A1936,"Receive")</f>
        <v/>
      </c>
      <c r="G1936" s="5"/>
      <c r="H1936" s="7" t="s">
        <v>260</v>
      </c>
      <c r="I1936" s="9">
        <v>1193400</v>
      </c>
      <c r="J1936" s="10">
        <v>0.0384</v>
      </c>
    </row>
    <row r="1937" spans="1:10">
      <c r="A1937" s="7" t="s">
        <v>248</v>
      </c>
      <c r="B1937" s="7" t="s">
        <v>3804</v>
      </c>
      <c r="C1937" s="8">
        <f>QS.CONTEXT.CREATE("market.1935",A1937,"USD","SOFR")</f>
        <v/>
      </c>
      <c r="D1937" s="8">
        <f>QS.CONTEXT.ADD.CURVE(C1937,"SOFR",$K$2:$K$7,$L$2:$L$7,,,"Actual360","LogLinear",TRUE)</f>
        <v/>
      </c>
      <c r="E1937" s="8">
        <f>QS.INSTRUMENT.SWAP("swap.1935",C1937,H1937,B1937,"USD","SOFR",I1937,J1937,0,"Actual360","Simple","Annual","Annual","Annual")</f>
        <v/>
      </c>
      <c r="F1937" s="8">
        <f>QS.TRADE.CREATE("trade.1935",C1937,E1937,A1937,"Receive")</f>
        <v/>
      </c>
      <c r="G1937" s="5"/>
      <c r="H1937" s="7" t="s">
        <v>262</v>
      </c>
      <c r="I1937" s="9">
        <v>1193500</v>
      </c>
      <c r="J1937" s="10">
        <v>0.03850000000000001</v>
      </c>
    </row>
    <row r="1938" spans="1:10">
      <c r="A1938" s="7" t="s">
        <v>250</v>
      </c>
      <c r="B1938" s="7" t="s">
        <v>3805</v>
      </c>
      <c r="C1938" s="8">
        <f>QS.CONTEXT.CREATE("market.1936",A1938,"USD","SOFR")</f>
        <v/>
      </c>
      <c r="D1938" s="8">
        <f>QS.CONTEXT.ADD.CURVE(C1938,"SOFR",$K$2:$K$7,$L$2:$L$7,,,"Actual360","LogLinear",TRUE)</f>
        <v/>
      </c>
      <c r="E1938" s="8">
        <f>QS.INSTRUMENT.SWAP("swap.1936",C1938,H1938,B1938,"USD","SOFR",I1938,J1938,0,"Actual360","Simple","Annual","Annual","Annual")</f>
        <v/>
      </c>
      <c r="F1938" s="8">
        <f>QS.TRADE.CREATE("trade.1936",C1938,E1938,A1938,"Receive")</f>
        <v/>
      </c>
      <c r="G1938" s="5"/>
      <c r="H1938" s="7" t="s">
        <v>264</v>
      </c>
      <c r="I1938" s="9">
        <v>1193600</v>
      </c>
      <c r="J1938" s="10">
        <v>0.0386</v>
      </c>
    </row>
    <row r="1939" spans="1:10">
      <c r="A1939" s="7" t="s">
        <v>252</v>
      </c>
      <c r="B1939" s="7" t="s">
        <v>3806</v>
      </c>
      <c r="C1939" s="8">
        <f>QS.CONTEXT.CREATE("market.1937",A1939,"USD","SOFR")</f>
        <v/>
      </c>
      <c r="D1939" s="8">
        <f>QS.CONTEXT.ADD.CURVE(C1939,"SOFR",$K$2:$K$7,$L$2:$L$7,,,"Actual360","LogLinear",TRUE)</f>
        <v/>
      </c>
      <c r="E1939" s="8">
        <f>QS.INSTRUMENT.SWAP("swap.1937",C1939,H1939,B1939,"USD","SOFR",I1939,J1939,0,"Actual360","Simple","Annual","Annual","Annual")</f>
        <v/>
      </c>
      <c r="F1939" s="8">
        <f>QS.TRADE.CREATE("trade.1937",C1939,E1939,A1939,"Receive")</f>
        <v/>
      </c>
      <c r="G1939" s="5"/>
      <c r="H1939" s="7" t="s">
        <v>266</v>
      </c>
      <c r="I1939" s="9">
        <v>1193700</v>
      </c>
      <c r="J1939" s="10">
        <v>0.03870000000000001</v>
      </c>
    </row>
    <row r="1940" spans="1:10">
      <c r="A1940" s="7" t="s">
        <v>254</v>
      </c>
      <c r="B1940" s="7" t="s">
        <v>3807</v>
      </c>
      <c r="C1940" s="8">
        <f>QS.CONTEXT.CREATE("market.1938",A1940,"USD","SOFR")</f>
        <v/>
      </c>
      <c r="D1940" s="8">
        <f>QS.CONTEXT.ADD.CURVE(C1940,"SOFR",$K$2:$K$7,$L$2:$L$7,,,"Actual360","LogLinear",TRUE)</f>
        <v/>
      </c>
      <c r="E1940" s="8">
        <f>QS.INSTRUMENT.SWAP("swap.1938",C1940,H1940,B1940,"USD","SOFR",I1940,J1940,0,"Actual360","Simple","Annual","Annual","Annual")</f>
        <v/>
      </c>
      <c r="F1940" s="8">
        <f>QS.TRADE.CREATE("trade.1938",C1940,E1940,A1940,"Receive")</f>
        <v/>
      </c>
      <c r="G1940" s="5"/>
      <c r="H1940" s="7" t="s">
        <v>268</v>
      </c>
      <c r="I1940" s="9">
        <v>1193800</v>
      </c>
      <c r="J1940" s="10">
        <v>0.0388</v>
      </c>
    </row>
    <row r="1941" spans="1:10">
      <c r="A1941" s="7" t="s">
        <v>256</v>
      </c>
      <c r="B1941" s="7" t="s">
        <v>3808</v>
      </c>
      <c r="C1941" s="8">
        <f>QS.CONTEXT.CREATE("market.1939",A1941,"USD","SOFR")</f>
        <v/>
      </c>
      <c r="D1941" s="8">
        <f>QS.CONTEXT.ADD.CURVE(C1941,"SOFR",$K$2:$K$7,$L$2:$L$7,,,"Actual360","LogLinear",TRUE)</f>
        <v/>
      </c>
      <c r="E1941" s="8">
        <f>QS.INSTRUMENT.SWAP("swap.1939",C1941,H1941,B1941,"USD","SOFR",I1941,J1941,0,"Actual360","Simple","Annual","Annual","Annual")</f>
        <v/>
      </c>
      <c r="F1941" s="8">
        <f>QS.TRADE.CREATE("trade.1939",C1941,E1941,A1941,"Receive")</f>
        <v/>
      </c>
      <c r="G1941" s="5"/>
      <c r="H1941" s="7" t="s">
        <v>270</v>
      </c>
      <c r="I1941" s="9">
        <v>1193900</v>
      </c>
      <c r="J1941" s="10">
        <v>0.0389</v>
      </c>
    </row>
    <row r="1942" spans="1:10">
      <c r="A1942" s="7" t="s">
        <v>258</v>
      </c>
      <c r="B1942" s="7" t="s">
        <v>3809</v>
      </c>
      <c r="C1942" s="8">
        <f>QS.CONTEXT.CREATE("market.1940",A1942,"USD","SOFR")</f>
        <v/>
      </c>
      <c r="D1942" s="8">
        <f>QS.CONTEXT.ADD.CURVE(C1942,"SOFR",$K$2:$K$7,$L$2:$L$7,,,"Actual360","LogLinear",TRUE)</f>
        <v/>
      </c>
      <c r="E1942" s="8">
        <f>QS.INSTRUMENT.SWAP("swap.1940",C1942,H1942,B1942,"USD","SOFR",I1942,J1942,0,"Actual360","Simple","Annual","Annual","Annual")</f>
        <v/>
      </c>
      <c r="F1942" s="8">
        <f>QS.TRADE.CREATE("trade.1940",C1942,E1942,A1942,"Receive")</f>
        <v/>
      </c>
      <c r="G1942" s="5"/>
      <c r="H1942" s="7" t="s">
        <v>272</v>
      </c>
      <c r="I1942" s="9">
        <v>1194000</v>
      </c>
      <c r="J1942" s="10">
        <v>0.03900000000000001</v>
      </c>
    </row>
    <row r="1943" spans="1:10">
      <c r="A1943" s="7" t="s">
        <v>260</v>
      </c>
      <c r="B1943" s="7" t="s">
        <v>3810</v>
      </c>
      <c r="C1943" s="8">
        <f>QS.CONTEXT.CREATE("market.1941",A1943,"USD","SOFR")</f>
        <v/>
      </c>
      <c r="D1943" s="8">
        <f>QS.CONTEXT.ADD.CURVE(C1943,"SOFR",$K$2:$K$7,$L$2:$L$7,,,"Actual360","LogLinear",TRUE)</f>
        <v/>
      </c>
      <c r="E1943" s="8">
        <f>QS.INSTRUMENT.SWAP("swap.1941",C1943,H1943,B1943,"USD","SOFR",I1943,J1943,0,"Actual360","Simple","Annual","Annual","Annual")</f>
        <v/>
      </c>
      <c r="F1943" s="8">
        <f>QS.TRADE.CREATE("trade.1941",C1943,E1943,A1943,"Receive")</f>
        <v/>
      </c>
      <c r="G1943" s="5"/>
      <c r="H1943" s="7" t="s">
        <v>274</v>
      </c>
      <c r="I1943" s="9">
        <v>1194100</v>
      </c>
      <c r="J1943" s="10">
        <v>0.0391</v>
      </c>
    </row>
    <row r="1944" spans="1:10">
      <c r="A1944" s="7" t="s">
        <v>262</v>
      </c>
      <c r="B1944" s="7" t="s">
        <v>3811</v>
      </c>
      <c r="C1944" s="8">
        <f>QS.CONTEXT.CREATE("market.1942",A1944,"USD","SOFR")</f>
        <v/>
      </c>
      <c r="D1944" s="8">
        <f>QS.CONTEXT.ADD.CURVE(C1944,"SOFR",$K$2:$K$7,$L$2:$L$7,,,"Actual360","LogLinear",TRUE)</f>
        <v/>
      </c>
      <c r="E1944" s="8">
        <f>QS.INSTRUMENT.SWAP("swap.1942",C1944,H1944,B1944,"USD","SOFR",I1944,J1944,0,"Actual360","Simple","Annual","Annual","Annual")</f>
        <v/>
      </c>
      <c r="F1944" s="8">
        <f>QS.TRADE.CREATE("trade.1942",C1944,E1944,A1944,"Receive")</f>
        <v/>
      </c>
      <c r="G1944" s="5"/>
      <c r="H1944" s="7" t="s">
        <v>276</v>
      </c>
      <c r="I1944" s="9">
        <v>1194200</v>
      </c>
      <c r="J1944" s="10">
        <v>0.03920000000000001</v>
      </c>
    </row>
    <row r="1945" spans="1:10">
      <c r="A1945" s="7" t="s">
        <v>264</v>
      </c>
      <c r="B1945" s="7" t="s">
        <v>3812</v>
      </c>
      <c r="C1945" s="8">
        <f>QS.CONTEXT.CREATE("market.1943",A1945,"USD","SOFR")</f>
        <v/>
      </c>
      <c r="D1945" s="8">
        <f>QS.CONTEXT.ADD.CURVE(C1945,"SOFR",$K$2:$K$7,$L$2:$L$7,,,"Actual360","LogLinear",TRUE)</f>
        <v/>
      </c>
      <c r="E1945" s="8">
        <f>QS.INSTRUMENT.SWAP("swap.1943",C1945,H1945,B1945,"USD","SOFR",I1945,J1945,0,"Actual360","Simple","Annual","Annual","Annual")</f>
        <v/>
      </c>
      <c r="F1945" s="8">
        <f>QS.TRADE.CREATE("trade.1943",C1945,E1945,A1945,"Receive")</f>
        <v/>
      </c>
      <c r="G1945" s="5"/>
      <c r="H1945" s="7" t="s">
        <v>278</v>
      </c>
      <c r="I1945" s="9">
        <v>1194300</v>
      </c>
      <c r="J1945" s="10">
        <v>0.0393</v>
      </c>
    </row>
    <row r="1946" spans="1:10">
      <c r="A1946" s="7" t="s">
        <v>266</v>
      </c>
      <c r="B1946" s="7" t="s">
        <v>3813</v>
      </c>
      <c r="C1946" s="8">
        <f>QS.CONTEXT.CREATE("market.1944",A1946,"USD","SOFR")</f>
        <v/>
      </c>
      <c r="D1946" s="8">
        <f>QS.CONTEXT.ADD.CURVE(C1946,"SOFR",$K$2:$K$7,$L$2:$L$7,,,"Actual360","LogLinear",TRUE)</f>
        <v/>
      </c>
      <c r="E1946" s="8">
        <f>QS.INSTRUMENT.SWAP("swap.1944",C1946,H1946,B1946,"USD","SOFR",I1946,J1946,0,"Actual360","Simple","Annual","Annual","Annual")</f>
        <v/>
      </c>
      <c r="F1946" s="8">
        <f>QS.TRADE.CREATE("trade.1944",C1946,E1946,A1946,"Receive")</f>
        <v/>
      </c>
      <c r="G1946" s="5"/>
      <c r="H1946" s="7" t="s">
        <v>280</v>
      </c>
      <c r="I1946" s="9">
        <v>1194400</v>
      </c>
      <c r="J1946" s="10">
        <v>0.0394</v>
      </c>
    </row>
    <row r="1947" spans="1:10">
      <c r="A1947" s="7" t="s">
        <v>268</v>
      </c>
      <c r="B1947" s="7" t="s">
        <v>3814</v>
      </c>
      <c r="C1947" s="8">
        <f>QS.CONTEXT.CREATE("market.1945",A1947,"USD","SOFR")</f>
        <v/>
      </c>
      <c r="D1947" s="8">
        <f>QS.CONTEXT.ADD.CURVE(C1947,"SOFR",$K$2:$K$7,$L$2:$L$7,,,"Actual360","LogLinear",TRUE)</f>
        <v/>
      </c>
      <c r="E1947" s="8">
        <f>QS.INSTRUMENT.SWAP("swap.1945",C1947,H1947,B1947,"USD","SOFR",I1947,J1947,0,"Actual360","Simple","Annual","Annual","Annual")</f>
        <v/>
      </c>
      <c r="F1947" s="8">
        <f>QS.TRADE.CREATE("trade.1945",C1947,E1947,A1947,"Receive")</f>
        <v/>
      </c>
      <c r="G1947" s="5"/>
      <c r="H1947" s="7" t="s">
        <v>282</v>
      </c>
      <c r="I1947" s="9">
        <v>1194500</v>
      </c>
      <c r="J1947" s="10">
        <v>0.03950000000000001</v>
      </c>
    </row>
    <row r="1948" spans="1:10">
      <c r="A1948" s="7" t="s">
        <v>270</v>
      </c>
      <c r="B1948" s="7" t="s">
        <v>3815</v>
      </c>
      <c r="C1948" s="8">
        <f>QS.CONTEXT.CREATE("market.1946",A1948,"USD","SOFR")</f>
        <v/>
      </c>
      <c r="D1948" s="8">
        <f>QS.CONTEXT.ADD.CURVE(C1948,"SOFR",$K$2:$K$7,$L$2:$L$7,,,"Actual360","LogLinear",TRUE)</f>
        <v/>
      </c>
      <c r="E1948" s="8">
        <f>QS.INSTRUMENT.SWAP("swap.1946",C1948,H1948,B1948,"USD","SOFR",I1948,J1948,0,"Actual360","Simple","Annual","Annual","Annual")</f>
        <v/>
      </c>
      <c r="F1948" s="8">
        <f>QS.TRADE.CREATE("trade.1946",C1948,E1948,A1948,"Receive")</f>
        <v/>
      </c>
      <c r="G1948" s="5"/>
      <c r="H1948" s="7" t="s">
        <v>284</v>
      </c>
      <c r="I1948" s="9">
        <v>1194600</v>
      </c>
      <c r="J1948" s="10">
        <v>0.0396</v>
      </c>
    </row>
    <row r="1949" spans="1:10">
      <c r="A1949" s="7" t="s">
        <v>272</v>
      </c>
      <c r="B1949" s="7" t="s">
        <v>3816</v>
      </c>
      <c r="C1949" s="8">
        <f>QS.CONTEXT.CREATE("market.1947",A1949,"USD","SOFR")</f>
        <v/>
      </c>
      <c r="D1949" s="8">
        <f>QS.CONTEXT.ADD.CURVE(C1949,"SOFR",$K$2:$K$7,$L$2:$L$7,,,"Actual360","LogLinear",TRUE)</f>
        <v/>
      </c>
      <c r="E1949" s="8">
        <f>QS.INSTRUMENT.SWAP("swap.1947",C1949,H1949,B1949,"USD","SOFR",I1949,J1949,0,"Actual360","Simple","Annual","Annual","Annual")</f>
        <v/>
      </c>
      <c r="F1949" s="8">
        <f>QS.TRADE.CREATE("trade.1947",C1949,E1949,A1949,"Receive")</f>
        <v/>
      </c>
      <c r="G1949" s="5"/>
      <c r="H1949" s="7" t="s">
        <v>286</v>
      </c>
      <c r="I1949" s="9">
        <v>1194700</v>
      </c>
      <c r="J1949" s="10">
        <v>0.03970000000000001</v>
      </c>
    </row>
    <row r="1950" spans="1:10">
      <c r="A1950" s="7" t="s">
        <v>274</v>
      </c>
      <c r="B1950" s="7" t="s">
        <v>3817</v>
      </c>
      <c r="C1950" s="8">
        <f>QS.CONTEXT.CREATE("market.1948",A1950,"USD","SOFR")</f>
        <v/>
      </c>
      <c r="D1950" s="8">
        <f>QS.CONTEXT.ADD.CURVE(C1950,"SOFR",$K$2:$K$7,$L$2:$L$7,,,"Actual360","LogLinear",TRUE)</f>
        <v/>
      </c>
      <c r="E1950" s="8">
        <f>QS.INSTRUMENT.SWAP("swap.1948",C1950,H1950,B1950,"USD","SOFR",I1950,J1950,0,"Actual360","Simple","Annual","Annual","Annual")</f>
        <v/>
      </c>
      <c r="F1950" s="8">
        <f>QS.TRADE.CREATE("trade.1948",C1950,E1950,A1950,"Receive")</f>
        <v/>
      </c>
      <c r="G1950" s="5"/>
      <c r="H1950" s="7" t="s">
        <v>288</v>
      </c>
      <c r="I1950" s="9">
        <v>1194800</v>
      </c>
      <c r="J1950" s="10">
        <v>0.0398</v>
      </c>
    </row>
    <row r="1951" spans="1:10">
      <c r="A1951" s="7" t="s">
        <v>276</v>
      </c>
      <c r="B1951" s="7" t="s">
        <v>3818</v>
      </c>
      <c r="C1951" s="8">
        <f>QS.CONTEXT.CREATE("market.1949",A1951,"USD","SOFR")</f>
        <v/>
      </c>
      <c r="D1951" s="8">
        <f>QS.CONTEXT.ADD.CURVE(C1951,"SOFR",$K$2:$K$7,$L$2:$L$7,,,"Actual360","LogLinear",TRUE)</f>
        <v/>
      </c>
      <c r="E1951" s="8">
        <f>QS.INSTRUMENT.SWAP("swap.1949",C1951,H1951,B1951,"USD","SOFR",I1951,J1951,0,"Actual360","Simple","Annual","Annual","Annual")</f>
        <v/>
      </c>
      <c r="F1951" s="8">
        <f>QS.TRADE.CREATE("trade.1949",C1951,E1951,A1951,"Receive")</f>
        <v/>
      </c>
      <c r="G1951" s="5"/>
      <c r="H1951" s="7" t="s">
        <v>290</v>
      </c>
      <c r="I1951" s="9">
        <v>1194900</v>
      </c>
      <c r="J1951" s="10">
        <v>0.0399</v>
      </c>
    </row>
    <row r="1952" spans="1:10">
      <c r="A1952" s="7" t="s">
        <v>278</v>
      </c>
      <c r="B1952" s="7" t="s">
        <v>3819</v>
      </c>
      <c r="C1952" s="8">
        <f>QS.CONTEXT.CREATE("market.1950",A1952,"USD","SOFR")</f>
        <v/>
      </c>
      <c r="D1952" s="8">
        <f>QS.CONTEXT.ADD.CURVE(C1952,"SOFR",$K$2:$K$7,$L$2:$L$7,,,"Actual360","LogLinear",TRUE)</f>
        <v/>
      </c>
      <c r="E1952" s="8">
        <f>QS.INSTRUMENT.SWAP("swap.1950",C1952,H1952,B1952,"USD","SOFR",I1952,J1952,0,"Actual360","Simple","Annual","Annual","Annual")</f>
        <v/>
      </c>
      <c r="F1952" s="8">
        <f>QS.TRADE.CREATE("trade.1950",C1952,E1952,A1952,"Receive")</f>
        <v/>
      </c>
      <c r="G1952" s="5"/>
      <c r="H1952" s="7" t="s">
        <v>292</v>
      </c>
      <c r="I1952" s="9">
        <v>1195000</v>
      </c>
      <c r="J1952" s="10">
        <v>0.035</v>
      </c>
    </row>
    <row r="1953" spans="1:10">
      <c r="A1953" s="7" t="s">
        <v>280</v>
      </c>
      <c r="B1953" s="7" t="s">
        <v>3820</v>
      </c>
      <c r="C1953" s="8">
        <f>QS.CONTEXT.CREATE("market.1951",A1953,"USD","SOFR")</f>
        <v/>
      </c>
      <c r="D1953" s="8">
        <f>QS.CONTEXT.ADD.CURVE(C1953,"SOFR",$K$2:$K$7,$L$2:$L$7,,,"Actual360","LogLinear",TRUE)</f>
        <v/>
      </c>
      <c r="E1953" s="8">
        <f>QS.INSTRUMENT.SWAP("swap.1951",C1953,H1953,B1953,"USD","SOFR",I1953,J1953,0,"Actual360","Simple","Annual","Annual","Annual")</f>
        <v/>
      </c>
      <c r="F1953" s="8">
        <f>QS.TRADE.CREATE("trade.1951",C1953,E1953,A1953,"Receive")</f>
        <v/>
      </c>
      <c r="G1953" s="5"/>
      <c r="H1953" s="7" t="s">
        <v>294</v>
      </c>
      <c r="I1953" s="9">
        <v>1195100</v>
      </c>
      <c r="J1953" s="10">
        <v>0.03510000000000001</v>
      </c>
    </row>
    <row r="1954" spans="1:10">
      <c r="A1954" s="7" t="s">
        <v>282</v>
      </c>
      <c r="B1954" s="7" t="s">
        <v>3821</v>
      </c>
      <c r="C1954" s="8">
        <f>QS.CONTEXT.CREATE("market.1952",A1954,"USD","SOFR")</f>
        <v/>
      </c>
      <c r="D1954" s="8">
        <f>QS.CONTEXT.ADD.CURVE(C1954,"SOFR",$K$2:$K$7,$L$2:$L$7,,,"Actual360","LogLinear",TRUE)</f>
        <v/>
      </c>
      <c r="E1954" s="8">
        <f>QS.INSTRUMENT.SWAP("swap.1952",C1954,H1954,B1954,"USD","SOFR",I1954,J1954,0,"Actual360","Simple","Annual","Annual","Annual")</f>
        <v/>
      </c>
      <c r="F1954" s="8">
        <f>QS.TRADE.CREATE("trade.1952",C1954,E1954,A1954,"Receive")</f>
        <v/>
      </c>
      <c r="G1954" s="5"/>
      <c r="H1954" s="7" t="s">
        <v>296</v>
      </c>
      <c r="I1954" s="9">
        <v>1195200</v>
      </c>
      <c r="J1954" s="10">
        <v>0.0352</v>
      </c>
    </row>
    <row r="1955" spans="1:10">
      <c r="A1955" s="7" t="s">
        <v>284</v>
      </c>
      <c r="B1955" s="7" t="s">
        <v>3822</v>
      </c>
      <c r="C1955" s="8">
        <f>QS.CONTEXT.CREATE("market.1953",A1955,"USD","SOFR")</f>
        <v/>
      </c>
      <c r="D1955" s="8">
        <f>QS.CONTEXT.ADD.CURVE(C1955,"SOFR",$K$2:$K$7,$L$2:$L$7,,,"Actual360","LogLinear",TRUE)</f>
        <v/>
      </c>
      <c r="E1955" s="8">
        <f>QS.INSTRUMENT.SWAP("swap.1953",C1955,H1955,B1955,"USD","SOFR",I1955,J1955,0,"Actual360","Simple","Annual","Annual","Annual")</f>
        <v/>
      </c>
      <c r="F1955" s="8">
        <f>QS.TRADE.CREATE("trade.1953",C1955,E1955,A1955,"Receive")</f>
        <v/>
      </c>
      <c r="G1955" s="5"/>
      <c r="H1955" s="7" t="s">
        <v>298</v>
      </c>
      <c r="I1955" s="9">
        <v>1195300</v>
      </c>
      <c r="J1955" s="10">
        <v>0.0353</v>
      </c>
    </row>
    <row r="1956" spans="1:10">
      <c r="A1956" s="7" t="s">
        <v>286</v>
      </c>
      <c r="B1956" s="7" t="s">
        <v>3823</v>
      </c>
      <c r="C1956" s="8">
        <f>QS.CONTEXT.CREATE("market.1954",A1956,"USD","SOFR")</f>
        <v/>
      </c>
      <c r="D1956" s="8">
        <f>QS.CONTEXT.ADD.CURVE(C1956,"SOFR",$K$2:$K$7,$L$2:$L$7,,,"Actual360","LogLinear",TRUE)</f>
        <v/>
      </c>
      <c r="E1956" s="8">
        <f>QS.INSTRUMENT.SWAP("swap.1954",C1956,H1956,B1956,"USD","SOFR",I1956,J1956,0,"Actual360","Simple","Annual","Annual","Annual")</f>
        <v/>
      </c>
      <c r="F1956" s="8">
        <f>QS.TRADE.CREATE("trade.1954",C1956,E1956,A1956,"Receive")</f>
        <v/>
      </c>
      <c r="G1956" s="5"/>
      <c r="H1956" s="7" t="s">
        <v>300</v>
      </c>
      <c r="I1956" s="9">
        <v>1195400</v>
      </c>
      <c r="J1956" s="10">
        <v>0.0354</v>
      </c>
    </row>
    <row r="1957" spans="1:10">
      <c r="A1957" s="7" t="s">
        <v>288</v>
      </c>
      <c r="B1957" s="7" t="s">
        <v>3824</v>
      </c>
      <c r="C1957" s="8">
        <f>QS.CONTEXT.CREATE("market.1955",A1957,"USD","SOFR")</f>
        <v/>
      </c>
      <c r="D1957" s="8">
        <f>QS.CONTEXT.ADD.CURVE(C1957,"SOFR",$K$2:$K$7,$L$2:$L$7,,,"Actual360","LogLinear",TRUE)</f>
        <v/>
      </c>
      <c r="E1957" s="8">
        <f>QS.INSTRUMENT.SWAP("swap.1955",C1957,H1957,B1957,"USD","SOFR",I1957,J1957,0,"Actual360","Simple","Annual","Annual","Annual")</f>
        <v/>
      </c>
      <c r="F1957" s="8">
        <f>QS.TRADE.CREATE("trade.1955",C1957,E1957,A1957,"Receive")</f>
        <v/>
      </c>
      <c r="G1957" s="5"/>
      <c r="H1957" s="7" t="s">
        <v>302</v>
      </c>
      <c r="I1957" s="9">
        <v>1195500</v>
      </c>
      <c r="J1957" s="10">
        <v>0.0355</v>
      </c>
    </row>
    <row r="1958" spans="1:10">
      <c r="A1958" s="7" t="s">
        <v>290</v>
      </c>
      <c r="B1958" s="7" t="s">
        <v>3825</v>
      </c>
      <c r="C1958" s="8">
        <f>QS.CONTEXT.CREATE("market.1956",A1958,"USD","SOFR")</f>
        <v/>
      </c>
      <c r="D1958" s="8">
        <f>QS.CONTEXT.ADD.CURVE(C1958,"SOFR",$K$2:$K$7,$L$2:$L$7,,,"Actual360","LogLinear",TRUE)</f>
        <v/>
      </c>
      <c r="E1958" s="8">
        <f>QS.INSTRUMENT.SWAP("swap.1956",C1958,H1958,B1958,"USD","SOFR",I1958,J1958,0,"Actual360","Simple","Annual","Annual","Annual")</f>
        <v/>
      </c>
      <c r="F1958" s="8">
        <f>QS.TRADE.CREATE("trade.1956",C1958,E1958,A1958,"Receive")</f>
        <v/>
      </c>
      <c r="G1958" s="5"/>
      <c r="H1958" s="7" t="s">
        <v>304</v>
      </c>
      <c r="I1958" s="9">
        <v>1195600</v>
      </c>
      <c r="J1958" s="10">
        <v>0.03560000000000001</v>
      </c>
    </row>
    <row r="1959" spans="1:10">
      <c r="A1959" s="7" t="s">
        <v>292</v>
      </c>
      <c r="B1959" s="7" t="s">
        <v>3826</v>
      </c>
      <c r="C1959" s="8">
        <f>QS.CONTEXT.CREATE("market.1957",A1959,"USD","SOFR")</f>
        <v/>
      </c>
      <c r="D1959" s="8">
        <f>QS.CONTEXT.ADD.CURVE(C1959,"SOFR",$K$2:$K$7,$L$2:$L$7,,,"Actual360","LogLinear",TRUE)</f>
        <v/>
      </c>
      <c r="E1959" s="8">
        <f>QS.INSTRUMENT.SWAP("swap.1957",C1959,H1959,B1959,"USD","SOFR",I1959,J1959,0,"Actual360","Simple","Annual","Annual","Annual")</f>
        <v/>
      </c>
      <c r="F1959" s="8">
        <f>QS.TRADE.CREATE("trade.1957",C1959,E1959,A1959,"Receive")</f>
        <v/>
      </c>
      <c r="G1959" s="5"/>
      <c r="H1959" s="7" t="s">
        <v>306</v>
      </c>
      <c r="I1959" s="9">
        <v>1195700</v>
      </c>
      <c r="J1959" s="10">
        <v>0.0357</v>
      </c>
    </row>
    <row r="1960" spans="1:10">
      <c r="A1960" s="7" t="s">
        <v>294</v>
      </c>
      <c r="B1960" s="7" t="s">
        <v>3827</v>
      </c>
      <c r="C1960" s="8">
        <f>QS.CONTEXT.CREATE("market.1958",A1960,"USD","SOFR")</f>
        <v/>
      </c>
      <c r="D1960" s="8">
        <f>QS.CONTEXT.ADD.CURVE(C1960,"SOFR",$K$2:$K$7,$L$2:$L$7,,,"Actual360","LogLinear",TRUE)</f>
        <v/>
      </c>
      <c r="E1960" s="8">
        <f>QS.INSTRUMENT.SWAP("swap.1958",C1960,H1960,B1960,"USD","SOFR",I1960,J1960,0,"Actual360","Simple","Annual","Annual","Annual")</f>
        <v/>
      </c>
      <c r="F1960" s="8">
        <f>QS.TRADE.CREATE("trade.1958",C1960,E1960,A1960,"Receive")</f>
        <v/>
      </c>
      <c r="G1960" s="5"/>
      <c r="H1960" s="7" t="s">
        <v>308</v>
      </c>
      <c r="I1960" s="9">
        <v>1195800</v>
      </c>
      <c r="J1960" s="10">
        <v>0.03580000000000001</v>
      </c>
    </row>
    <row r="1961" spans="1:10">
      <c r="A1961" s="7" t="s">
        <v>296</v>
      </c>
      <c r="B1961" s="7" t="s">
        <v>3828</v>
      </c>
      <c r="C1961" s="8">
        <f>QS.CONTEXT.CREATE("market.1959",A1961,"USD","SOFR")</f>
        <v/>
      </c>
      <c r="D1961" s="8">
        <f>QS.CONTEXT.ADD.CURVE(C1961,"SOFR",$K$2:$K$7,$L$2:$L$7,,,"Actual360","LogLinear",TRUE)</f>
        <v/>
      </c>
      <c r="E1961" s="8">
        <f>QS.INSTRUMENT.SWAP("swap.1959",C1961,H1961,B1961,"USD","SOFR",I1961,J1961,0,"Actual360","Simple","Annual","Annual","Annual")</f>
        <v/>
      </c>
      <c r="F1961" s="8">
        <f>QS.TRADE.CREATE("trade.1959",C1961,E1961,A1961,"Receive")</f>
        <v/>
      </c>
      <c r="G1961" s="5"/>
      <c r="H1961" s="7" t="s">
        <v>310</v>
      </c>
      <c r="I1961" s="9">
        <v>1195900</v>
      </c>
      <c r="J1961" s="10">
        <v>0.0359</v>
      </c>
    </row>
    <row r="1962" spans="1:10">
      <c r="A1962" s="7" t="s">
        <v>298</v>
      </c>
      <c r="B1962" s="7" t="s">
        <v>3829</v>
      </c>
      <c r="C1962" s="8">
        <f>QS.CONTEXT.CREATE("market.1960",A1962,"USD","SOFR")</f>
        <v/>
      </c>
      <c r="D1962" s="8">
        <f>QS.CONTEXT.ADD.CURVE(C1962,"SOFR",$K$2:$K$7,$L$2:$L$7,,,"Actual360","LogLinear",TRUE)</f>
        <v/>
      </c>
      <c r="E1962" s="8">
        <f>QS.INSTRUMENT.SWAP("swap.1960",C1962,H1962,B1962,"USD","SOFR",I1962,J1962,0,"Actual360","Simple","Annual","Annual","Annual")</f>
        <v/>
      </c>
      <c r="F1962" s="8">
        <f>QS.TRADE.CREATE("trade.1960",C1962,E1962,A1962,"Receive")</f>
        <v/>
      </c>
      <c r="G1962" s="5"/>
      <c r="H1962" s="7" t="s">
        <v>312</v>
      </c>
      <c r="I1962" s="9">
        <v>1196000</v>
      </c>
      <c r="J1962" s="10">
        <v>0.036</v>
      </c>
    </row>
    <row r="1963" spans="1:10">
      <c r="A1963" s="7" t="s">
        <v>300</v>
      </c>
      <c r="B1963" s="7" t="s">
        <v>3830</v>
      </c>
      <c r="C1963" s="8">
        <f>QS.CONTEXT.CREATE("market.1961",A1963,"USD","SOFR")</f>
        <v/>
      </c>
      <c r="D1963" s="8">
        <f>QS.CONTEXT.ADD.CURVE(C1963,"SOFR",$K$2:$K$7,$L$2:$L$7,,,"Actual360","LogLinear",TRUE)</f>
        <v/>
      </c>
      <c r="E1963" s="8">
        <f>QS.INSTRUMENT.SWAP("swap.1961",C1963,H1963,B1963,"USD","SOFR",I1963,J1963,0,"Actual360","Simple","Annual","Annual","Annual")</f>
        <v/>
      </c>
      <c r="F1963" s="8">
        <f>QS.TRADE.CREATE("trade.1961",C1963,E1963,A1963,"Receive")</f>
        <v/>
      </c>
      <c r="G1963" s="5"/>
      <c r="H1963" s="7" t="s">
        <v>314</v>
      </c>
      <c r="I1963" s="9">
        <v>1196100</v>
      </c>
      <c r="J1963" s="10">
        <v>0.0361</v>
      </c>
    </row>
    <row r="1964" spans="1:10">
      <c r="A1964" s="7" t="s">
        <v>302</v>
      </c>
      <c r="B1964" s="7" t="s">
        <v>3831</v>
      </c>
      <c r="C1964" s="8">
        <f>QS.CONTEXT.CREATE("market.1962",A1964,"USD","SOFR")</f>
        <v/>
      </c>
      <c r="D1964" s="8">
        <f>QS.CONTEXT.ADD.CURVE(C1964,"SOFR",$K$2:$K$7,$L$2:$L$7,,,"Actual360","LogLinear",TRUE)</f>
        <v/>
      </c>
      <c r="E1964" s="8">
        <f>QS.INSTRUMENT.SWAP("swap.1962",C1964,H1964,B1964,"USD","SOFR",I1964,J1964,0,"Actual360","Simple","Annual","Annual","Annual")</f>
        <v/>
      </c>
      <c r="F1964" s="8">
        <f>QS.TRADE.CREATE("trade.1962",C1964,E1964,A1964,"Receive")</f>
        <v/>
      </c>
      <c r="G1964" s="5"/>
      <c r="H1964" s="7" t="s">
        <v>316</v>
      </c>
      <c r="I1964" s="9">
        <v>1196200</v>
      </c>
      <c r="J1964" s="10">
        <v>0.0362</v>
      </c>
    </row>
    <row r="1965" spans="1:10">
      <c r="A1965" s="7" t="s">
        <v>304</v>
      </c>
      <c r="B1965" s="7" t="s">
        <v>3832</v>
      </c>
      <c r="C1965" s="8">
        <f>QS.CONTEXT.CREATE("market.1963",A1965,"USD","SOFR")</f>
        <v/>
      </c>
      <c r="D1965" s="8">
        <f>QS.CONTEXT.ADD.CURVE(C1965,"SOFR",$K$2:$K$7,$L$2:$L$7,,,"Actual360","LogLinear",TRUE)</f>
        <v/>
      </c>
      <c r="E1965" s="8">
        <f>QS.INSTRUMENT.SWAP("swap.1963",C1965,H1965,B1965,"USD","SOFR",I1965,J1965,0,"Actual360","Simple","Annual","Annual","Annual")</f>
        <v/>
      </c>
      <c r="F1965" s="8">
        <f>QS.TRADE.CREATE("trade.1963",C1965,E1965,A1965,"Receive")</f>
        <v/>
      </c>
      <c r="G1965" s="5"/>
      <c r="H1965" s="7" t="s">
        <v>318</v>
      </c>
      <c r="I1965" s="9">
        <v>1196300</v>
      </c>
      <c r="J1965" s="10">
        <v>0.03630000000000001</v>
      </c>
    </row>
    <row r="1966" spans="1:10">
      <c r="A1966" s="7" t="s">
        <v>306</v>
      </c>
      <c r="B1966" s="7" t="s">
        <v>3833</v>
      </c>
      <c r="C1966" s="8">
        <f>QS.CONTEXT.CREATE("market.1964",A1966,"USD","SOFR")</f>
        <v/>
      </c>
      <c r="D1966" s="8">
        <f>QS.CONTEXT.ADD.CURVE(C1966,"SOFR",$K$2:$K$7,$L$2:$L$7,,,"Actual360","LogLinear",TRUE)</f>
        <v/>
      </c>
      <c r="E1966" s="8">
        <f>QS.INSTRUMENT.SWAP("swap.1964",C1966,H1966,B1966,"USD","SOFR",I1966,J1966,0,"Actual360","Simple","Annual","Annual","Annual")</f>
        <v/>
      </c>
      <c r="F1966" s="8">
        <f>QS.TRADE.CREATE("trade.1964",C1966,E1966,A1966,"Receive")</f>
        <v/>
      </c>
      <c r="G1966" s="5"/>
      <c r="H1966" s="7" t="s">
        <v>320</v>
      </c>
      <c r="I1966" s="9">
        <v>1196400</v>
      </c>
      <c r="J1966" s="10">
        <v>0.0364</v>
      </c>
    </row>
    <row r="1967" spans="1:10">
      <c r="A1967" s="7" t="s">
        <v>308</v>
      </c>
      <c r="B1967" s="7" t="s">
        <v>3834</v>
      </c>
      <c r="C1967" s="8">
        <f>QS.CONTEXT.CREATE("market.1965",A1967,"USD","SOFR")</f>
        <v/>
      </c>
      <c r="D1967" s="8">
        <f>QS.CONTEXT.ADD.CURVE(C1967,"SOFR",$K$2:$K$7,$L$2:$L$7,,,"Actual360","LogLinear",TRUE)</f>
        <v/>
      </c>
      <c r="E1967" s="8">
        <f>QS.INSTRUMENT.SWAP("swap.1965",C1967,H1967,B1967,"USD","SOFR",I1967,J1967,0,"Actual360","Simple","Annual","Annual","Annual")</f>
        <v/>
      </c>
      <c r="F1967" s="8">
        <f>QS.TRADE.CREATE("trade.1965",C1967,E1967,A1967,"Receive")</f>
        <v/>
      </c>
      <c r="G1967" s="5"/>
      <c r="H1967" s="7" t="s">
        <v>322</v>
      </c>
      <c r="I1967" s="9">
        <v>1196500</v>
      </c>
      <c r="J1967" s="10">
        <v>0.0365</v>
      </c>
    </row>
    <row r="1968" spans="1:10">
      <c r="A1968" s="7" t="s">
        <v>310</v>
      </c>
      <c r="B1968" s="7" t="s">
        <v>3835</v>
      </c>
      <c r="C1968" s="8">
        <f>QS.CONTEXT.CREATE("market.1966",A1968,"USD","SOFR")</f>
        <v/>
      </c>
      <c r="D1968" s="8">
        <f>QS.CONTEXT.ADD.CURVE(C1968,"SOFR",$K$2:$K$7,$L$2:$L$7,,,"Actual360","LogLinear",TRUE)</f>
        <v/>
      </c>
      <c r="E1968" s="8">
        <f>QS.INSTRUMENT.SWAP("swap.1966",C1968,H1968,B1968,"USD","SOFR",I1968,J1968,0,"Actual360","Simple","Annual","Annual","Annual")</f>
        <v/>
      </c>
      <c r="F1968" s="8">
        <f>QS.TRADE.CREATE("trade.1966",C1968,E1968,A1968,"Receive")</f>
        <v/>
      </c>
      <c r="G1968" s="5"/>
      <c r="H1968" s="7" t="s">
        <v>324</v>
      </c>
      <c r="I1968" s="9">
        <v>1196600</v>
      </c>
      <c r="J1968" s="10">
        <v>0.0366</v>
      </c>
    </row>
    <row r="1969" spans="1:10">
      <c r="A1969" s="7" t="s">
        <v>312</v>
      </c>
      <c r="B1969" s="7" t="s">
        <v>3836</v>
      </c>
      <c r="C1969" s="8">
        <f>QS.CONTEXT.CREATE("market.1967",A1969,"USD","SOFR")</f>
        <v/>
      </c>
      <c r="D1969" s="8">
        <f>QS.CONTEXT.ADD.CURVE(C1969,"SOFR",$K$2:$K$7,$L$2:$L$7,,,"Actual360","LogLinear",TRUE)</f>
        <v/>
      </c>
      <c r="E1969" s="8">
        <f>QS.INSTRUMENT.SWAP("swap.1967",C1969,H1969,B1969,"USD","SOFR",I1969,J1969,0,"Actual360","Simple","Annual","Annual","Annual")</f>
        <v/>
      </c>
      <c r="F1969" s="8">
        <f>QS.TRADE.CREATE("trade.1967",C1969,E1969,A1969,"Receive")</f>
        <v/>
      </c>
      <c r="G1969" s="5"/>
      <c r="H1969" s="7" t="s">
        <v>326</v>
      </c>
      <c r="I1969" s="9">
        <v>1196700</v>
      </c>
      <c r="J1969" s="10">
        <v>0.0367</v>
      </c>
    </row>
    <row r="1970" spans="1:10">
      <c r="A1970" s="7" t="s">
        <v>314</v>
      </c>
      <c r="B1970" s="7" t="s">
        <v>3837</v>
      </c>
      <c r="C1970" s="8">
        <f>QS.CONTEXT.CREATE("market.1968",A1970,"USD","SOFR")</f>
        <v/>
      </c>
      <c r="D1970" s="8">
        <f>QS.CONTEXT.ADD.CURVE(C1970,"SOFR",$K$2:$K$7,$L$2:$L$7,,,"Actual360","LogLinear",TRUE)</f>
        <v/>
      </c>
      <c r="E1970" s="8">
        <f>QS.INSTRUMENT.SWAP("swap.1968",C1970,H1970,B1970,"USD","SOFR",I1970,J1970,0,"Actual360","Simple","Annual","Annual","Annual")</f>
        <v/>
      </c>
      <c r="F1970" s="8">
        <f>QS.TRADE.CREATE("trade.1968",C1970,E1970,A1970,"Receive")</f>
        <v/>
      </c>
      <c r="G1970" s="5"/>
      <c r="H1970" s="7" t="s">
        <v>328</v>
      </c>
      <c r="I1970" s="9">
        <v>1196800</v>
      </c>
      <c r="J1970" s="10">
        <v>0.03680000000000001</v>
      </c>
    </row>
    <row r="1971" spans="1:10">
      <c r="A1971" s="7" t="s">
        <v>316</v>
      </c>
      <c r="B1971" s="7" t="s">
        <v>3838</v>
      </c>
      <c r="C1971" s="8">
        <f>QS.CONTEXT.CREATE("market.1969",A1971,"USD","SOFR")</f>
        <v/>
      </c>
      <c r="D1971" s="8">
        <f>QS.CONTEXT.ADD.CURVE(C1971,"SOFR",$K$2:$K$7,$L$2:$L$7,,,"Actual360","LogLinear",TRUE)</f>
        <v/>
      </c>
      <c r="E1971" s="8">
        <f>QS.INSTRUMENT.SWAP("swap.1969",C1971,H1971,B1971,"USD","SOFR",I1971,J1971,0,"Actual360","Simple","Annual","Annual","Annual")</f>
        <v/>
      </c>
      <c r="F1971" s="8">
        <f>QS.TRADE.CREATE("trade.1969",C1971,E1971,A1971,"Receive")</f>
        <v/>
      </c>
      <c r="G1971" s="5"/>
      <c r="H1971" s="7" t="s">
        <v>330</v>
      </c>
      <c r="I1971" s="9">
        <v>1196900</v>
      </c>
      <c r="J1971" s="10">
        <v>0.0369</v>
      </c>
    </row>
    <row r="1972" spans="1:10">
      <c r="A1972" s="7" t="s">
        <v>318</v>
      </c>
      <c r="B1972" s="7" t="s">
        <v>3839</v>
      </c>
      <c r="C1972" s="8">
        <f>QS.CONTEXT.CREATE("market.1970",A1972,"USD","SOFR")</f>
        <v/>
      </c>
      <c r="D1972" s="8">
        <f>QS.CONTEXT.ADD.CURVE(C1972,"SOFR",$K$2:$K$7,$L$2:$L$7,,,"Actual360","LogLinear",TRUE)</f>
        <v/>
      </c>
      <c r="E1972" s="8">
        <f>QS.INSTRUMENT.SWAP("swap.1970",C1972,H1972,B1972,"USD","SOFR",I1972,J1972,0,"Actual360","Simple","Annual","Annual","Annual")</f>
        <v/>
      </c>
      <c r="F1972" s="8">
        <f>QS.TRADE.CREATE("trade.1970",C1972,E1972,A1972,"Receive")</f>
        <v/>
      </c>
      <c r="G1972" s="5"/>
      <c r="H1972" s="7" t="s">
        <v>332</v>
      </c>
      <c r="I1972" s="9">
        <v>1197000</v>
      </c>
      <c r="J1972" s="10">
        <v>0.03700000000000001</v>
      </c>
    </row>
    <row r="1973" spans="1:10">
      <c r="A1973" s="7" t="s">
        <v>320</v>
      </c>
      <c r="B1973" s="7" t="s">
        <v>3840</v>
      </c>
      <c r="C1973" s="8">
        <f>QS.CONTEXT.CREATE("market.1971",A1973,"USD","SOFR")</f>
        <v/>
      </c>
      <c r="D1973" s="8">
        <f>QS.CONTEXT.ADD.CURVE(C1973,"SOFR",$K$2:$K$7,$L$2:$L$7,,,"Actual360","LogLinear",TRUE)</f>
        <v/>
      </c>
      <c r="E1973" s="8">
        <f>QS.INSTRUMENT.SWAP("swap.1971",C1973,H1973,B1973,"USD","SOFR",I1973,J1973,0,"Actual360","Simple","Annual","Annual","Annual")</f>
        <v/>
      </c>
      <c r="F1973" s="8">
        <f>QS.TRADE.CREATE("trade.1971",C1973,E1973,A1973,"Receive")</f>
        <v/>
      </c>
      <c r="G1973" s="5"/>
      <c r="H1973" s="7" t="s">
        <v>334</v>
      </c>
      <c r="I1973" s="9">
        <v>1197100</v>
      </c>
      <c r="J1973" s="10">
        <v>0.0371</v>
      </c>
    </row>
    <row r="1974" spans="1:10">
      <c r="A1974" s="7" t="s">
        <v>322</v>
      </c>
      <c r="B1974" s="7" t="s">
        <v>3841</v>
      </c>
      <c r="C1974" s="8">
        <f>QS.CONTEXT.CREATE("market.1972",A1974,"USD","SOFR")</f>
        <v/>
      </c>
      <c r="D1974" s="8">
        <f>QS.CONTEXT.ADD.CURVE(C1974,"SOFR",$K$2:$K$7,$L$2:$L$7,,,"Actual360","LogLinear",TRUE)</f>
        <v/>
      </c>
      <c r="E1974" s="8">
        <f>QS.INSTRUMENT.SWAP("swap.1972",C1974,H1974,B1974,"USD","SOFR",I1974,J1974,0,"Actual360","Simple","Annual","Annual","Annual")</f>
        <v/>
      </c>
      <c r="F1974" s="8">
        <f>QS.TRADE.CREATE("trade.1972",C1974,E1974,A1974,"Receive")</f>
        <v/>
      </c>
      <c r="G1974" s="5"/>
      <c r="H1974" s="7" t="s">
        <v>336</v>
      </c>
      <c r="I1974" s="9">
        <v>1197200</v>
      </c>
      <c r="J1974" s="10">
        <v>0.0372</v>
      </c>
    </row>
    <row r="1975" spans="1:10">
      <c r="A1975" s="7" t="s">
        <v>324</v>
      </c>
      <c r="B1975" s="7" t="s">
        <v>3842</v>
      </c>
      <c r="C1975" s="8">
        <f>QS.CONTEXT.CREATE("market.1973",A1975,"USD","SOFR")</f>
        <v/>
      </c>
      <c r="D1975" s="8">
        <f>QS.CONTEXT.ADD.CURVE(C1975,"SOFR",$K$2:$K$7,$L$2:$L$7,,,"Actual360","LogLinear",TRUE)</f>
        <v/>
      </c>
      <c r="E1975" s="8">
        <f>QS.INSTRUMENT.SWAP("swap.1973",C1975,H1975,B1975,"USD","SOFR",I1975,J1975,0,"Actual360","Simple","Annual","Annual","Annual")</f>
        <v/>
      </c>
      <c r="F1975" s="8">
        <f>QS.TRADE.CREATE("trade.1973",C1975,E1975,A1975,"Receive")</f>
        <v/>
      </c>
      <c r="G1975" s="5"/>
      <c r="H1975" s="7" t="s">
        <v>338</v>
      </c>
      <c r="I1975" s="9">
        <v>1197300</v>
      </c>
      <c r="J1975" s="10">
        <v>0.0373</v>
      </c>
    </row>
    <row r="1976" spans="1:10">
      <c r="A1976" s="7" t="s">
        <v>326</v>
      </c>
      <c r="B1976" s="7" t="s">
        <v>3843</v>
      </c>
      <c r="C1976" s="8">
        <f>QS.CONTEXT.CREATE("market.1974",A1976,"USD","SOFR")</f>
        <v/>
      </c>
      <c r="D1976" s="8">
        <f>QS.CONTEXT.ADD.CURVE(C1976,"SOFR",$K$2:$K$7,$L$2:$L$7,,,"Actual360","LogLinear",TRUE)</f>
        <v/>
      </c>
      <c r="E1976" s="8">
        <f>QS.INSTRUMENT.SWAP("swap.1974",C1976,H1976,B1976,"USD","SOFR",I1976,J1976,0,"Actual360","Simple","Annual","Annual","Annual")</f>
        <v/>
      </c>
      <c r="F1976" s="8">
        <f>QS.TRADE.CREATE("trade.1974",C1976,E1976,A1976,"Receive")</f>
        <v/>
      </c>
      <c r="G1976" s="5"/>
      <c r="H1976" s="7" t="s">
        <v>340</v>
      </c>
      <c r="I1976" s="9">
        <v>1197400</v>
      </c>
      <c r="J1976" s="10">
        <v>0.0374</v>
      </c>
    </row>
    <row r="1977" spans="1:10">
      <c r="A1977" s="7" t="s">
        <v>328</v>
      </c>
      <c r="B1977" s="7" t="s">
        <v>3844</v>
      </c>
      <c r="C1977" s="8">
        <f>QS.CONTEXT.CREATE("market.1975",A1977,"USD","SOFR")</f>
        <v/>
      </c>
      <c r="D1977" s="8">
        <f>QS.CONTEXT.ADD.CURVE(C1977,"SOFR",$K$2:$K$7,$L$2:$L$7,,,"Actual360","LogLinear",TRUE)</f>
        <v/>
      </c>
      <c r="E1977" s="8">
        <f>QS.INSTRUMENT.SWAP("swap.1975",C1977,H1977,B1977,"USD","SOFR",I1977,J1977,0,"Actual360","Simple","Annual","Annual","Annual")</f>
        <v/>
      </c>
      <c r="F1977" s="8">
        <f>QS.TRADE.CREATE("trade.1975",C1977,E1977,A1977,"Receive")</f>
        <v/>
      </c>
      <c r="G1977" s="5"/>
      <c r="H1977" s="7" t="s">
        <v>342</v>
      </c>
      <c r="I1977" s="9">
        <v>1197500</v>
      </c>
      <c r="J1977" s="10">
        <v>0.03750000000000001</v>
      </c>
    </row>
    <row r="1978" spans="1:10">
      <c r="A1978" s="7" t="s">
        <v>330</v>
      </c>
      <c r="B1978" s="7" t="s">
        <v>3845</v>
      </c>
      <c r="C1978" s="8">
        <f>QS.CONTEXT.CREATE("market.1976",A1978,"USD","SOFR")</f>
        <v/>
      </c>
      <c r="D1978" s="8">
        <f>QS.CONTEXT.ADD.CURVE(C1978,"SOFR",$K$2:$K$7,$L$2:$L$7,,,"Actual360","LogLinear",TRUE)</f>
        <v/>
      </c>
      <c r="E1978" s="8">
        <f>QS.INSTRUMENT.SWAP("swap.1976",C1978,H1978,B1978,"USD","SOFR",I1978,J1978,0,"Actual360","Simple","Annual","Annual","Annual")</f>
        <v/>
      </c>
      <c r="F1978" s="8">
        <f>QS.TRADE.CREATE("trade.1976",C1978,E1978,A1978,"Receive")</f>
        <v/>
      </c>
      <c r="G1978" s="5"/>
      <c r="H1978" s="7" t="s">
        <v>344</v>
      </c>
      <c r="I1978" s="9">
        <v>1197600</v>
      </c>
      <c r="J1978" s="10">
        <v>0.0376</v>
      </c>
    </row>
    <row r="1979" spans="1:10">
      <c r="A1979" s="7" t="s">
        <v>332</v>
      </c>
      <c r="B1979" s="7" t="s">
        <v>3846</v>
      </c>
      <c r="C1979" s="8">
        <f>QS.CONTEXT.CREATE("market.1977",A1979,"USD","SOFR")</f>
        <v/>
      </c>
      <c r="D1979" s="8">
        <f>QS.CONTEXT.ADD.CURVE(C1979,"SOFR",$K$2:$K$7,$L$2:$L$7,,,"Actual360","LogLinear",TRUE)</f>
        <v/>
      </c>
      <c r="E1979" s="8">
        <f>QS.INSTRUMENT.SWAP("swap.1977",C1979,H1979,B1979,"USD","SOFR",I1979,J1979,0,"Actual360","Simple","Annual","Annual","Annual")</f>
        <v/>
      </c>
      <c r="F1979" s="8">
        <f>QS.TRADE.CREATE("trade.1977",C1979,E1979,A1979,"Receive")</f>
        <v/>
      </c>
      <c r="G1979" s="5"/>
      <c r="H1979" s="7" t="s">
        <v>346</v>
      </c>
      <c r="I1979" s="9">
        <v>1197700</v>
      </c>
      <c r="J1979" s="10">
        <v>0.0377</v>
      </c>
    </row>
    <row r="1980" spans="1:10">
      <c r="A1980" s="7" t="s">
        <v>334</v>
      </c>
      <c r="B1980" s="7" t="s">
        <v>3847</v>
      </c>
      <c r="C1980" s="8">
        <f>QS.CONTEXT.CREATE("market.1978",A1980,"USD","SOFR")</f>
        <v/>
      </c>
      <c r="D1980" s="8">
        <f>QS.CONTEXT.ADD.CURVE(C1980,"SOFR",$K$2:$K$7,$L$2:$L$7,,,"Actual360","LogLinear",TRUE)</f>
        <v/>
      </c>
      <c r="E1980" s="8">
        <f>QS.INSTRUMENT.SWAP("swap.1978",C1980,H1980,B1980,"USD","SOFR",I1980,J1980,0,"Actual360","Simple","Annual","Annual","Annual")</f>
        <v/>
      </c>
      <c r="F1980" s="8">
        <f>QS.TRADE.CREATE("trade.1978",C1980,E1980,A1980,"Receive")</f>
        <v/>
      </c>
      <c r="G1980" s="5"/>
      <c r="H1980" s="7" t="s">
        <v>348</v>
      </c>
      <c r="I1980" s="9">
        <v>1197800</v>
      </c>
      <c r="J1980" s="10">
        <v>0.0378</v>
      </c>
    </row>
    <row r="1981" spans="1:10">
      <c r="A1981" s="7" t="s">
        <v>336</v>
      </c>
      <c r="B1981" s="7" t="s">
        <v>3848</v>
      </c>
      <c r="C1981" s="8">
        <f>QS.CONTEXT.CREATE("market.1979",A1981,"USD","SOFR")</f>
        <v/>
      </c>
      <c r="D1981" s="8">
        <f>QS.CONTEXT.ADD.CURVE(C1981,"SOFR",$K$2:$K$7,$L$2:$L$7,,,"Actual360","LogLinear",TRUE)</f>
        <v/>
      </c>
      <c r="E1981" s="8">
        <f>QS.INSTRUMENT.SWAP("swap.1979",C1981,H1981,B1981,"USD","SOFR",I1981,J1981,0,"Actual360","Simple","Annual","Annual","Annual")</f>
        <v/>
      </c>
      <c r="F1981" s="8">
        <f>QS.TRADE.CREATE("trade.1979",C1981,E1981,A1981,"Receive")</f>
        <v/>
      </c>
      <c r="G1981" s="5"/>
      <c r="H1981" s="7" t="s">
        <v>350</v>
      </c>
      <c r="I1981" s="9">
        <v>1197900</v>
      </c>
      <c r="J1981" s="10">
        <v>0.0379</v>
      </c>
    </row>
    <row r="1982" spans="1:10">
      <c r="A1982" s="7" t="s">
        <v>338</v>
      </c>
      <c r="B1982" s="7" t="s">
        <v>3849</v>
      </c>
      <c r="C1982" s="8">
        <f>QS.CONTEXT.CREATE("market.1980",A1982,"USD","SOFR")</f>
        <v/>
      </c>
      <c r="D1982" s="8">
        <f>QS.CONTEXT.ADD.CURVE(C1982,"SOFR",$K$2:$K$7,$L$2:$L$7,,,"Actual360","LogLinear",TRUE)</f>
        <v/>
      </c>
      <c r="E1982" s="8">
        <f>QS.INSTRUMENT.SWAP("swap.1980",C1982,H1982,B1982,"USD","SOFR",I1982,J1982,0,"Actual360","Simple","Annual","Annual","Annual")</f>
        <v/>
      </c>
      <c r="F1982" s="8">
        <f>QS.TRADE.CREATE("trade.1980",C1982,E1982,A1982,"Receive")</f>
        <v/>
      </c>
      <c r="G1982" s="5"/>
      <c r="H1982" s="7" t="s">
        <v>352</v>
      </c>
      <c r="I1982" s="9">
        <v>1198000</v>
      </c>
      <c r="J1982" s="10">
        <v>0.03800000000000001</v>
      </c>
    </row>
    <row r="1983" spans="1:10">
      <c r="A1983" s="7" t="s">
        <v>340</v>
      </c>
      <c r="B1983" s="7" t="s">
        <v>3850</v>
      </c>
      <c r="C1983" s="8">
        <f>QS.CONTEXT.CREATE("market.1981",A1983,"USD","SOFR")</f>
        <v/>
      </c>
      <c r="D1983" s="8">
        <f>QS.CONTEXT.ADD.CURVE(C1983,"SOFR",$K$2:$K$7,$L$2:$L$7,,,"Actual360","LogLinear",TRUE)</f>
        <v/>
      </c>
      <c r="E1983" s="8">
        <f>QS.INSTRUMENT.SWAP("swap.1981",C1983,H1983,B1983,"USD","SOFR",I1983,J1983,0,"Actual360","Simple","Annual","Annual","Annual")</f>
        <v/>
      </c>
      <c r="F1983" s="8">
        <f>QS.TRADE.CREATE("trade.1981",C1983,E1983,A1983,"Receive")</f>
        <v/>
      </c>
      <c r="G1983" s="5"/>
      <c r="H1983" s="7" t="s">
        <v>354</v>
      </c>
      <c r="I1983" s="9">
        <v>1198100</v>
      </c>
      <c r="J1983" s="10">
        <v>0.0381</v>
      </c>
    </row>
    <row r="1984" spans="1:10">
      <c r="A1984" s="7" t="s">
        <v>342</v>
      </c>
      <c r="B1984" s="7" t="s">
        <v>3851</v>
      </c>
      <c r="C1984" s="8">
        <f>QS.CONTEXT.CREATE("market.1982",A1984,"USD","SOFR")</f>
        <v/>
      </c>
      <c r="D1984" s="8">
        <f>QS.CONTEXT.ADD.CURVE(C1984,"SOFR",$K$2:$K$7,$L$2:$L$7,,,"Actual360","LogLinear",TRUE)</f>
        <v/>
      </c>
      <c r="E1984" s="8">
        <f>QS.INSTRUMENT.SWAP("swap.1982",C1984,H1984,B1984,"USD","SOFR",I1984,J1984,0,"Actual360","Simple","Annual","Annual","Annual")</f>
        <v/>
      </c>
      <c r="F1984" s="8">
        <f>QS.TRADE.CREATE("trade.1982",C1984,E1984,A1984,"Receive")</f>
        <v/>
      </c>
      <c r="G1984" s="5"/>
      <c r="H1984" s="7" t="s">
        <v>356</v>
      </c>
      <c r="I1984" s="9">
        <v>1198200</v>
      </c>
      <c r="J1984" s="10">
        <v>0.0382</v>
      </c>
    </row>
    <row r="1985" spans="1:10">
      <c r="A1985" s="7" t="s">
        <v>344</v>
      </c>
      <c r="B1985" s="7" t="s">
        <v>3852</v>
      </c>
      <c r="C1985" s="8">
        <f>QS.CONTEXT.CREATE("market.1983",A1985,"USD","SOFR")</f>
        <v/>
      </c>
      <c r="D1985" s="8">
        <f>QS.CONTEXT.ADD.CURVE(C1985,"SOFR",$K$2:$K$7,$L$2:$L$7,,,"Actual360","LogLinear",TRUE)</f>
        <v/>
      </c>
      <c r="E1985" s="8">
        <f>QS.INSTRUMENT.SWAP("swap.1983",C1985,H1985,B1985,"USD","SOFR",I1985,J1985,0,"Actual360","Simple","Annual","Annual","Annual")</f>
        <v/>
      </c>
      <c r="F1985" s="8">
        <f>QS.TRADE.CREATE("trade.1983",C1985,E1985,A1985,"Receive")</f>
        <v/>
      </c>
      <c r="G1985" s="5"/>
      <c r="H1985" s="7" t="s">
        <v>358</v>
      </c>
      <c r="I1985" s="9">
        <v>1198300</v>
      </c>
      <c r="J1985" s="10">
        <v>0.0383</v>
      </c>
    </row>
    <row r="1986" spans="1:10">
      <c r="A1986" s="7" t="s">
        <v>346</v>
      </c>
      <c r="B1986" s="7" t="s">
        <v>3853</v>
      </c>
      <c r="C1986" s="8">
        <f>QS.CONTEXT.CREATE("market.1984",A1986,"USD","SOFR")</f>
        <v/>
      </c>
      <c r="D1986" s="8">
        <f>QS.CONTEXT.ADD.CURVE(C1986,"SOFR",$K$2:$K$7,$L$2:$L$7,,,"Actual360","LogLinear",TRUE)</f>
        <v/>
      </c>
      <c r="E1986" s="8">
        <f>QS.INSTRUMENT.SWAP("swap.1984",C1986,H1986,B1986,"USD","SOFR",I1986,J1986,0,"Actual360","Simple","Annual","Annual","Annual")</f>
        <v/>
      </c>
      <c r="F1986" s="8">
        <f>QS.TRADE.CREATE("trade.1984",C1986,E1986,A1986,"Receive")</f>
        <v/>
      </c>
      <c r="G1986" s="5"/>
      <c r="H1986" s="7" t="s">
        <v>360</v>
      </c>
      <c r="I1986" s="9">
        <v>1198400</v>
      </c>
      <c r="J1986" s="10">
        <v>0.0384</v>
      </c>
    </row>
    <row r="1987" spans="1:10">
      <c r="A1987" s="7" t="s">
        <v>348</v>
      </c>
      <c r="B1987" s="7" t="s">
        <v>3854</v>
      </c>
      <c r="C1987" s="8">
        <f>QS.CONTEXT.CREATE("market.1985",A1987,"USD","SOFR")</f>
        <v/>
      </c>
      <c r="D1987" s="8">
        <f>QS.CONTEXT.ADD.CURVE(C1987,"SOFR",$K$2:$K$7,$L$2:$L$7,,,"Actual360","LogLinear",TRUE)</f>
        <v/>
      </c>
      <c r="E1987" s="8">
        <f>QS.INSTRUMENT.SWAP("swap.1985",C1987,H1987,B1987,"USD","SOFR",I1987,J1987,0,"Actual360","Simple","Annual","Annual","Annual")</f>
        <v/>
      </c>
      <c r="F1987" s="8">
        <f>QS.TRADE.CREATE("trade.1985",C1987,E1987,A1987,"Receive")</f>
        <v/>
      </c>
      <c r="G1987" s="5"/>
      <c r="H1987" s="7" t="s">
        <v>362</v>
      </c>
      <c r="I1987" s="9">
        <v>1198500</v>
      </c>
      <c r="J1987" s="10">
        <v>0.03850000000000001</v>
      </c>
    </row>
    <row r="1988" spans="1:10">
      <c r="A1988" s="7" t="s">
        <v>350</v>
      </c>
      <c r="B1988" s="7" t="s">
        <v>3855</v>
      </c>
      <c r="C1988" s="8">
        <f>QS.CONTEXT.CREATE("market.1986",A1988,"USD","SOFR")</f>
        <v/>
      </c>
      <c r="D1988" s="8">
        <f>QS.CONTEXT.ADD.CURVE(C1988,"SOFR",$K$2:$K$7,$L$2:$L$7,,,"Actual360","LogLinear",TRUE)</f>
        <v/>
      </c>
      <c r="E1988" s="8">
        <f>QS.INSTRUMENT.SWAP("swap.1986",C1988,H1988,B1988,"USD","SOFR",I1988,J1988,0,"Actual360","Simple","Annual","Annual","Annual")</f>
        <v/>
      </c>
      <c r="F1988" s="8">
        <f>QS.TRADE.CREATE("trade.1986",C1988,E1988,A1988,"Receive")</f>
        <v/>
      </c>
      <c r="G1988" s="5"/>
      <c r="H1988" s="7" t="s">
        <v>364</v>
      </c>
      <c r="I1988" s="9">
        <v>1198600</v>
      </c>
      <c r="J1988" s="10">
        <v>0.0386</v>
      </c>
    </row>
    <row r="1989" spans="1:10">
      <c r="A1989" s="7" t="s">
        <v>352</v>
      </c>
      <c r="B1989" s="7" t="s">
        <v>3856</v>
      </c>
      <c r="C1989" s="8">
        <f>QS.CONTEXT.CREATE("market.1987",A1989,"USD","SOFR")</f>
        <v/>
      </c>
      <c r="D1989" s="8">
        <f>QS.CONTEXT.ADD.CURVE(C1989,"SOFR",$K$2:$K$7,$L$2:$L$7,,,"Actual360","LogLinear",TRUE)</f>
        <v/>
      </c>
      <c r="E1989" s="8">
        <f>QS.INSTRUMENT.SWAP("swap.1987",C1989,H1989,B1989,"USD","SOFR",I1989,J1989,0,"Actual360","Simple","Annual","Annual","Annual")</f>
        <v/>
      </c>
      <c r="F1989" s="8">
        <f>QS.TRADE.CREATE("trade.1987",C1989,E1989,A1989,"Receive")</f>
        <v/>
      </c>
      <c r="G1989" s="5"/>
      <c r="H1989" s="7" t="s">
        <v>366</v>
      </c>
      <c r="I1989" s="9">
        <v>1198700</v>
      </c>
      <c r="J1989" s="10">
        <v>0.03870000000000001</v>
      </c>
    </row>
    <row r="1990" spans="1:10">
      <c r="A1990" s="7" t="s">
        <v>354</v>
      </c>
      <c r="B1990" s="7" t="s">
        <v>3857</v>
      </c>
      <c r="C1990" s="8">
        <f>QS.CONTEXT.CREATE("market.1988",A1990,"USD","SOFR")</f>
        <v/>
      </c>
      <c r="D1990" s="8">
        <f>QS.CONTEXT.ADD.CURVE(C1990,"SOFR",$K$2:$K$7,$L$2:$L$7,,,"Actual360","LogLinear",TRUE)</f>
        <v/>
      </c>
      <c r="E1990" s="8">
        <f>QS.INSTRUMENT.SWAP("swap.1988",C1990,H1990,B1990,"USD","SOFR",I1990,J1990,0,"Actual360","Simple","Annual","Annual","Annual")</f>
        <v/>
      </c>
      <c r="F1990" s="8">
        <f>QS.TRADE.CREATE("trade.1988",C1990,E1990,A1990,"Receive")</f>
        <v/>
      </c>
      <c r="G1990" s="5"/>
      <c r="H1990" s="7" t="s">
        <v>368</v>
      </c>
      <c r="I1990" s="9">
        <v>1198800</v>
      </c>
      <c r="J1990" s="10">
        <v>0.0388</v>
      </c>
    </row>
    <row r="1991" spans="1:10">
      <c r="A1991" s="7" t="s">
        <v>356</v>
      </c>
      <c r="B1991" s="7" t="s">
        <v>3858</v>
      </c>
      <c r="C1991" s="8">
        <f>QS.CONTEXT.CREATE("market.1989",A1991,"USD","SOFR")</f>
        <v/>
      </c>
      <c r="D1991" s="8">
        <f>QS.CONTEXT.ADD.CURVE(C1991,"SOFR",$K$2:$K$7,$L$2:$L$7,,,"Actual360","LogLinear",TRUE)</f>
        <v/>
      </c>
      <c r="E1991" s="8">
        <f>QS.INSTRUMENT.SWAP("swap.1989",C1991,H1991,B1991,"USD","SOFR",I1991,J1991,0,"Actual360","Simple","Annual","Annual","Annual")</f>
        <v/>
      </c>
      <c r="F1991" s="8">
        <f>QS.TRADE.CREATE("trade.1989",C1991,E1991,A1991,"Receive")</f>
        <v/>
      </c>
      <c r="G1991" s="5"/>
      <c r="H1991" s="7" t="s">
        <v>370</v>
      </c>
      <c r="I1991" s="9">
        <v>1198900</v>
      </c>
      <c r="J1991" s="10">
        <v>0.0389</v>
      </c>
    </row>
    <row r="1992" spans="1:10">
      <c r="A1992" s="7" t="s">
        <v>358</v>
      </c>
      <c r="B1992" s="7" t="s">
        <v>3859</v>
      </c>
      <c r="C1992" s="8">
        <f>QS.CONTEXT.CREATE("market.1990",A1992,"USD","SOFR")</f>
        <v/>
      </c>
      <c r="D1992" s="8">
        <f>QS.CONTEXT.ADD.CURVE(C1992,"SOFR",$K$2:$K$7,$L$2:$L$7,,,"Actual360","LogLinear",TRUE)</f>
        <v/>
      </c>
      <c r="E1992" s="8">
        <f>QS.INSTRUMENT.SWAP("swap.1990",C1992,H1992,B1992,"USD","SOFR",I1992,J1992,0,"Actual360","Simple","Annual","Annual","Annual")</f>
        <v/>
      </c>
      <c r="F1992" s="8">
        <f>QS.TRADE.CREATE("trade.1990",C1992,E1992,A1992,"Receive")</f>
        <v/>
      </c>
      <c r="G1992" s="5"/>
      <c r="H1992" s="7" t="s">
        <v>372</v>
      </c>
      <c r="I1992" s="9">
        <v>1199000</v>
      </c>
      <c r="J1992" s="10">
        <v>0.03900000000000001</v>
      </c>
    </row>
    <row r="1993" spans="1:10">
      <c r="A1993" s="7" t="s">
        <v>360</v>
      </c>
      <c r="B1993" s="7" t="s">
        <v>3860</v>
      </c>
      <c r="C1993" s="8">
        <f>QS.CONTEXT.CREATE("market.1991",A1993,"USD","SOFR")</f>
        <v/>
      </c>
      <c r="D1993" s="8">
        <f>QS.CONTEXT.ADD.CURVE(C1993,"SOFR",$K$2:$K$7,$L$2:$L$7,,,"Actual360","LogLinear",TRUE)</f>
        <v/>
      </c>
      <c r="E1993" s="8">
        <f>QS.INSTRUMENT.SWAP("swap.1991",C1993,H1993,B1993,"USD","SOFR",I1993,J1993,0,"Actual360","Simple","Annual","Annual","Annual")</f>
        <v/>
      </c>
      <c r="F1993" s="8">
        <f>QS.TRADE.CREATE("trade.1991",C1993,E1993,A1993,"Receive")</f>
        <v/>
      </c>
      <c r="G1993" s="5"/>
      <c r="H1993" s="7" t="s">
        <v>374</v>
      </c>
      <c r="I1993" s="9">
        <v>1199100</v>
      </c>
      <c r="J1993" s="10">
        <v>0.0391</v>
      </c>
    </row>
    <row r="1994" spans="1:10">
      <c r="A1994" s="7" t="s">
        <v>362</v>
      </c>
      <c r="B1994" s="7" t="s">
        <v>3861</v>
      </c>
      <c r="C1994" s="8">
        <f>QS.CONTEXT.CREATE("market.1992",A1994,"USD","SOFR")</f>
        <v/>
      </c>
      <c r="D1994" s="8">
        <f>QS.CONTEXT.ADD.CURVE(C1994,"SOFR",$K$2:$K$7,$L$2:$L$7,,,"Actual360","LogLinear",TRUE)</f>
        <v/>
      </c>
      <c r="E1994" s="8">
        <f>QS.INSTRUMENT.SWAP("swap.1992",C1994,H1994,B1994,"USD","SOFR",I1994,J1994,0,"Actual360","Simple","Annual","Annual","Annual")</f>
        <v/>
      </c>
      <c r="F1994" s="8">
        <f>QS.TRADE.CREATE("trade.1992",C1994,E1994,A1994,"Receive")</f>
        <v/>
      </c>
      <c r="G1994" s="5"/>
      <c r="H1994" s="7" t="s">
        <v>376</v>
      </c>
      <c r="I1994" s="9">
        <v>1199200</v>
      </c>
      <c r="J1994" s="10">
        <v>0.03920000000000001</v>
      </c>
    </row>
    <row r="1995" spans="1:10">
      <c r="A1995" s="7" t="s">
        <v>364</v>
      </c>
      <c r="B1995" s="7" t="s">
        <v>3862</v>
      </c>
      <c r="C1995" s="8">
        <f>QS.CONTEXT.CREATE("market.1993",A1995,"USD","SOFR")</f>
        <v/>
      </c>
      <c r="D1995" s="8">
        <f>QS.CONTEXT.ADD.CURVE(C1995,"SOFR",$K$2:$K$7,$L$2:$L$7,,,"Actual360","LogLinear",TRUE)</f>
        <v/>
      </c>
      <c r="E1995" s="8">
        <f>QS.INSTRUMENT.SWAP("swap.1993",C1995,H1995,B1995,"USD","SOFR",I1995,J1995,0,"Actual360","Simple","Annual","Annual","Annual")</f>
        <v/>
      </c>
      <c r="F1995" s="8">
        <f>QS.TRADE.CREATE("trade.1993",C1995,E1995,A1995,"Receive")</f>
        <v/>
      </c>
      <c r="G1995" s="5"/>
      <c r="H1995" s="7" t="s">
        <v>378</v>
      </c>
      <c r="I1995" s="9">
        <v>1199300</v>
      </c>
      <c r="J1995" s="10">
        <v>0.0393</v>
      </c>
    </row>
    <row r="1996" spans="1:10">
      <c r="A1996" s="7" t="s">
        <v>366</v>
      </c>
      <c r="B1996" s="7" t="s">
        <v>3863</v>
      </c>
      <c r="C1996" s="8">
        <f>QS.CONTEXT.CREATE("market.1994",A1996,"USD","SOFR")</f>
        <v/>
      </c>
      <c r="D1996" s="8">
        <f>QS.CONTEXT.ADD.CURVE(C1996,"SOFR",$K$2:$K$7,$L$2:$L$7,,,"Actual360","LogLinear",TRUE)</f>
        <v/>
      </c>
      <c r="E1996" s="8">
        <f>QS.INSTRUMENT.SWAP("swap.1994",C1996,H1996,B1996,"USD","SOFR",I1996,J1996,0,"Actual360","Simple","Annual","Annual","Annual")</f>
        <v/>
      </c>
      <c r="F1996" s="8">
        <f>QS.TRADE.CREATE("trade.1994",C1996,E1996,A1996,"Receive")</f>
        <v/>
      </c>
      <c r="G1996" s="5"/>
      <c r="H1996" s="7" t="s">
        <v>380</v>
      </c>
      <c r="I1996" s="9">
        <v>1199400</v>
      </c>
      <c r="J1996" s="10">
        <v>0.0394</v>
      </c>
    </row>
    <row r="1997" spans="1:10">
      <c r="A1997" s="7" t="s">
        <v>368</v>
      </c>
      <c r="B1997" s="7" t="s">
        <v>3864</v>
      </c>
      <c r="C1997" s="8">
        <f>QS.CONTEXT.CREATE("market.1995",A1997,"USD","SOFR")</f>
        <v/>
      </c>
      <c r="D1997" s="8">
        <f>QS.CONTEXT.ADD.CURVE(C1997,"SOFR",$K$2:$K$7,$L$2:$L$7,,,"Actual360","LogLinear",TRUE)</f>
        <v/>
      </c>
      <c r="E1997" s="8">
        <f>QS.INSTRUMENT.SWAP("swap.1995",C1997,H1997,B1997,"USD","SOFR",I1997,J1997,0,"Actual360","Simple","Annual","Annual","Annual")</f>
        <v/>
      </c>
      <c r="F1997" s="8">
        <f>QS.TRADE.CREATE("trade.1995",C1997,E1997,A1997,"Receive")</f>
        <v/>
      </c>
      <c r="G1997" s="5"/>
      <c r="H1997" s="7" t="s">
        <v>382</v>
      </c>
      <c r="I1997" s="9">
        <v>1199500</v>
      </c>
      <c r="J1997" s="10">
        <v>0.03950000000000001</v>
      </c>
    </row>
    <row r="1998" spans="1:10">
      <c r="A1998" s="7" t="s">
        <v>370</v>
      </c>
      <c r="B1998" s="7" t="s">
        <v>3865</v>
      </c>
      <c r="C1998" s="8">
        <f>QS.CONTEXT.CREATE("market.1996",A1998,"USD","SOFR")</f>
        <v/>
      </c>
      <c r="D1998" s="8">
        <f>QS.CONTEXT.ADD.CURVE(C1998,"SOFR",$K$2:$K$7,$L$2:$L$7,,,"Actual360","LogLinear",TRUE)</f>
        <v/>
      </c>
      <c r="E1998" s="8">
        <f>QS.INSTRUMENT.SWAP("swap.1996",C1998,H1998,B1998,"USD","SOFR",I1998,J1998,0,"Actual360","Simple","Annual","Annual","Annual")</f>
        <v/>
      </c>
      <c r="F1998" s="8">
        <f>QS.TRADE.CREATE("trade.1996",C1998,E1998,A1998,"Receive")</f>
        <v/>
      </c>
      <c r="G1998" s="5"/>
      <c r="H1998" s="7" t="s">
        <v>384</v>
      </c>
      <c r="I1998" s="9">
        <v>1199600</v>
      </c>
      <c r="J1998" s="10">
        <v>0.0396</v>
      </c>
    </row>
    <row r="1999" spans="1:10">
      <c r="A1999" s="7" t="s">
        <v>372</v>
      </c>
      <c r="B1999" s="7" t="s">
        <v>3866</v>
      </c>
      <c r="C1999" s="8">
        <f>QS.CONTEXT.CREATE("market.1997",A1999,"USD","SOFR")</f>
        <v/>
      </c>
      <c r="D1999" s="8">
        <f>QS.CONTEXT.ADD.CURVE(C1999,"SOFR",$K$2:$K$7,$L$2:$L$7,,,"Actual360","LogLinear",TRUE)</f>
        <v/>
      </c>
      <c r="E1999" s="8">
        <f>QS.INSTRUMENT.SWAP("swap.1997",C1999,H1999,B1999,"USD","SOFR",I1999,J1999,0,"Actual360","Simple","Annual","Annual","Annual")</f>
        <v/>
      </c>
      <c r="F1999" s="8">
        <f>QS.TRADE.CREATE("trade.1997",C1999,E1999,A1999,"Receive")</f>
        <v/>
      </c>
      <c r="G1999" s="5"/>
      <c r="H1999" s="7" t="s">
        <v>386</v>
      </c>
      <c r="I1999" s="9">
        <v>1199700</v>
      </c>
      <c r="J1999" s="10">
        <v>0.03970000000000001</v>
      </c>
    </row>
    <row r="2000" spans="1:10">
      <c r="A2000" s="7" t="s">
        <v>374</v>
      </c>
      <c r="B2000" s="7" t="s">
        <v>3867</v>
      </c>
      <c r="C2000" s="8">
        <f>QS.CONTEXT.CREATE("market.1998",A2000,"USD","SOFR")</f>
        <v/>
      </c>
      <c r="D2000" s="8">
        <f>QS.CONTEXT.ADD.CURVE(C2000,"SOFR",$K$2:$K$7,$L$2:$L$7,,,"Actual360","LogLinear",TRUE)</f>
        <v/>
      </c>
      <c r="E2000" s="8">
        <f>QS.INSTRUMENT.SWAP("swap.1998",C2000,H2000,B2000,"USD","SOFR",I2000,J2000,0,"Actual360","Simple","Annual","Annual","Annual")</f>
        <v/>
      </c>
      <c r="F2000" s="8">
        <f>QS.TRADE.CREATE("trade.1998",C2000,E2000,A2000,"Receive")</f>
        <v/>
      </c>
      <c r="G2000" s="5"/>
      <c r="H2000" s="7" t="s">
        <v>388</v>
      </c>
      <c r="I2000" s="9">
        <v>1199800</v>
      </c>
      <c r="J2000" s="10">
        <v>0.0398</v>
      </c>
    </row>
    <row r="2001" spans="1:10">
      <c r="A2001" s="7" t="s">
        <v>376</v>
      </c>
      <c r="B2001" s="7" t="s">
        <v>3868</v>
      </c>
      <c r="C2001" s="8">
        <f>QS.CONTEXT.CREATE("market.1999",A2001,"USD","SOFR")</f>
        <v/>
      </c>
      <c r="D2001" s="8">
        <f>QS.CONTEXT.ADD.CURVE(C2001,"SOFR",$K$2:$K$7,$L$2:$L$7,,,"Actual360","LogLinear",TRUE)</f>
        <v/>
      </c>
      <c r="E2001" s="8">
        <f>QS.INSTRUMENT.SWAP("swap.1999",C2001,H2001,B2001,"USD","SOFR",I2001,J2001,0,"Actual360","Simple","Annual","Annual","Annual")</f>
        <v/>
      </c>
      <c r="F2001" s="8">
        <f>QS.TRADE.CREATE("trade.1999",C2001,E2001,A2001,"Receive")</f>
        <v/>
      </c>
      <c r="G2001" s="5"/>
      <c r="H2001" s="7" t="s">
        <v>390</v>
      </c>
      <c r="I2001" s="9">
        <v>1199900</v>
      </c>
      <c r="J2001" s="10">
        <v>0.0399</v>
      </c>
    </row>
    <row r="2002" spans="1:10">
      <c r="A2002" s="7" t="s">
        <v>378</v>
      </c>
      <c r="B2002" s="7" t="s">
        <v>3869</v>
      </c>
      <c r="C2002" s="8">
        <f>QS.CONTEXT.CREATE("market.2000",A2002,"USD","SOFR")</f>
        <v/>
      </c>
      <c r="D2002" s="8">
        <f>QS.CONTEXT.ADD.CURVE(C2002,"SOFR",$K$2:$K$7,$L$2:$L$7,,,"Actual360","LogLinear",TRUE)</f>
        <v/>
      </c>
      <c r="E2002" s="8">
        <f>QS.INSTRUMENT.SWAP("swap.2000",C2002,H2002,B2002,"USD","SOFR",I2002,J2002,0,"Actual360","Simple","Annual","Annual","Annual")</f>
        <v/>
      </c>
      <c r="F2002" s="8">
        <f>QS.TRADE.CREATE("trade.2000",C2002,E2002,A2002,"Receive")</f>
        <v/>
      </c>
      <c r="G2002" s="5"/>
      <c r="H2002" s="7" t="s">
        <v>392</v>
      </c>
      <c r="I2002" s="9">
        <v>1200000</v>
      </c>
      <c r="J2002" s="10">
        <v>0.035</v>
      </c>
    </row>
    <row r="2003" spans="1:10">
      <c r="A2003" s="7" t="s">
        <v>380</v>
      </c>
      <c r="B2003" s="7" t="s">
        <v>3870</v>
      </c>
      <c r="C2003" s="8">
        <f>QS.CONTEXT.CREATE("market.2001",A2003,"USD","SOFR")</f>
        <v/>
      </c>
      <c r="D2003" s="8">
        <f>QS.CONTEXT.ADD.CURVE(C2003,"SOFR",$K$2:$K$7,$L$2:$L$7,,,"Actual360","LogLinear",TRUE)</f>
        <v/>
      </c>
      <c r="E2003" s="8">
        <f>QS.INSTRUMENT.SWAP("swap.2001",C2003,H2003,B2003,"USD","SOFR",I2003,J2003,0,"Actual360","Simple","Annual","Annual","Annual")</f>
        <v/>
      </c>
      <c r="F2003" s="8">
        <f>QS.TRADE.CREATE("trade.2001",C2003,E2003,A2003,"Receive")</f>
        <v/>
      </c>
      <c r="G2003" s="5"/>
      <c r="H2003" s="7" t="s">
        <v>394</v>
      </c>
      <c r="I2003" s="9">
        <v>1200100</v>
      </c>
      <c r="J2003" s="10">
        <v>0.03510000000000001</v>
      </c>
    </row>
    <row r="2004" spans="1:10">
      <c r="A2004" s="7" t="s">
        <v>382</v>
      </c>
      <c r="B2004" s="7" t="s">
        <v>3871</v>
      </c>
      <c r="C2004" s="8">
        <f>QS.CONTEXT.CREATE("market.2002",A2004,"USD","SOFR")</f>
        <v/>
      </c>
      <c r="D2004" s="8">
        <f>QS.CONTEXT.ADD.CURVE(C2004,"SOFR",$K$2:$K$7,$L$2:$L$7,,,"Actual360","LogLinear",TRUE)</f>
        <v/>
      </c>
      <c r="E2004" s="8">
        <f>QS.INSTRUMENT.SWAP("swap.2002",C2004,H2004,B2004,"USD","SOFR",I2004,J2004,0,"Actual360","Simple","Annual","Annual","Annual")</f>
        <v/>
      </c>
      <c r="F2004" s="8">
        <f>QS.TRADE.CREATE("trade.2002",C2004,E2004,A2004,"Receive")</f>
        <v/>
      </c>
      <c r="G2004" s="5"/>
      <c r="H2004" s="7" t="s">
        <v>396</v>
      </c>
      <c r="I2004" s="9">
        <v>1200200</v>
      </c>
      <c r="J2004" s="10">
        <v>0.0352</v>
      </c>
    </row>
    <row r="2005" spans="1:10">
      <c r="A2005" s="7" t="s">
        <v>384</v>
      </c>
      <c r="B2005" s="7" t="s">
        <v>3872</v>
      </c>
      <c r="C2005" s="8">
        <f>QS.CONTEXT.CREATE("market.2003",A2005,"USD","SOFR")</f>
        <v/>
      </c>
      <c r="D2005" s="8">
        <f>QS.CONTEXT.ADD.CURVE(C2005,"SOFR",$K$2:$K$7,$L$2:$L$7,,,"Actual360","LogLinear",TRUE)</f>
        <v/>
      </c>
      <c r="E2005" s="8">
        <f>QS.INSTRUMENT.SWAP("swap.2003",C2005,H2005,B2005,"USD","SOFR",I2005,J2005,0,"Actual360","Simple","Annual","Annual","Annual")</f>
        <v/>
      </c>
      <c r="F2005" s="8">
        <f>QS.TRADE.CREATE("trade.2003",C2005,E2005,A2005,"Receive")</f>
        <v/>
      </c>
      <c r="G2005" s="5"/>
      <c r="H2005" s="7" t="s">
        <v>398</v>
      </c>
      <c r="I2005" s="9">
        <v>1200300</v>
      </c>
      <c r="J2005" s="10">
        <v>0.0353</v>
      </c>
    </row>
    <row r="2006" spans="1:10">
      <c r="A2006" s="7" t="s">
        <v>386</v>
      </c>
      <c r="B2006" s="7" t="s">
        <v>3873</v>
      </c>
      <c r="C2006" s="8">
        <f>QS.CONTEXT.CREATE("market.2004",A2006,"USD","SOFR")</f>
        <v/>
      </c>
      <c r="D2006" s="8">
        <f>QS.CONTEXT.ADD.CURVE(C2006,"SOFR",$K$2:$K$7,$L$2:$L$7,,,"Actual360","LogLinear",TRUE)</f>
        <v/>
      </c>
      <c r="E2006" s="8">
        <f>QS.INSTRUMENT.SWAP("swap.2004",C2006,H2006,B2006,"USD","SOFR",I2006,J2006,0,"Actual360","Simple","Annual","Annual","Annual")</f>
        <v/>
      </c>
      <c r="F2006" s="8">
        <f>QS.TRADE.CREATE("trade.2004",C2006,E2006,A2006,"Receive")</f>
        <v/>
      </c>
      <c r="G2006" s="5"/>
      <c r="H2006" s="7" t="s">
        <v>400</v>
      </c>
      <c r="I2006" s="9">
        <v>1200400</v>
      </c>
      <c r="J2006" s="10">
        <v>0.0354</v>
      </c>
    </row>
    <row r="2007" spans="1:10">
      <c r="A2007" s="7" t="s">
        <v>388</v>
      </c>
      <c r="B2007" s="7" t="s">
        <v>3874</v>
      </c>
      <c r="C2007" s="8">
        <f>QS.CONTEXT.CREATE("market.2005",A2007,"USD","SOFR")</f>
        <v/>
      </c>
      <c r="D2007" s="8">
        <f>QS.CONTEXT.ADD.CURVE(C2007,"SOFR",$K$2:$K$7,$L$2:$L$7,,,"Actual360","LogLinear",TRUE)</f>
        <v/>
      </c>
      <c r="E2007" s="8">
        <f>QS.INSTRUMENT.SWAP("swap.2005",C2007,H2007,B2007,"USD","SOFR",I2007,J2007,0,"Actual360","Simple","Annual","Annual","Annual")</f>
        <v/>
      </c>
      <c r="F2007" s="8">
        <f>QS.TRADE.CREATE("trade.2005",C2007,E2007,A2007,"Receive")</f>
        <v/>
      </c>
      <c r="G2007" s="5"/>
      <c r="H2007" s="7" t="s">
        <v>402</v>
      </c>
      <c r="I2007" s="9">
        <v>1200500</v>
      </c>
      <c r="J2007" s="10">
        <v>0.0355</v>
      </c>
    </row>
    <row r="2008" spans="1:10">
      <c r="A2008" s="7" t="s">
        <v>390</v>
      </c>
      <c r="B2008" s="7" t="s">
        <v>3875</v>
      </c>
      <c r="C2008" s="8">
        <f>QS.CONTEXT.CREATE("market.2006",A2008,"USD","SOFR")</f>
        <v/>
      </c>
      <c r="D2008" s="8">
        <f>QS.CONTEXT.ADD.CURVE(C2008,"SOFR",$K$2:$K$7,$L$2:$L$7,,,"Actual360","LogLinear",TRUE)</f>
        <v/>
      </c>
      <c r="E2008" s="8">
        <f>QS.INSTRUMENT.SWAP("swap.2006",C2008,H2008,B2008,"USD","SOFR",I2008,J2008,0,"Actual360","Simple","Annual","Annual","Annual")</f>
        <v/>
      </c>
      <c r="F2008" s="8">
        <f>QS.TRADE.CREATE("trade.2006",C2008,E2008,A2008,"Receive")</f>
        <v/>
      </c>
      <c r="G2008" s="5"/>
      <c r="H2008" s="7" t="s">
        <v>404</v>
      </c>
      <c r="I2008" s="9">
        <v>1200600</v>
      </c>
      <c r="J2008" s="10">
        <v>0.03560000000000001</v>
      </c>
    </row>
    <row r="2009" spans="1:10">
      <c r="A2009" s="7" t="s">
        <v>392</v>
      </c>
      <c r="B2009" s="7" t="s">
        <v>3876</v>
      </c>
      <c r="C2009" s="8">
        <f>QS.CONTEXT.CREATE("market.2007",A2009,"USD","SOFR")</f>
        <v/>
      </c>
      <c r="D2009" s="8">
        <f>QS.CONTEXT.ADD.CURVE(C2009,"SOFR",$K$2:$K$7,$L$2:$L$7,,,"Actual360","LogLinear",TRUE)</f>
        <v/>
      </c>
      <c r="E2009" s="8">
        <f>QS.INSTRUMENT.SWAP("swap.2007",C2009,H2009,B2009,"USD","SOFR",I2009,J2009,0,"Actual360","Simple","Annual","Annual","Annual")</f>
        <v/>
      </c>
      <c r="F2009" s="8">
        <f>QS.TRADE.CREATE("trade.2007",C2009,E2009,A2009,"Receive")</f>
        <v/>
      </c>
      <c r="G2009" s="5"/>
      <c r="H2009" s="7" t="s">
        <v>406</v>
      </c>
      <c r="I2009" s="9">
        <v>1200700</v>
      </c>
      <c r="J2009" s="10">
        <v>0.0357</v>
      </c>
    </row>
    <row r="2010" spans="1:10">
      <c r="A2010" s="7" t="s">
        <v>394</v>
      </c>
      <c r="B2010" s="7" t="s">
        <v>3877</v>
      </c>
      <c r="C2010" s="8">
        <f>QS.CONTEXT.CREATE("market.2008",A2010,"USD","SOFR")</f>
        <v/>
      </c>
      <c r="D2010" s="8">
        <f>QS.CONTEXT.ADD.CURVE(C2010,"SOFR",$K$2:$K$7,$L$2:$L$7,,,"Actual360","LogLinear",TRUE)</f>
        <v/>
      </c>
      <c r="E2010" s="8">
        <f>QS.INSTRUMENT.SWAP("swap.2008",C2010,H2010,B2010,"USD","SOFR",I2010,J2010,0,"Actual360","Simple","Annual","Annual","Annual")</f>
        <v/>
      </c>
      <c r="F2010" s="8">
        <f>QS.TRADE.CREATE("trade.2008",C2010,E2010,A2010,"Receive")</f>
        <v/>
      </c>
      <c r="G2010" s="5"/>
      <c r="H2010" s="7" t="s">
        <v>408</v>
      </c>
      <c r="I2010" s="9">
        <v>1200800</v>
      </c>
      <c r="J2010" s="10">
        <v>0.03580000000000001</v>
      </c>
    </row>
    <row r="2011" spans="1:10">
      <c r="A2011" s="7" t="s">
        <v>396</v>
      </c>
      <c r="B2011" s="7" t="s">
        <v>3878</v>
      </c>
      <c r="C2011" s="8">
        <f>QS.CONTEXT.CREATE("market.2009",A2011,"USD","SOFR")</f>
        <v/>
      </c>
      <c r="D2011" s="8">
        <f>QS.CONTEXT.ADD.CURVE(C2011,"SOFR",$K$2:$K$7,$L$2:$L$7,,,"Actual360","LogLinear",TRUE)</f>
        <v/>
      </c>
      <c r="E2011" s="8">
        <f>QS.INSTRUMENT.SWAP("swap.2009",C2011,H2011,B2011,"USD","SOFR",I2011,J2011,0,"Actual360","Simple","Annual","Annual","Annual")</f>
        <v/>
      </c>
      <c r="F2011" s="8">
        <f>QS.TRADE.CREATE("trade.2009",C2011,E2011,A2011,"Receive")</f>
        <v/>
      </c>
      <c r="G2011" s="5"/>
      <c r="H2011" s="7" t="s">
        <v>410</v>
      </c>
      <c r="I2011" s="9">
        <v>1200900</v>
      </c>
      <c r="J2011" s="10">
        <v>0.0359</v>
      </c>
    </row>
    <row r="2012" spans="1:10">
      <c r="A2012" s="7" t="s">
        <v>398</v>
      </c>
      <c r="B2012" s="7" t="s">
        <v>3879</v>
      </c>
      <c r="C2012" s="8">
        <f>QS.CONTEXT.CREATE("market.2010",A2012,"USD","SOFR")</f>
        <v/>
      </c>
      <c r="D2012" s="8">
        <f>QS.CONTEXT.ADD.CURVE(C2012,"SOFR",$K$2:$K$7,$L$2:$L$7,,,"Actual360","LogLinear",TRUE)</f>
        <v/>
      </c>
      <c r="E2012" s="8">
        <f>QS.INSTRUMENT.SWAP("swap.2010",C2012,H2012,B2012,"USD","SOFR",I2012,J2012,0,"Actual360","Simple","Annual","Annual","Annual")</f>
        <v/>
      </c>
      <c r="F2012" s="8">
        <f>QS.TRADE.CREATE("trade.2010",C2012,E2012,A2012,"Receive")</f>
        <v/>
      </c>
      <c r="G2012" s="5"/>
      <c r="H2012" s="7" t="s">
        <v>412</v>
      </c>
      <c r="I2012" s="9">
        <v>1201000</v>
      </c>
      <c r="J2012" s="10">
        <v>0.036</v>
      </c>
    </row>
    <row r="2013" spans="1:10">
      <c r="A2013" s="7" t="s">
        <v>400</v>
      </c>
      <c r="B2013" s="7" t="s">
        <v>3880</v>
      </c>
      <c r="C2013" s="8">
        <f>QS.CONTEXT.CREATE("market.2011",A2013,"USD","SOFR")</f>
        <v/>
      </c>
      <c r="D2013" s="8">
        <f>QS.CONTEXT.ADD.CURVE(C2013,"SOFR",$K$2:$K$7,$L$2:$L$7,,,"Actual360","LogLinear",TRUE)</f>
        <v/>
      </c>
      <c r="E2013" s="8">
        <f>QS.INSTRUMENT.SWAP("swap.2011",C2013,H2013,B2013,"USD","SOFR",I2013,J2013,0,"Actual360","Simple","Annual","Annual","Annual")</f>
        <v/>
      </c>
      <c r="F2013" s="8">
        <f>QS.TRADE.CREATE("trade.2011",C2013,E2013,A2013,"Receive")</f>
        <v/>
      </c>
      <c r="G2013" s="5"/>
      <c r="H2013" s="7" t="s">
        <v>414</v>
      </c>
      <c r="I2013" s="9">
        <v>1201100</v>
      </c>
      <c r="J2013" s="10">
        <v>0.0361</v>
      </c>
    </row>
    <row r="2014" spans="1:10">
      <c r="A2014" s="7" t="s">
        <v>402</v>
      </c>
      <c r="B2014" s="7" t="s">
        <v>3881</v>
      </c>
      <c r="C2014" s="8">
        <f>QS.CONTEXT.CREATE("market.2012",A2014,"USD","SOFR")</f>
        <v/>
      </c>
      <c r="D2014" s="8">
        <f>QS.CONTEXT.ADD.CURVE(C2014,"SOFR",$K$2:$K$7,$L$2:$L$7,,,"Actual360","LogLinear",TRUE)</f>
        <v/>
      </c>
      <c r="E2014" s="8">
        <f>QS.INSTRUMENT.SWAP("swap.2012",C2014,H2014,B2014,"USD","SOFR",I2014,J2014,0,"Actual360","Simple","Annual","Annual","Annual")</f>
        <v/>
      </c>
      <c r="F2014" s="8">
        <f>QS.TRADE.CREATE("trade.2012",C2014,E2014,A2014,"Receive")</f>
        <v/>
      </c>
      <c r="G2014" s="5"/>
      <c r="H2014" s="7" t="s">
        <v>416</v>
      </c>
      <c r="I2014" s="9">
        <v>1201200</v>
      </c>
      <c r="J2014" s="10">
        <v>0.0362</v>
      </c>
    </row>
    <row r="2015" spans="1:10">
      <c r="A2015" s="7" t="s">
        <v>404</v>
      </c>
      <c r="B2015" s="7" t="s">
        <v>3882</v>
      </c>
      <c r="C2015" s="8">
        <f>QS.CONTEXT.CREATE("market.2013",A2015,"USD","SOFR")</f>
        <v/>
      </c>
      <c r="D2015" s="8">
        <f>QS.CONTEXT.ADD.CURVE(C2015,"SOFR",$K$2:$K$7,$L$2:$L$7,,,"Actual360","LogLinear",TRUE)</f>
        <v/>
      </c>
      <c r="E2015" s="8">
        <f>QS.INSTRUMENT.SWAP("swap.2013",C2015,H2015,B2015,"USD","SOFR",I2015,J2015,0,"Actual360","Simple","Annual","Annual","Annual")</f>
        <v/>
      </c>
      <c r="F2015" s="8">
        <f>QS.TRADE.CREATE("trade.2013",C2015,E2015,A2015,"Receive")</f>
        <v/>
      </c>
      <c r="G2015" s="5"/>
      <c r="H2015" s="7" t="s">
        <v>418</v>
      </c>
      <c r="I2015" s="9">
        <v>1201300</v>
      </c>
      <c r="J2015" s="10">
        <v>0.03630000000000001</v>
      </c>
    </row>
    <row r="2016" spans="1:10">
      <c r="A2016" s="7" t="s">
        <v>406</v>
      </c>
      <c r="B2016" s="7" t="s">
        <v>3883</v>
      </c>
      <c r="C2016" s="8">
        <f>QS.CONTEXT.CREATE("market.2014",A2016,"USD","SOFR")</f>
        <v/>
      </c>
      <c r="D2016" s="8">
        <f>QS.CONTEXT.ADD.CURVE(C2016,"SOFR",$K$2:$K$7,$L$2:$L$7,,,"Actual360","LogLinear",TRUE)</f>
        <v/>
      </c>
      <c r="E2016" s="8">
        <f>QS.INSTRUMENT.SWAP("swap.2014",C2016,H2016,B2016,"USD","SOFR",I2016,J2016,0,"Actual360","Simple","Annual","Annual","Annual")</f>
        <v/>
      </c>
      <c r="F2016" s="8">
        <f>QS.TRADE.CREATE("trade.2014",C2016,E2016,A2016,"Receive")</f>
        <v/>
      </c>
      <c r="G2016" s="5"/>
      <c r="H2016" s="7" t="s">
        <v>420</v>
      </c>
      <c r="I2016" s="9">
        <v>1201400</v>
      </c>
      <c r="J2016" s="10">
        <v>0.0364</v>
      </c>
    </row>
    <row r="2017" spans="1:10">
      <c r="A2017" s="7" t="s">
        <v>408</v>
      </c>
      <c r="B2017" s="7" t="s">
        <v>3884</v>
      </c>
      <c r="C2017" s="8">
        <f>QS.CONTEXT.CREATE("market.2015",A2017,"USD","SOFR")</f>
        <v/>
      </c>
      <c r="D2017" s="8">
        <f>QS.CONTEXT.ADD.CURVE(C2017,"SOFR",$K$2:$K$7,$L$2:$L$7,,,"Actual360","LogLinear",TRUE)</f>
        <v/>
      </c>
      <c r="E2017" s="8">
        <f>QS.INSTRUMENT.SWAP("swap.2015",C2017,H2017,B2017,"USD","SOFR",I2017,J2017,0,"Actual360","Simple","Annual","Annual","Annual")</f>
        <v/>
      </c>
      <c r="F2017" s="8">
        <f>QS.TRADE.CREATE("trade.2015",C2017,E2017,A2017,"Receive")</f>
        <v/>
      </c>
      <c r="G2017" s="5"/>
      <c r="H2017" s="7" t="s">
        <v>422</v>
      </c>
      <c r="I2017" s="9">
        <v>1201500</v>
      </c>
      <c r="J2017" s="10">
        <v>0.0365</v>
      </c>
    </row>
    <row r="2018" spans="1:10">
      <c r="A2018" s="7" t="s">
        <v>410</v>
      </c>
      <c r="B2018" s="7" t="s">
        <v>3885</v>
      </c>
      <c r="C2018" s="8">
        <f>QS.CONTEXT.CREATE("market.2016",A2018,"USD","SOFR")</f>
        <v/>
      </c>
      <c r="D2018" s="8">
        <f>QS.CONTEXT.ADD.CURVE(C2018,"SOFR",$K$2:$K$7,$L$2:$L$7,,,"Actual360","LogLinear",TRUE)</f>
        <v/>
      </c>
      <c r="E2018" s="8">
        <f>QS.INSTRUMENT.SWAP("swap.2016",C2018,H2018,B2018,"USD","SOFR",I2018,J2018,0,"Actual360","Simple","Annual","Annual","Annual")</f>
        <v/>
      </c>
      <c r="F2018" s="8">
        <f>QS.TRADE.CREATE("trade.2016",C2018,E2018,A2018,"Receive")</f>
        <v/>
      </c>
      <c r="G2018" s="5"/>
      <c r="H2018" s="7" t="s">
        <v>424</v>
      </c>
      <c r="I2018" s="9">
        <v>1201600</v>
      </c>
      <c r="J2018" s="10">
        <v>0.0366</v>
      </c>
    </row>
    <row r="2019" spans="1:10">
      <c r="A2019" s="7" t="s">
        <v>412</v>
      </c>
      <c r="B2019" s="7" t="s">
        <v>3886</v>
      </c>
      <c r="C2019" s="8">
        <f>QS.CONTEXT.CREATE("market.2017",A2019,"USD","SOFR")</f>
        <v/>
      </c>
      <c r="D2019" s="8">
        <f>QS.CONTEXT.ADD.CURVE(C2019,"SOFR",$K$2:$K$7,$L$2:$L$7,,,"Actual360","LogLinear",TRUE)</f>
        <v/>
      </c>
      <c r="E2019" s="8">
        <f>QS.INSTRUMENT.SWAP("swap.2017",C2019,H2019,B2019,"USD","SOFR",I2019,J2019,0,"Actual360","Simple","Annual","Annual","Annual")</f>
        <v/>
      </c>
      <c r="F2019" s="8">
        <f>QS.TRADE.CREATE("trade.2017",C2019,E2019,A2019,"Receive")</f>
        <v/>
      </c>
      <c r="G2019" s="5"/>
      <c r="H2019" s="7" t="s">
        <v>426</v>
      </c>
      <c r="I2019" s="9">
        <v>1201700</v>
      </c>
      <c r="J2019" s="10">
        <v>0.0367</v>
      </c>
    </row>
    <row r="2020" spans="1:10">
      <c r="A2020" s="7" t="s">
        <v>414</v>
      </c>
      <c r="B2020" s="7" t="s">
        <v>3887</v>
      </c>
      <c r="C2020" s="8">
        <f>QS.CONTEXT.CREATE("market.2018",A2020,"USD","SOFR")</f>
        <v/>
      </c>
      <c r="D2020" s="8">
        <f>QS.CONTEXT.ADD.CURVE(C2020,"SOFR",$K$2:$K$7,$L$2:$L$7,,,"Actual360","LogLinear",TRUE)</f>
        <v/>
      </c>
      <c r="E2020" s="8">
        <f>QS.INSTRUMENT.SWAP("swap.2018",C2020,H2020,B2020,"USD","SOFR",I2020,J2020,0,"Actual360","Simple","Annual","Annual","Annual")</f>
        <v/>
      </c>
      <c r="F2020" s="8">
        <f>QS.TRADE.CREATE("trade.2018",C2020,E2020,A2020,"Receive")</f>
        <v/>
      </c>
      <c r="G2020" s="5"/>
      <c r="H2020" s="7" t="s">
        <v>428</v>
      </c>
      <c r="I2020" s="9">
        <v>1201800</v>
      </c>
      <c r="J2020" s="10">
        <v>0.03680000000000001</v>
      </c>
    </row>
    <row r="2021" spans="1:10">
      <c r="A2021" s="7" t="s">
        <v>416</v>
      </c>
      <c r="B2021" s="7" t="s">
        <v>3888</v>
      </c>
      <c r="C2021" s="8">
        <f>QS.CONTEXT.CREATE("market.2019",A2021,"USD","SOFR")</f>
        <v/>
      </c>
      <c r="D2021" s="8">
        <f>QS.CONTEXT.ADD.CURVE(C2021,"SOFR",$K$2:$K$7,$L$2:$L$7,,,"Actual360","LogLinear",TRUE)</f>
        <v/>
      </c>
      <c r="E2021" s="8">
        <f>QS.INSTRUMENT.SWAP("swap.2019",C2021,H2021,B2021,"USD","SOFR",I2021,J2021,0,"Actual360","Simple","Annual","Annual","Annual")</f>
        <v/>
      </c>
      <c r="F2021" s="8">
        <f>QS.TRADE.CREATE("trade.2019",C2021,E2021,A2021,"Receive")</f>
        <v/>
      </c>
      <c r="G2021" s="5"/>
      <c r="H2021" s="7" t="s">
        <v>430</v>
      </c>
      <c r="I2021" s="9">
        <v>1201900</v>
      </c>
      <c r="J2021" s="10">
        <v>0.0369</v>
      </c>
    </row>
    <row r="2022" spans="1:10">
      <c r="A2022" s="7" t="s">
        <v>418</v>
      </c>
      <c r="B2022" s="7" t="s">
        <v>3889</v>
      </c>
      <c r="C2022" s="8">
        <f>QS.CONTEXT.CREATE("market.2020",A2022,"USD","SOFR")</f>
        <v/>
      </c>
      <c r="D2022" s="8">
        <f>QS.CONTEXT.ADD.CURVE(C2022,"SOFR",$K$2:$K$7,$L$2:$L$7,,,"Actual360","LogLinear",TRUE)</f>
        <v/>
      </c>
      <c r="E2022" s="8">
        <f>QS.INSTRUMENT.SWAP("swap.2020",C2022,H2022,B2022,"USD","SOFR",I2022,J2022,0,"Actual360","Simple","Annual","Annual","Annual")</f>
        <v/>
      </c>
      <c r="F2022" s="8">
        <f>QS.TRADE.CREATE("trade.2020",C2022,E2022,A2022,"Receive")</f>
        <v/>
      </c>
      <c r="G2022" s="5"/>
      <c r="H2022" s="7" t="s">
        <v>432</v>
      </c>
      <c r="I2022" s="9">
        <v>1202000</v>
      </c>
      <c r="J2022" s="10">
        <v>0.03700000000000001</v>
      </c>
    </row>
    <row r="2023" spans="1:10">
      <c r="A2023" s="7" t="s">
        <v>420</v>
      </c>
      <c r="B2023" s="7" t="s">
        <v>3890</v>
      </c>
      <c r="C2023" s="8">
        <f>QS.CONTEXT.CREATE("market.2021",A2023,"USD","SOFR")</f>
        <v/>
      </c>
      <c r="D2023" s="8">
        <f>QS.CONTEXT.ADD.CURVE(C2023,"SOFR",$K$2:$K$7,$L$2:$L$7,,,"Actual360","LogLinear",TRUE)</f>
        <v/>
      </c>
      <c r="E2023" s="8">
        <f>QS.INSTRUMENT.SWAP("swap.2021",C2023,H2023,B2023,"USD","SOFR",I2023,J2023,0,"Actual360","Simple","Annual","Annual","Annual")</f>
        <v/>
      </c>
      <c r="F2023" s="8">
        <f>QS.TRADE.CREATE("trade.2021",C2023,E2023,A2023,"Receive")</f>
        <v/>
      </c>
      <c r="G2023" s="5"/>
      <c r="H2023" s="7" t="s">
        <v>434</v>
      </c>
      <c r="I2023" s="9">
        <v>1202100</v>
      </c>
      <c r="J2023" s="10">
        <v>0.0371</v>
      </c>
    </row>
    <row r="2024" spans="1:10">
      <c r="A2024" s="7" t="s">
        <v>422</v>
      </c>
      <c r="B2024" s="7" t="s">
        <v>3891</v>
      </c>
      <c r="C2024" s="8">
        <f>QS.CONTEXT.CREATE("market.2022",A2024,"USD","SOFR")</f>
        <v/>
      </c>
      <c r="D2024" s="8">
        <f>QS.CONTEXT.ADD.CURVE(C2024,"SOFR",$K$2:$K$7,$L$2:$L$7,,,"Actual360","LogLinear",TRUE)</f>
        <v/>
      </c>
      <c r="E2024" s="8">
        <f>QS.INSTRUMENT.SWAP("swap.2022",C2024,H2024,B2024,"USD","SOFR",I2024,J2024,0,"Actual360","Simple","Annual","Annual","Annual")</f>
        <v/>
      </c>
      <c r="F2024" s="8">
        <f>QS.TRADE.CREATE("trade.2022",C2024,E2024,A2024,"Receive")</f>
        <v/>
      </c>
      <c r="G2024" s="5"/>
      <c r="H2024" s="7" t="s">
        <v>436</v>
      </c>
      <c r="I2024" s="9">
        <v>1202200</v>
      </c>
      <c r="J2024" s="10">
        <v>0.0372</v>
      </c>
    </row>
    <row r="2025" spans="1:10">
      <c r="A2025" s="7" t="s">
        <v>424</v>
      </c>
      <c r="B2025" s="7" t="s">
        <v>3892</v>
      </c>
      <c r="C2025" s="8">
        <f>QS.CONTEXT.CREATE("market.2023",A2025,"USD","SOFR")</f>
        <v/>
      </c>
      <c r="D2025" s="8">
        <f>QS.CONTEXT.ADD.CURVE(C2025,"SOFR",$K$2:$K$7,$L$2:$L$7,,,"Actual360","LogLinear",TRUE)</f>
        <v/>
      </c>
      <c r="E2025" s="8">
        <f>QS.INSTRUMENT.SWAP("swap.2023",C2025,H2025,B2025,"USD","SOFR",I2025,J2025,0,"Actual360","Simple","Annual","Annual","Annual")</f>
        <v/>
      </c>
      <c r="F2025" s="8">
        <f>QS.TRADE.CREATE("trade.2023",C2025,E2025,A2025,"Receive")</f>
        <v/>
      </c>
      <c r="G2025" s="5"/>
      <c r="H2025" s="7" t="s">
        <v>438</v>
      </c>
      <c r="I2025" s="9">
        <v>1202300</v>
      </c>
      <c r="J2025" s="10">
        <v>0.0373</v>
      </c>
    </row>
    <row r="2026" spans="1:10">
      <c r="A2026" s="7" t="s">
        <v>426</v>
      </c>
      <c r="B2026" s="7" t="s">
        <v>3893</v>
      </c>
      <c r="C2026" s="8">
        <f>QS.CONTEXT.CREATE("market.2024",A2026,"USD","SOFR")</f>
        <v/>
      </c>
      <c r="D2026" s="8">
        <f>QS.CONTEXT.ADD.CURVE(C2026,"SOFR",$K$2:$K$7,$L$2:$L$7,,,"Actual360","LogLinear",TRUE)</f>
        <v/>
      </c>
      <c r="E2026" s="8">
        <f>QS.INSTRUMENT.SWAP("swap.2024",C2026,H2026,B2026,"USD","SOFR",I2026,J2026,0,"Actual360","Simple","Annual","Annual","Annual")</f>
        <v/>
      </c>
      <c r="F2026" s="8">
        <f>QS.TRADE.CREATE("trade.2024",C2026,E2026,A2026,"Receive")</f>
        <v/>
      </c>
      <c r="G2026" s="5"/>
      <c r="H2026" s="7" t="s">
        <v>440</v>
      </c>
      <c r="I2026" s="9">
        <v>1202400</v>
      </c>
      <c r="J2026" s="10">
        <v>0.0374</v>
      </c>
    </row>
    <row r="2027" spans="1:10">
      <c r="A2027" s="7" t="s">
        <v>428</v>
      </c>
      <c r="B2027" s="7" t="s">
        <v>3894</v>
      </c>
      <c r="C2027" s="8">
        <f>QS.CONTEXT.CREATE("market.2025",A2027,"USD","SOFR")</f>
        <v/>
      </c>
      <c r="D2027" s="8">
        <f>QS.CONTEXT.ADD.CURVE(C2027,"SOFR",$K$2:$K$7,$L$2:$L$7,,,"Actual360","LogLinear",TRUE)</f>
        <v/>
      </c>
      <c r="E2027" s="8">
        <f>QS.INSTRUMENT.SWAP("swap.2025",C2027,H2027,B2027,"USD","SOFR",I2027,J2027,0,"Actual360","Simple","Annual","Annual","Annual")</f>
        <v/>
      </c>
      <c r="F2027" s="8">
        <f>QS.TRADE.CREATE("trade.2025",C2027,E2027,A2027,"Receive")</f>
        <v/>
      </c>
      <c r="G2027" s="5"/>
      <c r="H2027" s="7" t="s">
        <v>442</v>
      </c>
      <c r="I2027" s="9">
        <v>1202500</v>
      </c>
      <c r="J2027" s="10">
        <v>0.03750000000000001</v>
      </c>
    </row>
    <row r="2028" spans="1:10">
      <c r="A2028" s="7" t="s">
        <v>430</v>
      </c>
      <c r="B2028" s="7" t="s">
        <v>3895</v>
      </c>
      <c r="C2028" s="8">
        <f>QS.CONTEXT.CREATE("market.2026",A2028,"USD","SOFR")</f>
        <v/>
      </c>
      <c r="D2028" s="8">
        <f>QS.CONTEXT.ADD.CURVE(C2028,"SOFR",$K$2:$K$7,$L$2:$L$7,,,"Actual360","LogLinear",TRUE)</f>
        <v/>
      </c>
      <c r="E2028" s="8">
        <f>QS.INSTRUMENT.SWAP("swap.2026",C2028,H2028,B2028,"USD","SOFR",I2028,J2028,0,"Actual360","Simple","Annual","Annual","Annual")</f>
        <v/>
      </c>
      <c r="F2028" s="8">
        <f>QS.TRADE.CREATE("trade.2026",C2028,E2028,A2028,"Receive")</f>
        <v/>
      </c>
      <c r="G2028" s="5"/>
      <c r="H2028" s="7" t="s">
        <v>444</v>
      </c>
      <c r="I2028" s="9">
        <v>1202600</v>
      </c>
      <c r="J2028" s="10">
        <v>0.0376</v>
      </c>
    </row>
    <row r="2029" spans="1:10">
      <c r="A2029" s="7" t="s">
        <v>432</v>
      </c>
      <c r="B2029" s="7" t="s">
        <v>3896</v>
      </c>
      <c r="C2029" s="8">
        <f>QS.CONTEXT.CREATE("market.2027",A2029,"USD","SOFR")</f>
        <v/>
      </c>
      <c r="D2029" s="8">
        <f>QS.CONTEXT.ADD.CURVE(C2029,"SOFR",$K$2:$K$7,$L$2:$L$7,,,"Actual360","LogLinear",TRUE)</f>
        <v/>
      </c>
      <c r="E2029" s="8">
        <f>QS.INSTRUMENT.SWAP("swap.2027",C2029,H2029,B2029,"USD","SOFR",I2029,J2029,0,"Actual360","Simple","Annual","Annual","Annual")</f>
        <v/>
      </c>
      <c r="F2029" s="8">
        <f>QS.TRADE.CREATE("trade.2027",C2029,E2029,A2029,"Receive")</f>
        <v/>
      </c>
      <c r="G2029" s="5"/>
      <c r="H2029" s="7" t="s">
        <v>446</v>
      </c>
      <c r="I2029" s="9">
        <v>1202700</v>
      </c>
      <c r="J2029" s="10">
        <v>0.0377</v>
      </c>
    </row>
    <row r="2030" spans="1:10">
      <c r="A2030" s="7" t="s">
        <v>434</v>
      </c>
      <c r="B2030" s="7" t="s">
        <v>3897</v>
      </c>
      <c r="C2030" s="8">
        <f>QS.CONTEXT.CREATE("market.2028",A2030,"USD","SOFR")</f>
        <v/>
      </c>
      <c r="D2030" s="8">
        <f>QS.CONTEXT.ADD.CURVE(C2030,"SOFR",$K$2:$K$7,$L$2:$L$7,,,"Actual360","LogLinear",TRUE)</f>
        <v/>
      </c>
      <c r="E2030" s="8">
        <f>QS.INSTRUMENT.SWAP("swap.2028",C2030,H2030,B2030,"USD","SOFR",I2030,J2030,0,"Actual360","Simple","Annual","Annual","Annual")</f>
        <v/>
      </c>
      <c r="F2030" s="8">
        <f>QS.TRADE.CREATE("trade.2028",C2030,E2030,A2030,"Receive")</f>
        <v/>
      </c>
      <c r="G2030" s="5"/>
      <c r="H2030" s="7" t="s">
        <v>448</v>
      </c>
      <c r="I2030" s="9">
        <v>1202800</v>
      </c>
      <c r="J2030" s="10">
        <v>0.0378</v>
      </c>
    </row>
    <row r="2031" spans="1:10">
      <c r="A2031" s="7" t="s">
        <v>436</v>
      </c>
      <c r="B2031" s="7" t="s">
        <v>3898</v>
      </c>
      <c r="C2031" s="8">
        <f>QS.CONTEXT.CREATE("market.2029",A2031,"USD","SOFR")</f>
        <v/>
      </c>
      <c r="D2031" s="8">
        <f>QS.CONTEXT.ADD.CURVE(C2031,"SOFR",$K$2:$K$7,$L$2:$L$7,,,"Actual360","LogLinear",TRUE)</f>
        <v/>
      </c>
      <c r="E2031" s="8">
        <f>QS.INSTRUMENT.SWAP("swap.2029",C2031,H2031,B2031,"USD","SOFR",I2031,J2031,0,"Actual360","Simple","Annual","Annual","Annual")</f>
        <v/>
      </c>
      <c r="F2031" s="8">
        <f>QS.TRADE.CREATE("trade.2029",C2031,E2031,A2031,"Receive")</f>
        <v/>
      </c>
      <c r="G2031" s="5"/>
      <c r="H2031" s="7" t="s">
        <v>450</v>
      </c>
      <c r="I2031" s="9">
        <v>1202900</v>
      </c>
      <c r="J2031" s="10">
        <v>0.0379</v>
      </c>
    </row>
    <row r="2032" spans="1:10">
      <c r="A2032" s="7" t="s">
        <v>438</v>
      </c>
      <c r="B2032" s="7" t="s">
        <v>3899</v>
      </c>
      <c r="C2032" s="8">
        <f>QS.CONTEXT.CREATE("market.2030",A2032,"USD","SOFR")</f>
        <v/>
      </c>
      <c r="D2032" s="8">
        <f>QS.CONTEXT.ADD.CURVE(C2032,"SOFR",$K$2:$K$7,$L$2:$L$7,,,"Actual360","LogLinear",TRUE)</f>
        <v/>
      </c>
      <c r="E2032" s="8">
        <f>QS.INSTRUMENT.SWAP("swap.2030",C2032,H2032,B2032,"USD","SOFR",I2032,J2032,0,"Actual360","Simple","Annual","Annual","Annual")</f>
        <v/>
      </c>
      <c r="F2032" s="8">
        <f>QS.TRADE.CREATE("trade.2030",C2032,E2032,A2032,"Receive")</f>
        <v/>
      </c>
      <c r="G2032" s="5"/>
      <c r="H2032" s="7" t="s">
        <v>452</v>
      </c>
      <c r="I2032" s="9">
        <v>1203000</v>
      </c>
      <c r="J2032" s="10">
        <v>0.03800000000000001</v>
      </c>
    </row>
    <row r="2033" spans="1:10">
      <c r="A2033" s="7" t="s">
        <v>440</v>
      </c>
      <c r="B2033" s="7" t="s">
        <v>3900</v>
      </c>
      <c r="C2033" s="8">
        <f>QS.CONTEXT.CREATE("market.2031",A2033,"USD","SOFR")</f>
        <v/>
      </c>
      <c r="D2033" s="8">
        <f>QS.CONTEXT.ADD.CURVE(C2033,"SOFR",$K$2:$K$7,$L$2:$L$7,,,"Actual360","LogLinear",TRUE)</f>
        <v/>
      </c>
      <c r="E2033" s="8">
        <f>QS.INSTRUMENT.SWAP("swap.2031",C2033,H2033,B2033,"USD","SOFR",I2033,J2033,0,"Actual360","Simple","Annual","Annual","Annual")</f>
        <v/>
      </c>
      <c r="F2033" s="8">
        <f>QS.TRADE.CREATE("trade.2031",C2033,E2033,A2033,"Receive")</f>
        <v/>
      </c>
      <c r="G2033" s="5"/>
      <c r="H2033" s="7" t="s">
        <v>454</v>
      </c>
      <c r="I2033" s="9">
        <v>1203100</v>
      </c>
      <c r="J2033" s="10">
        <v>0.0381</v>
      </c>
    </row>
    <row r="2034" spans="1:10">
      <c r="A2034" s="7" t="s">
        <v>442</v>
      </c>
      <c r="B2034" s="7" t="s">
        <v>3901</v>
      </c>
      <c r="C2034" s="8">
        <f>QS.CONTEXT.CREATE("market.2032",A2034,"USD","SOFR")</f>
        <v/>
      </c>
      <c r="D2034" s="8">
        <f>QS.CONTEXT.ADD.CURVE(C2034,"SOFR",$K$2:$K$7,$L$2:$L$7,,,"Actual360","LogLinear",TRUE)</f>
        <v/>
      </c>
      <c r="E2034" s="8">
        <f>QS.INSTRUMENT.SWAP("swap.2032",C2034,H2034,B2034,"USD","SOFR",I2034,J2034,0,"Actual360","Simple","Annual","Annual","Annual")</f>
        <v/>
      </c>
      <c r="F2034" s="8">
        <f>QS.TRADE.CREATE("trade.2032",C2034,E2034,A2034,"Receive")</f>
        <v/>
      </c>
      <c r="G2034" s="5"/>
      <c r="H2034" s="7" t="s">
        <v>456</v>
      </c>
      <c r="I2034" s="9">
        <v>1203200</v>
      </c>
      <c r="J2034" s="10">
        <v>0.0382</v>
      </c>
    </row>
    <row r="2035" spans="1:10">
      <c r="A2035" s="7" t="s">
        <v>444</v>
      </c>
      <c r="B2035" s="7" t="s">
        <v>3902</v>
      </c>
      <c r="C2035" s="8">
        <f>QS.CONTEXT.CREATE("market.2033",A2035,"USD","SOFR")</f>
        <v/>
      </c>
      <c r="D2035" s="8">
        <f>QS.CONTEXT.ADD.CURVE(C2035,"SOFR",$K$2:$K$7,$L$2:$L$7,,,"Actual360","LogLinear",TRUE)</f>
        <v/>
      </c>
      <c r="E2035" s="8">
        <f>QS.INSTRUMENT.SWAP("swap.2033",C2035,H2035,B2035,"USD","SOFR",I2035,J2035,0,"Actual360","Simple","Annual","Annual","Annual")</f>
        <v/>
      </c>
      <c r="F2035" s="8">
        <f>QS.TRADE.CREATE("trade.2033",C2035,E2035,A2035,"Receive")</f>
        <v/>
      </c>
      <c r="G2035" s="5"/>
      <c r="H2035" s="7" t="s">
        <v>458</v>
      </c>
      <c r="I2035" s="9">
        <v>1203300</v>
      </c>
      <c r="J2035" s="10">
        <v>0.0383</v>
      </c>
    </row>
    <row r="2036" spans="1:10">
      <c r="A2036" s="7" t="s">
        <v>446</v>
      </c>
      <c r="B2036" s="7" t="s">
        <v>3903</v>
      </c>
      <c r="C2036" s="8">
        <f>QS.CONTEXT.CREATE("market.2034",A2036,"USD","SOFR")</f>
        <v/>
      </c>
      <c r="D2036" s="8">
        <f>QS.CONTEXT.ADD.CURVE(C2036,"SOFR",$K$2:$K$7,$L$2:$L$7,,,"Actual360","LogLinear",TRUE)</f>
        <v/>
      </c>
      <c r="E2036" s="8">
        <f>QS.INSTRUMENT.SWAP("swap.2034",C2036,H2036,B2036,"USD","SOFR",I2036,J2036,0,"Actual360","Simple","Annual","Annual","Annual")</f>
        <v/>
      </c>
      <c r="F2036" s="8">
        <f>QS.TRADE.CREATE("trade.2034",C2036,E2036,A2036,"Receive")</f>
        <v/>
      </c>
      <c r="G2036" s="5"/>
      <c r="H2036" s="7" t="s">
        <v>460</v>
      </c>
      <c r="I2036" s="9">
        <v>1203400</v>
      </c>
      <c r="J2036" s="10">
        <v>0.0384</v>
      </c>
    </row>
    <row r="2037" spans="1:10">
      <c r="A2037" s="7" t="s">
        <v>448</v>
      </c>
      <c r="B2037" s="7" t="s">
        <v>3904</v>
      </c>
      <c r="C2037" s="8">
        <f>QS.CONTEXT.CREATE("market.2035",A2037,"USD","SOFR")</f>
        <v/>
      </c>
      <c r="D2037" s="8">
        <f>QS.CONTEXT.ADD.CURVE(C2037,"SOFR",$K$2:$K$7,$L$2:$L$7,,,"Actual360","LogLinear",TRUE)</f>
        <v/>
      </c>
      <c r="E2037" s="8">
        <f>QS.INSTRUMENT.SWAP("swap.2035",C2037,H2037,B2037,"USD","SOFR",I2037,J2037,0,"Actual360","Simple","Annual","Annual","Annual")</f>
        <v/>
      </c>
      <c r="F2037" s="8">
        <f>QS.TRADE.CREATE("trade.2035",C2037,E2037,A2037,"Receive")</f>
        <v/>
      </c>
      <c r="G2037" s="5"/>
      <c r="H2037" s="7" t="s">
        <v>462</v>
      </c>
      <c r="I2037" s="9">
        <v>1203500</v>
      </c>
      <c r="J2037" s="10">
        <v>0.03850000000000001</v>
      </c>
    </row>
    <row r="2038" spans="1:10">
      <c r="A2038" s="7" t="s">
        <v>450</v>
      </c>
      <c r="B2038" s="7" t="s">
        <v>3905</v>
      </c>
      <c r="C2038" s="8">
        <f>QS.CONTEXT.CREATE("market.2036",A2038,"USD","SOFR")</f>
        <v/>
      </c>
      <c r="D2038" s="8">
        <f>QS.CONTEXT.ADD.CURVE(C2038,"SOFR",$K$2:$K$7,$L$2:$L$7,,,"Actual360","LogLinear",TRUE)</f>
        <v/>
      </c>
      <c r="E2038" s="8">
        <f>QS.INSTRUMENT.SWAP("swap.2036",C2038,H2038,B2038,"USD","SOFR",I2038,J2038,0,"Actual360","Simple","Annual","Annual","Annual")</f>
        <v/>
      </c>
      <c r="F2038" s="8">
        <f>QS.TRADE.CREATE("trade.2036",C2038,E2038,A2038,"Receive")</f>
        <v/>
      </c>
      <c r="G2038" s="5"/>
      <c r="H2038" s="7" t="s">
        <v>464</v>
      </c>
      <c r="I2038" s="9">
        <v>1203600</v>
      </c>
      <c r="J2038" s="10">
        <v>0.0386</v>
      </c>
    </row>
    <row r="2039" spans="1:10">
      <c r="A2039" s="7" t="s">
        <v>452</v>
      </c>
      <c r="B2039" s="7" t="s">
        <v>3906</v>
      </c>
      <c r="C2039" s="8">
        <f>QS.CONTEXT.CREATE("market.2037",A2039,"USD","SOFR")</f>
        <v/>
      </c>
      <c r="D2039" s="8">
        <f>QS.CONTEXT.ADD.CURVE(C2039,"SOFR",$K$2:$K$7,$L$2:$L$7,,,"Actual360","LogLinear",TRUE)</f>
        <v/>
      </c>
      <c r="E2039" s="8">
        <f>QS.INSTRUMENT.SWAP("swap.2037",C2039,H2039,B2039,"USD","SOFR",I2039,J2039,0,"Actual360","Simple","Annual","Annual","Annual")</f>
        <v/>
      </c>
      <c r="F2039" s="8">
        <f>QS.TRADE.CREATE("trade.2037",C2039,E2039,A2039,"Receive")</f>
        <v/>
      </c>
      <c r="G2039" s="5"/>
      <c r="H2039" s="7" t="s">
        <v>466</v>
      </c>
      <c r="I2039" s="9">
        <v>1203700</v>
      </c>
      <c r="J2039" s="10">
        <v>0.03870000000000001</v>
      </c>
    </row>
    <row r="2040" spans="1:10">
      <c r="A2040" s="7" t="s">
        <v>454</v>
      </c>
      <c r="B2040" s="7" t="s">
        <v>3907</v>
      </c>
      <c r="C2040" s="8">
        <f>QS.CONTEXT.CREATE("market.2038",A2040,"USD","SOFR")</f>
        <v/>
      </c>
      <c r="D2040" s="8">
        <f>QS.CONTEXT.ADD.CURVE(C2040,"SOFR",$K$2:$K$7,$L$2:$L$7,,,"Actual360","LogLinear",TRUE)</f>
        <v/>
      </c>
      <c r="E2040" s="8">
        <f>QS.INSTRUMENT.SWAP("swap.2038",C2040,H2040,B2040,"USD","SOFR",I2040,J2040,0,"Actual360","Simple","Annual","Annual","Annual")</f>
        <v/>
      </c>
      <c r="F2040" s="8">
        <f>QS.TRADE.CREATE("trade.2038",C2040,E2040,A2040,"Receive")</f>
        <v/>
      </c>
      <c r="G2040" s="5"/>
      <c r="H2040" s="7" t="s">
        <v>468</v>
      </c>
      <c r="I2040" s="9">
        <v>1203800</v>
      </c>
      <c r="J2040" s="10">
        <v>0.0388</v>
      </c>
    </row>
    <row r="2041" spans="1:10">
      <c r="A2041" s="7" t="s">
        <v>456</v>
      </c>
      <c r="B2041" s="7" t="s">
        <v>3908</v>
      </c>
      <c r="C2041" s="8">
        <f>QS.CONTEXT.CREATE("market.2039",A2041,"USD","SOFR")</f>
        <v/>
      </c>
      <c r="D2041" s="8">
        <f>QS.CONTEXT.ADD.CURVE(C2041,"SOFR",$K$2:$K$7,$L$2:$L$7,,,"Actual360","LogLinear",TRUE)</f>
        <v/>
      </c>
      <c r="E2041" s="8">
        <f>QS.INSTRUMENT.SWAP("swap.2039",C2041,H2041,B2041,"USD","SOFR",I2041,J2041,0,"Actual360","Simple","Annual","Annual","Annual")</f>
        <v/>
      </c>
      <c r="F2041" s="8">
        <f>QS.TRADE.CREATE("trade.2039",C2041,E2041,A2041,"Receive")</f>
        <v/>
      </c>
      <c r="G2041" s="5"/>
      <c r="H2041" s="7" t="s">
        <v>470</v>
      </c>
      <c r="I2041" s="9">
        <v>1203900</v>
      </c>
      <c r="J2041" s="10">
        <v>0.0389</v>
      </c>
    </row>
    <row r="2042" spans="1:10">
      <c r="A2042" s="7" t="s">
        <v>458</v>
      </c>
      <c r="B2042" s="7" t="s">
        <v>3909</v>
      </c>
      <c r="C2042" s="8">
        <f>QS.CONTEXT.CREATE("market.2040",A2042,"USD","SOFR")</f>
        <v/>
      </c>
      <c r="D2042" s="8">
        <f>QS.CONTEXT.ADD.CURVE(C2042,"SOFR",$K$2:$K$7,$L$2:$L$7,,,"Actual360","LogLinear",TRUE)</f>
        <v/>
      </c>
      <c r="E2042" s="8">
        <f>QS.INSTRUMENT.SWAP("swap.2040",C2042,H2042,B2042,"USD","SOFR",I2042,J2042,0,"Actual360","Simple","Annual","Annual","Annual")</f>
        <v/>
      </c>
      <c r="F2042" s="8">
        <f>QS.TRADE.CREATE("trade.2040",C2042,E2042,A2042,"Receive")</f>
        <v/>
      </c>
      <c r="G2042" s="5"/>
      <c r="H2042" s="7" t="s">
        <v>472</v>
      </c>
      <c r="I2042" s="9">
        <v>1204000</v>
      </c>
      <c r="J2042" s="10">
        <v>0.03900000000000001</v>
      </c>
    </row>
    <row r="2043" spans="1:10">
      <c r="A2043" s="7" t="s">
        <v>460</v>
      </c>
      <c r="B2043" s="7" t="s">
        <v>3910</v>
      </c>
      <c r="C2043" s="8">
        <f>QS.CONTEXT.CREATE("market.2041",A2043,"USD","SOFR")</f>
        <v/>
      </c>
      <c r="D2043" s="8">
        <f>QS.CONTEXT.ADD.CURVE(C2043,"SOFR",$K$2:$K$7,$L$2:$L$7,,,"Actual360","LogLinear",TRUE)</f>
        <v/>
      </c>
      <c r="E2043" s="8">
        <f>QS.INSTRUMENT.SWAP("swap.2041",C2043,H2043,B2043,"USD","SOFR",I2043,J2043,0,"Actual360","Simple","Annual","Annual","Annual")</f>
        <v/>
      </c>
      <c r="F2043" s="8">
        <f>QS.TRADE.CREATE("trade.2041",C2043,E2043,A2043,"Receive")</f>
        <v/>
      </c>
      <c r="G2043" s="5"/>
      <c r="H2043" s="7" t="s">
        <v>474</v>
      </c>
      <c r="I2043" s="9">
        <v>1204100</v>
      </c>
      <c r="J2043" s="10">
        <v>0.0391</v>
      </c>
    </row>
    <row r="2044" spans="1:10">
      <c r="A2044" s="7" t="s">
        <v>462</v>
      </c>
      <c r="B2044" s="7" t="s">
        <v>3911</v>
      </c>
      <c r="C2044" s="8">
        <f>QS.CONTEXT.CREATE("market.2042",A2044,"USD","SOFR")</f>
        <v/>
      </c>
      <c r="D2044" s="8">
        <f>QS.CONTEXT.ADD.CURVE(C2044,"SOFR",$K$2:$K$7,$L$2:$L$7,,,"Actual360","LogLinear",TRUE)</f>
        <v/>
      </c>
      <c r="E2044" s="8">
        <f>QS.INSTRUMENT.SWAP("swap.2042",C2044,H2044,B2044,"USD","SOFR",I2044,J2044,0,"Actual360","Simple","Annual","Annual","Annual")</f>
        <v/>
      </c>
      <c r="F2044" s="8">
        <f>QS.TRADE.CREATE("trade.2042",C2044,E2044,A2044,"Receive")</f>
        <v/>
      </c>
      <c r="G2044" s="5"/>
      <c r="H2044" s="7" t="s">
        <v>476</v>
      </c>
      <c r="I2044" s="9">
        <v>1204200</v>
      </c>
      <c r="J2044" s="10">
        <v>0.03920000000000001</v>
      </c>
    </row>
    <row r="2045" spans="1:10">
      <c r="A2045" s="7" t="s">
        <v>464</v>
      </c>
      <c r="B2045" s="7" t="s">
        <v>3912</v>
      </c>
      <c r="C2045" s="8">
        <f>QS.CONTEXT.CREATE("market.2043",A2045,"USD","SOFR")</f>
        <v/>
      </c>
      <c r="D2045" s="8">
        <f>QS.CONTEXT.ADD.CURVE(C2045,"SOFR",$K$2:$K$7,$L$2:$L$7,,,"Actual360","LogLinear",TRUE)</f>
        <v/>
      </c>
      <c r="E2045" s="8">
        <f>QS.INSTRUMENT.SWAP("swap.2043",C2045,H2045,B2045,"USD","SOFR",I2045,J2045,0,"Actual360","Simple","Annual","Annual","Annual")</f>
        <v/>
      </c>
      <c r="F2045" s="8">
        <f>QS.TRADE.CREATE("trade.2043",C2045,E2045,A2045,"Receive")</f>
        <v/>
      </c>
      <c r="G2045" s="5"/>
      <c r="H2045" s="7" t="s">
        <v>478</v>
      </c>
      <c r="I2045" s="9">
        <v>1204300</v>
      </c>
      <c r="J2045" s="10">
        <v>0.0393</v>
      </c>
    </row>
    <row r="2046" spans="1:10">
      <c r="A2046" s="7" t="s">
        <v>466</v>
      </c>
      <c r="B2046" s="7" t="s">
        <v>3913</v>
      </c>
      <c r="C2046" s="8">
        <f>QS.CONTEXT.CREATE("market.2044",A2046,"USD","SOFR")</f>
        <v/>
      </c>
      <c r="D2046" s="8">
        <f>QS.CONTEXT.ADD.CURVE(C2046,"SOFR",$K$2:$K$7,$L$2:$L$7,,,"Actual360","LogLinear",TRUE)</f>
        <v/>
      </c>
      <c r="E2046" s="8">
        <f>QS.INSTRUMENT.SWAP("swap.2044",C2046,H2046,B2046,"USD","SOFR",I2046,J2046,0,"Actual360","Simple","Annual","Annual","Annual")</f>
        <v/>
      </c>
      <c r="F2046" s="8">
        <f>QS.TRADE.CREATE("trade.2044",C2046,E2046,A2046,"Receive")</f>
        <v/>
      </c>
      <c r="G2046" s="5"/>
      <c r="H2046" s="7" t="s">
        <v>480</v>
      </c>
      <c r="I2046" s="9">
        <v>1204400</v>
      </c>
      <c r="J2046" s="10">
        <v>0.0394</v>
      </c>
    </row>
    <row r="2047" spans="1:10">
      <c r="A2047" s="7" t="s">
        <v>468</v>
      </c>
      <c r="B2047" s="7" t="s">
        <v>3914</v>
      </c>
      <c r="C2047" s="8">
        <f>QS.CONTEXT.CREATE("market.2045",A2047,"USD","SOFR")</f>
        <v/>
      </c>
      <c r="D2047" s="8">
        <f>QS.CONTEXT.ADD.CURVE(C2047,"SOFR",$K$2:$K$7,$L$2:$L$7,,,"Actual360","LogLinear",TRUE)</f>
        <v/>
      </c>
      <c r="E2047" s="8">
        <f>QS.INSTRUMENT.SWAP("swap.2045",C2047,H2047,B2047,"USD","SOFR",I2047,J2047,0,"Actual360","Simple","Annual","Annual","Annual")</f>
        <v/>
      </c>
      <c r="F2047" s="8">
        <f>QS.TRADE.CREATE("trade.2045",C2047,E2047,A2047,"Receive")</f>
        <v/>
      </c>
      <c r="G2047" s="5"/>
      <c r="H2047" s="7" t="s">
        <v>482</v>
      </c>
      <c r="I2047" s="9">
        <v>1204500</v>
      </c>
      <c r="J2047" s="10">
        <v>0.03950000000000001</v>
      </c>
    </row>
    <row r="2048" spans="1:10">
      <c r="A2048" s="7" t="s">
        <v>470</v>
      </c>
      <c r="B2048" s="7" t="s">
        <v>3915</v>
      </c>
      <c r="C2048" s="8">
        <f>QS.CONTEXT.CREATE("market.2046",A2048,"USD","SOFR")</f>
        <v/>
      </c>
      <c r="D2048" s="8">
        <f>QS.CONTEXT.ADD.CURVE(C2048,"SOFR",$K$2:$K$7,$L$2:$L$7,,,"Actual360","LogLinear",TRUE)</f>
        <v/>
      </c>
      <c r="E2048" s="8">
        <f>QS.INSTRUMENT.SWAP("swap.2046",C2048,H2048,B2048,"USD","SOFR",I2048,J2048,0,"Actual360","Simple","Annual","Annual","Annual")</f>
        <v/>
      </c>
      <c r="F2048" s="8">
        <f>QS.TRADE.CREATE("trade.2046",C2048,E2048,A2048,"Receive")</f>
        <v/>
      </c>
      <c r="G2048" s="5"/>
      <c r="H2048" s="7" t="s">
        <v>484</v>
      </c>
      <c r="I2048" s="9">
        <v>1204600</v>
      </c>
      <c r="J2048" s="10">
        <v>0.0396</v>
      </c>
    </row>
    <row r="2049" spans="1:10">
      <c r="A2049" s="7" t="s">
        <v>472</v>
      </c>
      <c r="B2049" s="7" t="s">
        <v>3916</v>
      </c>
      <c r="C2049" s="8">
        <f>QS.CONTEXT.CREATE("market.2047",A2049,"USD","SOFR")</f>
        <v/>
      </c>
      <c r="D2049" s="8">
        <f>QS.CONTEXT.ADD.CURVE(C2049,"SOFR",$K$2:$K$7,$L$2:$L$7,,,"Actual360","LogLinear",TRUE)</f>
        <v/>
      </c>
      <c r="E2049" s="8">
        <f>QS.INSTRUMENT.SWAP("swap.2047",C2049,H2049,B2049,"USD","SOFR",I2049,J2049,0,"Actual360","Simple","Annual","Annual","Annual")</f>
        <v/>
      </c>
      <c r="F2049" s="8">
        <f>QS.TRADE.CREATE("trade.2047",C2049,E2049,A2049,"Receive")</f>
        <v/>
      </c>
      <c r="G2049" s="5"/>
      <c r="H2049" s="7" t="s">
        <v>486</v>
      </c>
      <c r="I2049" s="9">
        <v>1204700</v>
      </c>
      <c r="J2049" s="10">
        <v>0.03970000000000001</v>
      </c>
    </row>
    <row r="2050" spans="1:10">
      <c r="A2050" s="7" t="s">
        <v>474</v>
      </c>
      <c r="B2050" s="7" t="s">
        <v>3917</v>
      </c>
      <c r="C2050" s="8">
        <f>QS.CONTEXT.CREATE("market.2048",A2050,"USD","SOFR")</f>
        <v/>
      </c>
      <c r="D2050" s="8">
        <f>QS.CONTEXT.ADD.CURVE(C2050,"SOFR",$K$2:$K$7,$L$2:$L$7,,,"Actual360","LogLinear",TRUE)</f>
        <v/>
      </c>
      <c r="E2050" s="8">
        <f>QS.INSTRUMENT.SWAP("swap.2048",C2050,H2050,B2050,"USD","SOFR",I2050,J2050,0,"Actual360","Simple","Annual","Annual","Annual")</f>
        <v/>
      </c>
      <c r="F2050" s="8">
        <f>QS.TRADE.CREATE("trade.2048",C2050,E2050,A2050,"Receive")</f>
        <v/>
      </c>
      <c r="G2050" s="5"/>
      <c r="H2050" s="7" t="s">
        <v>488</v>
      </c>
      <c r="I2050" s="9">
        <v>1204800</v>
      </c>
      <c r="J2050" s="10">
        <v>0.0398</v>
      </c>
    </row>
    <row r="2051" spans="1:10">
      <c r="A2051" s="7" t="s">
        <v>476</v>
      </c>
      <c r="B2051" s="7" t="s">
        <v>3918</v>
      </c>
      <c r="C2051" s="8">
        <f>QS.CONTEXT.CREATE("market.2049",A2051,"USD","SOFR")</f>
        <v/>
      </c>
      <c r="D2051" s="8">
        <f>QS.CONTEXT.ADD.CURVE(C2051,"SOFR",$K$2:$K$7,$L$2:$L$7,,,"Actual360","LogLinear",TRUE)</f>
        <v/>
      </c>
      <c r="E2051" s="8">
        <f>QS.INSTRUMENT.SWAP("swap.2049",C2051,H2051,B2051,"USD","SOFR",I2051,J2051,0,"Actual360","Simple","Annual","Annual","Annual")</f>
        <v/>
      </c>
      <c r="F2051" s="8">
        <f>QS.TRADE.CREATE("trade.2049",C2051,E2051,A2051,"Receive")</f>
        <v/>
      </c>
      <c r="G2051" s="5"/>
      <c r="H2051" s="7" t="s">
        <v>490</v>
      </c>
      <c r="I2051" s="9">
        <v>1204900</v>
      </c>
      <c r="J2051" s="10">
        <v>0.0399</v>
      </c>
    </row>
    <row r="2052" spans="1:10">
      <c r="A2052" s="7" t="s">
        <v>478</v>
      </c>
      <c r="B2052" s="7" t="s">
        <v>3919</v>
      </c>
      <c r="C2052" s="8">
        <f>QS.CONTEXT.CREATE("market.2050",A2052,"USD","SOFR")</f>
        <v/>
      </c>
      <c r="D2052" s="8">
        <f>QS.CONTEXT.ADD.CURVE(C2052,"SOFR",$K$2:$K$7,$L$2:$L$7,,,"Actual360","LogLinear",TRUE)</f>
        <v/>
      </c>
      <c r="E2052" s="8">
        <f>QS.INSTRUMENT.SWAP("swap.2050",C2052,H2052,B2052,"USD","SOFR",I2052,J2052,0,"Actual360","Simple","Annual","Annual","Annual")</f>
        <v/>
      </c>
      <c r="F2052" s="8">
        <f>QS.TRADE.CREATE("trade.2050",C2052,E2052,A2052,"Receive")</f>
        <v/>
      </c>
      <c r="G2052" s="5"/>
      <c r="H2052" s="7" t="s">
        <v>492</v>
      </c>
      <c r="I2052" s="9">
        <v>1205000</v>
      </c>
      <c r="J2052" s="10">
        <v>0.035</v>
      </c>
    </row>
    <row r="2053" spans="1:10">
      <c r="A2053" s="7" t="s">
        <v>480</v>
      </c>
      <c r="B2053" s="7" t="s">
        <v>3920</v>
      </c>
      <c r="C2053" s="8">
        <f>QS.CONTEXT.CREATE("market.2051",A2053,"USD","SOFR")</f>
        <v/>
      </c>
      <c r="D2053" s="8">
        <f>QS.CONTEXT.ADD.CURVE(C2053,"SOFR",$K$2:$K$7,$L$2:$L$7,,,"Actual360","LogLinear",TRUE)</f>
        <v/>
      </c>
      <c r="E2053" s="8">
        <f>QS.INSTRUMENT.SWAP("swap.2051",C2053,H2053,B2053,"USD","SOFR",I2053,J2053,0,"Actual360","Simple","Annual","Annual","Annual")</f>
        <v/>
      </c>
      <c r="F2053" s="8">
        <f>QS.TRADE.CREATE("trade.2051",C2053,E2053,A2053,"Receive")</f>
        <v/>
      </c>
      <c r="G2053" s="5"/>
      <c r="H2053" s="7" t="s">
        <v>494</v>
      </c>
      <c r="I2053" s="9">
        <v>1205100</v>
      </c>
      <c r="J2053" s="10">
        <v>0.03510000000000001</v>
      </c>
    </row>
    <row r="2054" spans="1:10">
      <c r="A2054" s="7" t="s">
        <v>482</v>
      </c>
      <c r="B2054" s="7" t="s">
        <v>3921</v>
      </c>
      <c r="C2054" s="8">
        <f>QS.CONTEXT.CREATE("market.2052",A2054,"USD","SOFR")</f>
        <v/>
      </c>
      <c r="D2054" s="8">
        <f>QS.CONTEXT.ADD.CURVE(C2054,"SOFR",$K$2:$K$7,$L$2:$L$7,,,"Actual360","LogLinear",TRUE)</f>
        <v/>
      </c>
      <c r="E2054" s="8">
        <f>QS.INSTRUMENT.SWAP("swap.2052",C2054,H2054,B2054,"USD","SOFR",I2054,J2054,0,"Actual360","Simple","Annual","Annual","Annual")</f>
        <v/>
      </c>
      <c r="F2054" s="8">
        <f>QS.TRADE.CREATE("trade.2052",C2054,E2054,A2054,"Receive")</f>
        <v/>
      </c>
      <c r="G2054" s="5"/>
      <c r="H2054" s="7" t="s">
        <v>496</v>
      </c>
      <c r="I2054" s="9">
        <v>1205200</v>
      </c>
      <c r="J2054" s="10">
        <v>0.0352</v>
      </c>
    </row>
    <row r="2055" spans="1:10">
      <c r="A2055" s="7" t="s">
        <v>484</v>
      </c>
      <c r="B2055" s="7" t="s">
        <v>3922</v>
      </c>
      <c r="C2055" s="8">
        <f>QS.CONTEXT.CREATE("market.2053",A2055,"USD","SOFR")</f>
        <v/>
      </c>
      <c r="D2055" s="8">
        <f>QS.CONTEXT.ADD.CURVE(C2055,"SOFR",$K$2:$K$7,$L$2:$L$7,,,"Actual360","LogLinear",TRUE)</f>
        <v/>
      </c>
      <c r="E2055" s="8">
        <f>QS.INSTRUMENT.SWAP("swap.2053",C2055,H2055,B2055,"USD","SOFR",I2055,J2055,0,"Actual360","Simple","Annual","Annual","Annual")</f>
        <v/>
      </c>
      <c r="F2055" s="8">
        <f>QS.TRADE.CREATE("trade.2053",C2055,E2055,A2055,"Receive")</f>
        <v/>
      </c>
      <c r="G2055" s="5"/>
      <c r="H2055" s="7" t="s">
        <v>498</v>
      </c>
      <c r="I2055" s="9">
        <v>1205300</v>
      </c>
      <c r="J2055" s="10">
        <v>0.0353</v>
      </c>
    </row>
    <row r="2056" spans="1:10">
      <c r="A2056" s="7" t="s">
        <v>486</v>
      </c>
      <c r="B2056" s="7" t="s">
        <v>3923</v>
      </c>
      <c r="C2056" s="8">
        <f>QS.CONTEXT.CREATE("market.2054",A2056,"USD","SOFR")</f>
        <v/>
      </c>
      <c r="D2056" s="8">
        <f>QS.CONTEXT.ADD.CURVE(C2056,"SOFR",$K$2:$K$7,$L$2:$L$7,,,"Actual360","LogLinear",TRUE)</f>
        <v/>
      </c>
      <c r="E2056" s="8">
        <f>QS.INSTRUMENT.SWAP("swap.2054",C2056,H2056,B2056,"USD","SOFR",I2056,J2056,0,"Actual360","Simple","Annual","Annual","Annual")</f>
        <v/>
      </c>
      <c r="F2056" s="8">
        <f>QS.TRADE.CREATE("trade.2054",C2056,E2056,A2056,"Receive")</f>
        <v/>
      </c>
      <c r="G2056" s="5"/>
      <c r="H2056" s="7" t="s">
        <v>500</v>
      </c>
      <c r="I2056" s="9">
        <v>1205400</v>
      </c>
      <c r="J2056" s="10">
        <v>0.0354</v>
      </c>
    </row>
    <row r="2057" spans="1:10">
      <c r="A2057" s="7" t="s">
        <v>488</v>
      </c>
      <c r="B2057" s="7" t="s">
        <v>3924</v>
      </c>
      <c r="C2057" s="8">
        <f>QS.CONTEXT.CREATE("market.2055",A2057,"USD","SOFR")</f>
        <v/>
      </c>
      <c r="D2057" s="8">
        <f>QS.CONTEXT.ADD.CURVE(C2057,"SOFR",$K$2:$K$7,$L$2:$L$7,,,"Actual360","LogLinear",TRUE)</f>
        <v/>
      </c>
      <c r="E2057" s="8">
        <f>QS.INSTRUMENT.SWAP("swap.2055",C2057,H2057,B2057,"USD","SOFR",I2057,J2057,0,"Actual360","Simple","Annual","Annual","Annual")</f>
        <v/>
      </c>
      <c r="F2057" s="8">
        <f>QS.TRADE.CREATE("trade.2055",C2057,E2057,A2057,"Receive")</f>
        <v/>
      </c>
      <c r="G2057" s="5"/>
      <c r="H2057" s="7" t="s">
        <v>502</v>
      </c>
      <c r="I2057" s="9">
        <v>1205500</v>
      </c>
      <c r="J2057" s="10">
        <v>0.0355</v>
      </c>
    </row>
    <row r="2058" spans="1:10">
      <c r="A2058" s="7" t="s">
        <v>490</v>
      </c>
      <c r="B2058" s="7" t="s">
        <v>3925</v>
      </c>
      <c r="C2058" s="8">
        <f>QS.CONTEXT.CREATE("market.2056",A2058,"USD","SOFR")</f>
        <v/>
      </c>
      <c r="D2058" s="8">
        <f>QS.CONTEXT.ADD.CURVE(C2058,"SOFR",$K$2:$K$7,$L$2:$L$7,,,"Actual360","LogLinear",TRUE)</f>
        <v/>
      </c>
      <c r="E2058" s="8">
        <f>QS.INSTRUMENT.SWAP("swap.2056",C2058,H2058,B2058,"USD","SOFR",I2058,J2058,0,"Actual360","Simple","Annual","Annual","Annual")</f>
        <v/>
      </c>
      <c r="F2058" s="8">
        <f>QS.TRADE.CREATE("trade.2056",C2058,E2058,A2058,"Receive")</f>
        <v/>
      </c>
      <c r="G2058" s="5"/>
      <c r="H2058" s="7" t="s">
        <v>504</v>
      </c>
      <c r="I2058" s="9">
        <v>1205600</v>
      </c>
      <c r="J2058" s="10">
        <v>0.03560000000000001</v>
      </c>
    </row>
    <row r="2059" spans="1:10">
      <c r="A2059" s="7" t="s">
        <v>492</v>
      </c>
      <c r="B2059" s="7" t="s">
        <v>3926</v>
      </c>
      <c r="C2059" s="8">
        <f>QS.CONTEXT.CREATE("market.2057",A2059,"USD","SOFR")</f>
        <v/>
      </c>
      <c r="D2059" s="8">
        <f>QS.CONTEXT.ADD.CURVE(C2059,"SOFR",$K$2:$K$7,$L$2:$L$7,,,"Actual360","LogLinear",TRUE)</f>
        <v/>
      </c>
      <c r="E2059" s="8">
        <f>QS.INSTRUMENT.SWAP("swap.2057",C2059,H2059,B2059,"USD","SOFR",I2059,J2059,0,"Actual360","Simple","Annual","Annual","Annual")</f>
        <v/>
      </c>
      <c r="F2059" s="8">
        <f>QS.TRADE.CREATE("trade.2057",C2059,E2059,A2059,"Receive")</f>
        <v/>
      </c>
      <c r="G2059" s="5"/>
      <c r="H2059" s="7" t="s">
        <v>506</v>
      </c>
      <c r="I2059" s="9">
        <v>1205700</v>
      </c>
      <c r="J2059" s="10">
        <v>0.0357</v>
      </c>
    </row>
    <row r="2060" spans="1:10">
      <c r="A2060" s="7" t="s">
        <v>494</v>
      </c>
      <c r="B2060" s="7" t="s">
        <v>3927</v>
      </c>
      <c r="C2060" s="8">
        <f>QS.CONTEXT.CREATE("market.2058",A2060,"USD","SOFR")</f>
        <v/>
      </c>
      <c r="D2060" s="8">
        <f>QS.CONTEXT.ADD.CURVE(C2060,"SOFR",$K$2:$K$7,$L$2:$L$7,,,"Actual360","LogLinear",TRUE)</f>
        <v/>
      </c>
      <c r="E2060" s="8">
        <f>QS.INSTRUMENT.SWAP("swap.2058",C2060,H2060,B2060,"USD","SOFR",I2060,J2060,0,"Actual360","Simple","Annual","Annual","Annual")</f>
        <v/>
      </c>
      <c r="F2060" s="8">
        <f>QS.TRADE.CREATE("trade.2058",C2060,E2060,A2060,"Receive")</f>
        <v/>
      </c>
      <c r="G2060" s="5"/>
      <c r="H2060" s="7" t="s">
        <v>508</v>
      </c>
      <c r="I2060" s="9">
        <v>1205800</v>
      </c>
      <c r="J2060" s="10">
        <v>0.03580000000000001</v>
      </c>
    </row>
    <row r="2061" spans="1:10">
      <c r="A2061" s="7" t="s">
        <v>496</v>
      </c>
      <c r="B2061" s="7" t="s">
        <v>3928</v>
      </c>
      <c r="C2061" s="8">
        <f>QS.CONTEXT.CREATE("market.2059",A2061,"USD","SOFR")</f>
        <v/>
      </c>
      <c r="D2061" s="8">
        <f>QS.CONTEXT.ADD.CURVE(C2061,"SOFR",$K$2:$K$7,$L$2:$L$7,,,"Actual360","LogLinear",TRUE)</f>
        <v/>
      </c>
      <c r="E2061" s="8">
        <f>QS.INSTRUMENT.SWAP("swap.2059",C2061,H2061,B2061,"USD","SOFR",I2061,J2061,0,"Actual360","Simple","Annual","Annual","Annual")</f>
        <v/>
      </c>
      <c r="F2061" s="8">
        <f>QS.TRADE.CREATE("trade.2059",C2061,E2061,A2061,"Receive")</f>
        <v/>
      </c>
      <c r="G2061" s="5"/>
      <c r="H2061" s="7" t="s">
        <v>510</v>
      </c>
      <c r="I2061" s="9">
        <v>1205900</v>
      </c>
      <c r="J2061" s="10">
        <v>0.0359</v>
      </c>
    </row>
    <row r="2062" spans="1:10">
      <c r="A2062" s="7" t="s">
        <v>498</v>
      </c>
      <c r="B2062" s="7" t="s">
        <v>3929</v>
      </c>
      <c r="C2062" s="8">
        <f>QS.CONTEXT.CREATE("market.2060",A2062,"USD","SOFR")</f>
        <v/>
      </c>
      <c r="D2062" s="8">
        <f>QS.CONTEXT.ADD.CURVE(C2062,"SOFR",$K$2:$K$7,$L$2:$L$7,,,"Actual360","LogLinear",TRUE)</f>
        <v/>
      </c>
      <c r="E2062" s="8">
        <f>QS.INSTRUMENT.SWAP("swap.2060",C2062,H2062,B2062,"USD","SOFR",I2062,J2062,0,"Actual360","Simple","Annual","Annual","Annual")</f>
        <v/>
      </c>
      <c r="F2062" s="8">
        <f>QS.TRADE.CREATE("trade.2060",C2062,E2062,A2062,"Receive")</f>
        <v/>
      </c>
      <c r="G2062" s="5"/>
      <c r="H2062" s="7" t="s">
        <v>512</v>
      </c>
      <c r="I2062" s="9">
        <v>1206000</v>
      </c>
      <c r="J2062" s="10">
        <v>0.036</v>
      </c>
    </row>
    <row r="2063" spans="1:10">
      <c r="A2063" s="7" t="s">
        <v>500</v>
      </c>
      <c r="B2063" s="7" t="s">
        <v>3930</v>
      </c>
      <c r="C2063" s="8">
        <f>QS.CONTEXT.CREATE("market.2061",A2063,"USD","SOFR")</f>
        <v/>
      </c>
      <c r="D2063" s="8">
        <f>QS.CONTEXT.ADD.CURVE(C2063,"SOFR",$K$2:$K$7,$L$2:$L$7,,,"Actual360","LogLinear",TRUE)</f>
        <v/>
      </c>
      <c r="E2063" s="8">
        <f>QS.INSTRUMENT.SWAP("swap.2061",C2063,H2063,B2063,"USD","SOFR",I2063,J2063,0,"Actual360","Simple","Annual","Annual","Annual")</f>
        <v/>
      </c>
      <c r="F2063" s="8">
        <f>QS.TRADE.CREATE("trade.2061",C2063,E2063,A2063,"Receive")</f>
        <v/>
      </c>
      <c r="G2063" s="5"/>
      <c r="H2063" s="7" t="s">
        <v>514</v>
      </c>
      <c r="I2063" s="9">
        <v>1206100</v>
      </c>
      <c r="J2063" s="10">
        <v>0.0361</v>
      </c>
    </row>
    <row r="2064" spans="1:10">
      <c r="A2064" s="7" t="s">
        <v>502</v>
      </c>
      <c r="B2064" s="7" t="s">
        <v>3931</v>
      </c>
      <c r="C2064" s="8">
        <f>QS.CONTEXT.CREATE("market.2062",A2064,"USD","SOFR")</f>
        <v/>
      </c>
      <c r="D2064" s="8">
        <f>QS.CONTEXT.ADD.CURVE(C2064,"SOFR",$K$2:$K$7,$L$2:$L$7,,,"Actual360","LogLinear",TRUE)</f>
        <v/>
      </c>
      <c r="E2064" s="8">
        <f>QS.INSTRUMENT.SWAP("swap.2062",C2064,H2064,B2064,"USD","SOFR",I2064,J2064,0,"Actual360","Simple","Annual","Annual","Annual")</f>
        <v/>
      </c>
      <c r="F2064" s="8">
        <f>QS.TRADE.CREATE("trade.2062",C2064,E2064,A2064,"Receive")</f>
        <v/>
      </c>
      <c r="G2064" s="5"/>
      <c r="H2064" s="7" t="s">
        <v>516</v>
      </c>
      <c r="I2064" s="9">
        <v>1206200</v>
      </c>
      <c r="J2064" s="10">
        <v>0.0362</v>
      </c>
    </row>
    <row r="2065" spans="1:10">
      <c r="A2065" s="7" t="s">
        <v>504</v>
      </c>
      <c r="B2065" s="7" t="s">
        <v>3932</v>
      </c>
      <c r="C2065" s="8">
        <f>QS.CONTEXT.CREATE("market.2063",A2065,"USD","SOFR")</f>
        <v/>
      </c>
      <c r="D2065" s="8">
        <f>QS.CONTEXT.ADD.CURVE(C2065,"SOFR",$K$2:$K$7,$L$2:$L$7,,,"Actual360","LogLinear",TRUE)</f>
        <v/>
      </c>
      <c r="E2065" s="8">
        <f>QS.INSTRUMENT.SWAP("swap.2063",C2065,H2065,B2065,"USD","SOFR",I2065,J2065,0,"Actual360","Simple","Annual","Annual","Annual")</f>
        <v/>
      </c>
      <c r="F2065" s="8">
        <f>QS.TRADE.CREATE("trade.2063",C2065,E2065,A2065,"Receive")</f>
        <v/>
      </c>
      <c r="G2065" s="5"/>
      <c r="H2065" s="7" t="s">
        <v>518</v>
      </c>
      <c r="I2065" s="9">
        <v>1206300</v>
      </c>
      <c r="J2065" s="10">
        <v>0.03630000000000001</v>
      </c>
    </row>
    <row r="2066" spans="1:10">
      <c r="A2066" s="7" t="s">
        <v>506</v>
      </c>
      <c r="B2066" s="7" t="s">
        <v>3933</v>
      </c>
      <c r="C2066" s="8">
        <f>QS.CONTEXT.CREATE("market.2064",A2066,"USD","SOFR")</f>
        <v/>
      </c>
      <c r="D2066" s="8">
        <f>QS.CONTEXT.ADD.CURVE(C2066,"SOFR",$K$2:$K$7,$L$2:$L$7,,,"Actual360","LogLinear",TRUE)</f>
        <v/>
      </c>
      <c r="E2066" s="8">
        <f>QS.INSTRUMENT.SWAP("swap.2064",C2066,H2066,B2066,"USD","SOFR",I2066,J2066,0,"Actual360","Simple","Annual","Annual","Annual")</f>
        <v/>
      </c>
      <c r="F2066" s="8">
        <f>QS.TRADE.CREATE("trade.2064",C2066,E2066,A2066,"Receive")</f>
        <v/>
      </c>
      <c r="G2066" s="5"/>
      <c r="H2066" s="7" t="s">
        <v>520</v>
      </c>
      <c r="I2066" s="9">
        <v>1206400</v>
      </c>
      <c r="J2066" s="10">
        <v>0.0364</v>
      </c>
    </row>
    <row r="2067" spans="1:10">
      <c r="A2067" s="7" t="s">
        <v>508</v>
      </c>
      <c r="B2067" s="7" t="s">
        <v>3934</v>
      </c>
      <c r="C2067" s="8">
        <f>QS.CONTEXT.CREATE("market.2065",A2067,"USD","SOFR")</f>
        <v/>
      </c>
      <c r="D2067" s="8">
        <f>QS.CONTEXT.ADD.CURVE(C2067,"SOFR",$K$2:$K$7,$L$2:$L$7,,,"Actual360","LogLinear",TRUE)</f>
        <v/>
      </c>
      <c r="E2067" s="8">
        <f>QS.INSTRUMENT.SWAP("swap.2065",C2067,H2067,B2067,"USD","SOFR",I2067,J2067,0,"Actual360","Simple","Annual","Annual","Annual")</f>
        <v/>
      </c>
      <c r="F2067" s="8">
        <f>QS.TRADE.CREATE("trade.2065",C2067,E2067,A2067,"Receive")</f>
        <v/>
      </c>
      <c r="G2067" s="5"/>
      <c r="H2067" s="7" t="s">
        <v>522</v>
      </c>
      <c r="I2067" s="9">
        <v>1206500</v>
      </c>
      <c r="J2067" s="10">
        <v>0.0365</v>
      </c>
    </row>
    <row r="2068" spans="1:10">
      <c r="A2068" s="7" t="s">
        <v>510</v>
      </c>
      <c r="B2068" s="7" t="s">
        <v>3935</v>
      </c>
      <c r="C2068" s="8">
        <f>QS.CONTEXT.CREATE("market.2066",A2068,"USD","SOFR")</f>
        <v/>
      </c>
      <c r="D2068" s="8">
        <f>QS.CONTEXT.ADD.CURVE(C2068,"SOFR",$K$2:$K$7,$L$2:$L$7,,,"Actual360","LogLinear",TRUE)</f>
        <v/>
      </c>
      <c r="E2068" s="8">
        <f>QS.INSTRUMENT.SWAP("swap.2066",C2068,H2068,B2068,"USD","SOFR",I2068,J2068,0,"Actual360","Simple","Annual","Annual","Annual")</f>
        <v/>
      </c>
      <c r="F2068" s="8">
        <f>QS.TRADE.CREATE("trade.2066",C2068,E2068,A2068,"Receive")</f>
        <v/>
      </c>
      <c r="G2068" s="5"/>
      <c r="H2068" s="7" t="s">
        <v>524</v>
      </c>
      <c r="I2068" s="9">
        <v>1206600</v>
      </c>
      <c r="J2068" s="10">
        <v>0.0366</v>
      </c>
    </row>
    <row r="2069" spans="1:10">
      <c r="A2069" s="7" t="s">
        <v>512</v>
      </c>
      <c r="B2069" s="7" t="s">
        <v>3936</v>
      </c>
      <c r="C2069" s="8">
        <f>QS.CONTEXT.CREATE("market.2067",A2069,"USD","SOFR")</f>
        <v/>
      </c>
      <c r="D2069" s="8">
        <f>QS.CONTEXT.ADD.CURVE(C2069,"SOFR",$K$2:$K$7,$L$2:$L$7,,,"Actual360","LogLinear",TRUE)</f>
        <v/>
      </c>
      <c r="E2069" s="8">
        <f>QS.INSTRUMENT.SWAP("swap.2067",C2069,H2069,B2069,"USD","SOFR",I2069,J2069,0,"Actual360","Simple","Annual","Annual","Annual")</f>
        <v/>
      </c>
      <c r="F2069" s="8">
        <f>QS.TRADE.CREATE("trade.2067",C2069,E2069,A2069,"Receive")</f>
        <v/>
      </c>
      <c r="G2069" s="5"/>
      <c r="H2069" s="7" t="s">
        <v>526</v>
      </c>
      <c r="I2069" s="9">
        <v>1206700</v>
      </c>
      <c r="J2069" s="10">
        <v>0.0367</v>
      </c>
    </row>
    <row r="2070" spans="1:10">
      <c r="A2070" s="7" t="s">
        <v>514</v>
      </c>
      <c r="B2070" s="7" t="s">
        <v>3937</v>
      </c>
      <c r="C2070" s="8">
        <f>QS.CONTEXT.CREATE("market.2068",A2070,"USD","SOFR")</f>
        <v/>
      </c>
      <c r="D2070" s="8">
        <f>QS.CONTEXT.ADD.CURVE(C2070,"SOFR",$K$2:$K$7,$L$2:$L$7,,,"Actual360","LogLinear",TRUE)</f>
        <v/>
      </c>
      <c r="E2070" s="8">
        <f>QS.INSTRUMENT.SWAP("swap.2068",C2070,H2070,B2070,"USD","SOFR",I2070,J2070,0,"Actual360","Simple","Annual","Annual","Annual")</f>
        <v/>
      </c>
      <c r="F2070" s="8">
        <f>QS.TRADE.CREATE("trade.2068",C2070,E2070,A2070,"Receive")</f>
        <v/>
      </c>
      <c r="G2070" s="5"/>
      <c r="H2070" s="7" t="s">
        <v>528</v>
      </c>
      <c r="I2070" s="9">
        <v>1206800</v>
      </c>
      <c r="J2070" s="10">
        <v>0.03680000000000001</v>
      </c>
    </row>
    <row r="2071" spans="1:10">
      <c r="A2071" s="7" t="s">
        <v>516</v>
      </c>
      <c r="B2071" s="7" t="s">
        <v>3938</v>
      </c>
      <c r="C2071" s="8">
        <f>QS.CONTEXT.CREATE("market.2069",A2071,"USD","SOFR")</f>
        <v/>
      </c>
      <c r="D2071" s="8">
        <f>QS.CONTEXT.ADD.CURVE(C2071,"SOFR",$K$2:$K$7,$L$2:$L$7,,,"Actual360","LogLinear",TRUE)</f>
        <v/>
      </c>
      <c r="E2071" s="8">
        <f>QS.INSTRUMENT.SWAP("swap.2069",C2071,H2071,B2071,"USD","SOFR",I2071,J2071,0,"Actual360","Simple","Annual","Annual","Annual")</f>
        <v/>
      </c>
      <c r="F2071" s="8">
        <f>QS.TRADE.CREATE("trade.2069",C2071,E2071,A2071,"Receive")</f>
        <v/>
      </c>
      <c r="G2071" s="5"/>
      <c r="H2071" s="7" t="s">
        <v>530</v>
      </c>
      <c r="I2071" s="9">
        <v>1206900</v>
      </c>
      <c r="J2071" s="10">
        <v>0.0369</v>
      </c>
    </row>
    <row r="2072" spans="1:10">
      <c r="A2072" s="7" t="s">
        <v>518</v>
      </c>
      <c r="B2072" s="7" t="s">
        <v>3939</v>
      </c>
      <c r="C2072" s="8">
        <f>QS.CONTEXT.CREATE("market.2070",A2072,"USD","SOFR")</f>
        <v/>
      </c>
      <c r="D2072" s="8">
        <f>QS.CONTEXT.ADD.CURVE(C2072,"SOFR",$K$2:$K$7,$L$2:$L$7,,,"Actual360","LogLinear",TRUE)</f>
        <v/>
      </c>
      <c r="E2072" s="8">
        <f>QS.INSTRUMENT.SWAP("swap.2070",C2072,H2072,B2072,"USD","SOFR",I2072,J2072,0,"Actual360","Simple","Annual","Annual","Annual")</f>
        <v/>
      </c>
      <c r="F2072" s="8">
        <f>QS.TRADE.CREATE("trade.2070",C2072,E2072,A2072,"Receive")</f>
        <v/>
      </c>
      <c r="G2072" s="5"/>
      <c r="H2072" s="7" t="s">
        <v>532</v>
      </c>
      <c r="I2072" s="9">
        <v>1207000</v>
      </c>
      <c r="J2072" s="10">
        <v>0.03700000000000001</v>
      </c>
    </row>
    <row r="2073" spans="1:10">
      <c r="A2073" s="7" t="s">
        <v>520</v>
      </c>
      <c r="B2073" s="7" t="s">
        <v>3940</v>
      </c>
      <c r="C2073" s="8">
        <f>QS.CONTEXT.CREATE("market.2071",A2073,"USD","SOFR")</f>
        <v/>
      </c>
      <c r="D2073" s="8">
        <f>QS.CONTEXT.ADD.CURVE(C2073,"SOFR",$K$2:$K$7,$L$2:$L$7,,,"Actual360","LogLinear",TRUE)</f>
        <v/>
      </c>
      <c r="E2073" s="8">
        <f>QS.INSTRUMENT.SWAP("swap.2071",C2073,H2073,B2073,"USD","SOFR",I2073,J2073,0,"Actual360","Simple","Annual","Annual","Annual")</f>
        <v/>
      </c>
      <c r="F2073" s="8">
        <f>QS.TRADE.CREATE("trade.2071",C2073,E2073,A2073,"Receive")</f>
        <v/>
      </c>
      <c r="G2073" s="5"/>
      <c r="H2073" s="7" t="s">
        <v>534</v>
      </c>
      <c r="I2073" s="9">
        <v>1207100</v>
      </c>
      <c r="J2073" s="10">
        <v>0.0371</v>
      </c>
    </row>
    <row r="2074" spans="1:10">
      <c r="A2074" s="7" t="s">
        <v>522</v>
      </c>
      <c r="B2074" s="7" t="s">
        <v>3941</v>
      </c>
      <c r="C2074" s="8">
        <f>QS.CONTEXT.CREATE("market.2072",A2074,"USD","SOFR")</f>
        <v/>
      </c>
      <c r="D2074" s="8">
        <f>QS.CONTEXT.ADD.CURVE(C2074,"SOFR",$K$2:$K$7,$L$2:$L$7,,,"Actual360","LogLinear",TRUE)</f>
        <v/>
      </c>
      <c r="E2074" s="8">
        <f>QS.INSTRUMENT.SWAP("swap.2072",C2074,H2074,B2074,"USD","SOFR",I2074,J2074,0,"Actual360","Simple","Annual","Annual","Annual")</f>
        <v/>
      </c>
      <c r="F2074" s="8">
        <f>QS.TRADE.CREATE("trade.2072",C2074,E2074,A2074,"Receive")</f>
        <v/>
      </c>
      <c r="G2074" s="5"/>
      <c r="H2074" s="7" t="s">
        <v>536</v>
      </c>
      <c r="I2074" s="9">
        <v>1207200</v>
      </c>
      <c r="J2074" s="10">
        <v>0.0372</v>
      </c>
    </row>
    <row r="2075" spans="1:10">
      <c r="A2075" s="7" t="s">
        <v>524</v>
      </c>
      <c r="B2075" s="7" t="s">
        <v>3942</v>
      </c>
      <c r="C2075" s="8">
        <f>QS.CONTEXT.CREATE("market.2073",A2075,"USD","SOFR")</f>
        <v/>
      </c>
      <c r="D2075" s="8">
        <f>QS.CONTEXT.ADD.CURVE(C2075,"SOFR",$K$2:$K$7,$L$2:$L$7,,,"Actual360","LogLinear",TRUE)</f>
        <v/>
      </c>
      <c r="E2075" s="8">
        <f>QS.INSTRUMENT.SWAP("swap.2073",C2075,H2075,B2075,"USD","SOFR",I2075,J2075,0,"Actual360","Simple","Annual","Annual","Annual")</f>
        <v/>
      </c>
      <c r="F2075" s="8">
        <f>QS.TRADE.CREATE("trade.2073",C2075,E2075,A2075,"Receive")</f>
        <v/>
      </c>
      <c r="G2075" s="5"/>
      <c r="H2075" s="7" t="s">
        <v>538</v>
      </c>
      <c r="I2075" s="9">
        <v>1207300</v>
      </c>
      <c r="J2075" s="10">
        <v>0.0373</v>
      </c>
    </row>
    <row r="2076" spans="1:10">
      <c r="A2076" s="7" t="s">
        <v>526</v>
      </c>
      <c r="B2076" s="7" t="s">
        <v>3943</v>
      </c>
      <c r="C2076" s="8">
        <f>QS.CONTEXT.CREATE("market.2074",A2076,"USD","SOFR")</f>
        <v/>
      </c>
      <c r="D2076" s="8">
        <f>QS.CONTEXT.ADD.CURVE(C2076,"SOFR",$K$2:$K$7,$L$2:$L$7,,,"Actual360","LogLinear",TRUE)</f>
        <v/>
      </c>
      <c r="E2076" s="8">
        <f>QS.INSTRUMENT.SWAP("swap.2074",C2076,H2076,B2076,"USD","SOFR",I2076,J2076,0,"Actual360","Simple","Annual","Annual","Annual")</f>
        <v/>
      </c>
      <c r="F2076" s="8">
        <f>QS.TRADE.CREATE("trade.2074",C2076,E2076,A2076,"Receive")</f>
        <v/>
      </c>
      <c r="G2076" s="5"/>
      <c r="H2076" s="7" t="s">
        <v>540</v>
      </c>
      <c r="I2076" s="9">
        <v>1207400</v>
      </c>
      <c r="J2076" s="10">
        <v>0.0374</v>
      </c>
    </row>
    <row r="2077" spans="1:10">
      <c r="A2077" s="7" t="s">
        <v>528</v>
      </c>
      <c r="B2077" s="7" t="s">
        <v>3944</v>
      </c>
      <c r="C2077" s="8">
        <f>QS.CONTEXT.CREATE("market.2075",A2077,"USD","SOFR")</f>
        <v/>
      </c>
      <c r="D2077" s="8">
        <f>QS.CONTEXT.ADD.CURVE(C2077,"SOFR",$K$2:$K$7,$L$2:$L$7,,,"Actual360","LogLinear",TRUE)</f>
        <v/>
      </c>
      <c r="E2077" s="8">
        <f>QS.INSTRUMENT.SWAP("swap.2075",C2077,H2077,B2077,"USD","SOFR",I2077,J2077,0,"Actual360","Simple","Annual","Annual","Annual")</f>
        <v/>
      </c>
      <c r="F2077" s="8">
        <f>QS.TRADE.CREATE("trade.2075",C2077,E2077,A2077,"Receive")</f>
        <v/>
      </c>
      <c r="G2077" s="5"/>
      <c r="H2077" s="7" t="s">
        <v>542</v>
      </c>
      <c r="I2077" s="9">
        <v>1207500</v>
      </c>
      <c r="J2077" s="10">
        <v>0.03750000000000001</v>
      </c>
    </row>
    <row r="2078" spans="1:10">
      <c r="A2078" s="7" t="s">
        <v>530</v>
      </c>
      <c r="B2078" s="7" t="s">
        <v>3945</v>
      </c>
      <c r="C2078" s="8">
        <f>QS.CONTEXT.CREATE("market.2076",A2078,"USD","SOFR")</f>
        <v/>
      </c>
      <c r="D2078" s="8">
        <f>QS.CONTEXT.ADD.CURVE(C2078,"SOFR",$K$2:$K$7,$L$2:$L$7,,,"Actual360","LogLinear",TRUE)</f>
        <v/>
      </c>
      <c r="E2078" s="8">
        <f>QS.INSTRUMENT.SWAP("swap.2076",C2078,H2078,B2078,"USD","SOFR",I2078,J2078,0,"Actual360","Simple","Annual","Annual","Annual")</f>
        <v/>
      </c>
      <c r="F2078" s="8">
        <f>QS.TRADE.CREATE("trade.2076",C2078,E2078,A2078,"Receive")</f>
        <v/>
      </c>
      <c r="G2078" s="5"/>
      <c r="H2078" s="7" t="s">
        <v>544</v>
      </c>
      <c r="I2078" s="9">
        <v>1207600</v>
      </c>
      <c r="J2078" s="10">
        <v>0.0376</v>
      </c>
    </row>
    <row r="2079" spans="1:10">
      <c r="A2079" s="7" t="s">
        <v>532</v>
      </c>
      <c r="B2079" s="7" t="s">
        <v>3946</v>
      </c>
      <c r="C2079" s="8">
        <f>QS.CONTEXT.CREATE("market.2077",A2079,"USD","SOFR")</f>
        <v/>
      </c>
      <c r="D2079" s="8">
        <f>QS.CONTEXT.ADD.CURVE(C2079,"SOFR",$K$2:$K$7,$L$2:$L$7,,,"Actual360","LogLinear",TRUE)</f>
        <v/>
      </c>
      <c r="E2079" s="8">
        <f>QS.INSTRUMENT.SWAP("swap.2077",C2079,H2079,B2079,"USD","SOFR",I2079,J2079,0,"Actual360","Simple","Annual","Annual","Annual")</f>
        <v/>
      </c>
      <c r="F2079" s="8">
        <f>QS.TRADE.CREATE("trade.2077",C2079,E2079,A2079,"Receive")</f>
        <v/>
      </c>
      <c r="G2079" s="5"/>
      <c r="H2079" s="7" t="s">
        <v>546</v>
      </c>
      <c r="I2079" s="9">
        <v>1207700</v>
      </c>
      <c r="J2079" s="10">
        <v>0.0377</v>
      </c>
    </row>
    <row r="2080" spans="1:10">
      <c r="A2080" s="7" t="s">
        <v>534</v>
      </c>
      <c r="B2080" s="7" t="s">
        <v>3947</v>
      </c>
      <c r="C2080" s="8">
        <f>QS.CONTEXT.CREATE("market.2078",A2080,"USD","SOFR")</f>
        <v/>
      </c>
      <c r="D2080" s="8">
        <f>QS.CONTEXT.ADD.CURVE(C2080,"SOFR",$K$2:$K$7,$L$2:$L$7,,,"Actual360","LogLinear",TRUE)</f>
        <v/>
      </c>
      <c r="E2080" s="8">
        <f>QS.INSTRUMENT.SWAP("swap.2078",C2080,H2080,B2080,"USD","SOFR",I2080,J2080,0,"Actual360","Simple","Annual","Annual","Annual")</f>
        <v/>
      </c>
      <c r="F2080" s="8">
        <f>QS.TRADE.CREATE("trade.2078",C2080,E2080,A2080,"Receive")</f>
        <v/>
      </c>
      <c r="G2080" s="5"/>
      <c r="H2080" s="7" t="s">
        <v>548</v>
      </c>
      <c r="I2080" s="9">
        <v>1207800</v>
      </c>
      <c r="J2080" s="10">
        <v>0.0378</v>
      </c>
    </row>
    <row r="2081" spans="1:10">
      <c r="A2081" s="7" t="s">
        <v>536</v>
      </c>
      <c r="B2081" s="7" t="s">
        <v>3948</v>
      </c>
      <c r="C2081" s="8">
        <f>QS.CONTEXT.CREATE("market.2079",A2081,"USD","SOFR")</f>
        <v/>
      </c>
      <c r="D2081" s="8">
        <f>QS.CONTEXT.ADD.CURVE(C2081,"SOFR",$K$2:$K$7,$L$2:$L$7,,,"Actual360","LogLinear",TRUE)</f>
        <v/>
      </c>
      <c r="E2081" s="8">
        <f>QS.INSTRUMENT.SWAP("swap.2079",C2081,H2081,B2081,"USD","SOFR",I2081,J2081,0,"Actual360","Simple","Annual","Annual","Annual")</f>
        <v/>
      </c>
      <c r="F2081" s="8">
        <f>QS.TRADE.CREATE("trade.2079",C2081,E2081,A2081,"Receive")</f>
        <v/>
      </c>
      <c r="G2081" s="5"/>
      <c r="H2081" s="7" t="s">
        <v>550</v>
      </c>
      <c r="I2081" s="9">
        <v>1207900</v>
      </c>
      <c r="J2081" s="10">
        <v>0.0379</v>
      </c>
    </row>
    <row r="2082" spans="1:10">
      <c r="A2082" s="7" t="s">
        <v>538</v>
      </c>
      <c r="B2082" s="7" t="s">
        <v>3949</v>
      </c>
      <c r="C2082" s="8">
        <f>QS.CONTEXT.CREATE("market.2080",A2082,"USD","SOFR")</f>
        <v/>
      </c>
      <c r="D2082" s="8">
        <f>QS.CONTEXT.ADD.CURVE(C2082,"SOFR",$K$2:$K$7,$L$2:$L$7,,,"Actual360","LogLinear",TRUE)</f>
        <v/>
      </c>
      <c r="E2082" s="8">
        <f>QS.INSTRUMENT.SWAP("swap.2080",C2082,H2082,B2082,"USD","SOFR",I2082,J2082,0,"Actual360","Simple","Annual","Annual","Annual")</f>
        <v/>
      </c>
      <c r="F2082" s="8">
        <f>QS.TRADE.CREATE("trade.2080",C2082,E2082,A2082,"Receive")</f>
        <v/>
      </c>
      <c r="G2082" s="5"/>
      <c r="H2082" s="7" t="s">
        <v>552</v>
      </c>
      <c r="I2082" s="9">
        <v>1208000</v>
      </c>
      <c r="J2082" s="10">
        <v>0.03800000000000001</v>
      </c>
    </row>
    <row r="2083" spans="1:10">
      <c r="A2083" s="7" t="s">
        <v>540</v>
      </c>
      <c r="B2083" s="7" t="s">
        <v>3950</v>
      </c>
      <c r="C2083" s="8">
        <f>QS.CONTEXT.CREATE("market.2081",A2083,"USD","SOFR")</f>
        <v/>
      </c>
      <c r="D2083" s="8">
        <f>QS.CONTEXT.ADD.CURVE(C2083,"SOFR",$K$2:$K$7,$L$2:$L$7,,,"Actual360","LogLinear",TRUE)</f>
        <v/>
      </c>
      <c r="E2083" s="8">
        <f>QS.INSTRUMENT.SWAP("swap.2081",C2083,H2083,B2083,"USD","SOFR",I2083,J2083,0,"Actual360","Simple","Annual","Annual","Annual")</f>
        <v/>
      </c>
      <c r="F2083" s="8">
        <f>QS.TRADE.CREATE("trade.2081",C2083,E2083,A2083,"Receive")</f>
        <v/>
      </c>
      <c r="G2083" s="5"/>
      <c r="H2083" s="7" t="s">
        <v>554</v>
      </c>
      <c r="I2083" s="9">
        <v>1208100</v>
      </c>
      <c r="J2083" s="10">
        <v>0.0381</v>
      </c>
    </row>
    <row r="2084" spans="1:10">
      <c r="A2084" s="7" t="s">
        <v>542</v>
      </c>
      <c r="B2084" s="7" t="s">
        <v>3951</v>
      </c>
      <c r="C2084" s="8">
        <f>QS.CONTEXT.CREATE("market.2082",A2084,"USD","SOFR")</f>
        <v/>
      </c>
      <c r="D2084" s="8">
        <f>QS.CONTEXT.ADD.CURVE(C2084,"SOFR",$K$2:$K$7,$L$2:$L$7,,,"Actual360","LogLinear",TRUE)</f>
        <v/>
      </c>
      <c r="E2084" s="8">
        <f>QS.INSTRUMENT.SWAP("swap.2082",C2084,H2084,B2084,"USD","SOFR",I2084,J2084,0,"Actual360","Simple","Annual","Annual","Annual")</f>
        <v/>
      </c>
      <c r="F2084" s="8">
        <f>QS.TRADE.CREATE("trade.2082",C2084,E2084,A2084,"Receive")</f>
        <v/>
      </c>
      <c r="G2084" s="5"/>
      <c r="H2084" s="7" t="s">
        <v>556</v>
      </c>
      <c r="I2084" s="9">
        <v>1208200</v>
      </c>
      <c r="J2084" s="10">
        <v>0.0382</v>
      </c>
    </row>
    <row r="2085" spans="1:10">
      <c r="A2085" s="7" t="s">
        <v>544</v>
      </c>
      <c r="B2085" s="7" t="s">
        <v>3952</v>
      </c>
      <c r="C2085" s="8">
        <f>QS.CONTEXT.CREATE("market.2083",A2085,"USD","SOFR")</f>
        <v/>
      </c>
      <c r="D2085" s="8">
        <f>QS.CONTEXT.ADD.CURVE(C2085,"SOFR",$K$2:$K$7,$L$2:$L$7,,,"Actual360","LogLinear",TRUE)</f>
        <v/>
      </c>
      <c r="E2085" s="8">
        <f>QS.INSTRUMENT.SWAP("swap.2083",C2085,H2085,B2085,"USD","SOFR",I2085,J2085,0,"Actual360","Simple","Annual","Annual","Annual")</f>
        <v/>
      </c>
      <c r="F2085" s="8">
        <f>QS.TRADE.CREATE("trade.2083",C2085,E2085,A2085,"Receive")</f>
        <v/>
      </c>
      <c r="G2085" s="5"/>
      <c r="H2085" s="7" t="s">
        <v>558</v>
      </c>
      <c r="I2085" s="9">
        <v>1208300</v>
      </c>
      <c r="J2085" s="10">
        <v>0.0383</v>
      </c>
    </row>
    <row r="2086" spans="1:10">
      <c r="A2086" s="7" t="s">
        <v>546</v>
      </c>
      <c r="B2086" s="7" t="s">
        <v>3953</v>
      </c>
      <c r="C2086" s="8">
        <f>QS.CONTEXT.CREATE("market.2084",A2086,"USD","SOFR")</f>
        <v/>
      </c>
      <c r="D2086" s="8">
        <f>QS.CONTEXT.ADD.CURVE(C2086,"SOFR",$K$2:$K$7,$L$2:$L$7,,,"Actual360","LogLinear",TRUE)</f>
        <v/>
      </c>
      <c r="E2086" s="8">
        <f>QS.INSTRUMENT.SWAP("swap.2084",C2086,H2086,B2086,"USD","SOFR",I2086,J2086,0,"Actual360","Simple","Annual","Annual","Annual")</f>
        <v/>
      </c>
      <c r="F2086" s="8">
        <f>QS.TRADE.CREATE("trade.2084",C2086,E2086,A2086,"Receive")</f>
        <v/>
      </c>
      <c r="G2086" s="5"/>
      <c r="H2086" s="7" t="s">
        <v>560</v>
      </c>
      <c r="I2086" s="9">
        <v>1208400</v>
      </c>
      <c r="J2086" s="10">
        <v>0.0384</v>
      </c>
    </row>
    <row r="2087" spans="1:10">
      <c r="A2087" s="7" t="s">
        <v>548</v>
      </c>
      <c r="B2087" s="7" t="s">
        <v>3954</v>
      </c>
      <c r="C2087" s="8">
        <f>QS.CONTEXT.CREATE("market.2085",A2087,"USD","SOFR")</f>
        <v/>
      </c>
      <c r="D2087" s="8">
        <f>QS.CONTEXT.ADD.CURVE(C2087,"SOFR",$K$2:$K$7,$L$2:$L$7,,,"Actual360","LogLinear",TRUE)</f>
        <v/>
      </c>
      <c r="E2087" s="8">
        <f>QS.INSTRUMENT.SWAP("swap.2085",C2087,H2087,B2087,"USD","SOFR",I2087,J2087,0,"Actual360","Simple","Annual","Annual","Annual")</f>
        <v/>
      </c>
      <c r="F2087" s="8">
        <f>QS.TRADE.CREATE("trade.2085",C2087,E2087,A2087,"Receive")</f>
        <v/>
      </c>
      <c r="G2087" s="5"/>
      <c r="H2087" s="7" t="s">
        <v>562</v>
      </c>
      <c r="I2087" s="9">
        <v>1208500</v>
      </c>
      <c r="J2087" s="10">
        <v>0.03850000000000001</v>
      </c>
    </row>
    <row r="2088" spans="1:10">
      <c r="A2088" s="7" t="s">
        <v>550</v>
      </c>
      <c r="B2088" s="7" t="s">
        <v>3955</v>
      </c>
      <c r="C2088" s="8">
        <f>QS.CONTEXT.CREATE("market.2086",A2088,"USD","SOFR")</f>
        <v/>
      </c>
      <c r="D2088" s="8">
        <f>QS.CONTEXT.ADD.CURVE(C2088,"SOFR",$K$2:$K$7,$L$2:$L$7,,,"Actual360","LogLinear",TRUE)</f>
        <v/>
      </c>
      <c r="E2088" s="8">
        <f>QS.INSTRUMENT.SWAP("swap.2086",C2088,H2088,B2088,"USD","SOFR",I2088,J2088,0,"Actual360","Simple","Annual","Annual","Annual")</f>
        <v/>
      </c>
      <c r="F2088" s="8">
        <f>QS.TRADE.CREATE("trade.2086",C2088,E2088,A2088,"Receive")</f>
        <v/>
      </c>
      <c r="G2088" s="5"/>
      <c r="H2088" s="7" t="s">
        <v>564</v>
      </c>
      <c r="I2088" s="9">
        <v>1208600</v>
      </c>
      <c r="J2088" s="10">
        <v>0.0386</v>
      </c>
    </row>
    <row r="2089" spans="1:10">
      <c r="A2089" s="7" t="s">
        <v>552</v>
      </c>
      <c r="B2089" s="7" t="s">
        <v>3956</v>
      </c>
      <c r="C2089" s="8">
        <f>QS.CONTEXT.CREATE("market.2087",A2089,"USD","SOFR")</f>
        <v/>
      </c>
      <c r="D2089" s="8">
        <f>QS.CONTEXT.ADD.CURVE(C2089,"SOFR",$K$2:$K$7,$L$2:$L$7,,,"Actual360","LogLinear",TRUE)</f>
        <v/>
      </c>
      <c r="E2089" s="8">
        <f>QS.INSTRUMENT.SWAP("swap.2087",C2089,H2089,B2089,"USD","SOFR",I2089,J2089,0,"Actual360","Simple","Annual","Annual","Annual")</f>
        <v/>
      </c>
      <c r="F2089" s="8">
        <f>QS.TRADE.CREATE("trade.2087",C2089,E2089,A2089,"Receive")</f>
        <v/>
      </c>
      <c r="G2089" s="5"/>
      <c r="H2089" s="7" t="s">
        <v>566</v>
      </c>
      <c r="I2089" s="9">
        <v>1208700</v>
      </c>
      <c r="J2089" s="10">
        <v>0.03870000000000001</v>
      </c>
    </row>
    <row r="2090" spans="1:10">
      <c r="A2090" s="7" t="s">
        <v>554</v>
      </c>
      <c r="B2090" s="7" t="s">
        <v>3957</v>
      </c>
      <c r="C2090" s="8">
        <f>QS.CONTEXT.CREATE("market.2088",A2090,"USD","SOFR")</f>
        <v/>
      </c>
      <c r="D2090" s="8">
        <f>QS.CONTEXT.ADD.CURVE(C2090,"SOFR",$K$2:$K$7,$L$2:$L$7,,,"Actual360","LogLinear",TRUE)</f>
        <v/>
      </c>
      <c r="E2090" s="8">
        <f>QS.INSTRUMENT.SWAP("swap.2088",C2090,H2090,B2090,"USD","SOFR",I2090,J2090,0,"Actual360","Simple","Annual","Annual","Annual")</f>
        <v/>
      </c>
      <c r="F2090" s="8">
        <f>QS.TRADE.CREATE("trade.2088",C2090,E2090,A2090,"Receive")</f>
        <v/>
      </c>
      <c r="G2090" s="5"/>
      <c r="H2090" s="7" t="s">
        <v>568</v>
      </c>
      <c r="I2090" s="9">
        <v>1208800</v>
      </c>
      <c r="J2090" s="10">
        <v>0.0388</v>
      </c>
    </row>
    <row r="2091" spans="1:10">
      <c r="A2091" s="7" t="s">
        <v>556</v>
      </c>
      <c r="B2091" s="7" t="s">
        <v>3958</v>
      </c>
      <c r="C2091" s="8">
        <f>QS.CONTEXT.CREATE("market.2089",A2091,"USD","SOFR")</f>
        <v/>
      </c>
      <c r="D2091" s="8">
        <f>QS.CONTEXT.ADD.CURVE(C2091,"SOFR",$K$2:$K$7,$L$2:$L$7,,,"Actual360","LogLinear",TRUE)</f>
        <v/>
      </c>
      <c r="E2091" s="8">
        <f>QS.INSTRUMENT.SWAP("swap.2089",C2091,H2091,B2091,"USD","SOFR",I2091,J2091,0,"Actual360","Simple","Annual","Annual","Annual")</f>
        <v/>
      </c>
      <c r="F2091" s="8">
        <f>QS.TRADE.CREATE("trade.2089",C2091,E2091,A2091,"Receive")</f>
        <v/>
      </c>
      <c r="G2091" s="5"/>
      <c r="H2091" s="7" t="s">
        <v>570</v>
      </c>
      <c r="I2091" s="9">
        <v>1208900</v>
      </c>
      <c r="J2091" s="10">
        <v>0.0389</v>
      </c>
    </row>
    <row r="2092" spans="1:10">
      <c r="A2092" s="7" t="s">
        <v>558</v>
      </c>
      <c r="B2092" s="7" t="s">
        <v>3959</v>
      </c>
      <c r="C2092" s="8">
        <f>QS.CONTEXT.CREATE("market.2090",A2092,"USD","SOFR")</f>
        <v/>
      </c>
      <c r="D2092" s="8">
        <f>QS.CONTEXT.ADD.CURVE(C2092,"SOFR",$K$2:$K$7,$L$2:$L$7,,,"Actual360","LogLinear",TRUE)</f>
        <v/>
      </c>
      <c r="E2092" s="8">
        <f>QS.INSTRUMENT.SWAP("swap.2090",C2092,H2092,B2092,"USD","SOFR",I2092,J2092,0,"Actual360","Simple","Annual","Annual","Annual")</f>
        <v/>
      </c>
      <c r="F2092" s="8">
        <f>QS.TRADE.CREATE("trade.2090",C2092,E2092,A2092,"Receive")</f>
        <v/>
      </c>
      <c r="G2092" s="5"/>
      <c r="H2092" s="7" t="s">
        <v>572</v>
      </c>
      <c r="I2092" s="9">
        <v>1209000</v>
      </c>
      <c r="J2092" s="10">
        <v>0.03900000000000001</v>
      </c>
    </row>
    <row r="2093" spans="1:10">
      <c r="A2093" s="7" t="s">
        <v>560</v>
      </c>
      <c r="B2093" s="7" t="s">
        <v>3960</v>
      </c>
      <c r="C2093" s="8">
        <f>QS.CONTEXT.CREATE("market.2091",A2093,"USD","SOFR")</f>
        <v/>
      </c>
      <c r="D2093" s="8">
        <f>QS.CONTEXT.ADD.CURVE(C2093,"SOFR",$K$2:$K$7,$L$2:$L$7,,,"Actual360","LogLinear",TRUE)</f>
        <v/>
      </c>
      <c r="E2093" s="8">
        <f>QS.INSTRUMENT.SWAP("swap.2091",C2093,H2093,B2093,"USD","SOFR",I2093,J2093,0,"Actual360","Simple","Annual","Annual","Annual")</f>
        <v/>
      </c>
      <c r="F2093" s="8">
        <f>QS.TRADE.CREATE("trade.2091",C2093,E2093,A2093,"Receive")</f>
        <v/>
      </c>
      <c r="G2093" s="5"/>
      <c r="H2093" s="7" t="s">
        <v>574</v>
      </c>
      <c r="I2093" s="9">
        <v>1209100</v>
      </c>
      <c r="J2093" s="10">
        <v>0.0391</v>
      </c>
    </row>
    <row r="2094" spans="1:10">
      <c r="A2094" s="7" t="s">
        <v>562</v>
      </c>
      <c r="B2094" s="7" t="s">
        <v>3961</v>
      </c>
      <c r="C2094" s="8">
        <f>QS.CONTEXT.CREATE("market.2092",A2094,"USD","SOFR")</f>
        <v/>
      </c>
      <c r="D2094" s="8">
        <f>QS.CONTEXT.ADD.CURVE(C2094,"SOFR",$K$2:$K$7,$L$2:$L$7,,,"Actual360","LogLinear",TRUE)</f>
        <v/>
      </c>
      <c r="E2094" s="8">
        <f>QS.INSTRUMENT.SWAP("swap.2092",C2094,H2094,B2094,"USD","SOFR",I2094,J2094,0,"Actual360","Simple","Annual","Annual","Annual")</f>
        <v/>
      </c>
      <c r="F2094" s="8">
        <f>QS.TRADE.CREATE("trade.2092",C2094,E2094,A2094,"Receive")</f>
        <v/>
      </c>
      <c r="G2094" s="5"/>
      <c r="H2094" s="7" t="s">
        <v>576</v>
      </c>
      <c r="I2094" s="9">
        <v>1209200</v>
      </c>
      <c r="J2094" s="10">
        <v>0.03920000000000001</v>
      </c>
    </row>
    <row r="2095" spans="1:10">
      <c r="A2095" s="7" t="s">
        <v>564</v>
      </c>
      <c r="B2095" s="7" t="s">
        <v>3962</v>
      </c>
      <c r="C2095" s="8">
        <f>QS.CONTEXT.CREATE("market.2093",A2095,"USD","SOFR")</f>
        <v/>
      </c>
      <c r="D2095" s="8">
        <f>QS.CONTEXT.ADD.CURVE(C2095,"SOFR",$K$2:$K$7,$L$2:$L$7,,,"Actual360","LogLinear",TRUE)</f>
        <v/>
      </c>
      <c r="E2095" s="8">
        <f>QS.INSTRUMENT.SWAP("swap.2093",C2095,H2095,B2095,"USD","SOFR",I2095,J2095,0,"Actual360","Simple","Annual","Annual","Annual")</f>
        <v/>
      </c>
      <c r="F2095" s="8">
        <f>QS.TRADE.CREATE("trade.2093",C2095,E2095,A2095,"Receive")</f>
        <v/>
      </c>
      <c r="G2095" s="5"/>
      <c r="H2095" s="7" t="s">
        <v>578</v>
      </c>
      <c r="I2095" s="9">
        <v>1209300</v>
      </c>
      <c r="J2095" s="10">
        <v>0.0393</v>
      </c>
    </row>
    <row r="2096" spans="1:10">
      <c r="A2096" s="7" t="s">
        <v>566</v>
      </c>
      <c r="B2096" s="7" t="s">
        <v>3963</v>
      </c>
      <c r="C2096" s="8">
        <f>QS.CONTEXT.CREATE("market.2094",A2096,"USD","SOFR")</f>
        <v/>
      </c>
      <c r="D2096" s="8">
        <f>QS.CONTEXT.ADD.CURVE(C2096,"SOFR",$K$2:$K$7,$L$2:$L$7,,,"Actual360","LogLinear",TRUE)</f>
        <v/>
      </c>
      <c r="E2096" s="8">
        <f>QS.INSTRUMENT.SWAP("swap.2094",C2096,H2096,B2096,"USD","SOFR",I2096,J2096,0,"Actual360","Simple","Annual","Annual","Annual")</f>
        <v/>
      </c>
      <c r="F2096" s="8">
        <f>QS.TRADE.CREATE("trade.2094",C2096,E2096,A2096,"Receive")</f>
        <v/>
      </c>
      <c r="G2096" s="5"/>
      <c r="H2096" s="7" t="s">
        <v>580</v>
      </c>
      <c r="I2096" s="9">
        <v>1209400</v>
      </c>
      <c r="J2096" s="10">
        <v>0.0394</v>
      </c>
    </row>
    <row r="2097" spans="1:10">
      <c r="A2097" s="7" t="s">
        <v>568</v>
      </c>
      <c r="B2097" s="7" t="s">
        <v>3964</v>
      </c>
      <c r="C2097" s="8">
        <f>QS.CONTEXT.CREATE("market.2095",A2097,"USD","SOFR")</f>
        <v/>
      </c>
      <c r="D2097" s="8">
        <f>QS.CONTEXT.ADD.CURVE(C2097,"SOFR",$K$2:$K$7,$L$2:$L$7,,,"Actual360","LogLinear",TRUE)</f>
        <v/>
      </c>
      <c r="E2097" s="8">
        <f>QS.INSTRUMENT.SWAP("swap.2095",C2097,H2097,B2097,"USD","SOFR",I2097,J2097,0,"Actual360","Simple","Annual","Annual","Annual")</f>
        <v/>
      </c>
      <c r="F2097" s="8">
        <f>QS.TRADE.CREATE("trade.2095",C2097,E2097,A2097,"Receive")</f>
        <v/>
      </c>
      <c r="G2097" s="5"/>
      <c r="H2097" s="7" t="s">
        <v>582</v>
      </c>
      <c r="I2097" s="9">
        <v>1209500</v>
      </c>
      <c r="J2097" s="10">
        <v>0.03950000000000001</v>
      </c>
    </row>
    <row r="2098" spans="1:10">
      <c r="A2098" s="7" t="s">
        <v>570</v>
      </c>
      <c r="B2098" s="7" t="s">
        <v>3965</v>
      </c>
      <c r="C2098" s="8">
        <f>QS.CONTEXT.CREATE("market.2096",A2098,"USD","SOFR")</f>
        <v/>
      </c>
      <c r="D2098" s="8">
        <f>QS.CONTEXT.ADD.CURVE(C2098,"SOFR",$K$2:$K$7,$L$2:$L$7,,,"Actual360","LogLinear",TRUE)</f>
        <v/>
      </c>
      <c r="E2098" s="8">
        <f>QS.INSTRUMENT.SWAP("swap.2096",C2098,H2098,B2098,"USD","SOFR",I2098,J2098,0,"Actual360","Simple","Annual","Annual","Annual")</f>
        <v/>
      </c>
      <c r="F2098" s="8">
        <f>QS.TRADE.CREATE("trade.2096",C2098,E2098,A2098,"Receive")</f>
        <v/>
      </c>
      <c r="G2098" s="5"/>
      <c r="H2098" s="7" t="s">
        <v>584</v>
      </c>
      <c r="I2098" s="9">
        <v>1209600</v>
      </c>
      <c r="J2098" s="10">
        <v>0.0396</v>
      </c>
    </row>
    <row r="2099" spans="1:10">
      <c r="A2099" s="7" t="s">
        <v>572</v>
      </c>
      <c r="B2099" s="7" t="s">
        <v>3966</v>
      </c>
      <c r="C2099" s="8">
        <f>QS.CONTEXT.CREATE("market.2097",A2099,"USD","SOFR")</f>
        <v/>
      </c>
      <c r="D2099" s="8">
        <f>QS.CONTEXT.ADD.CURVE(C2099,"SOFR",$K$2:$K$7,$L$2:$L$7,,,"Actual360","LogLinear",TRUE)</f>
        <v/>
      </c>
      <c r="E2099" s="8">
        <f>QS.INSTRUMENT.SWAP("swap.2097",C2099,H2099,B2099,"USD","SOFR",I2099,J2099,0,"Actual360","Simple","Annual","Annual","Annual")</f>
        <v/>
      </c>
      <c r="F2099" s="8">
        <f>QS.TRADE.CREATE("trade.2097",C2099,E2099,A2099,"Receive")</f>
        <v/>
      </c>
      <c r="G2099" s="5"/>
      <c r="H2099" s="7" t="s">
        <v>586</v>
      </c>
      <c r="I2099" s="9">
        <v>1209700</v>
      </c>
      <c r="J2099" s="10">
        <v>0.03970000000000001</v>
      </c>
    </row>
    <row r="2100" spans="1:10">
      <c r="A2100" s="7" t="s">
        <v>574</v>
      </c>
      <c r="B2100" s="7" t="s">
        <v>3967</v>
      </c>
      <c r="C2100" s="8">
        <f>QS.CONTEXT.CREATE("market.2098",A2100,"USD","SOFR")</f>
        <v/>
      </c>
      <c r="D2100" s="8">
        <f>QS.CONTEXT.ADD.CURVE(C2100,"SOFR",$K$2:$K$7,$L$2:$L$7,,,"Actual360","LogLinear",TRUE)</f>
        <v/>
      </c>
      <c r="E2100" s="8">
        <f>QS.INSTRUMENT.SWAP("swap.2098",C2100,H2100,B2100,"USD","SOFR",I2100,J2100,0,"Actual360","Simple","Annual","Annual","Annual")</f>
        <v/>
      </c>
      <c r="F2100" s="8">
        <f>QS.TRADE.CREATE("trade.2098",C2100,E2100,A2100,"Receive")</f>
        <v/>
      </c>
      <c r="G2100" s="5"/>
      <c r="H2100" s="7" t="s">
        <v>588</v>
      </c>
      <c r="I2100" s="9">
        <v>1209800</v>
      </c>
      <c r="J2100" s="10">
        <v>0.0398</v>
      </c>
    </row>
    <row r="2101" spans="1:10">
      <c r="A2101" s="7" t="s">
        <v>576</v>
      </c>
      <c r="B2101" s="7" t="s">
        <v>3968</v>
      </c>
      <c r="C2101" s="8">
        <f>QS.CONTEXT.CREATE("market.2099",A2101,"USD","SOFR")</f>
        <v/>
      </c>
      <c r="D2101" s="8">
        <f>QS.CONTEXT.ADD.CURVE(C2101,"SOFR",$K$2:$K$7,$L$2:$L$7,,,"Actual360","LogLinear",TRUE)</f>
        <v/>
      </c>
      <c r="E2101" s="8">
        <f>QS.INSTRUMENT.SWAP("swap.2099",C2101,H2101,B2101,"USD","SOFR",I2101,J2101,0,"Actual360","Simple","Annual","Annual","Annual")</f>
        <v/>
      </c>
      <c r="F2101" s="8">
        <f>QS.TRADE.CREATE("trade.2099",C2101,E2101,A2101,"Receive")</f>
        <v/>
      </c>
      <c r="G2101" s="5"/>
      <c r="H2101" s="7" t="s">
        <v>590</v>
      </c>
      <c r="I2101" s="9">
        <v>1209900</v>
      </c>
      <c r="J2101" s="10">
        <v>0.0399</v>
      </c>
    </row>
    <row r="2102" spans="1:10">
      <c r="A2102" s="7" t="s">
        <v>578</v>
      </c>
      <c r="B2102" s="7" t="s">
        <v>3969</v>
      </c>
      <c r="C2102" s="8">
        <f>QS.CONTEXT.CREATE("market.2100",A2102,"USD","SOFR")</f>
        <v/>
      </c>
      <c r="D2102" s="8">
        <f>QS.CONTEXT.ADD.CURVE(C2102,"SOFR",$K$2:$K$7,$L$2:$L$7,,,"Actual360","LogLinear",TRUE)</f>
        <v/>
      </c>
      <c r="E2102" s="8">
        <f>QS.INSTRUMENT.SWAP("swap.2100",C2102,H2102,B2102,"USD","SOFR",I2102,J2102,0,"Actual360","Simple","Annual","Annual","Annual")</f>
        <v/>
      </c>
      <c r="F2102" s="8">
        <f>QS.TRADE.CREATE("trade.2100",C2102,E2102,A2102,"Receive")</f>
        <v/>
      </c>
      <c r="G2102" s="5"/>
      <c r="H2102" s="7" t="s">
        <v>592</v>
      </c>
      <c r="I2102" s="9">
        <v>1210000</v>
      </c>
      <c r="J2102" s="10">
        <v>0.035</v>
      </c>
    </row>
    <row r="2103" spans="1:10">
      <c r="A2103" s="7" t="s">
        <v>580</v>
      </c>
      <c r="B2103" s="7" t="s">
        <v>3970</v>
      </c>
      <c r="C2103" s="8">
        <f>QS.CONTEXT.CREATE("market.2101",A2103,"USD","SOFR")</f>
        <v/>
      </c>
      <c r="D2103" s="8">
        <f>QS.CONTEXT.ADD.CURVE(C2103,"SOFR",$K$2:$K$7,$L$2:$L$7,,,"Actual360","LogLinear",TRUE)</f>
        <v/>
      </c>
      <c r="E2103" s="8">
        <f>QS.INSTRUMENT.SWAP("swap.2101",C2103,H2103,B2103,"USD","SOFR",I2103,J2103,0,"Actual360","Simple","Annual","Annual","Annual")</f>
        <v/>
      </c>
      <c r="F2103" s="8">
        <f>QS.TRADE.CREATE("trade.2101",C2103,E2103,A2103,"Receive")</f>
        <v/>
      </c>
      <c r="G2103" s="5"/>
      <c r="H2103" s="7" t="s">
        <v>594</v>
      </c>
      <c r="I2103" s="9">
        <v>1210100</v>
      </c>
      <c r="J2103" s="10">
        <v>0.03510000000000001</v>
      </c>
    </row>
    <row r="2104" spans="1:10">
      <c r="A2104" s="7" t="s">
        <v>582</v>
      </c>
      <c r="B2104" s="7" t="s">
        <v>3971</v>
      </c>
      <c r="C2104" s="8">
        <f>QS.CONTEXT.CREATE("market.2102",A2104,"USD","SOFR")</f>
        <v/>
      </c>
      <c r="D2104" s="8">
        <f>QS.CONTEXT.ADD.CURVE(C2104,"SOFR",$K$2:$K$7,$L$2:$L$7,,,"Actual360","LogLinear",TRUE)</f>
        <v/>
      </c>
      <c r="E2104" s="8">
        <f>QS.INSTRUMENT.SWAP("swap.2102",C2104,H2104,B2104,"USD","SOFR",I2104,J2104,0,"Actual360","Simple","Annual","Annual","Annual")</f>
        <v/>
      </c>
      <c r="F2104" s="8">
        <f>QS.TRADE.CREATE("trade.2102",C2104,E2104,A2104,"Receive")</f>
        <v/>
      </c>
      <c r="G2104" s="5"/>
      <c r="H2104" s="7" t="s">
        <v>596</v>
      </c>
      <c r="I2104" s="9">
        <v>1210200</v>
      </c>
      <c r="J2104" s="10">
        <v>0.0352</v>
      </c>
    </row>
    <row r="2105" spans="1:10">
      <c r="A2105" s="7" t="s">
        <v>584</v>
      </c>
      <c r="B2105" s="7" t="s">
        <v>3972</v>
      </c>
      <c r="C2105" s="8">
        <f>QS.CONTEXT.CREATE("market.2103",A2105,"USD","SOFR")</f>
        <v/>
      </c>
      <c r="D2105" s="8">
        <f>QS.CONTEXT.ADD.CURVE(C2105,"SOFR",$K$2:$K$7,$L$2:$L$7,,,"Actual360","LogLinear",TRUE)</f>
        <v/>
      </c>
      <c r="E2105" s="8">
        <f>QS.INSTRUMENT.SWAP("swap.2103",C2105,H2105,B2105,"USD","SOFR",I2105,J2105,0,"Actual360","Simple","Annual","Annual","Annual")</f>
        <v/>
      </c>
      <c r="F2105" s="8">
        <f>QS.TRADE.CREATE("trade.2103",C2105,E2105,A2105,"Receive")</f>
        <v/>
      </c>
      <c r="G2105" s="5"/>
      <c r="H2105" s="7" t="s">
        <v>598</v>
      </c>
      <c r="I2105" s="9">
        <v>1210300</v>
      </c>
      <c r="J2105" s="10">
        <v>0.0353</v>
      </c>
    </row>
    <row r="2106" spans="1:10">
      <c r="A2106" s="7" t="s">
        <v>586</v>
      </c>
      <c r="B2106" s="7" t="s">
        <v>3973</v>
      </c>
      <c r="C2106" s="8">
        <f>QS.CONTEXT.CREATE("market.2104",A2106,"USD","SOFR")</f>
        <v/>
      </c>
      <c r="D2106" s="8">
        <f>QS.CONTEXT.ADD.CURVE(C2106,"SOFR",$K$2:$K$7,$L$2:$L$7,,,"Actual360","LogLinear",TRUE)</f>
        <v/>
      </c>
      <c r="E2106" s="8">
        <f>QS.INSTRUMENT.SWAP("swap.2104",C2106,H2106,B2106,"USD","SOFR",I2106,J2106,0,"Actual360","Simple","Annual","Annual","Annual")</f>
        <v/>
      </c>
      <c r="F2106" s="8">
        <f>QS.TRADE.CREATE("trade.2104",C2106,E2106,A2106,"Receive")</f>
        <v/>
      </c>
      <c r="G2106" s="5"/>
      <c r="H2106" s="7" t="s">
        <v>600</v>
      </c>
      <c r="I2106" s="9">
        <v>1210400</v>
      </c>
      <c r="J2106" s="10">
        <v>0.0354</v>
      </c>
    </row>
    <row r="2107" spans="1:10">
      <c r="A2107" s="7" t="s">
        <v>588</v>
      </c>
      <c r="B2107" s="7" t="s">
        <v>3974</v>
      </c>
      <c r="C2107" s="8">
        <f>QS.CONTEXT.CREATE("market.2105",A2107,"USD","SOFR")</f>
        <v/>
      </c>
      <c r="D2107" s="8">
        <f>QS.CONTEXT.ADD.CURVE(C2107,"SOFR",$K$2:$K$7,$L$2:$L$7,,,"Actual360","LogLinear",TRUE)</f>
        <v/>
      </c>
      <c r="E2107" s="8">
        <f>QS.INSTRUMENT.SWAP("swap.2105",C2107,H2107,B2107,"USD","SOFR",I2107,J2107,0,"Actual360","Simple","Annual","Annual","Annual")</f>
        <v/>
      </c>
      <c r="F2107" s="8">
        <f>QS.TRADE.CREATE("trade.2105",C2107,E2107,A2107,"Receive")</f>
        <v/>
      </c>
      <c r="G2107" s="5"/>
      <c r="H2107" s="7" t="s">
        <v>602</v>
      </c>
      <c r="I2107" s="9">
        <v>1210500</v>
      </c>
      <c r="J2107" s="10">
        <v>0.0355</v>
      </c>
    </row>
    <row r="2108" spans="1:10">
      <c r="A2108" s="7" t="s">
        <v>590</v>
      </c>
      <c r="B2108" s="7" t="s">
        <v>3975</v>
      </c>
      <c r="C2108" s="8">
        <f>QS.CONTEXT.CREATE("market.2106",A2108,"USD","SOFR")</f>
        <v/>
      </c>
      <c r="D2108" s="8">
        <f>QS.CONTEXT.ADD.CURVE(C2108,"SOFR",$K$2:$K$7,$L$2:$L$7,,,"Actual360","LogLinear",TRUE)</f>
        <v/>
      </c>
      <c r="E2108" s="8">
        <f>QS.INSTRUMENT.SWAP("swap.2106",C2108,H2108,B2108,"USD","SOFR",I2108,J2108,0,"Actual360","Simple","Annual","Annual","Annual")</f>
        <v/>
      </c>
      <c r="F2108" s="8">
        <f>QS.TRADE.CREATE("trade.2106",C2108,E2108,A2108,"Receive")</f>
        <v/>
      </c>
      <c r="G2108" s="5"/>
      <c r="H2108" s="7" t="s">
        <v>604</v>
      </c>
      <c r="I2108" s="9">
        <v>1210600</v>
      </c>
      <c r="J2108" s="10">
        <v>0.03560000000000001</v>
      </c>
    </row>
    <row r="2109" spans="1:10">
      <c r="A2109" s="7" t="s">
        <v>592</v>
      </c>
      <c r="B2109" s="7" t="s">
        <v>3976</v>
      </c>
      <c r="C2109" s="8">
        <f>QS.CONTEXT.CREATE("market.2107",A2109,"USD","SOFR")</f>
        <v/>
      </c>
      <c r="D2109" s="8">
        <f>QS.CONTEXT.ADD.CURVE(C2109,"SOFR",$K$2:$K$7,$L$2:$L$7,,,"Actual360","LogLinear",TRUE)</f>
        <v/>
      </c>
      <c r="E2109" s="8">
        <f>QS.INSTRUMENT.SWAP("swap.2107",C2109,H2109,B2109,"USD","SOFR",I2109,J2109,0,"Actual360","Simple","Annual","Annual","Annual")</f>
        <v/>
      </c>
      <c r="F2109" s="8">
        <f>QS.TRADE.CREATE("trade.2107",C2109,E2109,A2109,"Receive")</f>
        <v/>
      </c>
      <c r="G2109" s="5"/>
      <c r="H2109" s="7" t="s">
        <v>606</v>
      </c>
      <c r="I2109" s="9">
        <v>1210700</v>
      </c>
      <c r="J2109" s="10">
        <v>0.0357</v>
      </c>
    </row>
    <row r="2110" spans="1:10">
      <c r="A2110" s="7" t="s">
        <v>594</v>
      </c>
      <c r="B2110" s="7" t="s">
        <v>3977</v>
      </c>
      <c r="C2110" s="8">
        <f>QS.CONTEXT.CREATE("market.2108",A2110,"USD","SOFR")</f>
        <v/>
      </c>
      <c r="D2110" s="8">
        <f>QS.CONTEXT.ADD.CURVE(C2110,"SOFR",$K$2:$K$7,$L$2:$L$7,,,"Actual360","LogLinear",TRUE)</f>
        <v/>
      </c>
      <c r="E2110" s="8">
        <f>QS.INSTRUMENT.SWAP("swap.2108",C2110,H2110,B2110,"USD","SOFR",I2110,J2110,0,"Actual360","Simple","Annual","Annual","Annual")</f>
        <v/>
      </c>
      <c r="F2110" s="8">
        <f>QS.TRADE.CREATE("trade.2108",C2110,E2110,A2110,"Receive")</f>
        <v/>
      </c>
      <c r="G2110" s="5"/>
      <c r="H2110" s="7" t="s">
        <v>608</v>
      </c>
      <c r="I2110" s="9">
        <v>1210800</v>
      </c>
      <c r="J2110" s="10">
        <v>0.03580000000000001</v>
      </c>
    </row>
    <row r="2111" spans="1:10">
      <c r="A2111" s="7" t="s">
        <v>596</v>
      </c>
      <c r="B2111" s="7" t="s">
        <v>3978</v>
      </c>
      <c r="C2111" s="8">
        <f>QS.CONTEXT.CREATE("market.2109",A2111,"USD","SOFR")</f>
        <v/>
      </c>
      <c r="D2111" s="8">
        <f>QS.CONTEXT.ADD.CURVE(C2111,"SOFR",$K$2:$K$7,$L$2:$L$7,,,"Actual360","LogLinear",TRUE)</f>
        <v/>
      </c>
      <c r="E2111" s="8">
        <f>QS.INSTRUMENT.SWAP("swap.2109",C2111,H2111,B2111,"USD","SOFR",I2111,J2111,0,"Actual360","Simple","Annual","Annual","Annual")</f>
        <v/>
      </c>
      <c r="F2111" s="8">
        <f>QS.TRADE.CREATE("trade.2109",C2111,E2111,A2111,"Receive")</f>
        <v/>
      </c>
      <c r="G2111" s="5"/>
      <c r="H2111" s="7" t="s">
        <v>610</v>
      </c>
      <c r="I2111" s="9">
        <v>1210900</v>
      </c>
      <c r="J2111" s="10">
        <v>0.0359</v>
      </c>
    </row>
    <row r="2112" spans="1:10">
      <c r="A2112" s="7" t="s">
        <v>598</v>
      </c>
      <c r="B2112" s="7" t="s">
        <v>3979</v>
      </c>
      <c r="C2112" s="8">
        <f>QS.CONTEXT.CREATE("market.2110",A2112,"USD","SOFR")</f>
        <v/>
      </c>
      <c r="D2112" s="8">
        <f>QS.CONTEXT.ADD.CURVE(C2112,"SOFR",$K$2:$K$7,$L$2:$L$7,,,"Actual360","LogLinear",TRUE)</f>
        <v/>
      </c>
      <c r="E2112" s="8">
        <f>QS.INSTRUMENT.SWAP("swap.2110",C2112,H2112,B2112,"USD","SOFR",I2112,J2112,0,"Actual360","Simple","Annual","Annual","Annual")</f>
        <v/>
      </c>
      <c r="F2112" s="8">
        <f>QS.TRADE.CREATE("trade.2110",C2112,E2112,A2112,"Receive")</f>
        <v/>
      </c>
      <c r="G2112" s="5"/>
      <c r="H2112" s="7" t="s">
        <v>612</v>
      </c>
      <c r="I2112" s="9">
        <v>1211000</v>
      </c>
      <c r="J2112" s="10">
        <v>0.036</v>
      </c>
    </row>
    <row r="2113" spans="1:10">
      <c r="A2113" s="7" t="s">
        <v>600</v>
      </c>
      <c r="B2113" s="7" t="s">
        <v>3980</v>
      </c>
      <c r="C2113" s="8">
        <f>QS.CONTEXT.CREATE("market.2111",A2113,"USD","SOFR")</f>
        <v/>
      </c>
      <c r="D2113" s="8">
        <f>QS.CONTEXT.ADD.CURVE(C2113,"SOFR",$K$2:$K$7,$L$2:$L$7,,,"Actual360","LogLinear",TRUE)</f>
        <v/>
      </c>
      <c r="E2113" s="8">
        <f>QS.INSTRUMENT.SWAP("swap.2111",C2113,H2113,B2113,"USD","SOFR",I2113,J2113,0,"Actual360","Simple","Annual","Annual","Annual")</f>
        <v/>
      </c>
      <c r="F2113" s="8">
        <f>QS.TRADE.CREATE("trade.2111",C2113,E2113,A2113,"Receive")</f>
        <v/>
      </c>
      <c r="G2113" s="5"/>
      <c r="H2113" s="7" t="s">
        <v>614</v>
      </c>
      <c r="I2113" s="9">
        <v>1211100</v>
      </c>
      <c r="J2113" s="10">
        <v>0.0361</v>
      </c>
    </row>
    <row r="2114" spans="1:10">
      <c r="A2114" s="7" t="s">
        <v>602</v>
      </c>
      <c r="B2114" s="7" t="s">
        <v>3981</v>
      </c>
      <c r="C2114" s="8">
        <f>QS.CONTEXT.CREATE("market.2112",A2114,"USD","SOFR")</f>
        <v/>
      </c>
      <c r="D2114" s="8">
        <f>QS.CONTEXT.ADD.CURVE(C2114,"SOFR",$K$2:$K$7,$L$2:$L$7,,,"Actual360","LogLinear",TRUE)</f>
        <v/>
      </c>
      <c r="E2114" s="8">
        <f>QS.INSTRUMENT.SWAP("swap.2112",C2114,H2114,B2114,"USD","SOFR",I2114,J2114,0,"Actual360","Simple","Annual","Annual","Annual")</f>
        <v/>
      </c>
      <c r="F2114" s="8">
        <f>QS.TRADE.CREATE("trade.2112",C2114,E2114,A2114,"Receive")</f>
        <v/>
      </c>
      <c r="G2114" s="5"/>
      <c r="H2114" s="7" t="s">
        <v>616</v>
      </c>
      <c r="I2114" s="9">
        <v>1211200</v>
      </c>
      <c r="J2114" s="10">
        <v>0.0362</v>
      </c>
    </row>
    <row r="2115" spans="1:10">
      <c r="A2115" s="7" t="s">
        <v>604</v>
      </c>
      <c r="B2115" s="7" t="s">
        <v>3982</v>
      </c>
      <c r="C2115" s="8">
        <f>QS.CONTEXT.CREATE("market.2113",A2115,"USD","SOFR")</f>
        <v/>
      </c>
      <c r="D2115" s="8">
        <f>QS.CONTEXT.ADD.CURVE(C2115,"SOFR",$K$2:$K$7,$L$2:$L$7,,,"Actual360","LogLinear",TRUE)</f>
        <v/>
      </c>
      <c r="E2115" s="8">
        <f>QS.INSTRUMENT.SWAP("swap.2113",C2115,H2115,B2115,"USD","SOFR",I2115,J2115,0,"Actual360","Simple","Annual","Annual","Annual")</f>
        <v/>
      </c>
      <c r="F2115" s="8">
        <f>QS.TRADE.CREATE("trade.2113",C2115,E2115,A2115,"Receive")</f>
        <v/>
      </c>
      <c r="G2115" s="5"/>
      <c r="H2115" s="7" t="s">
        <v>618</v>
      </c>
      <c r="I2115" s="9">
        <v>1211300</v>
      </c>
      <c r="J2115" s="10">
        <v>0.03630000000000001</v>
      </c>
    </row>
    <row r="2116" spans="1:10">
      <c r="A2116" s="7" t="s">
        <v>606</v>
      </c>
      <c r="B2116" s="7" t="s">
        <v>3983</v>
      </c>
      <c r="C2116" s="8">
        <f>QS.CONTEXT.CREATE("market.2114",A2116,"USD","SOFR")</f>
        <v/>
      </c>
      <c r="D2116" s="8">
        <f>QS.CONTEXT.ADD.CURVE(C2116,"SOFR",$K$2:$K$7,$L$2:$L$7,,,"Actual360","LogLinear",TRUE)</f>
        <v/>
      </c>
      <c r="E2116" s="8">
        <f>QS.INSTRUMENT.SWAP("swap.2114",C2116,H2116,B2116,"USD","SOFR",I2116,J2116,0,"Actual360","Simple","Annual","Annual","Annual")</f>
        <v/>
      </c>
      <c r="F2116" s="8">
        <f>QS.TRADE.CREATE("trade.2114",C2116,E2116,A2116,"Receive")</f>
        <v/>
      </c>
      <c r="G2116" s="5"/>
      <c r="H2116" s="7" t="s">
        <v>620</v>
      </c>
      <c r="I2116" s="9">
        <v>1211400</v>
      </c>
      <c r="J2116" s="10">
        <v>0.0364</v>
      </c>
    </row>
    <row r="2117" spans="1:10">
      <c r="A2117" s="7" t="s">
        <v>608</v>
      </c>
      <c r="B2117" s="7" t="s">
        <v>3984</v>
      </c>
      <c r="C2117" s="8">
        <f>QS.CONTEXT.CREATE("market.2115",A2117,"USD","SOFR")</f>
        <v/>
      </c>
      <c r="D2117" s="8">
        <f>QS.CONTEXT.ADD.CURVE(C2117,"SOFR",$K$2:$K$7,$L$2:$L$7,,,"Actual360","LogLinear",TRUE)</f>
        <v/>
      </c>
      <c r="E2117" s="8">
        <f>QS.INSTRUMENT.SWAP("swap.2115",C2117,H2117,B2117,"USD","SOFR",I2117,J2117,0,"Actual360","Simple","Annual","Annual","Annual")</f>
        <v/>
      </c>
      <c r="F2117" s="8">
        <f>QS.TRADE.CREATE("trade.2115",C2117,E2117,A2117,"Receive")</f>
        <v/>
      </c>
      <c r="G2117" s="5"/>
      <c r="H2117" s="7" t="s">
        <v>622</v>
      </c>
      <c r="I2117" s="9">
        <v>1211500</v>
      </c>
      <c r="J2117" s="10">
        <v>0.0365</v>
      </c>
    </row>
    <row r="2118" spans="1:10">
      <c r="A2118" s="7" t="s">
        <v>610</v>
      </c>
      <c r="B2118" s="7" t="s">
        <v>3985</v>
      </c>
      <c r="C2118" s="8">
        <f>QS.CONTEXT.CREATE("market.2116",A2118,"USD","SOFR")</f>
        <v/>
      </c>
      <c r="D2118" s="8">
        <f>QS.CONTEXT.ADD.CURVE(C2118,"SOFR",$K$2:$K$7,$L$2:$L$7,,,"Actual360","LogLinear",TRUE)</f>
        <v/>
      </c>
      <c r="E2118" s="8">
        <f>QS.INSTRUMENT.SWAP("swap.2116",C2118,H2118,B2118,"USD","SOFR",I2118,J2118,0,"Actual360","Simple","Annual","Annual","Annual")</f>
        <v/>
      </c>
      <c r="F2118" s="8">
        <f>QS.TRADE.CREATE("trade.2116",C2118,E2118,A2118,"Receive")</f>
        <v/>
      </c>
      <c r="G2118" s="5"/>
      <c r="H2118" s="7" t="s">
        <v>624</v>
      </c>
      <c r="I2118" s="9">
        <v>1211600</v>
      </c>
      <c r="J2118" s="10">
        <v>0.0366</v>
      </c>
    </row>
    <row r="2119" spans="1:10">
      <c r="A2119" s="7" t="s">
        <v>612</v>
      </c>
      <c r="B2119" s="7" t="s">
        <v>3986</v>
      </c>
      <c r="C2119" s="8">
        <f>QS.CONTEXT.CREATE("market.2117",A2119,"USD","SOFR")</f>
        <v/>
      </c>
      <c r="D2119" s="8">
        <f>QS.CONTEXT.ADD.CURVE(C2119,"SOFR",$K$2:$K$7,$L$2:$L$7,,,"Actual360","LogLinear",TRUE)</f>
        <v/>
      </c>
      <c r="E2119" s="8">
        <f>QS.INSTRUMENT.SWAP("swap.2117",C2119,H2119,B2119,"USD","SOFR",I2119,J2119,0,"Actual360","Simple","Annual","Annual","Annual")</f>
        <v/>
      </c>
      <c r="F2119" s="8">
        <f>QS.TRADE.CREATE("trade.2117",C2119,E2119,A2119,"Receive")</f>
        <v/>
      </c>
      <c r="G2119" s="5"/>
      <c r="H2119" s="7" t="s">
        <v>626</v>
      </c>
      <c r="I2119" s="9">
        <v>1211700</v>
      </c>
      <c r="J2119" s="10">
        <v>0.0367</v>
      </c>
    </row>
    <row r="2120" spans="1:10">
      <c r="A2120" s="7" t="s">
        <v>614</v>
      </c>
      <c r="B2120" s="7" t="s">
        <v>3987</v>
      </c>
      <c r="C2120" s="8">
        <f>QS.CONTEXT.CREATE("market.2118",A2120,"USD","SOFR")</f>
        <v/>
      </c>
      <c r="D2120" s="8">
        <f>QS.CONTEXT.ADD.CURVE(C2120,"SOFR",$K$2:$K$7,$L$2:$L$7,,,"Actual360","LogLinear",TRUE)</f>
        <v/>
      </c>
      <c r="E2120" s="8">
        <f>QS.INSTRUMENT.SWAP("swap.2118",C2120,H2120,B2120,"USD","SOFR",I2120,J2120,0,"Actual360","Simple","Annual","Annual","Annual")</f>
        <v/>
      </c>
      <c r="F2120" s="8">
        <f>QS.TRADE.CREATE("trade.2118",C2120,E2120,A2120,"Receive")</f>
        <v/>
      </c>
      <c r="G2120" s="5"/>
      <c r="H2120" s="7" t="s">
        <v>628</v>
      </c>
      <c r="I2120" s="9">
        <v>1211800</v>
      </c>
      <c r="J2120" s="10">
        <v>0.03680000000000001</v>
      </c>
    </row>
    <row r="2121" spans="1:10">
      <c r="A2121" s="7" t="s">
        <v>616</v>
      </c>
      <c r="B2121" s="7" t="s">
        <v>3988</v>
      </c>
      <c r="C2121" s="8">
        <f>QS.CONTEXT.CREATE("market.2119",A2121,"USD","SOFR")</f>
        <v/>
      </c>
      <c r="D2121" s="8">
        <f>QS.CONTEXT.ADD.CURVE(C2121,"SOFR",$K$2:$K$7,$L$2:$L$7,,,"Actual360","LogLinear",TRUE)</f>
        <v/>
      </c>
      <c r="E2121" s="8">
        <f>QS.INSTRUMENT.SWAP("swap.2119",C2121,H2121,B2121,"USD","SOFR",I2121,J2121,0,"Actual360","Simple","Annual","Annual","Annual")</f>
        <v/>
      </c>
      <c r="F2121" s="8">
        <f>QS.TRADE.CREATE("trade.2119",C2121,E2121,A2121,"Receive")</f>
        <v/>
      </c>
      <c r="G2121" s="5"/>
      <c r="H2121" s="7" t="s">
        <v>630</v>
      </c>
      <c r="I2121" s="9">
        <v>1211900</v>
      </c>
      <c r="J2121" s="10">
        <v>0.0369</v>
      </c>
    </row>
    <row r="2122" spans="1:10">
      <c r="A2122" s="7" t="s">
        <v>618</v>
      </c>
      <c r="B2122" s="7" t="s">
        <v>3989</v>
      </c>
      <c r="C2122" s="8">
        <f>QS.CONTEXT.CREATE("market.2120",A2122,"USD","SOFR")</f>
        <v/>
      </c>
      <c r="D2122" s="8">
        <f>QS.CONTEXT.ADD.CURVE(C2122,"SOFR",$K$2:$K$7,$L$2:$L$7,,,"Actual360","LogLinear",TRUE)</f>
        <v/>
      </c>
      <c r="E2122" s="8">
        <f>QS.INSTRUMENT.SWAP("swap.2120",C2122,H2122,B2122,"USD","SOFR",I2122,J2122,0,"Actual360","Simple","Annual","Annual","Annual")</f>
        <v/>
      </c>
      <c r="F2122" s="8">
        <f>QS.TRADE.CREATE("trade.2120",C2122,E2122,A2122,"Receive")</f>
        <v/>
      </c>
      <c r="G2122" s="5"/>
      <c r="H2122" s="7" t="s">
        <v>632</v>
      </c>
      <c r="I2122" s="9">
        <v>1212000</v>
      </c>
      <c r="J2122" s="10">
        <v>0.03700000000000001</v>
      </c>
    </row>
    <row r="2123" spans="1:10">
      <c r="A2123" s="7" t="s">
        <v>620</v>
      </c>
      <c r="B2123" s="7" t="s">
        <v>3990</v>
      </c>
      <c r="C2123" s="8">
        <f>QS.CONTEXT.CREATE("market.2121",A2123,"USD","SOFR")</f>
        <v/>
      </c>
      <c r="D2123" s="8">
        <f>QS.CONTEXT.ADD.CURVE(C2123,"SOFR",$K$2:$K$7,$L$2:$L$7,,,"Actual360","LogLinear",TRUE)</f>
        <v/>
      </c>
      <c r="E2123" s="8">
        <f>QS.INSTRUMENT.SWAP("swap.2121",C2123,H2123,B2123,"USD","SOFR",I2123,J2123,0,"Actual360","Simple","Annual","Annual","Annual")</f>
        <v/>
      </c>
      <c r="F2123" s="8">
        <f>QS.TRADE.CREATE("trade.2121",C2123,E2123,A2123,"Receive")</f>
        <v/>
      </c>
      <c r="G2123" s="5"/>
      <c r="H2123" s="7" t="s">
        <v>634</v>
      </c>
      <c r="I2123" s="9">
        <v>1212100</v>
      </c>
      <c r="J2123" s="10">
        <v>0.0371</v>
      </c>
    </row>
    <row r="2124" spans="1:10">
      <c r="A2124" s="7" t="s">
        <v>622</v>
      </c>
      <c r="B2124" s="7" t="s">
        <v>3991</v>
      </c>
      <c r="C2124" s="8">
        <f>QS.CONTEXT.CREATE("market.2122",A2124,"USD","SOFR")</f>
        <v/>
      </c>
      <c r="D2124" s="8">
        <f>QS.CONTEXT.ADD.CURVE(C2124,"SOFR",$K$2:$K$7,$L$2:$L$7,,,"Actual360","LogLinear",TRUE)</f>
        <v/>
      </c>
      <c r="E2124" s="8">
        <f>QS.INSTRUMENT.SWAP("swap.2122",C2124,H2124,B2124,"USD","SOFR",I2124,J2124,0,"Actual360","Simple","Annual","Annual","Annual")</f>
        <v/>
      </c>
      <c r="F2124" s="8">
        <f>QS.TRADE.CREATE("trade.2122",C2124,E2124,A2124,"Receive")</f>
        <v/>
      </c>
      <c r="G2124" s="5"/>
      <c r="H2124" s="7" t="s">
        <v>636</v>
      </c>
      <c r="I2124" s="9">
        <v>1212200</v>
      </c>
      <c r="J2124" s="10">
        <v>0.0372</v>
      </c>
    </row>
    <row r="2125" spans="1:10">
      <c r="A2125" s="7" t="s">
        <v>624</v>
      </c>
      <c r="B2125" s="7" t="s">
        <v>3992</v>
      </c>
      <c r="C2125" s="8">
        <f>QS.CONTEXT.CREATE("market.2123",A2125,"USD","SOFR")</f>
        <v/>
      </c>
      <c r="D2125" s="8">
        <f>QS.CONTEXT.ADD.CURVE(C2125,"SOFR",$K$2:$K$7,$L$2:$L$7,,,"Actual360","LogLinear",TRUE)</f>
        <v/>
      </c>
      <c r="E2125" s="8">
        <f>QS.INSTRUMENT.SWAP("swap.2123",C2125,H2125,B2125,"USD","SOFR",I2125,J2125,0,"Actual360","Simple","Annual","Annual","Annual")</f>
        <v/>
      </c>
      <c r="F2125" s="8">
        <f>QS.TRADE.CREATE("trade.2123",C2125,E2125,A2125,"Receive")</f>
        <v/>
      </c>
      <c r="G2125" s="5"/>
      <c r="H2125" s="7" t="s">
        <v>638</v>
      </c>
      <c r="I2125" s="9">
        <v>1212300</v>
      </c>
      <c r="J2125" s="10">
        <v>0.0373</v>
      </c>
    </row>
    <row r="2126" spans="1:10">
      <c r="A2126" s="7" t="s">
        <v>626</v>
      </c>
      <c r="B2126" s="7" t="s">
        <v>3993</v>
      </c>
      <c r="C2126" s="8">
        <f>QS.CONTEXT.CREATE("market.2124",A2126,"USD","SOFR")</f>
        <v/>
      </c>
      <c r="D2126" s="8">
        <f>QS.CONTEXT.ADD.CURVE(C2126,"SOFR",$K$2:$K$7,$L$2:$L$7,,,"Actual360","LogLinear",TRUE)</f>
        <v/>
      </c>
      <c r="E2126" s="8">
        <f>QS.INSTRUMENT.SWAP("swap.2124",C2126,H2126,B2126,"USD","SOFR",I2126,J2126,0,"Actual360","Simple","Annual","Annual","Annual")</f>
        <v/>
      </c>
      <c r="F2126" s="8">
        <f>QS.TRADE.CREATE("trade.2124",C2126,E2126,A2126,"Receive")</f>
        <v/>
      </c>
      <c r="G2126" s="5"/>
      <c r="H2126" s="7" t="s">
        <v>640</v>
      </c>
      <c r="I2126" s="9">
        <v>1212400</v>
      </c>
      <c r="J2126" s="10">
        <v>0.0374</v>
      </c>
    </row>
    <row r="2127" spans="1:10">
      <c r="A2127" s="7" t="s">
        <v>628</v>
      </c>
      <c r="B2127" s="7" t="s">
        <v>3994</v>
      </c>
      <c r="C2127" s="8">
        <f>QS.CONTEXT.CREATE("market.2125",A2127,"USD","SOFR")</f>
        <v/>
      </c>
      <c r="D2127" s="8">
        <f>QS.CONTEXT.ADD.CURVE(C2127,"SOFR",$K$2:$K$7,$L$2:$L$7,,,"Actual360","LogLinear",TRUE)</f>
        <v/>
      </c>
      <c r="E2127" s="8">
        <f>QS.INSTRUMENT.SWAP("swap.2125",C2127,H2127,B2127,"USD","SOFR",I2127,J2127,0,"Actual360","Simple","Annual","Annual","Annual")</f>
        <v/>
      </c>
      <c r="F2127" s="8">
        <f>QS.TRADE.CREATE("trade.2125",C2127,E2127,A2127,"Receive")</f>
        <v/>
      </c>
      <c r="G2127" s="5"/>
      <c r="H2127" s="7" t="s">
        <v>642</v>
      </c>
      <c r="I2127" s="9">
        <v>1212500</v>
      </c>
      <c r="J2127" s="10">
        <v>0.03750000000000001</v>
      </c>
    </row>
    <row r="2128" spans="1:10">
      <c r="A2128" s="7" t="s">
        <v>630</v>
      </c>
      <c r="B2128" s="7" t="s">
        <v>3995</v>
      </c>
      <c r="C2128" s="8">
        <f>QS.CONTEXT.CREATE("market.2126",A2128,"USD","SOFR")</f>
        <v/>
      </c>
      <c r="D2128" s="8">
        <f>QS.CONTEXT.ADD.CURVE(C2128,"SOFR",$K$2:$K$7,$L$2:$L$7,,,"Actual360","LogLinear",TRUE)</f>
        <v/>
      </c>
      <c r="E2128" s="8">
        <f>QS.INSTRUMENT.SWAP("swap.2126",C2128,H2128,B2128,"USD","SOFR",I2128,J2128,0,"Actual360","Simple","Annual","Annual","Annual")</f>
        <v/>
      </c>
      <c r="F2128" s="8">
        <f>QS.TRADE.CREATE("trade.2126",C2128,E2128,A2128,"Receive")</f>
        <v/>
      </c>
      <c r="G2128" s="5"/>
      <c r="H2128" s="7" t="s">
        <v>644</v>
      </c>
      <c r="I2128" s="9">
        <v>1212600</v>
      </c>
      <c r="J2128" s="10">
        <v>0.0376</v>
      </c>
    </row>
    <row r="2129" spans="1:10">
      <c r="A2129" s="7" t="s">
        <v>632</v>
      </c>
      <c r="B2129" s="7" t="s">
        <v>3996</v>
      </c>
      <c r="C2129" s="8">
        <f>QS.CONTEXT.CREATE("market.2127",A2129,"USD","SOFR")</f>
        <v/>
      </c>
      <c r="D2129" s="8">
        <f>QS.CONTEXT.ADD.CURVE(C2129,"SOFR",$K$2:$K$7,$L$2:$L$7,,,"Actual360","LogLinear",TRUE)</f>
        <v/>
      </c>
      <c r="E2129" s="8">
        <f>QS.INSTRUMENT.SWAP("swap.2127",C2129,H2129,B2129,"USD","SOFR",I2129,J2129,0,"Actual360","Simple","Annual","Annual","Annual")</f>
        <v/>
      </c>
      <c r="F2129" s="8">
        <f>QS.TRADE.CREATE("trade.2127",C2129,E2129,A2129,"Receive")</f>
        <v/>
      </c>
      <c r="G2129" s="5"/>
      <c r="H2129" s="7" t="s">
        <v>646</v>
      </c>
      <c r="I2129" s="9">
        <v>1212700</v>
      </c>
      <c r="J2129" s="10">
        <v>0.0377</v>
      </c>
    </row>
    <row r="2130" spans="1:10">
      <c r="A2130" s="7" t="s">
        <v>634</v>
      </c>
      <c r="B2130" s="7" t="s">
        <v>3997</v>
      </c>
      <c r="C2130" s="8">
        <f>QS.CONTEXT.CREATE("market.2128",A2130,"USD","SOFR")</f>
        <v/>
      </c>
      <c r="D2130" s="8">
        <f>QS.CONTEXT.ADD.CURVE(C2130,"SOFR",$K$2:$K$7,$L$2:$L$7,,,"Actual360","LogLinear",TRUE)</f>
        <v/>
      </c>
      <c r="E2130" s="8">
        <f>QS.INSTRUMENT.SWAP("swap.2128",C2130,H2130,B2130,"USD","SOFR",I2130,J2130,0,"Actual360","Simple","Annual","Annual","Annual")</f>
        <v/>
      </c>
      <c r="F2130" s="8">
        <f>QS.TRADE.CREATE("trade.2128",C2130,E2130,A2130,"Receive")</f>
        <v/>
      </c>
      <c r="G2130" s="5"/>
      <c r="H2130" s="7" t="s">
        <v>648</v>
      </c>
      <c r="I2130" s="9">
        <v>1212800</v>
      </c>
      <c r="J2130" s="10">
        <v>0.0378</v>
      </c>
    </row>
    <row r="2131" spans="1:10">
      <c r="A2131" s="7" t="s">
        <v>636</v>
      </c>
      <c r="B2131" s="7" t="s">
        <v>3998</v>
      </c>
      <c r="C2131" s="8">
        <f>QS.CONTEXT.CREATE("market.2129",A2131,"USD","SOFR")</f>
        <v/>
      </c>
      <c r="D2131" s="8">
        <f>QS.CONTEXT.ADD.CURVE(C2131,"SOFR",$K$2:$K$7,$L$2:$L$7,,,"Actual360","LogLinear",TRUE)</f>
        <v/>
      </c>
      <c r="E2131" s="8">
        <f>QS.INSTRUMENT.SWAP("swap.2129",C2131,H2131,B2131,"USD","SOFR",I2131,J2131,0,"Actual360","Simple","Annual","Annual","Annual")</f>
        <v/>
      </c>
      <c r="F2131" s="8">
        <f>QS.TRADE.CREATE("trade.2129",C2131,E2131,A2131,"Receive")</f>
        <v/>
      </c>
      <c r="G2131" s="5"/>
      <c r="H2131" s="7" t="s">
        <v>650</v>
      </c>
      <c r="I2131" s="9">
        <v>1212900</v>
      </c>
      <c r="J2131" s="10">
        <v>0.0379</v>
      </c>
    </row>
    <row r="2132" spans="1:10">
      <c r="A2132" s="7" t="s">
        <v>638</v>
      </c>
      <c r="B2132" s="7" t="s">
        <v>3999</v>
      </c>
      <c r="C2132" s="8">
        <f>QS.CONTEXT.CREATE("market.2130",A2132,"USD","SOFR")</f>
        <v/>
      </c>
      <c r="D2132" s="8">
        <f>QS.CONTEXT.ADD.CURVE(C2132,"SOFR",$K$2:$K$7,$L$2:$L$7,,,"Actual360","LogLinear",TRUE)</f>
        <v/>
      </c>
      <c r="E2132" s="8">
        <f>QS.INSTRUMENT.SWAP("swap.2130",C2132,H2132,B2132,"USD","SOFR",I2132,J2132,0,"Actual360","Simple","Annual","Annual","Annual")</f>
        <v/>
      </c>
      <c r="F2132" s="8">
        <f>QS.TRADE.CREATE("trade.2130",C2132,E2132,A2132,"Receive")</f>
        <v/>
      </c>
      <c r="G2132" s="5"/>
      <c r="H2132" s="7" t="s">
        <v>652</v>
      </c>
      <c r="I2132" s="9">
        <v>1213000</v>
      </c>
      <c r="J2132" s="10">
        <v>0.03800000000000001</v>
      </c>
    </row>
    <row r="2133" spans="1:10">
      <c r="A2133" s="7" t="s">
        <v>640</v>
      </c>
      <c r="B2133" s="7" t="s">
        <v>4000</v>
      </c>
      <c r="C2133" s="8">
        <f>QS.CONTEXT.CREATE("market.2131",A2133,"USD","SOFR")</f>
        <v/>
      </c>
      <c r="D2133" s="8">
        <f>QS.CONTEXT.ADD.CURVE(C2133,"SOFR",$K$2:$K$7,$L$2:$L$7,,,"Actual360","LogLinear",TRUE)</f>
        <v/>
      </c>
      <c r="E2133" s="8">
        <f>QS.INSTRUMENT.SWAP("swap.2131",C2133,H2133,B2133,"USD","SOFR",I2133,J2133,0,"Actual360","Simple","Annual","Annual","Annual")</f>
        <v/>
      </c>
      <c r="F2133" s="8">
        <f>QS.TRADE.CREATE("trade.2131",C2133,E2133,A2133,"Receive")</f>
        <v/>
      </c>
      <c r="G2133" s="5"/>
      <c r="H2133" s="7" t="s">
        <v>654</v>
      </c>
      <c r="I2133" s="9">
        <v>1213100</v>
      </c>
      <c r="J2133" s="10">
        <v>0.0381</v>
      </c>
    </row>
    <row r="2134" spans="1:10">
      <c r="A2134" s="7" t="s">
        <v>642</v>
      </c>
      <c r="B2134" s="7" t="s">
        <v>4001</v>
      </c>
      <c r="C2134" s="8">
        <f>QS.CONTEXT.CREATE("market.2132",A2134,"USD","SOFR")</f>
        <v/>
      </c>
      <c r="D2134" s="8">
        <f>QS.CONTEXT.ADD.CURVE(C2134,"SOFR",$K$2:$K$7,$L$2:$L$7,,,"Actual360","LogLinear",TRUE)</f>
        <v/>
      </c>
      <c r="E2134" s="8">
        <f>QS.INSTRUMENT.SWAP("swap.2132",C2134,H2134,B2134,"USD","SOFR",I2134,J2134,0,"Actual360","Simple","Annual","Annual","Annual")</f>
        <v/>
      </c>
      <c r="F2134" s="8">
        <f>QS.TRADE.CREATE("trade.2132",C2134,E2134,A2134,"Receive")</f>
        <v/>
      </c>
      <c r="G2134" s="5"/>
      <c r="H2134" s="7" t="s">
        <v>656</v>
      </c>
      <c r="I2134" s="9">
        <v>1213200</v>
      </c>
      <c r="J2134" s="10">
        <v>0.0382</v>
      </c>
    </row>
    <row r="2135" spans="1:10">
      <c r="A2135" s="7" t="s">
        <v>644</v>
      </c>
      <c r="B2135" s="7" t="s">
        <v>4002</v>
      </c>
      <c r="C2135" s="8">
        <f>QS.CONTEXT.CREATE("market.2133",A2135,"USD","SOFR")</f>
        <v/>
      </c>
      <c r="D2135" s="8">
        <f>QS.CONTEXT.ADD.CURVE(C2135,"SOFR",$K$2:$K$7,$L$2:$L$7,,,"Actual360","LogLinear",TRUE)</f>
        <v/>
      </c>
      <c r="E2135" s="8">
        <f>QS.INSTRUMENT.SWAP("swap.2133",C2135,H2135,B2135,"USD","SOFR",I2135,J2135,0,"Actual360","Simple","Annual","Annual","Annual")</f>
        <v/>
      </c>
      <c r="F2135" s="8">
        <f>QS.TRADE.CREATE("trade.2133",C2135,E2135,A2135,"Receive")</f>
        <v/>
      </c>
      <c r="G2135" s="5"/>
      <c r="H2135" s="7" t="s">
        <v>658</v>
      </c>
      <c r="I2135" s="9">
        <v>1213300</v>
      </c>
      <c r="J2135" s="10">
        <v>0.0383</v>
      </c>
    </row>
    <row r="2136" spans="1:10">
      <c r="A2136" s="7" t="s">
        <v>646</v>
      </c>
      <c r="B2136" s="7" t="s">
        <v>4003</v>
      </c>
      <c r="C2136" s="8">
        <f>QS.CONTEXT.CREATE("market.2134",A2136,"USD","SOFR")</f>
        <v/>
      </c>
      <c r="D2136" s="8">
        <f>QS.CONTEXT.ADD.CURVE(C2136,"SOFR",$K$2:$K$7,$L$2:$L$7,,,"Actual360","LogLinear",TRUE)</f>
        <v/>
      </c>
      <c r="E2136" s="8">
        <f>QS.INSTRUMENT.SWAP("swap.2134",C2136,H2136,B2136,"USD","SOFR",I2136,J2136,0,"Actual360","Simple","Annual","Annual","Annual")</f>
        <v/>
      </c>
      <c r="F2136" s="8">
        <f>QS.TRADE.CREATE("trade.2134",C2136,E2136,A2136,"Receive")</f>
        <v/>
      </c>
      <c r="G2136" s="5"/>
      <c r="H2136" s="7" t="s">
        <v>660</v>
      </c>
      <c r="I2136" s="9">
        <v>1213400</v>
      </c>
      <c r="J2136" s="10">
        <v>0.0384</v>
      </c>
    </row>
    <row r="2137" spans="1:10">
      <c r="A2137" s="7" t="s">
        <v>648</v>
      </c>
      <c r="B2137" s="7" t="s">
        <v>4004</v>
      </c>
      <c r="C2137" s="8">
        <f>QS.CONTEXT.CREATE("market.2135",A2137,"USD","SOFR")</f>
        <v/>
      </c>
      <c r="D2137" s="8">
        <f>QS.CONTEXT.ADD.CURVE(C2137,"SOFR",$K$2:$K$7,$L$2:$L$7,,,"Actual360","LogLinear",TRUE)</f>
        <v/>
      </c>
      <c r="E2137" s="8">
        <f>QS.INSTRUMENT.SWAP("swap.2135",C2137,H2137,B2137,"USD","SOFR",I2137,J2137,0,"Actual360","Simple","Annual","Annual","Annual")</f>
        <v/>
      </c>
      <c r="F2137" s="8">
        <f>QS.TRADE.CREATE("trade.2135",C2137,E2137,A2137,"Receive")</f>
        <v/>
      </c>
      <c r="G2137" s="5"/>
      <c r="H2137" s="7" t="s">
        <v>662</v>
      </c>
      <c r="I2137" s="9">
        <v>1213500</v>
      </c>
      <c r="J2137" s="10">
        <v>0.03850000000000001</v>
      </c>
    </row>
    <row r="2138" spans="1:10">
      <c r="A2138" s="7" t="s">
        <v>650</v>
      </c>
      <c r="B2138" s="7" t="s">
        <v>4005</v>
      </c>
      <c r="C2138" s="8">
        <f>QS.CONTEXT.CREATE("market.2136",A2138,"USD","SOFR")</f>
        <v/>
      </c>
      <c r="D2138" s="8">
        <f>QS.CONTEXT.ADD.CURVE(C2138,"SOFR",$K$2:$K$7,$L$2:$L$7,,,"Actual360","LogLinear",TRUE)</f>
        <v/>
      </c>
      <c r="E2138" s="8">
        <f>QS.INSTRUMENT.SWAP("swap.2136",C2138,H2138,B2138,"USD","SOFR",I2138,J2138,0,"Actual360","Simple","Annual","Annual","Annual")</f>
        <v/>
      </c>
      <c r="F2138" s="8">
        <f>QS.TRADE.CREATE("trade.2136",C2138,E2138,A2138,"Receive")</f>
        <v/>
      </c>
      <c r="G2138" s="5"/>
      <c r="H2138" s="7" t="s">
        <v>664</v>
      </c>
      <c r="I2138" s="9">
        <v>1213600</v>
      </c>
      <c r="J2138" s="10">
        <v>0.0386</v>
      </c>
    </row>
    <row r="2139" spans="1:10">
      <c r="A2139" s="7" t="s">
        <v>652</v>
      </c>
      <c r="B2139" s="7" t="s">
        <v>4006</v>
      </c>
      <c r="C2139" s="8">
        <f>QS.CONTEXT.CREATE("market.2137",A2139,"USD","SOFR")</f>
        <v/>
      </c>
      <c r="D2139" s="8">
        <f>QS.CONTEXT.ADD.CURVE(C2139,"SOFR",$K$2:$K$7,$L$2:$L$7,,,"Actual360","LogLinear",TRUE)</f>
        <v/>
      </c>
      <c r="E2139" s="8">
        <f>QS.INSTRUMENT.SWAP("swap.2137",C2139,H2139,B2139,"USD","SOFR",I2139,J2139,0,"Actual360","Simple","Annual","Annual","Annual")</f>
        <v/>
      </c>
      <c r="F2139" s="8">
        <f>QS.TRADE.CREATE("trade.2137",C2139,E2139,A2139,"Receive")</f>
        <v/>
      </c>
      <c r="G2139" s="5"/>
      <c r="H2139" s="7" t="s">
        <v>666</v>
      </c>
      <c r="I2139" s="9">
        <v>1213700</v>
      </c>
      <c r="J2139" s="10">
        <v>0.03870000000000001</v>
      </c>
    </row>
    <row r="2140" spans="1:10">
      <c r="A2140" s="7" t="s">
        <v>654</v>
      </c>
      <c r="B2140" s="7" t="s">
        <v>4007</v>
      </c>
      <c r="C2140" s="8">
        <f>QS.CONTEXT.CREATE("market.2138",A2140,"USD","SOFR")</f>
        <v/>
      </c>
      <c r="D2140" s="8">
        <f>QS.CONTEXT.ADD.CURVE(C2140,"SOFR",$K$2:$K$7,$L$2:$L$7,,,"Actual360","LogLinear",TRUE)</f>
        <v/>
      </c>
      <c r="E2140" s="8">
        <f>QS.INSTRUMENT.SWAP("swap.2138",C2140,H2140,B2140,"USD","SOFR",I2140,J2140,0,"Actual360","Simple","Annual","Annual","Annual")</f>
        <v/>
      </c>
      <c r="F2140" s="8">
        <f>QS.TRADE.CREATE("trade.2138",C2140,E2140,A2140,"Receive")</f>
        <v/>
      </c>
      <c r="G2140" s="5"/>
      <c r="H2140" s="7" t="s">
        <v>668</v>
      </c>
      <c r="I2140" s="9">
        <v>1213800</v>
      </c>
      <c r="J2140" s="10">
        <v>0.0388</v>
      </c>
    </row>
    <row r="2141" spans="1:10">
      <c r="A2141" s="7" t="s">
        <v>656</v>
      </c>
      <c r="B2141" s="7" t="s">
        <v>4008</v>
      </c>
      <c r="C2141" s="8">
        <f>QS.CONTEXT.CREATE("market.2139",A2141,"USD","SOFR")</f>
        <v/>
      </c>
      <c r="D2141" s="8">
        <f>QS.CONTEXT.ADD.CURVE(C2141,"SOFR",$K$2:$K$7,$L$2:$L$7,,,"Actual360","LogLinear",TRUE)</f>
        <v/>
      </c>
      <c r="E2141" s="8">
        <f>QS.INSTRUMENT.SWAP("swap.2139",C2141,H2141,B2141,"USD","SOFR",I2141,J2141,0,"Actual360","Simple","Annual","Annual","Annual")</f>
        <v/>
      </c>
      <c r="F2141" s="8">
        <f>QS.TRADE.CREATE("trade.2139",C2141,E2141,A2141,"Receive")</f>
        <v/>
      </c>
      <c r="G2141" s="5"/>
      <c r="H2141" s="7" t="s">
        <v>670</v>
      </c>
      <c r="I2141" s="9">
        <v>1213900</v>
      </c>
      <c r="J2141" s="10">
        <v>0.0389</v>
      </c>
    </row>
    <row r="2142" spans="1:10">
      <c r="A2142" s="7" t="s">
        <v>658</v>
      </c>
      <c r="B2142" s="7" t="s">
        <v>4009</v>
      </c>
      <c r="C2142" s="8">
        <f>QS.CONTEXT.CREATE("market.2140",A2142,"USD","SOFR")</f>
        <v/>
      </c>
      <c r="D2142" s="8">
        <f>QS.CONTEXT.ADD.CURVE(C2142,"SOFR",$K$2:$K$7,$L$2:$L$7,,,"Actual360","LogLinear",TRUE)</f>
        <v/>
      </c>
      <c r="E2142" s="8">
        <f>QS.INSTRUMENT.SWAP("swap.2140",C2142,H2142,B2142,"USD","SOFR",I2142,J2142,0,"Actual360","Simple","Annual","Annual","Annual")</f>
        <v/>
      </c>
      <c r="F2142" s="8">
        <f>QS.TRADE.CREATE("trade.2140",C2142,E2142,A2142,"Receive")</f>
        <v/>
      </c>
      <c r="G2142" s="5"/>
      <c r="H2142" s="7" t="s">
        <v>672</v>
      </c>
      <c r="I2142" s="9">
        <v>1214000</v>
      </c>
      <c r="J2142" s="10">
        <v>0.03900000000000001</v>
      </c>
    </row>
    <row r="2143" spans="1:10">
      <c r="A2143" s="7" t="s">
        <v>660</v>
      </c>
      <c r="B2143" s="7" t="s">
        <v>4010</v>
      </c>
      <c r="C2143" s="8">
        <f>QS.CONTEXT.CREATE("market.2141",A2143,"USD","SOFR")</f>
        <v/>
      </c>
      <c r="D2143" s="8">
        <f>QS.CONTEXT.ADD.CURVE(C2143,"SOFR",$K$2:$K$7,$L$2:$L$7,,,"Actual360","LogLinear",TRUE)</f>
        <v/>
      </c>
      <c r="E2143" s="8">
        <f>QS.INSTRUMENT.SWAP("swap.2141",C2143,H2143,B2143,"USD","SOFR",I2143,J2143,0,"Actual360","Simple","Annual","Annual","Annual")</f>
        <v/>
      </c>
      <c r="F2143" s="8">
        <f>QS.TRADE.CREATE("trade.2141",C2143,E2143,A2143,"Receive")</f>
        <v/>
      </c>
      <c r="G2143" s="5"/>
      <c r="H2143" s="7" t="s">
        <v>674</v>
      </c>
      <c r="I2143" s="9">
        <v>1214100</v>
      </c>
      <c r="J2143" s="10">
        <v>0.0391</v>
      </c>
    </row>
    <row r="2144" spans="1:10">
      <c r="A2144" s="7" t="s">
        <v>662</v>
      </c>
      <c r="B2144" s="7" t="s">
        <v>4011</v>
      </c>
      <c r="C2144" s="8">
        <f>QS.CONTEXT.CREATE("market.2142",A2144,"USD","SOFR")</f>
        <v/>
      </c>
      <c r="D2144" s="8">
        <f>QS.CONTEXT.ADD.CURVE(C2144,"SOFR",$K$2:$K$7,$L$2:$L$7,,,"Actual360","LogLinear",TRUE)</f>
        <v/>
      </c>
      <c r="E2144" s="8">
        <f>QS.INSTRUMENT.SWAP("swap.2142",C2144,H2144,B2144,"USD","SOFR",I2144,J2144,0,"Actual360","Simple","Annual","Annual","Annual")</f>
        <v/>
      </c>
      <c r="F2144" s="8">
        <f>QS.TRADE.CREATE("trade.2142",C2144,E2144,A2144,"Receive")</f>
        <v/>
      </c>
      <c r="G2144" s="5"/>
      <c r="H2144" s="7" t="s">
        <v>676</v>
      </c>
      <c r="I2144" s="9">
        <v>1214200</v>
      </c>
      <c r="J2144" s="10">
        <v>0.03920000000000001</v>
      </c>
    </row>
    <row r="2145" spans="1:10">
      <c r="A2145" s="7" t="s">
        <v>664</v>
      </c>
      <c r="B2145" s="7" t="s">
        <v>4012</v>
      </c>
      <c r="C2145" s="8">
        <f>QS.CONTEXT.CREATE("market.2143",A2145,"USD","SOFR")</f>
        <v/>
      </c>
      <c r="D2145" s="8">
        <f>QS.CONTEXT.ADD.CURVE(C2145,"SOFR",$K$2:$K$7,$L$2:$L$7,,,"Actual360","LogLinear",TRUE)</f>
        <v/>
      </c>
      <c r="E2145" s="8">
        <f>QS.INSTRUMENT.SWAP("swap.2143",C2145,H2145,B2145,"USD","SOFR",I2145,J2145,0,"Actual360","Simple","Annual","Annual","Annual")</f>
        <v/>
      </c>
      <c r="F2145" s="8">
        <f>QS.TRADE.CREATE("trade.2143",C2145,E2145,A2145,"Receive")</f>
        <v/>
      </c>
      <c r="G2145" s="5"/>
      <c r="H2145" s="7" t="s">
        <v>678</v>
      </c>
      <c r="I2145" s="9">
        <v>1214300</v>
      </c>
      <c r="J2145" s="10">
        <v>0.0393</v>
      </c>
    </row>
    <row r="2146" spans="1:10">
      <c r="A2146" s="7" t="s">
        <v>666</v>
      </c>
      <c r="B2146" s="7" t="s">
        <v>4013</v>
      </c>
      <c r="C2146" s="8">
        <f>QS.CONTEXT.CREATE("market.2144",A2146,"USD","SOFR")</f>
        <v/>
      </c>
      <c r="D2146" s="8">
        <f>QS.CONTEXT.ADD.CURVE(C2146,"SOFR",$K$2:$K$7,$L$2:$L$7,,,"Actual360","LogLinear",TRUE)</f>
        <v/>
      </c>
      <c r="E2146" s="8">
        <f>QS.INSTRUMENT.SWAP("swap.2144",C2146,H2146,B2146,"USD","SOFR",I2146,J2146,0,"Actual360","Simple","Annual","Annual","Annual")</f>
        <v/>
      </c>
      <c r="F2146" s="8">
        <f>QS.TRADE.CREATE("trade.2144",C2146,E2146,A2146,"Receive")</f>
        <v/>
      </c>
      <c r="G2146" s="5"/>
      <c r="H2146" s="7" t="s">
        <v>680</v>
      </c>
      <c r="I2146" s="9">
        <v>1214400</v>
      </c>
      <c r="J2146" s="10">
        <v>0.0394</v>
      </c>
    </row>
    <row r="2147" spans="1:10">
      <c r="A2147" s="7" t="s">
        <v>668</v>
      </c>
      <c r="B2147" s="7" t="s">
        <v>4014</v>
      </c>
      <c r="C2147" s="8">
        <f>QS.CONTEXT.CREATE("market.2145",A2147,"USD","SOFR")</f>
        <v/>
      </c>
      <c r="D2147" s="8">
        <f>QS.CONTEXT.ADD.CURVE(C2147,"SOFR",$K$2:$K$7,$L$2:$L$7,,,"Actual360","LogLinear",TRUE)</f>
        <v/>
      </c>
      <c r="E2147" s="8">
        <f>QS.INSTRUMENT.SWAP("swap.2145",C2147,H2147,B2147,"USD","SOFR",I2147,J2147,0,"Actual360","Simple","Annual","Annual","Annual")</f>
        <v/>
      </c>
      <c r="F2147" s="8">
        <f>QS.TRADE.CREATE("trade.2145",C2147,E2147,A2147,"Receive")</f>
        <v/>
      </c>
      <c r="G2147" s="5"/>
      <c r="H2147" s="7" t="s">
        <v>682</v>
      </c>
      <c r="I2147" s="9">
        <v>1214500</v>
      </c>
      <c r="J2147" s="10">
        <v>0.03950000000000001</v>
      </c>
    </row>
    <row r="2148" spans="1:10">
      <c r="A2148" s="7" t="s">
        <v>670</v>
      </c>
      <c r="B2148" s="7" t="s">
        <v>4015</v>
      </c>
      <c r="C2148" s="8">
        <f>QS.CONTEXT.CREATE("market.2146",A2148,"USD","SOFR")</f>
        <v/>
      </c>
      <c r="D2148" s="8">
        <f>QS.CONTEXT.ADD.CURVE(C2148,"SOFR",$K$2:$K$7,$L$2:$L$7,,,"Actual360","LogLinear",TRUE)</f>
        <v/>
      </c>
      <c r="E2148" s="8">
        <f>QS.INSTRUMENT.SWAP("swap.2146",C2148,H2148,B2148,"USD","SOFR",I2148,J2148,0,"Actual360","Simple","Annual","Annual","Annual")</f>
        <v/>
      </c>
      <c r="F2148" s="8">
        <f>QS.TRADE.CREATE("trade.2146",C2148,E2148,A2148,"Receive")</f>
        <v/>
      </c>
      <c r="G2148" s="5"/>
      <c r="H2148" s="7" t="s">
        <v>684</v>
      </c>
      <c r="I2148" s="9">
        <v>1214600</v>
      </c>
      <c r="J2148" s="10">
        <v>0.0396</v>
      </c>
    </row>
    <row r="2149" spans="1:10">
      <c r="A2149" s="7" t="s">
        <v>672</v>
      </c>
      <c r="B2149" s="7" t="s">
        <v>4016</v>
      </c>
      <c r="C2149" s="8">
        <f>QS.CONTEXT.CREATE("market.2147",A2149,"USD","SOFR")</f>
        <v/>
      </c>
      <c r="D2149" s="8">
        <f>QS.CONTEXT.ADD.CURVE(C2149,"SOFR",$K$2:$K$7,$L$2:$L$7,,,"Actual360","LogLinear",TRUE)</f>
        <v/>
      </c>
      <c r="E2149" s="8">
        <f>QS.INSTRUMENT.SWAP("swap.2147",C2149,H2149,B2149,"USD","SOFR",I2149,J2149,0,"Actual360","Simple","Annual","Annual","Annual")</f>
        <v/>
      </c>
      <c r="F2149" s="8">
        <f>QS.TRADE.CREATE("trade.2147",C2149,E2149,A2149,"Receive")</f>
        <v/>
      </c>
      <c r="G2149" s="5"/>
      <c r="H2149" s="7" t="s">
        <v>686</v>
      </c>
      <c r="I2149" s="9">
        <v>1214700</v>
      </c>
      <c r="J2149" s="10">
        <v>0.03970000000000001</v>
      </c>
    </row>
    <row r="2150" spans="1:10">
      <c r="A2150" s="7" t="s">
        <v>674</v>
      </c>
      <c r="B2150" s="7" t="s">
        <v>4017</v>
      </c>
      <c r="C2150" s="8">
        <f>QS.CONTEXT.CREATE("market.2148",A2150,"USD","SOFR")</f>
        <v/>
      </c>
      <c r="D2150" s="8">
        <f>QS.CONTEXT.ADD.CURVE(C2150,"SOFR",$K$2:$K$7,$L$2:$L$7,,,"Actual360","LogLinear",TRUE)</f>
        <v/>
      </c>
      <c r="E2150" s="8">
        <f>QS.INSTRUMENT.SWAP("swap.2148",C2150,H2150,B2150,"USD","SOFR",I2150,J2150,0,"Actual360","Simple","Annual","Annual","Annual")</f>
        <v/>
      </c>
      <c r="F2150" s="8">
        <f>QS.TRADE.CREATE("trade.2148",C2150,E2150,A2150,"Receive")</f>
        <v/>
      </c>
      <c r="G2150" s="5"/>
      <c r="H2150" s="7" t="s">
        <v>688</v>
      </c>
      <c r="I2150" s="9">
        <v>1214800</v>
      </c>
      <c r="J2150" s="10">
        <v>0.0398</v>
      </c>
    </row>
    <row r="2151" spans="1:10">
      <c r="A2151" s="7" t="s">
        <v>676</v>
      </c>
      <c r="B2151" s="7" t="s">
        <v>4018</v>
      </c>
      <c r="C2151" s="8">
        <f>QS.CONTEXT.CREATE("market.2149",A2151,"USD","SOFR")</f>
        <v/>
      </c>
      <c r="D2151" s="8">
        <f>QS.CONTEXT.ADD.CURVE(C2151,"SOFR",$K$2:$K$7,$L$2:$L$7,,,"Actual360","LogLinear",TRUE)</f>
        <v/>
      </c>
      <c r="E2151" s="8">
        <f>QS.INSTRUMENT.SWAP("swap.2149",C2151,H2151,B2151,"USD","SOFR",I2151,J2151,0,"Actual360","Simple","Annual","Annual","Annual")</f>
        <v/>
      </c>
      <c r="F2151" s="8">
        <f>QS.TRADE.CREATE("trade.2149",C2151,E2151,A2151,"Receive")</f>
        <v/>
      </c>
      <c r="G2151" s="5"/>
      <c r="H2151" s="7" t="s">
        <v>690</v>
      </c>
      <c r="I2151" s="9">
        <v>1214900</v>
      </c>
      <c r="J2151" s="10">
        <v>0.0399</v>
      </c>
    </row>
    <row r="2152" spans="1:10">
      <c r="A2152" s="7" t="s">
        <v>678</v>
      </c>
      <c r="B2152" s="7" t="s">
        <v>4019</v>
      </c>
      <c r="C2152" s="8">
        <f>QS.CONTEXT.CREATE("market.2150",A2152,"USD","SOFR")</f>
        <v/>
      </c>
      <c r="D2152" s="8">
        <f>QS.CONTEXT.ADD.CURVE(C2152,"SOFR",$K$2:$K$7,$L$2:$L$7,,,"Actual360","LogLinear",TRUE)</f>
        <v/>
      </c>
      <c r="E2152" s="8">
        <f>QS.INSTRUMENT.SWAP("swap.2150",C2152,H2152,B2152,"USD","SOFR",I2152,J2152,0,"Actual360","Simple","Annual","Annual","Annual")</f>
        <v/>
      </c>
      <c r="F2152" s="8">
        <f>QS.TRADE.CREATE("trade.2150",C2152,E2152,A2152,"Receive")</f>
        <v/>
      </c>
      <c r="G2152" s="5"/>
      <c r="H2152" s="7" t="s">
        <v>692</v>
      </c>
      <c r="I2152" s="9">
        <v>1215000</v>
      </c>
      <c r="J2152" s="10">
        <v>0.035</v>
      </c>
    </row>
    <row r="2153" spans="1:10">
      <c r="A2153" s="7" t="s">
        <v>680</v>
      </c>
      <c r="B2153" s="7" t="s">
        <v>4020</v>
      </c>
      <c r="C2153" s="8">
        <f>QS.CONTEXT.CREATE("market.2151",A2153,"USD","SOFR")</f>
        <v/>
      </c>
      <c r="D2153" s="8">
        <f>QS.CONTEXT.ADD.CURVE(C2153,"SOFR",$K$2:$K$7,$L$2:$L$7,,,"Actual360","LogLinear",TRUE)</f>
        <v/>
      </c>
      <c r="E2153" s="8">
        <f>QS.INSTRUMENT.SWAP("swap.2151",C2153,H2153,B2153,"USD","SOFR",I2153,J2153,0,"Actual360","Simple","Annual","Annual","Annual")</f>
        <v/>
      </c>
      <c r="F2153" s="8">
        <f>QS.TRADE.CREATE("trade.2151",C2153,E2153,A2153,"Receive")</f>
        <v/>
      </c>
      <c r="G2153" s="5"/>
      <c r="H2153" s="7" t="s">
        <v>694</v>
      </c>
      <c r="I2153" s="9">
        <v>1215100</v>
      </c>
      <c r="J2153" s="10">
        <v>0.03510000000000001</v>
      </c>
    </row>
    <row r="2154" spans="1:10">
      <c r="A2154" s="7" t="s">
        <v>682</v>
      </c>
      <c r="B2154" s="7" t="s">
        <v>4021</v>
      </c>
      <c r="C2154" s="8">
        <f>QS.CONTEXT.CREATE("market.2152",A2154,"USD","SOFR")</f>
        <v/>
      </c>
      <c r="D2154" s="8">
        <f>QS.CONTEXT.ADD.CURVE(C2154,"SOFR",$K$2:$K$7,$L$2:$L$7,,,"Actual360","LogLinear",TRUE)</f>
        <v/>
      </c>
      <c r="E2154" s="8">
        <f>QS.INSTRUMENT.SWAP("swap.2152",C2154,H2154,B2154,"USD","SOFR",I2154,J2154,0,"Actual360","Simple","Annual","Annual","Annual")</f>
        <v/>
      </c>
      <c r="F2154" s="8">
        <f>QS.TRADE.CREATE("trade.2152",C2154,E2154,A2154,"Receive")</f>
        <v/>
      </c>
      <c r="G2154" s="5"/>
      <c r="H2154" s="7" t="s">
        <v>696</v>
      </c>
      <c r="I2154" s="9">
        <v>1215200</v>
      </c>
      <c r="J2154" s="10">
        <v>0.0352</v>
      </c>
    </row>
    <row r="2155" spans="1:10">
      <c r="A2155" s="7" t="s">
        <v>684</v>
      </c>
      <c r="B2155" s="7" t="s">
        <v>4022</v>
      </c>
      <c r="C2155" s="8">
        <f>QS.CONTEXT.CREATE("market.2153",A2155,"USD","SOFR")</f>
        <v/>
      </c>
      <c r="D2155" s="8">
        <f>QS.CONTEXT.ADD.CURVE(C2155,"SOFR",$K$2:$K$7,$L$2:$L$7,,,"Actual360","LogLinear",TRUE)</f>
        <v/>
      </c>
      <c r="E2155" s="8">
        <f>QS.INSTRUMENT.SWAP("swap.2153",C2155,H2155,B2155,"USD","SOFR",I2155,J2155,0,"Actual360","Simple","Annual","Annual","Annual")</f>
        <v/>
      </c>
      <c r="F2155" s="8">
        <f>QS.TRADE.CREATE("trade.2153",C2155,E2155,A2155,"Receive")</f>
        <v/>
      </c>
      <c r="G2155" s="5"/>
      <c r="H2155" s="7" t="s">
        <v>698</v>
      </c>
      <c r="I2155" s="9">
        <v>1215300</v>
      </c>
      <c r="J2155" s="10">
        <v>0.0353</v>
      </c>
    </row>
    <row r="2156" spans="1:10">
      <c r="A2156" s="7" t="s">
        <v>686</v>
      </c>
      <c r="B2156" s="7" t="s">
        <v>4023</v>
      </c>
      <c r="C2156" s="8">
        <f>QS.CONTEXT.CREATE("market.2154",A2156,"USD","SOFR")</f>
        <v/>
      </c>
      <c r="D2156" s="8">
        <f>QS.CONTEXT.ADD.CURVE(C2156,"SOFR",$K$2:$K$7,$L$2:$L$7,,,"Actual360","LogLinear",TRUE)</f>
        <v/>
      </c>
      <c r="E2156" s="8">
        <f>QS.INSTRUMENT.SWAP("swap.2154",C2156,H2156,B2156,"USD","SOFR",I2156,J2156,0,"Actual360","Simple","Annual","Annual","Annual")</f>
        <v/>
      </c>
      <c r="F2156" s="8">
        <f>QS.TRADE.CREATE("trade.2154",C2156,E2156,A2156,"Receive")</f>
        <v/>
      </c>
      <c r="G2156" s="5"/>
      <c r="H2156" s="7" t="s">
        <v>700</v>
      </c>
      <c r="I2156" s="9">
        <v>1215400</v>
      </c>
      <c r="J2156" s="10">
        <v>0.0354</v>
      </c>
    </row>
    <row r="2157" spans="1:10">
      <c r="A2157" s="7" t="s">
        <v>688</v>
      </c>
      <c r="B2157" s="7" t="s">
        <v>4024</v>
      </c>
      <c r="C2157" s="8">
        <f>QS.CONTEXT.CREATE("market.2155",A2157,"USD","SOFR")</f>
        <v/>
      </c>
      <c r="D2157" s="8">
        <f>QS.CONTEXT.ADD.CURVE(C2157,"SOFR",$K$2:$K$7,$L$2:$L$7,,,"Actual360","LogLinear",TRUE)</f>
        <v/>
      </c>
      <c r="E2157" s="8">
        <f>QS.INSTRUMENT.SWAP("swap.2155",C2157,H2157,B2157,"USD","SOFR",I2157,J2157,0,"Actual360","Simple","Annual","Annual","Annual")</f>
        <v/>
      </c>
      <c r="F2157" s="8">
        <f>QS.TRADE.CREATE("trade.2155",C2157,E2157,A2157,"Receive")</f>
        <v/>
      </c>
      <c r="G2157" s="5"/>
      <c r="H2157" s="7" t="s">
        <v>702</v>
      </c>
      <c r="I2157" s="9">
        <v>1215500</v>
      </c>
      <c r="J2157" s="10">
        <v>0.0355</v>
      </c>
    </row>
    <row r="2158" spans="1:10">
      <c r="A2158" s="7" t="s">
        <v>690</v>
      </c>
      <c r="B2158" s="7" t="s">
        <v>4025</v>
      </c>
      <c r="C2158" s="8">
        <f>QS.CONTEXT.CREATE("market.2156",A2158,"USD","SOFR")</f>
        <v/>
      </c>
      <c r="D2158" s="8">
        <f>QS.CONTEXT.ADD.CURVE(C2158,"SOFR",$K$2:$K$7,$L$2:$L$7,,,"Actual360","LogLinear",TRUE)</f>
        <v/>
      </c>
      <c r="E2158" s="8">
        <f>QS.INSTRUMENT.SWAP("swap.2156",C2158,H2158,B2158,"USD","SOFR",I2158,J2158,0,"Actual360","Simple","Annual","Annual","Annual")</f>
        <v/>
      </c>
      <c r="F2158" s="8">
        <f>QS.TRADE.CREATE("trade.2156",C2158,E2158,A2158,"Receive")</f>
        <v/>
      </c>
      <c r="G2158" s="5"/>
      <c r="H2158" s="7" t="s">
        <v>704</v>
      </c>
      <c r="I2158" s="9">
        <v>1215600</v>
      </c>
      <c r="J2158" s="10">
        <v>0.03560000000000001</v>
      </c>
    </row>
    <row r="2159" spans="1:10">
      <c r="A2159" s="7" t="s">
        <v>692</v>
      </c>
      <c r="B2159" s="7" t="s">
        <v>4026</v>
      </c>
      <c r="C2159" s="8">
        <f>QS.CONTEXT.CREATE("market.2157",A2159,"USD","SOFR")</f>
        <v/>
      </c>
      <c r="D2159" s="8">
        <f>QS.CONTEXT.ADD.CURVE(C2159,"SOFR",$K$2:$K$7,$L$2:$L$7,,,"Actual360","LogLinear",TRUE)</f>
        <v/>
      </c>
      <c r="E2159" s="8">
        <f>QS.INSTRUMENT.SWAP("swap.2157",C2159,H2159,B2159,"USD","SOFR",I2159,J2159,0,"Actual360","Simple","Annual","Annual","Annual")</f>
        <v/>
      </c>
      <c r="F2159" s="8">
        <f>QS.TRADE.CREATE("trade.2157",C2159,E2159,A2159,"Receive")</f>
        <v/>
      </c>
      <c r="G2159" s="5"/>
      <c r="H2159" s="7" t="s">
        <v>706</v>
      </c>
      <c r="I2159" s="9">
        <v>1215700</v>
      </c>
      <c r="J2159" s="10">
        <v>0.0357</v>
      </c>
    </row>
    <row r="2160" spans="1:10">
      <c r="A2160" s="7" t="s">
        <v>694</v>
      </c>
      <c r="B2160" s="7" t="s">
        <v>4027</v>
      </c>
      <c r="C2160" s="8">
        <f>QS.CONTEXT.CREATE("market.2158",A2160,"USD","SOFR")</f>
        <v/>
      </c>
      <c r="D2160" s="8">
        <f>QS.CONTEXT.ADD.CURVE(C2160,"SOFR",$K$2:$K$7,$L$2:$L$7,,,"Actual360","LogLinear",TRUE)</f>
        <v/>
      </c>
      <c r="E2160" s="8">
        <f>QS.INSTRUMENT.SWAP("swap.2158",C2160,H2160,B2160,"USD","SOFR",I2160,J2160,0,"Actual360","Simple","Annual","Annual","Annual")</f>
        <v/>
      </c>
      <c r="F2160" s="8">
        <f>QS.TRADE.CREATE("trade.2158",C2160,E2160,A2160,"Receive")</f>
        <v/>
      </c>
      <c r="G2160" s="5"/>
      <c r="H2160" s="7" t="s">
        <v>708</v>
      </c>
      <c r="I2160" s="9">
        <v>1215800</v>
      </c>
      <c r="J2160" s="10">
        <v>0.03580000000000001</v>
      </c>
    </row>
    <row r="2161" spans="1:10">
      <c r="A2161" s="7" t="s">
        <v>696</v>
      </c>
      <c r="B2161" s="7" t="s">
        <v>4028</v>
      </c>
      <c r="C2161" s="8">
        <f>QS.CONTEXT.CREATE("market.2159",A2161,"USD","SOFR")</f>
        <v/>
      </c>
      <c r="D2161" s="8">
        <f>QS.CONTEXT.ADD.CURVE(C2161,"SOFR",$K$2:$K$7,$L$2:$L$7,,,"Actual360","LogLinear",TRUE)</f>
        <v/>
      </c>
      <c r="E2161" s="8">
        <f>QS.INSTRUMENT.SWAP("swap.2159",C2161,H2161,B2161,"USD","SOFR",I2161,J2161,0,"Actual360","Simple","Annual","Annual","Annual")</f>
        <v/>
      </c>
      <c r="F2161" s="8">
        <f>QS.TRADE.CREATE("trade.2159",C2161,E2161,A2161,"Receive")</f>
        <v/>
      </c>
      <c r="G2161" s="5"/>
      <c r="H2161" s="7" t="s">
        <v>710</v>
      </c>
      <c r="I2161" s="9">
        <v>1215900</v>
      </c>
      <c r="J2161" s="10">
        <v>0.0359</v>
      </c>
    </row>
    <row r="2162" spans="1:10">
      <c r="A2162" s="7" t="s">
        <v>698</v>
      </c>
      <c r="B2162" s="7" t="s">
        <v>4029</v>
      </c>
      <c r="C2162" s="8">
        <f>QS.CONTEXT.CREATE("market.2160",A2162,"USD","SOFR")</f>
        <v/>
      </c>
      <c r="D2162" s="8">
        <f>QS.CONTEXT.ADD.CURVE(C2162,"SOFR",$K$2:$K$7,$L$2:$L$7,,,"Actual360","LogLinear",TRUE)</f>
        <v/>
      </c>
      <c r="E2162" s="8">
        <f>QS.INSTRUMENT.SWAP("swap.2160",C2162,H2162,B2162,"USD","SOFR",I2162,J2162,0,"Actual360","Simple","Annual","Annual","Annual")</f>
        <v/>
      </c>
      <c r="F2162" s="8">
        <f>QS.TRADE.CREATE("trade.2160",C2162,E2162,A2162,"Receive")</f>
        <v/>
      </c>
      <c r="G2162" s="5"/>
      <c r="H2162" s="7" t="s">
        <v>712</v>
      </c>
      <c r="I2162" s="9">
        <v>1216000</v>
      </c>
      <c r="J2162" s="10">
        <v>0.036</v>
      </c>
    </row>
    <row r="2163" spans="1:10">
      <c r="A2163" s="7" t="s">
        <v>700</v>
      </c>
      <c r="B2163" s="7" t="s">
        <v>4030</v>
      </c>
      <c r="C2163" s="8">
        <f>QS.CONTEXT.CREATE("market.2161",A2163,"USD","SOFR")</f>
        <v/>
      </c>
      <c r="D2163" s="8">
        <f>QS.CONTEXT.ADD.CURVE(C2163,"SOFR",$K$2:$K$7,$L$2:$L$7,,,"Actual360","LogLinear",TRUE)</f>
        <v/>
      </c>
      <c r="E2163" s="8">
        <f>QS.INSTRUMENT.SWAP("swap.2161",C2163,H2163,B2163,"USD","SOFR",I2163,J2163,0,"Actual360","Simple","Annual","Annual","Annual")</f>
        <v/>
      </c>
      <c r="F2163" s="8">
        <f>QS.TRADE.CREATE("trade.2161",C2163,E2163,A2163,"Receive")</f>
        <v/>
      </c>
      <c r="G2163" s="5"/>
      <c r="H2163" s="7" t="s">
        <v>714</v>
      </c>
      <c r="I2163" s="9">
        <v>1216100</v>
      </c>
      <c r="J2163" s="10">
        <v>0.0361</v>
      </c>
    </row>
    <row r="2164" spans="1:10">
      <c r="A2164" s="7" t="s">
        <v>702</v>
      </c>
      <c r="B2164" s="7" t="s">
        <v>4031</v>
      </c>
      <c r="C2164" s="8">
        <f>QS.CONTEXT.CREATE("market.2162",A2164,"USD","SOFR")</f>
        <v/>
      </c>
      <c r="D2164" s="8">
        <f>QS.CONTEXT.ADD.CURVE(C2164,"SOFR",$K$2:$K$7,$L$2:$L$7,,,"Actual360","LogLinear",TRUE)</f>
        <v/>
      </c>
      <c r="E2164" s="8">
        <f>QS.INSTRUMENT.SWAP("swap.2162",C2164,H2164,B2164,"USD","SOFR",I2164,J2164,0,"Actual360","Simple","Annual","Annual","Annual")</f>
        <v/>
      </c>
      <c r="F2164" s="8">
        <f>QS.TRADE.CREATE("trade.2162",C2164,E2164,A2164,"Receive")</f>
        <v/>
      </c>
      <c r="G2164" s="5"/>
      <c r="H2164" s="7" t="s">
        <v>716</v>
      </c>
      <c r="I2164" s="9">
        <v>1216200</v>
      </c>
      <c r="J2164" s="10">
        <v>0.0362</v>
      </c>
    </row>
    <row r="2165" spans="1:10">
      <c r="A2165" s="7" t="s">
        <v>704</v>
      </c>
      <c r="B2165" s="7" t="s">
        <v>4032</v>
      </c>
      <c r="C2165" s="8">
        <f>QS.CONTEXT.CREATE("market.2163",A2165,"USD","SOFR")</f>
        <v/>
      </c>
      <c r="D2165" s="8">
        <f>QS.CONTEXT.ADD.CURVE(C2165,"SOFR",$K$2:$K$7,$L$2:$L$7,,,"Actual360","LogLinear",TRUE)</f>
        <v/>
      </c>
      <c r="E2165" s="8">
        <f>QS.INSTRUMENT.SWAP("swap.2163",C2165,H2165,B2165,"USD","SOFR",I2165,J2165,0,"Actual360","Simple","Annual","Annual","Annual")</f>
        <v/>
      </c>
      <c r="F2165" s="8">
        <f>QS.TRADE.CREATE("trade.2163",C2165,E2165,A2165,"Receive")</f>
        <v/>
      </c>
      <c r="G2165" s="5"/>
      <c r="H2165" s="7" t="s">
        <v>718</v>
      </c>
      <c r="I2165" s="9">
        <v>1216300</v>
      </c>
      <c r="J2165" s="10">
        <v>0.03630000000000001</v>
      </c>
    </row>
    <row r="2166" spans="1:10">
      <c r="A2166" s="7" t="s">
        <v>706</v>
      </c>
      <c r="B2166" s="7" t="s">
        <v>4033</v>
      </c>
      <c r="C2166" s="8">
        <f>QS.CONTEXT.CREATE("market.2164",A2166,"USD","SOFR")</f>
        <v/>
      </c>
      <c r="D2166" s="8">
        <f>QS.CONTEXT.ADD.CURVE(C2166,"SOFR",$K$2:$K$7,$L$2:$L$7,,,"Actual360","LogLinear",TRUE)</f>
        <v/>
      </c>
      <c r="E2166" s="8">
        <f>QS.INSTRUMENT.SWAP("swap.2164",C2166,H2166,B2166,"USD","SOFR",I2166,J2166,0,"Actual360","Simple","Annual","Annual","Annual")</f>
        <v/>
      </c>
      <c r="F2166" s="8">
        <f>QS.TRADE.CREATE("trade.2164",C2166,E2166,A2166,"Receive")</f>
        <v/>
      </c>
      <c r="G2166" s="5"/>
      <c r="H2166" s="7" t="s">
        <v>720</v>
      </c>
      <c r="I2166" s="9">
        <v>1216400</v>
      </c>
      <c r="J2166" s="10">
        <v>0.0364</v>
      </c>
    </row>
    <row r="2167" spans="1:10">
      <c r="A2167" s="7" t="s">
        <v>708</v>
      </c>
      <c r="B2167" s="7" t="s">
        <v>4034</v>
      </c>
      <c r="C2167" s="8">
        <f>QS.CONTEXT.CREATE("market.2165",A2167,"USD","SOFR")</f>
        <v/>
      </c>
      <c r="D2167" s="8">
        <f>QS.CONTEXT.ADD.CURVE(C2167,"SOFR",$K$2:$K$7,$L$2:$L$7,,,"Actual360","LogLinear",TRUE)</f>
        <v/>
      </c>
      <c r="E2167" s="8">
        <f>QS.INSTRUMENT.SWAP("swap.2165",C2167,H2167,B2167,"USD","SOFR",I2167,J2167,0,"Actual360","Simple","Annual","Annual","Annual")</f>
        <v/>
      </c>
      <c r="F2167" s="8">
        <f>QS.TRADE.CREATE("trade.2165",C2167,E2167,A2167,"Receive")</f>
        <v/>
      </c>
      <c r="G2167" s="5"/>
      <c r="H2167" s="7" t="s">
        <v>722</v>
      </c>
      <c r="I2167" s="9">
        <v>1216500</v>
      </c>
      <c r="J2167" s="10">
        <v>0.0365</v>
      </c>
    </row>
    <row r="2168" spans="1:10">
      <c r="A2168" s="7" t="s">
        <v>710</v>
      </c>
      <c r="B2168" s="7" t="s">
        <v>4035</v>
      </c>
      <c r="C2168" s="8">
        <f>QS.CONTEXT.CREATE("market.2166",A2168,"USD","SOFR")</f>
        <v/>
      </c>
      <c r="D2168" s="8">
        <f>QS.CONTEXT.ADD.CURVE(C2168,"SOFR",$K$2:$K$7,$L$2:$L$7,,,"Actual360","LogLinear",TRUE)</f>
        <v/>
      </c>
      <c r="E2168" s="8">
        <f>QS.INSTRUMENT.SWAP("swap.2166",C2168,H2168,B2168,"USD","SOFR",I2168,J2168,0,"Actual360","Simple","Annual","Annual","Annual")</f>
        <v/>
      </c>
      <c r="F2168" s="8">
        <f>QS.TRADE.CREATE("trade.2166",C2168,E2168,A2168,"Receive")</f>
        <v/>
      </c>
      <c r="G2168" s="5"/>
      <c r="H2168" s="7" t="s">
        <v>724</v>
      </c>
      <c r="I2168" s="9">
        <v>1216600</v>
      </c>
      <c r="J2168" s="10">
        <v>0.0366</v>
      </c>
    </row>
    <row r="2169" spans="1:10">
      <c r="A2169" s="7" t="s">
        <v>712</v>
      </c>
      <c r="B2169" s="7" t="s">
        <v>4036</v>
      </c>
      <c r="C2169" s="8">
        <f>QS.CONTEXT.CREATE("market.2167",A2169,"USD","SOFR")</f>
        <v/>
      </c>
      <c r="D2169" s="8">
        <f>QS.CONTEXT.ADD.CURVE(C2169,"SOFR",$K$2:$K$7,$L$2:$L$7,,,"Actual360","LogLinear",TRUE)</f>
        <v/>
      </c>
      <c r="E2169" s="8">
        <f>QS.INSTRUMENT.SWAP("swap.2167",C2169,H2169,B2169,"USD","SOFR",I2169,J2169,0,"Actual360","Simple","Annual","Annual","Annual")</f>
        <v/>
      </c>
      <c r="F2169" s="8">
        <f>QS.TRADE.CREATE("trade.2167",C2169,E2169,A2169,"Receive")</f>
        <v/>
      </c>
      <c r="G2169" s="5"/>
      <c r="H2169" s="7" t="s">
        <v>726</v>
      </c>
      <c r="I2169" s="9">
        <v>1216700</v>
      </c>
      <c r="J2169" s="10">
        <v>0.0367</v>
      </c>
    </row>
    <row r="2170" spans="1:10">
      <c r="A2170" s="7" t="s">
        <v>714</v>
      </c>
      <c r="B2170" s="7" t="s">
        <v>4037</v>
      </c>
      <c r="C2170" s="8">
        <f>QS.CONTEXT.CREATE("market.2168",A2170,"USD","SOFR")</f>
        <v/>
      </c>
      <c r="D2170" s="8">
        <f>QS.CONTEXT.ADD.CURVE(C2170,"SOFR",$K$2:$K$7,$L$2:$L$7,,,"Actual360","LogLinear",TRUE)</f>
        <v/>
      </c>
      <c r="E2170" s="8">
        <f>QS.INSTRUMENT.SWAP("swap.2168",C2170,H2170,B2170,"USD","SOFR",I2170,J2170,0,"Actual360","Simple","Annual","Annual","Annual")</f>
        <v/>
      </c>
      <c r="F2170" s="8">
        <f>QS.TRADE.CREATE("trade.2168",C2170,E2170,A2170,"Receive")</f>
        <v/>
      </c>
      <c r="G2170" s="5"/>
      <c r="H2170" s="7" t="s">
        <v>728</v>
      </c>
      <c r="I2170" s="9">
        <v>1216800</v>
      </c>
      <c r="J2170" s="10">
        <v>0.03680000000000001</v>
      </c>
    </row>
    <row r="2171" spans="1:10">
      <c r="A2171" s="7" t="s">
        <v>716</v>
      </c>
      <c r="B2171" s="7" t="s">
        <v>4038</v>
      </c>
      <c r="C2171" s="8">
        <f>QS.CONTEXT.CREATE("market.2169",A2171,"USD","SOFR")</f>
        <v/>
      </c>
      <c r="D2171" s="8">
        <f>QS.CONTEXT.ADD.CURVE(C2171,"SOFR",$K$2:$K$7,$L$2:$L$7,,,"Actual360","LogLinear",TRUE)</f>
        <v/>
      </c>
      <c r="E2171" s="8">
        <f>QS.INSTRUMENT.SWAP("swap.2169",C2171,H2171,B2171,"USD","SOFR",I2171,J2171,0,"Actual360","Simple","Annual","Annual","Annual")</f>
        <v/>
      </c>
      <c r="F2171" s="8">
        <f>QS.TRADE.CREATE("trade.2169",C2171,E2171,A2171,"Receive")</f>
        <v/>
      </c>
      <c r="G2171" s="5"/>
      <c r="H2171" s="7" t="s">
        <v>730</v>
      </c>
      <c r="I2171" s="9">
        <v>1216900</v>
      </c>
      <c r="J2171" s="10">
        <v>0.0369</v>
      </c>
    </row>
    <row r="2172" spans="1:10">
      <c r="A2172" s="7" t="s">
        <v>718</v>
      </c>
      <c r="B2172" s="7" t="s">
        <v>4039</v>
      </c>
      <c r="C2172" s="8">
        <f>QS.CONTEXT.CREATE("market.2170",A2172,"USD","SOFR")</f>
        <v/>
      </c>
      <c r="D2172" s="8">
        <f>QS.CONTEXT.ADD.CURVE(C2172,"SOFR",$K$2:$K$7,$L$2:$L$7,,,"Actual360","LogLinear",TRUE)</f>
        <v/>
      </c>
      <c r="E2172" s="8">
        <f>QS.INSTRUMENT.SWAP("swap.2170",C2172,H2172,B2172,"USD","SOFR",I2172,J2172,0,"Actual360","Simple","Annual","Annual","Annual")</f>
        <v/>
      </c>
      <c r="F2172" s="8">
        <f>QS.TRADE.CREATE("trade.2170",C2172,E2172,A2172,"Receive")</f>
        <v/>
      </c>
      <c r="G2172" s="5"/>
      <c r="H2172" s="7" t="s">
        <v>732</v>
      </c>
      <c r="I2172" s="9">
        <v>1217000</v>
      </c>
      <c r="J2172" s="10">
        <v>0.03700000000000001</v>
      </c>
    </row>
    <row r="2173" spans="1:10">
      <c r="A2173" s="7" t="s">
        <v>720</v>
      </c>
      <c r="B2173" s="7" t="s">
        <v>4040</v>
      </c>
      <c r="C2173" s="8">
        <f>QS.CONTEXT.CREATE("market.2171",A2173,"USD","SOFR")</f>
        <v/>
      </c>
      <c r="D2173" s="8">
        <f>QS.CONTEXT.ADD.CURVE(C2173,"SOFR",$K$2:$K$7,$L$2:$L$7,,,"Actual360","LogLinear",TRUE)</f>
        <v/>
      </c>
      <c r="E2173" s="8">
        <f>QS.INSTRUMENT.SWAP("swap.2171",C2173,H2173,B2173,"USD","SOFR",I2173,J2173,0,"Actual360","Simple","Annual","Annual","Annual")</f>
        <v/>
      </c>
      <c r="F2173" s="8">
        <f>QS.TRADE.CREATE("trade.2171",C2173,E2173,A2173,"Receive")</f>
        <v/>
      </c>
      <c r="G2173" s="5"/>
      <c r="H2173" s="7" t="s">
        <v>734</v>
      </c>
      <c r="I2173" s="9">
        <v>1217100</v>
      </c>
      <c r="J2173" s="10">
        <v>0.0371</v>
      </c>
    </row>
    <row r="2174" spans="1:10">
      <c r="A2174" s="7" t="s">
        <v>722</v>
      </c>
      <c r="B2174" s="7" t="s">
        <v>4041</v>
      </c>
      <c r="C2174" s="8">
        <f>QS.CONTEXT.CREATE("market.2172",A2174,"USD","SOFR")</f>
        <v/>
      </c>
      <c r="D2174" s="8">
        <f>QS.CONTEXT.ADD.CURVE(C2174,"SOFR",$K$2:$K$7,$L$2:$L$7,,,"Actual360","LogLinear",TRUE)</f>
        <v/>
      </c>
      <c r="E2174" s="8">
        <f>QS.INSTRUMENT.SWAP("swap.2172",C2174,H2174,B2174,"USD","SOFR",I2174,J2174,0,"Actual360","Simple","Annual","Annual","Annual")</f>
        <v/>
      </c>
      <c r="F2174" s="8">
        <f>QS.TRADE.CREATE("trade.2172",C2174,E2174,A2174,"Receive")</f>
        <v/>
      </c>
      <c r="G2174" s="5"/>
      <c r="H2174" s="7" t="s">
        <v>736</v>
      </c>
      <c r="I2174" s="9">
        <v>1217200</v>
      </c>
      <c r="J2174" s="10">
        <v>0.0372</v>
      </c>
    </row>
    <row r="2175" spans="1:10">
      <c r="A2175" s="7" t="s">
        <v>724</v>
      </c>
      <c r="B2175" s="7" t="s">
        <v>4042</v>
      </c>
      <c r="C2175" s="8">
        <f>QS.CONTEXT.CREATE("market.2173",A2175,"USD","SOFR")</f>
        <v/>
      </c>
      <c r="D2175" s="8">
        <f>QS.CONTEXT.ADD.CURVE(C2175,"SOFR",$K$2:$K$7,$L$2:$L$7,,,"Actual360","LogLinear",TRUE)</f>
        <v/>
      </c>
      <c r="E2175" s="8">
        <f>QS.INSTRUMENT.SWAP("swap.2173",C2175,H2175,B2175,"USD","SOFR",I2175,J2175,0,"Actual360","Simple","Annual","Annual","Annual")</f>
        <v/>
      </c>
      <c r="F2175" s="8">
        <f>QS.TRADE.CREATE("trade.2173",C2175,E2175,A2175,"Receive")</f>
        <v/>
      </c>
      <c r="G2175" s="5"/>
      <c r="H2175" s="7" t="s">
        <v>738</v>
      </c>
      <c r="I2175" s="9">
        <v>1217300</v>
      </c>
      <c r="J2175" s="10">
        <v>0.0373</v>
      </c>
    </row>
    <row r="2176" spans="1:10">
      <c r="A2176" s="7" t="s">
        <v>726</v>
      </c>
      <c r="B2176" s="7" t="s">
        <v>4043</v>
      </c>
      <c r="C2176" s="8">
        <f>QS.CONTEXT.CREATE("market.2174",A2176,"USD","SOFR")</f>
        <v/>
      </c>
      <c r="D2176" s="8">
        <f>QS.CONTEXT.ADD.CURVE(C2176,"SOFR",$K$2:$K$7,$L$2:$L$7,,,"Actual360","LogLinear",TRUE)</f>
        <v/>
      </c>
      <c r="E2176" s="8">
        <f>QS.INSTRUMENT.SWAP("swap.2174",C2176,H2176,B2176,"USD","SOFR",I2176,J2176,0,"Actual360","Simple","Annual","Annual","Annual")</f>
        <v/>
      </c>
      <c r="F2176" s="8">
        <f>QS.TRADE.CREATE("trade.2174",C2176,E2176,A2176,"Receive")</f>
        <v/>
      </c>
      <c r="G2176" s="5"/>
      <c r="H2176" s="7" t="s">
        <v>740</v>
      </c>
      <c r="I2176" s="9">
        <v>1217400</v>
      </c>
      <c r="J2176" s="10">
        <v>0.0374</v>
      </c>
    </row>
    <row r="2177" spans="1:10">
      <c r="A2177" s="7" t="s">
        <v>728</v>
      </c>
      <c r="B2177" s="7" t="s">
        <v>4044</v>
      </c>
      <c r="C2177" s="8">
        <f>QS.CONTEXT.CREATE("market.2175",A2177,"USD","SOFR")</f>
        <v/>
      </c>
      <c r="D2177" s="8">
        <f>QS.CONTEXT.ADD.CURVE(C2177,"SOFR",$K$2:$K$7,$L$2:$L$7,,,"Actual360","LogLinear",TRUE)</f>
        <v/>
      </c>
      <c r="E2177" s="8">
        <f>QS.INSTRUMENT.SWAP("swap.2175",C2177,H2177,B2177,"USD","SOFR",I2177,J2177,0,"Actual360","Simple","Annual","Annual","Annual")</f>
        <v/>
      </c>
      <c r="F2177" s="8">
        <f>QS.TRADE.CREATE("trade.2175",C2177,E2177,A2177,"Receive")</f>
        <v/>
      </c>
      <c r="G2177" s="5"/>
      <c r="H2177" s="7" t="s">
        <v>742</v>
      </c>
      <c r="I2177" s="9">
        <v>1217500</v>
      </c>
      <c r="J2177" s="10">
        <v>0.03750000000000001</v>
      </c>
    </row>
    <row r="2178" spans="1:10">
      <c r="A2178" s="7" t="s">
        <v>730</v>
      </c>
      <c r="B2178" s="7" t="s">
        <v>4045</v>
      </c>
      <c r="C2178" s="8">
        <f>QS.CONTEXT.CREATE("market.2176",A2178,"USD","SOFR")</f>
        <v/>
      </c>
      <c r="D2178" s="8">
        <f>QS.CONTEXT.ADD.CURVE(C2178,"SOFR",$K$2:$K$7,$L$2:$L$7,,,"Actual360","LogLinear",TRUE)</f>
        <v/>
      </c>
      <c r="E2178" s="8">
        <f>QS.INSTRUMENT.SWAP("swap.2176",C2178,H2178,B2178,"USD","SOFR",I2178,J2178,0,"Actual360","Simple","Annual","Annual","Annual")</f>
        <v/>
      </c>
      <c r="F2178" s="8">
        <f>QS.TRADE.CREATE("trade.2176",C2178,E2178,A2178,"Receive")</f>
        <v/>
      </c>
      <c r="G2178" s="5"/>
      <c r="H2178" s="7" t="s">
        <v>744</v>
      </c>
      <c r="I2178" s="9">
        <v>1217600</v>
      </c>
      <c r="J2178" s="10">
        <v>0.0376</v>
      </c>
    </row>
    <row r="2179" spans="1:10">
      <c r="A2179" s="7" t="s">
        <v>732</v>
      </c>
      <c r="B2179" s="7" t="s">
        <v>4046</v>
      </c>
      <c r="C2179" s="8">
        <f>QS.CONTEXT.CREATE("market.2177",A2179,"USD","SOFR")</f>
        <v/>
      </c>
      <c r="D2179" s="8">
        <f>QS.CONTEXT.ADD.CURVE(C2179,"SOFR",$K$2:$K$7,$L$2:$L$7,,,"Actual360","LogLinear",TRUE)</f>
        <v/>
      </c>
      <c r="E2179" s="8">
        <f>QS.INSTRUMENT.SWAP("swap.2177",C2179,H2179,B2179,"USD","SOFR",I2179,J2179,0,"Actual360","Simple","Annual","Annual","Annual")</f>
        <v/>
      </c>
      <c r="F2179" s="8">
        <f>QS.TRADE.CREATE("trade.2177",C2179,E2179,A2179,"Receive")</f>
        <v/>
      </c>
      <c r="G2179" s="5"/>
      <c r="H2179" s="7" t="s">
        <v>746</v>
      </c>
      <c r="I2179" s="9">
        <v>1217700</v>
      </c>
      <c r="J2179" s="10">
        <v>0.0377</v>
      </c>
    </row>
    <row r="2180" spans="1:10">
      <c r="A2180" s="7" t="s">
        <v>734</v>
      </c>
      <c r="B2180" s="7" t="s">
        <v>4047</v>
      </c>
      <c r="C2180" s="8">
        <f>QS.CONTEXT.CREATE("market.2178",A2180,"USD","SOFR")</f>
        <v/>
      </c>
      <c r="D2180" s="8">
        <f>QS.CONTEXT.ADD.CURVE(C2180,"SOFR",$K$2:$K$7,$L$2:$L$7,,,"Actual360","LogLinear",TRUE)</f>
        <v/>
      </c>
      <c r="E2180" s="8">
        <f>QS.INSTRUMENT.SWAP("swap.2178",C2180,H2180,B2180,"USD","SOFR",I2180,J2180,0,"Actual360","Simple","Annual","Annual","Annual")</f>
        <v/>
      </c>
      <c r="F2180" s="8">
        <f>QS.TRADE.CREATE("trade.2178",C2180,E2180,A2180,"Receive")</f>
        <v/>
      </c>
      <c r="G2180" s="5"/>
      <c r="H2180" s="7" t="s">
        <v>748</v>
      </c>
      <c r="I2180" s="9">
        <v>1217800</v>
      </c>
      <c r="J2180" s="10">
        <v>0.0378</v>
      </c>
    </row>
    <row r="2181" spans="1:10">
      <c r="A2181" s="7" t="s">
        <v>736</v>
      </c>
      <c r="B2181" s="7" t="s">
        <v>4048</v>
      </c>
      <c r="C2181" s="8">
        <f>QS.CONTEXT.CREATE("market.2179",A2181,"USD","SOFR")</f>
        <v/>
      </c>
      <c r="D2181" s="8">
        <f>QS.CONTEXT.ADD.CURVE(C2181,"SOFR",$K$2:$K$7,$L$2:$L$7,,,"Actual360","LogLinear",TRUE)</f>
        <v/>
      </c>
      <c r="E2181" s="8">
        <f>QS.INSTRUMENT.SWAP("swap.2179",C2181,H2181,B2181,"USD","SOFR",I2181,J2181,0,"Actual360","Simple","Annual","Annual","Annual")</f>
        <v/>
      </c>
      <c r="F2181" s="8">
        <f>QS.TRADE.CREATE("trade.2179",C2181,E2181,A2181,"Receive")</f>
        <v/>
      </c>
      <c r="G2181" s="5"/>
      <c r="H2181" s="7" t="s">
        <v>750</v>
      </c>
      <c r="I2181" s="9">
        <v>1217900</v>
      </c>
      <c r="J2181" s="10">
        <v>0.0379</v>
      </c>
    </row>
    <row r="2182" spans="1:10">
      <c r="A2182" s="7" t="s">
        <v>738</v>
      </c>
      <c r="B2182" s="7" t="s">
        <v>4049</v>
      </c>
      <c r="C2182" s="8">
        <f>QS.CONTEXT.CREATE("market.2180",A2182,"USD","SOFR")</f>
        <v/>
      </c>
      <c r="D2182" s="8">
        <f>QS.CONTEXT.ADD.CURVE(C2182,"SOFR",$K$2:$K$7,$L$2:$L$7,,,"Actual360","LogLinear",TRUE)</f>
        <v/>
      </c>
      <c r="E2182" s="8">
        <f>QS.INSTRUMENT.SWAP("swap.2180",C2182,H2182,B2182,"USD","SOFR",I2182,J2182,0,"Actual360","Simple","Annual","Annual","Annual")</f>
        <v/>
      </c>
      <c r="F2182" s="8">
        <f>QS.TRADE.CREATE("trade.2180",C2182,E2182,A2182,"Receive")</f>
        <v/>
      </c>
      <c r="G2182" s="5"/>
      <c r="H2182" s="7" t="s">
        <v>752</v>
      </c>
      <c r="I2182" s="9">
        <v>1218000</v>
      </c>
      <c r="J2182" s="10">
        <v>0.03800000000000001</v>
      </c>
    </row>
    <row r="2183" spans="1:10">
      <c r="A2183" s="7" t="s">
        <v>740</v>
      </c>
      <c r="B2183" s="7" t="s">
        <v>4050</v>
      </c>
      <c r="C2183" s="8">
        <f>QS.CONTEXT.CREATE("market.2181",A2183,"USD","SOFR")</f>
        <v/>
      </c>
      <c r="D2183" s="8">
        <f>QS.CONTEXT.ADD.CURVE(C2183,"SOFR",$K$2:$K$7,$L$2:$L$7,,,"Actual360","LogLinear",TRUE)</f>
        <v/>
      </c>
      <c r="E2183" s="8">
        <f>QS.INSTRUMENT.SWAP("swap.2181",C2183,H2183,B2183,"USD","SOFR",I2183,J2183,0,"Actual360","Simple","Annual","Annual","Annual")</f>
        <v/>
      </c>
      <c r="F2183" s="8">
        <f>QS.TRADE.CREATE("trade.2181",C2183,E2183,A2183,"Receive")</f>
        <v/>
      </c>
      <c r="G2183" s="5"/>
      <c r="H2183" s="7" t="s">
        <v>754</v>
      </c>
      <c r="I2183" s="9">
        <v>1218100</v>
      </c>
      <c r="J2183" s="10">
        <v>0.0381</v>
      </c>
    </row>
    <row r="2184" spans="1:10">
      <c r="A2184" s="7" t="s">
        <v>742</v>
      </c>
      <c r="B2184" s="7" t="s">
        <v>4051</v>
      </c>
      <c r="C2184" s="8">
        <f>QS.CONTEXT.CREATE("market.2182",A2184,"USD","SOFR")</f>
        <v/>
      </c>
      <c r="D2184" s="8">
        <f>QS.CONTEXT.ADD.CURVE(C2184,"SOFR",$K$2:$K$7,$L$2:$L$7,,,"Actual360","LogLinear",TRUE)</f>
        <v/>
      </c>
      <c r="E2184" s="8">
        <f>QS.INSTRUMENT.SWAP("swap.2182",C2184,H2184,B2184,"USD","SOFR",I2184,J2184,0,"Actual360","Simple","Annual","Annual","Annual")</f>
        <v/>
      </c>
      <c r="F2184" s="8">
        <f>QS.TRADE.CREATE("trade.2182",C2184,E2184,A2184,"Receive")</f>
        <v/>
      </c>
      <c r="G2184" s="5"/>
      <c r="H2184" s="7" t="s">
        <v>756</v>
      </c>
      <c r="I2184" s="9">
        <v>1218200</v>
      </c>
      <c r="J2184" s="10">
        <v>0.0382</v>
      </c>
    </row>
    <row r="2185" spans="1:10">
      <c r="A2185" s="7" t="s">
        <v>744</v>
      </c>
      <c r="B2185" s="7" t="s">
        <v>4052</v>
      </c>
      <c r="C2185" s="8">
        <f>QS.CONTEXT.CREATE("market.2183",A2185,"USD","SOFR")</f>
        <v/>
      </c>
      <c r="D2185" s="8">
        <f>QS.CONTEXT.ADD.CURVE(C2185,"SOFR",$K$2:$K$7,$L$2:$L$7,,,"Actual360","LogLinear",TRUE)</f>
        <v/>
      </c>
      <c r="E2185" s="8">
        <f>QS.INSTRUMENT.SWAP("swap.2183",C2185,H2185,B2185,"USD","SOFR",I2185,J2185,0,"Actual360","Simple","Annual","Annual","Annual")</f>
        <v/>
      </c>
      <c r="F2185" s="8">
        <f>QS.TRADE.CREATE("trade.2183",C2185,E2185,A2185,"Receive")</f>
        <v/>
      </c>
      <c r="G2185" s="5"/>
      <c r="H2185" s="7" t="s">
        <v>758</v>
      </c>
      <c r="I2185" s="9">
        <v>1218300</v>
      </c>
      <c r="J2185" s="10">
        <v>0.0383</v>
      </c>
    </row>
    <row r="2186" spans="1:10">
      <c r="A2186" s="7" t="s">
        <v>746</v>
      </c>
      <c r="B2186" s="7" t="s">
        <v>4053</v>
      </c>
      <c r="C2186" s="8">
        <f>QS.CONTEXT.CREATE("market.2184",A2186,"USD","SOFR")</f>
        <v/>
      </c>
      <c r="D2186" s="8">
        <f>QS.CONTEXT.ADD.CURVE(C2186,"SOFR",$K$2:$K$7,$L$2:$L$7,,,"Actual360","LogLinear",TRUE)</f>
        <v/>
      </c>
      <c r="E2186" s="8">
        <f>QS.INSTRUMENT.SWAP("swap.2184",C2186,H2186,B2186,"USD","SOFR",I2186,J2186,0,"Actual360","Simple","Annual","Annual","Annual")</f>
        <v/>
      </c>
      <c r="F2186" s="8">
        <f>QS.TRADE.CREATE("trade.2184",C2186,E2186,A2186,"Receive")</f>
        <v/>
      </c>
      <c r="G2186" s="5"/>
      <c r="H2186" s="7" t="s">
        <v>760</v>
      </c>
      <c r="I2186" s="9">
        <v>1218400</v>
      </c>
      <c r="J2186" s="10">
        <v>0.0384</v>
      </c>
    </row>
    <row r="2187" spans="1:10">
      <c r="A2187" s="7" t="s">
        <v>748</v>
      </c>
      <c r="B2187" s="7" t="s">
        <v>4054</v>
      </c>
      <c r="C2187" s="8">
        <f>QS.CONTEXT.CREATE("market.2185",A2187,"USD","SOFR")</f>
        <v/>
      </c>
      <c r="D2187" s="8">
        <f>QS.CONTEXT.ADD.CURVE(C2187,"SOFR",$K$2:$K$7,$L$2:$L$7,,,"Actual360","LogLinear",TRUE)</f>
        <v/>
      </c>
      <c r="E2187" s="8">
        <f>QS.INSTRUMENT.SWAP("swap.2185",C2187,H2187,B2187,"USD","SOFR",I2187,J2187,0,"Actual360","Simple","Annual","Annual","Annual")</f>
        <v/>
      </c>
      <c r="F2187" s="8">
        <f>QS.TRADE.CREATE("trade.2185",C2187,E2187,A2187,"Receive")</f>
        <v/>
      </c>
      <c r="G2187" s="5"/>
      <c r="H2187" s="7" t="s">
        <v>762</v>
      </c>
      <c r="I2187" s="9">
        <v>1218500</v>
      </c>
      <c r="J2187" s="10">
        <v>0.03850000000000001</v>
      </c>
    </row>
    <row r="2188" spans="1:10">
      <c r="A2188" s="7" t="s">
        <v>750</v>
      </c>
      <c r="B2188" s="7" t="s">
        <v>4055</v>
      </c>
      <c r="C2188" s="8">
        <f>QS.CONTEXT.CREATE("market.2186",A2188,"USD","SOFR")</f>
        <v/>
      </c>
      <c r="D2188" s="8">
        <f>QS.CONTEXT.ADD.CURVE(C2188,"SOFR",$K$2:$K$7,$L$2:$L$7,,,"Actual360","LogLinear",TRUE)</f>
        <v/>
      </c>
      <c r="E2188" s="8">
        <f>QS.INSTRUMENT.SWAP("swap.2186",C2188,H2188,B2188,"USD","SOFR",I2188,J2188,0,"Actual360","Simple","Annual","Annual","Annual")</f>
        <v/>
      </c>
      <c r="F2188" s="8">
        <f>QS.TRADE.CREATE("trade.2186",C2188,E2188,A2188,"Receive")</f>
        <v/>
      </c>
      <c r="G2188" s="5"/>
      <c r="H2188" s="7" t="s">
        <v>764</v>
      </c>
      <c r="I2188" s="9">
        <v>1218600</v>
      </c>
      <c r="J2188" s="10">
        <v>0.0386</v>
      </c>
    </row>
    <row r="2189" spans="1:10">
      <c r="A2189" s="7" t="s">
        <v>752</v>
      </c>
      <c r="B2189" s="7" t="s">
        <v>4056</v>
      </c>
      <c r="C2189" s="8">
        <f>QS.CONTEXT.CREATE("market.2187",A2189,"USD","SOFR")</f>
        <v/>
      </c>
      <c r="D2189" s="8">
        <f>QS.CONTEXT.ADD.CURVE(C2189,"SOFR",$K$2:$K$7,$L$2:$L$7,,,"Actual360","LogLinear",TRUE)</f>
        <v/>
      </c>
      <c r="E2189" s="8">
        <f>QS.INSTRUMENT.SWAP("swap.2187",C2189,H2189,B2189,"USD","SOFR",I2189,J2189,0,"Actual360","Simple","Annual","Annual","Annual")</f>
        <v/>
      </c>
      <c r="F2189" s="8">
        <f>QS.TRADE.CREATE("trade.2187",C2189,E2189,A2189,"Receive")</f>
        <v/>
      </c>
      <c r="G2189" s="5"/>
      <c r="H2189" s="7" t="s">
        <v>766</v>
      </c>
      <c r="I2189" s="9">
        <v>1218700</v>
      </c>
      <c r="J2189" s="10">
        <v>0.03870000000000001</v>
      </c>
    </row>
    <row r="2190" spans="1:10">
      <c r="A2190" s="7" t="s">
        <v>754</v>
      </c>
      <c r="B2190" s="7" t="s">
        <v>4057</v>
      </c>
      <c r="C2190" s="8">
        <f>QS.CONTEXT.CREATE("market.2188",A2190,"USD","SOFR")</f>
        <v/>
      </c>
      <c r="D2190" s="8">
        <f>QS.CONTEXT.ADD.CURVE(C2190,"SOFR",$K$2:$K$7,$L$2:$L$7,,,"Actual360","LogLinear",TRUE)</f>
        <v/>
      </c>
      <c r="E2190" s="8">
        <f>QS.INSTRUMENT.SWAP("swap.2188",C2190,H2190,B2190,"USD","SOFR",I2190,J2190,0,"Actual360","Simple","Annual","Annual","Annual")</f>
        <v/>
      </c>
      <c r="F2190" s="8">
        <f>QS.TRADE.CREATE("trade.2188",C2190,E2190,A2190,"Receive")</f>
        <v/>
      </c>
      <c r="G2190" s="5"/>
      <c r="H2190" s="7" t="s">
        <v>768</v>
      </c>
      <c r="I2190" s="9">
        <v>1218800</v>
      </c>
      <c r="J2190" s="10">
        <v>0.0388</v>
      </c>
    </row>
    <row r="2191" spans="1:10">
      <c r="A2191" s="7" t="s">
        <v>756</v>
      </c>
      <c r="B2191" s="7" t="s">
        <v>4058</v>
      </c>
      <c r="C2191" s="8">
        <f>QS.CONTEXT.CREATE("market.2189",A2191,"USD","SOFR")</f>
        <v/>
      </c>
      <c r="D2191" s="8">
        <f>QS.CONTEXT.ADD.CURVE(C2191,"SOFR",$K$2:$K$7,$L$2:$L$7,,,"Actual360","LogLinear",TRUE)</f>
        <v/>
      </c>
      <c r="E2191" s="8">
        <f>QS.INSTRUMENT.SWAP("swap.2189",C2191,H2191,B2191,"USD","SOFR",I2191,J2191,0,"Actual360","Simple","Annual","Annual","Annual")</f>
        <v/>
      </c>
      <c r="F2191" s="8">
        <f>QS.TRADE.CREATE("trade.2189",C2191,E2191,A2191,"Receive")</f>
        <v/>
      </c>
      <c r="G2191" s="5"/>
      <c r="H2191" s="7" t="s">
        <v>770</v>
      </c>
      <c r="I2191" s="9">
        <v>1218900</v>
      </c>
      <c r="J2191" s="10">
        <v>0.0389</v>
      </c>
    </row>
    <row r="2192" spans="1:10">
      <c r="A2192" s="7" t="s">
        <v>758</v>
      </c>
      <c r="B2192" s="7" t="s">
        <v>4059</v>
      </c>
      <c r="C2192" s="8">
        <f>QS.CONTEXT.CREATE("market.2190",A2192,"USD","SOFR")</f>
        <v/>
      </c>
      <c r="D2192" s="8">
        <f>QS.CONTEXT.ADD.CURVE(C2192,"SOFR",$K$2:$K$7,$L$2:$L$7,,,"Actual360","LogLinear",TRUE)</f>
        <v/>
      </c>
      <c r="E2192" s="8">
        <f>QS.INSTRUMENT.SWAP("swap.2190",C2192,H2192,B2192,"USD","SOFR",I2192,J2192,0,"Actual360","Simple","Annual","Annual","Annual")</f>
        <v/>
      </c>
      <c r="F2192" s="8">
        <f>QS.TRADE.CREATE("trade.2190",C2192,E2192,A2192,"Receive")</f>
        <v/>
      </c>
      <c r="G2192" s="5"/>
      <c r="H2192" s="7" t="s">
        <v>772</v>
      </c>
      <c r="I2192" s="9">
        <v>1219000</v>
      </c>
      <c r="J2192" s="10">
        <v>0.03900000000000001</v>
      </c>
    </row>
    <row r="2193" spans="1:10">
      <c r="A2193" s="7" t="s">
        <v>760</v>
      </c>
      <c r="B2193" s="7" t="s">
        <v>4060</v>
      </c>
      <c r="C2193" s="8">
        <f>QS.CONTEXT.CREATE("market.2191",A2193,"USD","SOFR")</f>
        <v/>
      </c>
      <c r="D2193" s="8">
        <f>QS.CONTEXT.ADD.CURVE(C2193,"SOFR",$K$2:$K$7,$L$2:$L$7,,,"Actual360","LogLinear",TRUE)</f>
        <v/>
      </c>
      <c r="E2193" s="8">
        <f>QS.INSTRUMENT.SWAP("swap.2191",C2193,H2193,B2193,"USD","SOFR",I2193,J2193,0,"Actual360","Simple","Annual","Annual","Annual")</f>
        <v/>
      </c>
      <c r="F2193" s="8">
        <f>QS.TRADE.CREATE("trade.2191",C2193,E2193,A2193,"Receive")</f>
        <v/>
      </c>
      <c r="G2193" s="5"/>
      <c r="H2193" s="7" t="s">
        <v>774</v>
      </c>
      <c r="I2193" s="9">
        <v>1219100</v>
      </c>
      <c r="J2193" s="10">
        <v>0.0391</v>
      </c>
    </row>
    <row r="2194" spans="1:10">
      <c r="A2194" s="7" t="s">
        <v>762</v>
      </c>
      <c r="B2194" s="7" t="s">
        <v>4061</v>
      </c>
      <c r="C2194" s="8">
        <f>QS.CONTEXT.CREATE("market.2192",A2194,"USD","SOFR")</f>
        <v/>
      </c>
      <c r="D2194" s="8">
        <f>QS.CONTEXT.ADD.CURVE(C2194,"SOFR",$K$2:$K$7,$L$2:$L$7,,,"Actual360","LogLinear",TRUE)</f>
        <v/>
      </c>
      <c r="E2194" s="8">
        <f>QS.INSTRUMENT.SWAP("swap.2192",C2194,H2194,B2194,"USD","SOFR",I2194,J2194,0,"Actual360","Simple","Annual","Annual","Annual")</f>
        <v/>
      </c>
      <c r="F2194" s="8">
        <f>QS.TRADE.CREATE("trade.2192",C2194,E2194,A2194,"Receive")</f>
        <v/>
      </c>
      <c r="G2194" s="5"/>
      <c r="H2194" s="7" t="s">
        <v>776</v>
      </c>
      <c r="I2194" s="9">
        <v>1219200</v>
      </c>
      <c r="J2194" s="10">
        <v>0.03920000000000001</v>
      </c>
    </row>
    <row r="2195" spans="1:10">
      <c r="A2195" s="7" t="s">
        <v>764</v>
      </c>
      <c r="B2195" s="7" t="s">
        <v>4062</v>
      </c>
      <c r="C2195" s="8">
        <f>QS.CONTEXT.CREATE("market.2193",A2195,"USD","SOFR")</f>
        <v/>
      </c>
      <c r="D2195" s="8">
        <f>QS.CONTEXT.ADD.CURVE(C2195,"SOFR",$K$2:$K$7,$L$2:$L$7,,,"Actual360","LogLinear",TRUE)</f>
        <v/>
      </c>
      <c r="E2195" s="8">
        <f>QS.INSTRUMENT.SWAP("swap.2193",C2195,H2195,B2195,"USD","SOFR",I2195,J2195,0,"Actual360","Simple","Annual","Annual","Annual")</f>
        <v/>
      </c>
      <c r="F2195" s="8">
        <f>QS.TRADE.CREATE("trade.2193",C2195,E2195,A2195,"Receive")</f>
        <v/>
      </c>
      <c r="G2195" s="5"/>
      <c r="H2195" s="7" t="s">
        <v>778</v>
      </c>
      <c r="I2195" s="9">
        <v>1219300</v>
      </c>
      <c r="J2195" s="10">
        <v>0.0393</v>
      </c>
    </row>
    <row r="2196" spans="1:10">
      <c r="A2196" s="7" t="s">
        <v>766</v>
      </c>
      <c r="B2196" s="7" t="s">
        <v>4063</v>
      </c>
      <c r="C2196" s="8">
        <f>QS.CONTEXT.CREATE("market.2194",A2196,"USD","SOFR")</f>
        <v/>
      </c>
      <c r="D2196" s="8">
        <f>QS.CONTEXT.ADD.CURVE(C2196,"SOFR",$K$2:$K$7,$L$2:$L$7,,,"Actual360","LogLinear",TRUE)</f>
        <v/>
      </c>
      <c r="E2196" s="8">
        <f>QS.INSTRUMENT.SWAP("swap.2194",C2196,H2196,B2196,"USD","SOFR",I2196,J2196,0,"Actual360","Simple","Annual","Annual","Annual")</f>
        <v/>
      </c>
      <c r="F2196" s="8">
        <f>QS.TRADE.CREATE("trade.2194",C2196,E2196,A2196,"Receive")</f>
        <v/>
      </c>
      <c r="G2196" s="5"/>
      <c r="H2196" s="7" t="s">
        <v>780</v>
      </c>
      <c r="I2196" s="9">
        <v>1219400</v>
      </c>
      <c r="J2196" s="10">
        <v>0.0394</v>
      </c>
    </row>
    <row r="2197" spans="1:10">
      <c r="A2197" s="7" t="s">
        <v>768</v>
      </c>
      <c r="B2197" s="7" t="s">
        <v>4064</v>
      </c>
      <c r="C2197" s="8">
        <f>QS.CONTEXT.CREATE("market.2195",A2197,"USD","SOFR")</f>
        <v/>
      </c>
      <c r="D2197" s="8">
        <f>QS.CONTEXT.ADD.CURVE(C2197,"SOFR",$K$2:$K$7,$L$2:$L$7,,,"Actual360","LogLinear",TRUE)</f>
        <v/>
      </c>
      <c r="E2197" s="8">
        <f>QS.INSTRUMENT.SWAP("swap.2195",C2197,H2197,B2197,"USD","SOFR",I2197,J2197,0,"Actual360","Simple","Annual","Annual","Annual")</f>
        <v/>
      </c>
      <c r="F2197" s="8">
        <f>QS.TRADE.CREATE("trade.2195",C2197,E2197,A2197,"Receive")</f>
        <v/>
      </c>
      <c r="G2197" s="5"/>
      <c r="H2197" s="7" t="s">
        <v>782</v>
      </c>
      <c r="I2197" s="9">
        <v>1219500</v>
      </c>
      <c r="J2197" s="10">
        <v>0.03950000000000001</v>
      </c>
    </row>
    <row r="2198" spans="1:10">
      <c r="A2198" s="7" t="s">
        <v>770</v>
      </c>
      <c r="B2198" s="7" t="s">
        <v>4065</v>
      </c>
      <c r="C2198" s="8">
        <f>QS.CONTEXT.CREATE("market.2196",A2198,"USD","SOFR")</f>
        <v/>
      </c>
      <c r="D2198" s="8">
        <f>QS.CONTEXT.ADD.CURVE(C2198,"SOFR",$K$2:$K$7,$L$2:$L$7,,,"Actual360","LogLinear",TRUE)</f>
        <v/>
      </c>
      <c r="E2198" s="8">
        <f>QS.INSTRUMENT.SWAP("swap.2196",C2198,H2198,B2198,"USD","SOFR",I2198,J2198,0,"Actual360","Simple","Annual","Annual","Annual")</f>
        <v/>
      </c>
      <c r="F2198" s="8">
        <f>QS.TRADE.CREATE("trade.2196",C2198,E2198,A2198,"Receive")</f>
        <v/>
      </c>
      <c r="G2198" s="5"/>
      <c r="H2198" s="7" t="s">
        <v>784</v>
      </c>
      <c r="I2198" s="9">
        <v>1219600</v>
      </c>
      <c r="J2198" s="10">
        <v>0.0396</v>
      </c>
    </row>
    <row r="2199" spans="1:10">
      <c r="A2199" s="7" t="s">
        <v>772</v>
      </c>
      <c r="B2199" s="7" t="s">
        <v>4066</v>
      </c>
      <c r="C2199" s="8">
        <f>QS.CONTEXT.CREATE("market.2197",A2199,"USD","SOFR")</f>
        <v/>
      </c>
      <c r="D2199" s="8">
        <f>QS.CONTEXT.ADD.CURVE(C2199,"SOFR",$K$2:$K$7,$L$2:$L$7,,,"Actual360","LogLinear",TRUE)</f>
        <v/>
      </c>
      <c r="E2199" s="8">
        <f>QS.INSTRUMENT.SWAP("swap.2197",C2199,H2199,B2199,"USD","SOFR",I2199,J2199,0,"Actual360","Simple","Annual","Annual","Annual")</f>
        <v/>
      </c>
      <c r="F2199" s="8">
        <f>QS.TRADE.CREATE("trade.2197",C2199,E2199,A2199,"Receive")</f>
        <v/>
      </c>
      <c r="G2199" s="5"/>
      <c r="H2199" s="7" t="s">
        <v>786</v>
      </c>
      <c r="I2199" s="9">
        <v>1219700</v>
      </c>
      <c r="J2199" s="10">
        <v>0.03970000000000001</v>
      </c>
    </row>
    <row r="2200" spans="1:10">
      <c r="A2200" s="7" t="s">
        <v>774</v>
      </c>
      <c r="B2200" s="7" t="s">
        <v>4067</v>
      </c>
      <c r="C2200" s="8">
        <f>QS.CONTEXT.CREATE("market.2198",A2200,"USD","SOFR")</f>
        <v/>
      </c>
      <c r="D2200" s="8">
        <f>QS.CONTEXT.ADD.CURVE(C2200,"SOFR",$K$2:$K$7,$L$2:$L$7,,,"Actual360","LogLinear",TRUE)</f>
        <v/>
      </c>
      <c r="E2200" s="8">
        <f>QS.INSTRUMENT.SWAP("swap.2198",C2200,H2200,B2200,"USD","SOFR",I2200,J2200,0,"Actual360","Simple","Annual","Annual","Annual")</f>
        <v/>
      </c>
      <c r="F2200" s="8">
        <f>QS.TRADE.CREATE("trade.2198",C2200,E2200,A2200,"Receive")</f>
        <v/>
      </c>
      <c r="G2200" s="5"/>
      <c r="H2200" s="7" t="s">
        <v>788</v>
      </c>
      <c r="I2200" s="9">
        <v>1219800</v>
      </c>
      <c r="J2200" s="10">
        <v>0.0398</v>
      </c>
    </row>
    <row r="2201" spans="1:10">
      <c r="A2201" s="7" t="s">
        <v>776</v>
      </c>
      <c r="B2201" s="7" t="s">
        <v>4068</v>
      </c>
      <c r="C2201" s="8">
        <f>QS.CONTEXT.CREATE("market.2199",A2201,"USD","SOFR")</f>
        <v/>
      </c>
      <c r="D2201" s="8">
        <f>QS.CONTEXT.ADD.CURVE(C2201,"SOFR",$K$2:$K$7,$L$2:$L$7,,,"Actual360","LogLinear",TRUE)</f>
        <v/>
      </c>
      <c r="E2201" s="8">
        <f>QS.INSTRUMENT.SWAP("swap.2199",C2201,H2201,B2201,"USD","SOFR",I2201,J2201,0,"Actual360","Simple","Annual","Annual","Annual")</f>
        <v/>
      </c>
      <c r="F2201" s="8">
        <f>QS.TRADE.CREATE("trade.2199",C2201,E2201,A2201,"Receive")</f>
        <v/>
      </c>
      <c r="G2201" s="5"/>
      <c r="H2201" s="7" t="s">
        <v>790</v>
      </c>
      <c r="I2201" s="9">
        <v>1219900</v>
      </c>
      <c r="J2201" s="10">
        <v>0.0399</v>
      </c>
    </row>
    <row r="2202" spans="1:10">
      <c r="A2202" s="7" t="s">
        <v>778</v>
      </c>
      <c r="B2202" s="7" t="s">
        <v>4069</v>
      </c>
      <c r="C2202" s="8">
        <f>QS.CONTEXT.CREATE("market.2200",A2202,"USD","SOFR")</f>
        <v/>
      </c>
      <c r="D2202" s="8">
        <f>QS.CONTEXT.ADD.CURVE(C2202,"SOFR",$K$2:$K$7,$L$2:$L$7,,,"Actual360","LogLinear",TRUE)</f>
        <v/>
      </c>
      <c r="E2202" s="8">
        <f>QS.INSTRUMENT.SWAP("swap.2200",C2202,H2202,B2202,"USD","SOFR",I2202,J2202,0,"Actual360","Simple","Annual","Annual","Annual")</f>
        <v/>
      </c>
      <c r="F2202" s="8">
        <f>QS.TRADE.CREATE("trade.2200",C2202,E2202,A2202,"Receive")</f>
        <v/>
      </c>
      <c r="G2202" s="5"/>
      <c r="H2202" s="7" t="s">
        <v>792</v>
      </c>
      <c r="I2202" s="9">
        <v>1220000</v>
      </c>
      <c r="J2202" s="10">
        <v>0.035</v>
      </c>
    </row>
    <row r="2203" spans="1:10">
      <c r="A2203" s="7" t="s">
        <v>780</v>
      </c>
      <c r="B2203" s="7" t="s">
        <v>4070</v>
      </c>
      <c r="C2203" s="8">
        <f>QS.CONTEXT.CREATE("market.2201",A2203,"USD","SOFR")</f>
        <v/>
      </c>
      <c r="D2203" s="8">
        <f>QS.CONTEXT.ADD.CURVE(C2203,"SOFR",$K$2:$K$7,$L$2:$L$7,,,"Actual360","LogLinear",TRUE)</f>
        <v/>
      </c>
      <c r="E2203" s="8">
        <f>QS.INSTRUMENT.SWAP("swap.2201",C2203,H2203,B2203,"USD","SOFR",I2203,J2203,0,"Actual360","Simple","Annual","Annual","Annual")</f>
        <v/>
      </c>
      <c r="F2203" s="8">
        <f>QS.TRADE.CREATE("trade.2201",C2203,E2203,A2203,"Receive")</f>
        <v/>
      </c>
      <c r="G2203" s="5"/>
      <c r="H2203" s="7" t="s">
        <v>794</v>
      </c>
      <c r="I2203" s="9">
        <v>1220100</v>
      </c>
      <c r="J2203" s="10">
        <v>0.03510000000000001</v>
      </c>
    </row>
    <row r="2204" spans="1:10">
      <c r="A2204" s="7" t="s">
        <v>782</v>
      </c>
      <c r="B2204" s="7" t="s">
        <v>4071</v>
      </c>
      <c r="C2204" s="8">
        <f>QS.CONTEXT.CREATE("market.2202",A2204,"USD","SOFR")</f>
        <v/>
      </c>
      <c r="D2204" s="8">
        <f>QS.CONTEXT.ADD.CURVE(C2204,"SOFR",$K$2:$K$7,$L$2:$L$7,,,"Actual360","LogLinear",TRUE)</f>
        <v/>
      </c>
      <c r="E2204" s="8">
        <f>QS.INSTRUMENT.SWAP("swap.2202",C2204,H2204,B2204,"USD","SOFR",I2204,J2204,0,"Actual360","Simple","Annual","Annual","Annual")</f>
        <v/>
      </c>
      <c r="F2204" s="8">
        <f>QS.TRADE.CREATE("trade.2202",C2204,E2204,A2204,"Receive")</f>
        <v/>
      </c>
      <c r="G2204" s="5"/>
      <c r="H2204" s="7" t="s">
        <v>796</v>
      </c>
      <c r="I2204" s="9">
        <v>1220200</v>
      </c>
      <c r="J2204" s="10">
        <v>0.0352</v>
      </c>
    </row>
    <row r="2205" spans="1:10">
      <c r="A2205" s="7" t="s">
        <v>784</v>
      </c>
      <c r="B2205" s="7" t="s">
        <v>4072</v>
      </c>
      <c r="C2205" s="8">
        <f>QS.CONTEXT.CREATE("market.2203",A2205,"USD","SOFR")</f>
        <v/>
      </c>
      <c r="D2205" s="8">
        <f>QS.CONTEXT.ADD.CURVE(C2205,"SOFR",$K$2:$K$7,$L$2:$L$7,,,"Actual360","LogLinear",TRUE)</f>
        <v/>
      </c>
      <c r="E2205" s="8">
        <f>QS.INSTRUMENT.SWAP("swap.2203",C2205,H2205,B2205,"USD","SOFR",I2205,J2205,0,"Actual360","Simple","Annual","Annual","Annual")</f>
        <v/>
      </c>
      <c r="F2205" s="8">
        <f>QS.TRADE.CREATE("trade.2203",C2205,E2205,A2205,"Receive")</f>
        <v/>
      </c>
      <c r="G2205" s="5"/>
      <c r="H2205" s="7" t="s">
        <v>798</v>
      </c>
      <c r="I2205" s="9">
        <v>1220300</v>
      </c>
      <c r="J2205" s="10">
        <v>0.0353</v>
      </c>
    </row>
    <row r="2206" spans="1:10">
      <c r="A2206" s="7" t="s">
        <v>786</v>
      </c>
      <c r="B2206" s="7" t="s">
        <v>4073</v>
      </c>
      <c r="C2206" s="8">
        <f>QS.CONTEXT.CREATE("market.2204",A2206,"USD","SOFR")</f>
        <v/>
      </c>
      <c r="D2206" s="8">
        <f>QS.CONTEXT.ADD.CURVE(C2206,"SOFR",$K$2:$K$7,$L$2:$L$7,,,"Actual360","LogLinear",TRUE)</f>
        <v/>
      </c>
      <c r="E2206" s="8">
        <f>QS.INSTRUMENT.SWAP("swap.2204",C2206,H2206,B2206,"USD","SOFR",I2206,J2206,0,"Actual360","Simple","Annual","Annual","Annual")</f>
        <v/>
      </c>
      <c r="F2206" s="8">
        <f>QS.TRADE.CREATE("trade.2204",C2206,E2206,A2206,"Receive")</f>
        <v/>
      </c>
      <c r="G2206" s="5"/>
      <c r="H2206" s="7" t="s">
        <v>800</v>
      </c>
      <c r="I2206" s="9">
        <v>1220400</v>
      </c>
      <c r="J2206" s="10">
        <v>0.0354</v>
      </c>
    </row>
    <row r="2207" spans="1:10">
      <c r="A2207" s="7" t="s">
        <v>788</v>
      </c>
      <c r="B2207" s="7" t="s">
        <v>4074</v>
      </c>
      <c r="C2207" s="8">
        <f>QS.CONTEXT.CREATE("market.2205",A2207,"USD","SOFR")</f>
        <v/>
      </c>
      <c r="D2207" s="8">
        <f>QS.CONTEXT.ADD.CURVE(C2207,"SOFR",$K$2:$K$7,$L$2:$L$7,,,"Actual360","LogLinear",TRUE)</f>
        <v/>
      </c>
      <c r="E2207" s="8">
        <f>QS.INSTRUMENT.SWAP("swap.2205",C2207,H2207,B2207,"USD","SOFR",I2207,J2207,0,"Actual360","Simple","Annual","Annual","Annual")</f>
        <v/>
      </c>
      <c r="F2207" s="8">
        <f>QS.TRADE.CREATE("trade.2205",C2207,E2207,A2207,"Receive")</f>
        <v/>
      </c>
      <c r="G2207" s="5"/>
      <c r="H2207" s="7" t="s">
        <v>802</v>
      </c>
      <c r="I2207" s="9">
        <v>1220500</v>
      </c>
      <c r="J2207" s="10">
        <v>0.0355</v>
      </c>
    </row>
    <row r="2208" spans="1:10">
      <c r="A2208" s="7" t="s">
        <v>790</v>
      </c>
      <c r="B2208" s="7" t="s">
        <v>4075</v>
      </c>
      <c r="C2208" s="8">
        <f>QS.CONTEXT.CREATE("market.2206",A2208,"USD","SOFR")</f>
        <v/>
      </c>
      <c r="D2208" s="8">
        <f>QS.CONTEXT.ADD.CURVE(C2208,"SOFR",$K$2:$K$7,$L$2:$L$7,,,"Actual360","LogLinear",TRUE)</f>
        <v/>
      </c>
      <c r="E2208" s="8">
        <f>QS.INSTRUMENT.SWAP("swap.2206",C2208,H2208,B2208,"USD","SOFR",I2208,J2208,0,"Actual360","Simple","Annual","Annual","Annual")</f>
        <v/>
      </c>
      <c r="F2208" s="8">
        <f>QS.TRADE.CREATE("trade.2206",C2208,E2208,A2208,"Receive")</f>
        <v/>
      </c>
      <c r="G2208" s="5"/>
      <c r="H2208" s="7" t="s">
        <v>804</v>
      </c>
      <c r="I2208" s="9">
        <v>1220600</v>
      </c>
      <c r="J2208" s="10">
        <v>0.03560000000000001</v>
      </c>
    </row>
    <row r="2209" spans="1:10">
      <c r="A2209" s="7" t="s">
        <v>792</v>
      </c>
      <c r="B2209" s="7" t="s">
        <v>4076</v>
      </c>
      <c r="C2209" s="8">
        <f>QS.CONTEXT.CREATE("market.2207",A2209,"USD","SOFR")</f>
        <v/>
      </c>
      <c r="D2209" s="8">
        <f>QS.CONTEXT.ADD.CURVE(C2209,"SOFR",$K$2:$K$7,$L$2:$L$7,,,"Actual360","LogLinear",TRUE)</f>
        <v/>
      </c>
      <c r="E2209" s="8">
        <f>QS.INSTRUMENT.SWAP("swap.2207",C2209,H2209,B2209,"USD","SOFR",I2209,J2209,0,"Actual360","Simple","Annual","Annual","Annual")</f>
        <v/>
      </c>
      <c r="F2209" s="8">
        <f>QS.TRADE.CREATE("trade.2207",C2209,E2209,A2209,"Receive")</f>
        <v/>
      </c>
      <c r="G2209" s="5"/>
      <c r="H2209" s="7" t="s">
        <v>806</v>
      </c>
      <c r="I2209" s="9">
        <v>1220700</v>
      </c>
      <c r="J2209" s="10">
        <v>0.0357</v>
      </c>
    </row>
    <row r="2210" spans="1:10">
      <c r="A2210" s="7" t="s">
        <v>794</v>
      </c>
      <c r="B2210" s="7" t="s">
        <v>4077</v>
      </c>
      <c r="C2210" s="8">
        <f>QS.CONTEXT.CREATE("market.2208",A2210,"USD","SOFR")</f>
        <v/>
      </c>
      <c r="D2210" s="8">
        <f>QS.CONTEXT.ADD.CURVE(C2210,"SOFR",$K$2:$K$7,$L$2:$L$7,,,"Actual360","LogLinear",TRUE)</f>
        <v/>
      </c>
      <c r="E2210" s="8">
        <f>QS.INSTRUMENT.SWAP("swap.2208",C2210,H2210,B2210,"USD","SOFR",I2210,J2210,0,"Actual360","Simple","Annual","Annual","Annual")</f>
        <v/>
      </c>
      <c r="F2210" s="8">
        <f>QS.TRADE.CREATE("trade.2208",C2210,E2210,A2210,"Receive")</f>
        <v/>
      </c>
      <c r="G2210" s="5"/>
      <c r="H2210" s="7" t="s">
        <v>808</v>
      </c>
      <c r="I2210" s="9">
        <v>1220800</v>
      </c>
      <c r="J2210" s="10">
        <v>0.03580000000000001</v>
      </c>
    </row>
    <row r="2211" spans="1:10">
      <c r="A2211" s="7" t="s">
        <v>796</v>
      </c>
      <c r="B2211" s="7" t="s">
        <v>4078</v>
      </c>
      <c r="C2211" s="8">
        <f>QS.CONTEXT.CREATE("market.2209",A2211,"USD","SOFR")</f>
        <v/>
      </c>
      <c r="D2211" s="8">
        <f>QS.CONTEXT.ADD.CURVE(C2211,"SOFR",$K$2:$K$7,$L$2:$L$7,,,"Actual360","LogLinear",TRUE)</f>
        <v/>
      </c>
      <c r="E2211" s="8">
        <f>QS.INSTRUMENT.SWAP("swap.2209",C2211,H2211,B2211,"USD","SOFR",I2211,J2211,0,"Actual360","Simple","Annual","Annual","Annual")</f>
        <v/>
      </c>
      <c r="F2211" s="8">
        <f>QS.TRADE.CREATE("trade.2209",C2211,E2211,A2211,"Receive")</f>
        <v/>
      </c>
      <c r="G2211" s="5"/>
      <c r="H2211" s="7" t="s">
        <v>810</v>
      </c>
      <c r="I2211" s="9">
        <v>1220900</v>
      </c>
      <c r="J2211" s="10">
        <v>0.0359</v>
      </c>
    </row>
    <row r="2212" spans="1:10">
      <c r="A2212" s="7" t="s">
        <v>798</v>
      </c>
      <c r="B2212" s="7" t="s">
        <v>4079</v>
      </c>
      <c r="C2212" s="8">
        <f>QS.CONTEXT.CREATE("market.2210",A2212,"USD","SOFR")</f>
        <v/>
      </c>
      <c r="D2212" s="8">
        <f>QS.CONTEXT.ADD.CURVE(C2212,"SOFR",$K$2:$K$7,$L$2:$L$7,,,"Actual360","LogLinear",TRUE)</f>
        <v/>
      </c>
      <c r="E2212" s="8">
        <f>QS.INSTRUMENT.SWAP("swap.2210",C2212,H2212,B2212,"USD","SOFR",I2212,J2212,0,"Actual360","Simple","Annual","Annual","Annual")</f>
        <v/>
      </c>
      <c r="F2212" s="8">
        <f>QS.TRADE.CREATE("trade.2210",C2212,E2212,A2212,"Receive")</f>
        <v/>
      </c>
      <c r="G2212" s="5"/>
      <c r="H2212" s="7" t="s">
        <v>812</v>
      </c>
      <c r="I2212" s="9">
        <v>1221000</v>
      </c>
      <c r="J2212" s="10">
        <v>0.036</v>
      </c>
    </row>
    <row r="2213" spans="1:10">
      <c r="A2213" s="7" t="s">
        <v>800</v>
      </c>
      <c r="B2213" s="7" t="s">
        <v>4080</v>
      </c>
      <c r="C2213" s="8">
        <f>QS.CONTEXT.CREATE("market.2211",A2213,"USD","SOFR")</f>
        <v/>
      </c>
      <c r="D2213" s="8">
        <f>QS.CONTEXT.ADD.CURVE(C2213,"SOFR",$K$2:$K$7,$L$2:$L$7,,,"Actual360","LogLinear",TRUE)</f>
        <v/>
      </c>
      <c r="E2213" s="8">
        <f>QS.INSTRUMENT.SWAP("swap.2211",C2213,H2213,B2213,"USD","SOFR",I2213,J2213,0,"Actual360","Simple","Annual","Annual","Annual")</f>
        <v/>
      </c>
      <c r="F2213" s="8">
        <f>QS.TRADE.CREATE("trade.2211",C2213,E2213,A2213,"Receive")</f>
        <v/>
      </c>
      <c r="G2213" s="5"/>
      <c r="H2213" s="7" t="s">
        <v>814</v>
      </c>
      <c r="I2213" s="9">
        <v>1221100</v>
      </c>
      <c r="J2213" s="10">
        <v>0.0361</v>
      </c>
    </row>
    <row r="2214" spans="1:10">
      <c r="A2214" s="7" t="s">
        <v>802</v>
      </c>
      <c r="B2214" s="7" t="s">
        <v>4081</v>
      </c>
      <c r="C2214" s="8">
        <f>QS.CONTEXT.CREATE("market.2212",A2214,"USD","SOFR")</f>
        <v/>
      </c>
      <c r="D2214" s="8">
        <f>QS.CONTEXT.ADD.CURVE(C2214,"SOFR",$K$2:$K$7,$L$2:$L$7,,,"Actual360","LogLinear",TRUE)</f>
        <v/>
      </c>
      <c r="E2214" s="8">
        <f>QS.INSTRUMENT.SWAP("swap.2212",C2214,H2214,B2214,"USD","SOFR",I2214,J2214,0,"Actual360","Simple","Annual","Annual","Annual")</f>
        <v/>
      </c>
      <c r="F2214" s="8">
        <f>QS.TRADE.CREATE("trade.2212",C2214,E2214,A2214,"Receive")</f>
        <v/>
      </c>
      <c r="G2214" s="5"/>
      <c r="H2214" s="7" t="s">
        <v>816</v>
      </c>
      <c r="I2214" s="9">
        <v>1221200</v>
      </c>
      <c r="J2214" s="10">
        <v>0.0362</v>
      </c>
    </row>
    <row r="2215" spans="1:10">
      <c r="A2215" s="7" t="s">
        <v>804</v>
      </c>
      <c r="B2215" s="7" t="s">
        <v>4082</v>
      </c>
      <c r="C2215" s="8">
        <f>QS.CONTEXT.CREATE("market.2213",A2215,"USD","SOFR")</f>
        <v/>
      </c>
      <c r="D2215" s="8">
        <f>QS.CONTEXT.ADD.CURVE(C2215,"SOFR",$K$2:$K$7,$L$2:$L$7,,,"Actual360","LogLinear",TRUE)</f>
        <v/>
      </c>
      <c r="E2215" s="8">
        <f>QS.INSTRUMENT.SWAP("swap.2213",C2215,H2215,B2215,"USD","SOFR",I2215,J2215,0,"Actual360","Simple","Annual","Annual","Annual")</f>
        <v/>
      </c>
      <c r="F2215" s="8">
        <f>QS.TRADE.CREATE("trade.2213",C2215,E2215,A2215,"Receive")</f>
        <v/>
      </c>
      <c r="G2215" s="5"/>
      <c r="H2215" s="7" t="s">
        <v>818</v>
      </c>
      <c r="I2215" s="9">
        <v>1221300</v>
      </c>
      <c r="J2215" s="10">
        <v>0.03630000000000001</v>
      </c>
    </row>
    <row r="2216" spans="1:10">
      <c r="A2216" s="7" t="s">
        <v>806</v>
      </c>
      <c r="B2216" s="7" t="s">
        <v>4083</v>
      </c>
      <c r="C2216" s="8">
        <f>QS.CONTEXT.CREATE("market.2214",A2216,"USD","SOFR")</f>
        <v/>
      </c>
      <c r="D2216" s="8">
        <f>QS.CONTEXT.ADD.CURVE(C2216,"SOFR",$K$2:$K$7,$L$2:$L$7,,,"Actual360","LogLinear",TRUE)</f>
        <v/>
      </c>
      <c r="E2216" s="8">
        <f>QS.INSTRUMENT.SWAP("swap.2214",C2216,H2216,B2216,"USD","SOFR",I2216,J2216,0,"Actual360","Simple","Annual","Annual","Annual")</f>
        <v/>
      </c>
      <c r="F2216" s="8">
        <f>QS.TRADE.CREATE("trade.2214",C2216,E2216,A2216,"Receive")</f>
        <v/>
      </c>
      <c r="G2216" s="5"/>
      <c r="H2216" s="7" t="s">
        <v>820</v>
      </c>
      <c r="I2216" s="9">
        <v>1221400</v>
      </c>
      <c r="J2216" s="10">
        <v>0.0364</v>
      </c>
    </row>
    <row r="2217" spans="1:10">
      <c r="A2217" s="7" t="s">
        <v>808</v>
      </c>
      <c r="B2217" s="7" t="s">
        <v>4084</v>
      </c>
      <c r="C2217" s="8">
        <f>QS.CONTEXT.CREATE("market.2215",A2217,"USD","SOFR")</f>
        <v/>
      </c>
      <c r="D2217" s="8">
        <f>QS.CONTEXT.ADD.CURVE(C2217,"SOFR",$K$2:$K$7,$L$2:$L$7,,,"Actual360","LogLinear",TRUE)</f>
        <v/>
      </c>
      <c r="E2217" s="8">
        <f>QS.INSTRUMENT.SWAP("swap.2215",C2217,H2217,B2217,"USD","SOFR",I2217,J2217,0,"Actual360","Simple","Annual","Annual","Annual")</f>
        <v/>
      </c>
      <c r="F2217" s="8">
        <f>QS.TRADE.CREATE("trade.2215",C2217,E2217,A2217,"Receive")</f>
        <v/>
      </c>
      <c r="G2217" s="5"/>
      <c r="H2217" s="7" t="s">
        <v>822</v>
      </c>
      <c r="I2217" s="9">
        <v>1221500</v>
      </c>
      <c r="J2217" s="10">
        <v>0.0365</v>
      </c>
    </row>
    <row r="2218" spans="1:10">
      <c r="A2218" s="7" t="s">
        <v>810</v>
      </c>
      <c r="B2218" s="7" t="s">
        <v>4085</v>
      </c>
      <c r="C2218" s="8">
        <f>QS.CONTEXT.CREATE("market.2216",A2218,"USD","SOFR")</f>
        <v/>
      </c>
      <c r="D2218" s="8">
        <f>QS.CONTEXT.ADD.CURVE(C2218,"SOFR",$K$2:$K$7,$L$2:$L$7,,,"Actual360","LogLinear",TRUE)</f>
        <v/>
      </c>
      <c r="E2218" s="8">
        <f>QS.INSTRUMENT.SWAP("swap.2216",C2218,H2218,B2218,"USD","SOFR",I2218,J2218,0,"Actual360","Simple","Annual","Annual","Annual")</f>
        <v/>
      </c>
      <c r="F2218" s="8">
        <f>QS.TRADE.CREATE("trade.2216",C2218,E2218,A2218,"Receive")</f>
        <v/>
      </c>
      <c r="G2218" s="5"/>
      <c r="H2218" s="7" t="s">
        <v>824</v>
      </c>
      <c r="I2218" s="9">
        <v>1221600</v>
      </c>
      <c r="J2218" s="10">
        <v>0.0366</v>
      </c>
    </row>
    <row r="2219" spans="1:10">
      <c r="A2219" s="7" t="s">
        <v>812</v>
      </c>
      <c r="B2219" s="7" t="s">
        <v>4086</v>
      </c>
      <c r="C2219" s="8">
        <f>QS.CONTEXT.CREATE("market.2217",A2219,"USD","SOFR")</f>
        <v/>
      </c>
      <c r="D2219" s="8">
        <f>QS.CONTEXT.ADD.CURVE(C2219,"SOFR",$K$2:$K$7,$L$2:$L$7,,,"Actual360","LogLinear",TRUE)</f>
        <v/>
      </c>
      <c r="E2219" s="8">
        <f>QS.INSTRUMENT.SWAP("swap.2217",C2219,H2219,B2219,"USD","SOFR",I2219,J2219,0,"Actual360","Simple","Annual","Annual","Annual")</f>
        <v/>
      </c>
      <c r="F2219" s="8">
        <f>QS.TRADE.CREATE("trade.2217",C2219,E2219,A2219,"Receive")</f>
        <v/>
      </c>
      <c r="G2219" s="5"/>
      <c r="H2219" s="7" t="s">
        <v>826</v>
      </c>
      <c r="I2219" s="9">
        <v>1221700</v>
      </c>
      <c r="J2219" s="10">
        <v>0.0367</v>
      </c>
    </row>
    <row r="2220" spans="1:10">
      <c r="A2220" s="7" t="s">
        <v>814</v>
      </c>
      <c r="B2220" s="7" t="s">
        <v>4087</v>
      </c>
      <c r="C2220" s="8">
        <f>QS.CONTEXT.CREATE("market.2218",A2220,"USD","SOFR")</f>
        <v/>
      </c>
      <c r="D2220" s="8">
        <f>QS.CONTEXT.ADD.CURVE(C2220,"SOFR",$K$2:$K$7,$L$2:$L$7,,,"Actual360","LogLinear",TRUE)</f>
        <v/>
      </c>
      <c r="E2220" s="8">
        <f>QS.INSTRUMENT.SWAP("swap.2218",C2220,H2220,B2220,"USD","SOFR",I2220,J2220,0,"Actual360","Simple","Annual","Annual","Annual")</f>
        <v/>
      </c>
      <c r="F2220" s="8">
        <f>QS.TRADE.CREATE("trade.2218",C2220,E2220,A2220,"Receive")</f>
        <v/>
      </c>
      <c r="G2220" s="5"/>
      <c r="H2220" s="7" t="s">
        <v>828</v>
      </c>
      <c r="I2220" s="9">
        <v>1221800</v>
      </c>
      <c r="J2220" s="10">
        <v>0.03680000000000001</v>
      </c>
    </row>
    <row r="2221" spans="1:10">
      <c r="A2221" s="7" t="s">
        <v>816</v>
      </c>
      <c r="B2221" s="7" t="s">
        <v>4088</v>
      </c>
      <c r="C2221" s="8">
        <f>QS.CONTEXT.CREATE("market.2219",A2221,"USD","SOFR")</f>
        <v/>
      </c>
      <c r="D2221" s="8">
        <f>QS.CONTEXT.ADD.CURVE(C2221,"SOFR",$K$2:$K$7,$L$2:$L$7,,,"Actual360","LogLinear",TRUE)</f>
        <v/>
      </c>
      <c r="E2221" s="8">
        <f>QS.INSTRUMENT.SWAP("swap.2219",C2221,H2221,B2221,"USD","SOFR",I2221,J2221,0,"Actual360","Simple","Annual","Annual","Annual")</f>
        <v/>
      </c>
      <c r="F2221" s="8">
        <f>QS.TRADE.CREATE("trade.2219",C2221,E2221,A2221,"Receive")</f>
        <v/>
      </c>
      <c r="G2221" s="5"/>
      <c r="H2221" s="7" t="s">
        <v>830</v>
      </c>
      <c r="I2221" s="9">
        <v>1221900</v>
      </c>
      <c r="J2221" s="10">
        <v>0.0369</v>
      </c>
    </row>
    <row r="2222" spans="1:10">
      <c r="A2222" s="7" t="s">
        <v>818</v>
      </c>
      <c r="B2222" s="7" t="s">
        <v>4089</v>
      </c>
      <c r="C2222" s="8">
        <f>QS.CONTEXT.CREATE("market.2220",A2222,"USD","SOFR")</f>
        <v/>
      </c>
      <c r="D2222" s="8">
        <f>QS.CONTEXT.ADD.CURVE(C2222,"SOFR",$K$2:$K$7,$L$2:$L$7,,,"Actual360","LogLinear",TRUE)</f>
        <v/>
      </c>
      <c r="E2222" s="8">
        <f>QS.INSTRUMENT.SWAP("swap.2220",C2222,H2222,B2222,"USD","SOFR",I2222,J2222,0,"Actual360","Simple","Annual","Annual","Annual")</f>
        <v/>
      </c>
      <c r="F2222" s="8">
        <f>QS.TRADE.CREATE("trade.2220",C2222,E2222,A2222,"Receive")</f>
        <v/>
      </c>
      <c r="G2222" s="5"/>
      <c r="H2222" s="7" t="s">
        <v>832</v>
      </c>
      <c r="I2222" s="9">
        <v>1222000</v>
      </c>
      <c r="J2222" s="10">
        <v>0.03700000000000001</v>
      </c>
    </row>
    <row r="2223" spans="1:10">
      <c r="A2223" s="7" t="s">
        <v>820</v>
      </c>
      <c r="B2223" s="7" t="s">
        <v>4090</v>
      </c>
      <c r="C2223" s="8">
        <f>QS.CONTEXT.CREATE("market.2221",A2223,"USD","SOFR")</f>
        <v/>
      </c>
      <c r="D2223" s="8">
        <f>QS.CONTEXT.ADD.CURVE(C2223,"SOFR",$K$2:$K$7,$L$2:$L$7,,,"Actual360","LogLinear",TRUE)</f>
        <v/>
      </c>
      <c r="E2223" s="8">
        <f>QS.INSTRUMENT.SWAP("swap.2221",C2223,H2223,B2223,"USD","SOFR",I2223,J2223,0,"Actual360","Simple","Annual","Annual","Annual")</f>
        <v/>
      </c>
      <c r="F2223" s="8">
        <f>QS.TRADE.CREATE("trade.2221",C2223,E2223,A2223,"Receive")</f>
        <v/>
      </c>
      <c r="G2223" s="5"/>
      <c r="H2223" s="7" t="s">
        <v>834</v>
      </c>
      <c r="I2223" s="9">
        <v>1222100</v>
      </c>
      <c r="J2223" s="10">
        <v>0.0371</v>
      </c>
    </row>
    <row r="2224" spans="1:10">
      <c r="A2224" s="7" t="s">
        <v>822</v>
      </c>
      <c r="B2224" s="7" t="s">
        <v>4091</v>
      </c>
      <c r="C2224" s="8">
        <f>QS.CONTEXT.CREATE("market.2222",A2224,"USD","SOFR")</f>
        <v/>
      </c>
      <c r="D2224" s="8">
        <f>QS.CONTEXT.ADD.CURVE(C2224,"SOFR",$K$2:$K$7,$L$2:$L$7,,,"Actual360","LogLinear",TRUE)</f>
        <v/>
      </c>
      <c r="E2224" s="8">
        <f>QS.INSTRUMENT.SWAP("swap.2222",C2224,H2224,B2224,"USD","SOFR",I2224,J2224,0,"Actual360","Simple","Annual","Annual","Annual")</f>
        <v/>
      </c>
      <c r="F2224" s="8">
        <f>QS.TRADE.CREATE("trade.2222",C2224,E2224,A2224,"Receive")</f>
        <v/>
      </c>
      <c r="G2224" s="5"/>
      <c r="H2224" s="7" t="s">
        <v>836</v>
      </c>
      <c r="I2224" s="9">
        <v>1222200</v>
      </c>
      <c r="J2224" s="10">
        <v>0.0372</v>
      </c>
    </row>
    <row r="2225" spans="1:10">
      <c r="A2225" s="7" t="s">
        <v>824</v>
      </c>
      <c r="B2225" s="7" t="s">
        <v>4092</v>
      </c>
      <c r="C2225" s="8">
        <f>QS.CONTEXT.CREATE("market.2223",A2225,"USD","SOFR")</f>
        <v/>
      </c>
      <c r="D2225" s="8">
        <f>QS.CONTEXT.ADD.CURVE(C2225,"SOFR",$K$2:$K$7,$L$2:$L$7,,,"Actual360","LogLinear",TRUE)</f>
        <v/>
      </c>
      <c r="E2225" s="8">
        <f>QS.INSTRUMENT.SWAP("swap.2223",C2225,H2225,B2225,"USD","SOFR",I2225,J2225,0,"Actual360","Simple","Annual","Annual","Annual")</f>
        <v/>
      </c>
      <c r="F2225" s="8">
        <f>QS.TRADE.CREATE("trade.2223",C2225,E2225,A2225,"Receive")</f>
        <v/>
      </c>
      <c r="G2225" s="5"/>
      <c r="H2225" s="7" t="s">
        <v>838</v>
      </c>
      <c r="I2225" s="9">
        <v>1222300</v>
      </c>
      <c r="J2225" s="10">
        <v>0.0373</v>
      </c>
    </row>
    <row r="2226" spans="1:10">
      <c r="A2226" s="7" t="s">
        <v>826</v>
      </c>
      <c r="B2226" s="7" t="s">
        <v>4093</v>
      </c>
      <c r="C2226" s="8">
        <f>QS.CONTEXT.CREATE("market.2224",A2226,"USD","SOFR")</f>
        <v/>
      </c>
      <c r="D2226" s="8">
        <f>QS.CONTEXT.ADD.CURVE(C2226,"SOFR",$K$2:$K$7,$L$2:$L$7,,,"Actual360","LogLinear",TRUE)</f>
        <v/>
      </c>
      <c r="E2226" s="8">
        <f>QS.INSTRUMENT.SWAP("swap.2224",C2226,H2226,B2226,"USD","SOFR",I2226,J2226,0,"Actual360","Simple","Annual","Annual","Annual")</f>
        <v/>
      </c>
      <c r="F2226" s="8">
        <f>QS.TRADE.CREATE("trade.2224",C2226,E2226,A2226,"Receive")</f>
        <v/>
      </c>
      <c r="G2226" s="5"/>
      <c r="H2226" s="7" t="s">
        <v>840</v>
      </c>
      <c r="I2226" s="9">
        <v>1222400</v>
      </c>
      <c r="J2226" s="10">
        <v>0.0374</v>
      </c>
    </row>
    <row r="2227" spans="1:10">
      <c r="A2227" s="7" t="s">
        <v>828</v>
      </c>
      <c r="B2227" s="7" t="s">
        <v>4094</v>
      </c>
      <c r="C2227" s="8">
        <f>QS.CONTEXT.CREATE("market.2225",A2227,"USD","SOFR")</f>
        <v/>
      </c>
      <c r="D2227" s="8">
        <f>QS.CONTEXT.ADD.CURVE(C2227,"SOFR",$K$2:$K$7,$L$2:$L$7,,,"Actual360","LogLinear",TRUE)</f>
        <v/>
      </c>
      <c r="E2227" s="8">
        <f>QS.INSTRUMENT.SWAP("swap.2225",C2227,H2227,B2227,"USD","SOFR",I2227,J2227,0,"Actual360","Simple","Annual","Annual","Annual")</f>
        <v/>
      </c>
      <c r="F2227" s="8">
        <f>QS.TRADE.CREATE("trade.2225",C2227,E2227,A2227,"Receive")</f>
        <v/>
      </c>
      <c r="G2227" s="5"/>
      <c r="H2227" s="7" t="s">
        <v>842</v>
      </c>
      <c r="I2227" s="9">
        <v>1222500</v>
      </c>
      <c r="J2227" s="10">
        <v>0.03750000000000001</v>
      </c>
    </row>
    <row r="2228" spans="1:10">
      <c r="A2228" s="7" t="s">
        <v>830</v>
      </c>
      <c r="B2228" s="7" t="s">
        <v>4095</v>
      </c>
      <c r="C2228" s="8">
        <f>QS.CONTEXT.CREATE("market.2226",A2228,"USD","SOFR")</f>
        <v/>
      </c>
      <c r="D2228" s="8">
        <f>QS.CONTEXT.ADD.CURVE(C2228,"SOFR",$K$2:$K$7,$L$2:$L$7,,,"Actual360","LogLinear",TRUE)</f>
        <v/>
      </c>
      <c r="E2228" s="8">
        <f>QS.INSTRUMENT.SWAP("swap.2226",C2228,H2228,B2228,"USD","SOFR",I2228,J2228,0,"Actual360","Simple","Annual","Annual","Annual")</f>
        <v/>
      </c>
      <c r="F2228" s="8">
        <f>QS.TRADE.CREATE("trade.2226",C2228,E2228,A2228,"Receive")</f>
        <v/>
      </c>
      <c r="G2228" s="5"/>
      <c r="H2228" s="7" t="s">
        <v>844</v>
      </c>
      <c r="I2228" s="9">
        <v>1222600</v>
      </c>
      <c r="J2228" s="10">
        <v>0.0376</v>
      </c>
    </row>
    <row r="2229" spans="1:10">
      <c r="A2229" s="7" t="s">
        <v>832</v>
      </c>
      <c r="B2229" s="7" t="s">
        <v>4096</v>
      </c>
      <c r="C2229" s="8">
        <f>QS.CONTEXT.CREATE("market.2227",A2229,"USD","SOFR")</f>
        <v/>
      </c>
      <c r="D2229" s="8">
        <f>QS.CONTEXT.ADD.CURVE(C2229,"SOFR",$K$2:$K$7,$L$2:$L$7,,,"Actual360","LogLinear",TRUE)</f>
        <v/>
      </c>
      <c r="E2229" s="8">
        <f>QS.INSTRUMENT.SWAP("swap.2227",C2229,H2229,B2229,"USD","SOFR",I2229,J2229,0,"Actual360","Simple","Annual","Annual","Annual")</f>
        <v/>
      </c>
      <c r="F2229" s="8">
        <f>QS.TRADE.CREATE("trade.2227",C2229,E2229,A2229,"Receive")</f>
        <v/>
      </c>
      <c r="G2229" s="5"/>
      <c r="H2229" s="7" t="s">
        <v>846</v>
      </c>
      <c r="I2229" s="9">
        <v>1222700</v>
      </c>
      <c r="J2229" s="10">
        <v>0.0377</v>
      </c>
    </row>
    <row r="2230" spans="1:10">
      <c r="A2230" s="7" t="s">
        <v>834</v>
      </c>
      <c r="B2230" s="7" t="s">
        <v>4097</v>
      </c>
      <c r="C2230" s="8">
        <f>QS.CONTEXT.CREATE("market.2228",A2230,"USD","SOFR")</f>
        <v/>
      </c>
      <c r="D2230" s="8">
        <f>QS.CONTEXT.ADD.CURVE(C2230,"SOFR",$K$2:$K$7,$L$2:$L$7,,,"Actual360","LogLinear",TRUE)</f>
        <v/>
      </c>
      <c r="E2230" s="8">
        <f>QS.INSTRUMENT.SWAP("swap.2228",C2230,H2230,B2230,"USD","SOFR",I2230,J2230,0,"Actual360","Simple","Annual","Annual","Annual")</f>
        <v/>
      </c>
      <c r="F2230" s="8">
        <f>QS.TRADE.CREATE("trade.2228",C2230,E2230,A2230,"Receive")</f>
        <v/>
      </c>
      <c r="G2230" s="5"/>
      <c r="H2230" s="7" t="s">
        <v>848</v>
      </c>
      <c r="I2230" s="9">
        <v>1222800</v>
      </c>
      <c r="J2230" s="10">
        <v>0.0378</v>
      </c>
    </row>
    <row r="2231" spans="1:10">
      <c r="A2231" s="7" t="s">
        <v>836</v>
      </c>
      <c r="B2231" s="7" t="s">
        <v>4098</v>
      </c>
      <c r="C2231" s="8">
        <f>QS.CONTEXT.CREATE("market.2229",A2231,"USD","SOFR")</f>
        <v/>
      </c>
      <c r="D2231" s="8">
        <f>QS.CONTEXT.ADD.CURVE(C2231,"SOFR",$K$2:$K$7,$L$2:$L$7,,,"Actual360","LogLinear",TRUE)</f>
        <v/>
      </c>
      <c r="E2231" s="8">
        <f>QS.INSTRUMENT.SWAP("swap.2229",C2231,H2231,B2231,"USD","SOFR",I2231,J2231,0,"Actual360","Simple","Annual","Annual","Annual")</f>
        <v/>
      </c>
      <c r="F2231" s="8">
        <f>QS.TRADE.CREATE("trade.2229",C2231,E2231,A2231,"Receive")</f>
        <v/>
      </c>
      <c r="G2231" s="5"/>
      <c r="H2231" s="7" t="s">
        <v>850</v>
      </c>
      <c r="I2231" s="9">
        <v>1222900</v>
      </c>
      <c r="J2231" s="10">
        <v>0.0379</v>
      </c>
    </row>
    <row r="2232" spans="1:10">
      <c r="A2232" s="7" t="s">
        <v>838</v>
      </c>
      <c r="B2232" s="7" t="s">
        <v>4099</v>
      </c>
      <c r="C2232" s="8">
        <f>QS.CONTEXT.CREATE("market.2230",A2232,"USD","SOFR")</f>
        <v/>
      </c>
      <c r="D2232" s="8">
        <f>QS.CONTEXT.ADD.CURVE(C2232,"SOFR",$K$2:$K$7,$L$2:$L$7,,,"Actual360","LogLinear",TRUE)</f>
        <v/>
      </c>
      <c r="E2232" s="8">
        <f>QS.INSTRUMENT.SWAP("swap.2230",C2232,H2232,B2232,"USD","SOFR",I2232,J2232,0,"Actual360","Simple","Annual","Annual","Annual")</f>
        <v/>
      </c>
      <c r="F2232" s="8">
        <f>QS.TRADE.CREATE("trade.2230",C2232,E2232,A2232,"Receive")</f>
        <v/>
      </c>
      <c r="G2232" s="5"/>
      <c r="H2232" s="7" t="s">
        <v>852</v>
      </c>
      <c r="I2232" s="9">
        <v>1223000</v>
      </c>
      <c r="J2232" s="10">
        <v>0.03800000000000001</v>
      </c>
    </row>
    <row r="2233" spans="1:10">
      <c r="A2233" s="7" t="s">
        <v>840</v>
      </c>
      <c r="B2233" s="7" t="s">
        <v>4100</v>
      </c>
      <c r="C2233" s="8">
        <f>QS.CONTEXT.CREATE("market.2231",A2233,"USD","SOFR")</f>
        <v/>
      </c>
      <c r="D2233" s="8">
        <f>QS.CONTEXT.ADD.CURVE(C2233,"SOFR",$K$2:$K$7,$L$2:$L$7,,,"Actual360","LogLinear",TRUE)</f>
        <v/>
      </c>
      <c r="E2233" s="8">
        <f>QS.INSTRUMENT.SWAP("swap.2231",C2233,H2233,B2233,"USD","SOFR",I2233,J2233,0,"Actual360","Simple","Annual","Annual","Annual")</f>
        <v/>
      </c>
      <c r="F2233" s="8">
        <f>QS.TRADE.CREATE("trade.2231",C2233,E2233,A2233,"Receive")</f>
        <v/>
      </c>
      <c r="G2233" s="5"/>
      <c r="H2233" s="7" t="s">
        <v>854</v>
      </c>
      <c r="I2233" s="9">
        <v>1223100</v>
      </c>
      <c r="J2233" s="10">
        <v>0.0381</v>
      </c>
    </row>
    <row r="2234" spans="1:10">
      <c r="A2234" s="7" t="s">
        <v>842</v>
      </c>
      <c r="B2234" s="7" t="s">
        <v>4101</v>
      </c>
      <c r="C2234" s="8">
        <f>QS.CONTEXT.CREATE("market.2232",A2234,"USD","SOFR")</f>
        <v/>
      </c>
      <c r="D2234" s="8">
        <f>QS.CONTEXT.ADD.CURVE(C2234,"SOFR",$K$2:$K$7,$L$2:$L$7,,,"Actual360","LogLinear",TRUE)</f>
        <v/>
      </c>
      <c r="E2234" s="8">
        <f>QS.INSTRUMENT.SWAP("swap.2232",C2234,H2234,B2234,"USD","SOFR",I2234,J2234,0,"Actual360","Simple","Annual","Annual","Annual")</f>
        <v/>
      </c>
      <c r="F2234" s="8">
        <f>QS.TRADE.CREATE("trade.2232",C2234,E2234,A2234,"Receive")</f>
        <v/>
      </c>
      <c r="G2234" s="5"/>
      <c r="H2234" s="7" t="s">
        <v>856</v>
      </c>
      <c r="I2234" s="9">
        <v>1223200</v>
      </c>
      <c r="J2234" s="10">
        <v>0.0382</v>
      </c>
    </row>
    <row r="2235" spans="1:10">
      <c r="A2235" s="7" t="s">
        <v>844</v>
      </c>
      <c r="B2235" s="7" t="s">
        <v>4102</v>
      </c>
      <c r="C2235" s="8">
        <f>QS.CONTEXT.CREATE("market.2233",A2235,"USD","SOFR")</f>
        <v/>
      </c>
      <c r="D2235" s="8">
        <f>QS.CONTEXT.ADD.CURVE(C2235,"SOFR",$K$2:$K$7,$L$2:$L$7,,,"Actual360","LogLinear",TRUE)</f>
        <v/>
      </c>
      <c r="E2235" s="8">
        <f>QS.INSTRUMENT.SWAP("swap.2233",C2235,H2235,B2235,"USD","SOFR",I2235,J2235,0,"Actual360","Simple","Annual","Annual","Annual")</f>
        <v/>
      </c>
      <c r="F2235" s="8">
        <f>QS.TRADE.CREATE("trade.2233",C2235,E2235,A2235,"Receive")</f>
        <v/>
      </c>
      <c r="G2235" s="5"/>
      <c r="H2235" s="7" t="s">
        <v>858</v>
      </c>
      <c r="I2235" s="9">
        <v>1223300</v>
      </c>
      <c r="J2235" s="10">
        <v>0.0383</v>
      </c>
    </row>
    <row r="2236" spans="1:10">
      <c r="A2236" s="7" t="s">
        <v>846</v>
      </c>
      <c r="B2236" s="7" t="s">
        <v>4103</v>
      </c>
      <c r="C2236" s="8">
        <f>QS.CONTEXT.CREATE("market.2234",A2236,"USD","SOFR")</f>
        <v/>
      </c>
      <c r="D2236" s="8">
        <f>QS.CONTEXT.ADD.CURVE(C2236,"SOFR",$K$2:$K$7,$L$2:$L$7,,,"Actual360","LogLinear",TRUE)</f>
        <v/>
      </c>
      <c r="E2236" s="8">
        <f>QS.INSTRUMENT.SWAP("swap.2234",C2236,H2236,B2236,"USD","SOFR",I2236,J2236,0,"Actual360","Simple","Annual","Annual","Annual")</f>
        <v/>
      </c>
      <c r="F2236" s="8">
        <f>QS.TRADE.CREATE("trade.2234",C2236,E2236,A2236,"Receive")</f>
        <v/>
      </c>
      <c r="G2236" s="5"/>
      <c r="H2236" s="7" t="s">
        <v>860</v>
      </c>
      <c r="I2236" s="9">
        <v>1223400</v>
      </c>
      <c r="J2236" s="10">
        <v>0.0384</v>
      </c>
    </row>
    <row r="2237" spans="1:10">
      <c r="A2237" s="7" t="s">
        <v>848</v>
      </c>
      <c r="B2237" s="7" t="s">
        <v>4104</v>
      </c>
      <c r="C2237" s="8">
        <f>QS.CONTEXT.CREATE("market.2235",A2237,"USD","SOFR")</f>
        <v/>
      </c>
      <c r="D2237" s="8">
        <f>QS.CONTEXT.ADD.CURVE(C2237,"SOFR",$K$2:$K$7,$L$2:$L$7,,,"Actual360","LogLinear",TRUE)</f>
        <v/>
      </c>
      <c r="E2237" s="8">
        <f>QS.INSTRUMENT.SWAP("swap.2235",C2237,H2237,B2237,"USD","SOFR",I2237,J2237,0,"Actual360","Simple","Annual","Annual","Annual")</f>
        <v/>
      </c>
      <c r="F2237" s="8">
        <f>QS.TRADE.CREATE("trade.2235",C2237,E2237,A2237,"Receive")</f>
        <v/>
      </c>
      <c r="G2237" s="5"/>
      <c r="H2237" s="7" t="s">
        <v>862</v>
      </c>
      <c r="I2237" s="9">
        <v>1223500</v>
      </c>
      <c r="J2237" s="10">
        <v>0.03850000000000001</v>
      </c>
    </row>
    <row r="2238" spans="1:10">
      <c r="A2238" s="7" t="s">
        <v>850</v>
      </c>
      <c r="B2238" s="7" t="s">
        <v>4105</v>
      </c>
      <c r="C2238" s="8">
        <f>QS.CONTEXT.CREATE("market.2236",A2238,"USD","SOFR")</f>
        <v/>
      </c>
      <c r="D2238" s="8">
        <f>QS.CONTEXT.ADD.CURVE(C2238,"SOFR",$K$2:$K$7,$L$2:$L$7,,,"Actual360","LogLinear",TRUE)</f>
        <v/>
      </c>
      <c r="E2238" s="8">
        <f>QS.INSTRUMENT.SWAP("swap.2236",C2238,H2238,B2238,"USD","SOFR",I2238,J2238,0,"Actual360","Simple","Annual","Annual","Annual")</f>
        <v/>
      </c>
      <c r="F2238" s="8">
        <f>QS.TRADE.CREATE("trade.2236",C2238,E2238,A2238,"Receive")</f>
        <v/>
      </c>
      <c r="G2238" s="5"/>
      <c r="H2238" s="7" t="s">
        <v>864</v>
      </c>
      <c r="I2238" s="9">
        <v>1223600</v>
      </c>
      <c r="J2238" s="10">
        <v>0.0386</v>
      </c>
    </row>
    <row r="2239" spans="1:10">
      <c r="A2239" s="7" t="s">
        <v>852</v>
      </c>
      <c r="B2239" s="7" t="s">
        <v>4106</v>
      </c>
      <c r="C2239" s="8">
        <f>QS.CONTEXT.CREATE("market.2237",A2239,"USD","SOFR")</f>
        <v/>
      </c>
      <c r="D2239" s="8">
        <f>QS.CONTEXT.ADD.CURVE(C2239,"SOFR",$K$2:$K$7,$L$2:$L$7,,,"Actual360","LogLinear",TRUE)</f>
        <v/>
      </c>
      <c r="E2239" s="8">
        <f>QS.INSTRUMENT.SWAP("swap.2237",C2239,H2239,B2239,"USD","SOFR",I2239,J2239,0,"Actual360","Simple","Annual","Annual","Annual")</f>
        <v/>
      </c>
      <c r="F2239" s="8">
        <f>QS.TRADE.CREATE("trade.2237",C2239,E2239,A2239,"Receive")</f>
        <v/>
      </c>
      <c r="G2239" s="5"/>
      <c r="H2239" s="7" t="s">
        <v>866</v>
      </c>
      <c r="I2239" s="9">
        <v>1223700</v>
      </c>
      <c r="J2239" s="10">
        <v>0.03870000000000001</v>
      </c>
    </row>
    <row r="2240" spans="1:10">
      <c r="A2240" s="7" t="s">
        <v>854</v>
      </c>
      <c r="B2240" s="7" t="s">
        <v>4107</v>
      </c>
      <c r="C2240" s="8">
        <f>QS.CONTEXT.CREATE("market.2238",A2240,"USD","SOFR")</f>
        <v/>
      </c>
      <c r="D2240" s="8">
        <f>QS.CONTEXT.ADD.CURVE(C2240,"SOFR",$K$2:$K$7,$L$2:$L$7,,,"Actual360","LogLinear",TRUE)</f>
        <v/>
      </c>
      <c r="E2240" s="8">
        <f>QS.INSTRUMENT.SWAP("swap.2238",C2240,H2240,B2240,"USD","SOFR",I2240,J2240,0,"Actual360","Simple","Annual","Annual","Annual")</f>
        <v/>
      </c>
      <c r="F2240" s="8">
        <f>QS.TRADE.CREATE("trade.2238",C2240,E2240,A2240,"Receive")</f>
        <v/>
      </c>
      <c r="G2240" s="5"/>
      <c r="H2240" s="7" t="s">
        <v>868</v>
      </c>
      <c r="I2240" s="9">
        <v>1223800</v>
      </c>
      <c r="J2240" s="10">
        <v>0.0388</v>
      </c>
    </row>
    <row r="2241" spans="1:10">
      <c r="A2241" s="7" t="s">
        <v>856</v>
      </c>
      <c r="B2241" s="7" t="s">
        <v>4108</v>
      </c>
      <c r="C2241" s="8">
        <f>QS.CONTEXT.CREATE("market.2239",A2241,"USD","SOFR")</f>
        <v/>
      </c>
      <c r="D2241" s="8">
        <f>QS.CONTEXT.ADD.CURVE(C2241,"SOFR",$K$2:$K$7,$L$2:$L$7,,,"Actual360","LogLinear",TRUE)</f>
        <v/>
      </c>
      <c r="E2241" s="8">
        <f>QS.INSTRUMENT.SWAP("swap.2239",C2241,H2241,B2241,"USD","SOFR",I2241,J2241,0,"Actual360","Simple","Annual","Annual","Annual")</f>
        <v/>
      </c>
      <c r="F2241" s="8">
        <f>QS.TRADE.CREATE("trade.2239",C2241,E2241,A2241,"Receive")</f>
        <v/>
      </c>
      <c r="G2241" s="5"/>
      <c r="H2241" s="7" t="s">
        <v>870</v>
      </c>
      <c r="I2241" s="9">
        <v>1223900</v>
      </c>
      <c r="J2241" s="10">
        <v>0.0389</v>
      </c>
    </row>
    <row r="2242" spans="1:10">
      <c r="A2242" s="7" t="s">
        <v>858</v>
      </c>
      <c r="B2242" s="7" t="s">
        <v>4109</v>
      </c>
      <c r="C2242" s="8">
        <f>QS.CONTEXT.CREATE("market.2240",A2242,"USD","SOFR")</f>
        <v/>
      </c>
      <c r="D2242" s="8">
        <f>QS.CONTEXT.ADD.CURVE(C2242,"SOFR",$K$2:$K$7,$L$2:$L$7,,,"Actual360","LogLinear",TRUE)</f>
        <v/>
      </c>
      <c r="E2242" s="8">
        <f>QS.INSTRUMENT.SWAP("swap.2240",C2242,H2242,B2242,"USD","SOFR",I2242,J2242,0,"Actual360","Simple","Annual","Annual","Annual")</f>
        <v/>
      </c>
      <c r="F2242" s="8">
        <f>QS.TRADE.CREATE("trade.2240",C2242,E2242,A2242,"Receive")</f>
        <v/>
      </c>
      <c r="G2242" s="5"/>
      <c r="H2242" s="7" t="s">
        <v>872</v>
      </c>
      <c r="I2242" s="9">
        <v>1224000</v>
      </c>
      <c r="J2242" s="10">
        <v>0.03900000000000001</v>
      </c>
    </row>
    <row r="2243" spans="1:10">
      <c r="A2243" s="7" t="s">
        <v>860</v>
      </c>
      <c r="B2243" s="7" t="s">
        <v>4110</v>
      </c>
      <c r="C2243" s="8">
        <f>QS.CONTEXT.CREATE("market.2241",A2243,"USD","SOFR")</f>
        <v/>
      </c>
      <c r="D2243" s="8">
        <f>QS.CONTEXT.ADD.CURVE(C2243,"SOFR",$K$2:$K$7,$L$2:$L$7,,,"Actual360","LogLinear",TRUE)</f>
        <v/>
      </c>
      <c r="E2243" s="8">
        <f>QS.INSTRUMENT.SWAP("swap.2241",C2243,H2243,B2243,"USD","SOFR",I2243,J2243,0,"Actual360","Simple","Annual","Annual","Annual")</f>
        <v/>
      </c>
      <c r="F2243" s="8">
        <f>QS.TRADE.CREATE("trade.2241",C2243,E2243,A2243,"Receive")</f>
        <v/>
      </c>
      <c r="G2243" s="5"/>
      <c r="H2243" s="7" t="s">
        <v>874</v>
      </c>
      <c r="I2243" s="9">
        <v>1224100</v>
      </c>
      <c r="J2243" s="10">
        <v>0.0391</v>
      </c>
    </row>
    <row r="2244" spans="1:10">
      <c r="A2244" s="7" t="s">
        <v>862</v>
      </c>
      <c r="B2244" s="7" t="s">
        <v>4111</v>
      </c>
      <c r="C2244" s="8">
        <f>QS.CONTEXT.CREATE("market.2242",A2244,"USD","SOFR")</f>
        <v/>
      </c>
      <c r="D2244" s="8">
        <f>QS.CONTEXT.ADD.CURVE(C2244,"SOFR",$K$2:$K$7,$L$2:$L$7,,,"Actual360","LogLinear",TRUE)</f>
        <v/>
      </c>
      <c r="E2244" s="8">
        <f>QS.INSTRUMENT.SWAP("swap.2242",C2244,H2244,B2244,"USD","SOFR",I2244,J2244,0,"Actual360","Simple","Annual","Annual","Annual")</f>
        <v/>
      </c>
      <c r="F2244" s="8">
        <f>QS.TRADE.CREATE("trade.2242",C2244,E2244,A2244,"Receive")</f>
        <v/>
      </c>
      <c r="G2244" s="5"/>
      <c r="H2244" s="7" t="s">
        <v>876</v>
      </c>
      <c r="I2244" s="9">
        <v>1224200</v>
      </c>
      <c r="J2244" s="10">
        <v>0.03920000000000001</v>
      </c>
    </row>
    <row r="2245" spans="1:10">
      <c r="A2245" s="7" t="s">
        <v>864</v>
      </c>
      <c r="B2245" s="7" t="s">
        <v>4111</v>
      </c>
      <c r="C2245" s="8">
        <f>QS.CONTEXT.CREATE("market.2243",A2245,"USD","SOFR")</f>
        <v/>
      </c>
      <c r="D2245" s="8">
        <f>QS.CONTEXT.ADD.CURVE(C2245,"SOFR",$K$2:$K$7,$L$2:$L$7,,,"Actual360","LogLinear",TRUE)</f>
        <v/>
      </c>
      <c r="E2245" s="8">
        <f>QS.INSTRUMENT.SWAP("swap.2243",C2245,H2245,B2245,"USD","SOFR",I2245,J2245,0,"Actual360","Simple","Annual","Annual","Annual")</f>
        <v/>
      </c>
      <c r="F2245" s="8">
        <f>QS.TRADE.CREATE("trade.2243",C2245,E2245,A2245,"Receive")</f>
        <v/>
      </c>
      <c r="G2245" s="5"/>
      <c r="H2245" s="7" t="s">
        <v>4112</v>
      </c>
      <c r="I2245" s="9">
        <v>1224300</v>
      </c>
      <c r="J2245" s="10">
        <v>0.0393</v>
      </c>
    </row>
    <row r="2246" spans="1:10">
      <c r="A2246" s="7" t="s">
        <v>866</v>
      </c>
      <c r="B2246" s="7" t="s">
        <v>4113</v>
      </c>
      <c r="C2246" s="8">
        <f>QS.CONTEXT.CREATE("market.2244",A2246,"USD","SOFR")</f>
        <v/>
      </c>
      <c r="D2246" s="8">
        <f>QS.CONTEXT.ADD.CURVE(C2246,"SOFR",$K$2:$K$7,$L$2:$L$7,,,"Actual360","LogLinear",TRUE)</f>
        <v/>
      </c>
      <c r="E2246" s="8">
        <f>QS.INSTRUMENT.SWAP("swap.2244",C2246,H2246,B2246,"USD","SOFR",I2246,J2246,0,"Actual360","Simple","Annual","Annual","Annual")</f>
        <v/>
      </c>
      <c r="F2246" s="8">
        <f>QS.TRADE.CREATE("trade.2244",C2246,E2246,A2246,"Receive")</f>
        <v/>
      </c>
      <c r="G2246" s="5"/>
      <c r="H2246" s="7" t="s">
        <v>878</v>
      </c>
      <c r="I2246" s="9">
        <v>1224400</v>
      </c>
      <c r="J2246" s="10">
        <v>0.0394</v>
      </c>
    </row>
    <row r="2247" spans="1:10">
      <c r="A2247" s="7" t="s">
        <v>868</v>
      </c>
      <c r="B2247" s="7" t="s">
        <v>4114</v>
      </c>
      <c r="C2247" s="8">
        <f>QS.CONTEXT.CREATE("market.2245",A2247,"USD","SOFR")</f>
        <v/>
      </c>
      <c r="D2247" s="8">
        <f>QS.CONTEXT.ADD.CURVE(C2247,"SOFR",$K$2:$K$7,$L$2:$L$7,,,"Actual360","LogLinear",TRUE)</f>
        <v/>
      </c>
      <c r="E2247" s="8">
        <f>QS.INSTRUMENT.SWAP("swap.2245",C2247,H2247,B2247,"USD","SOFR",I2247,J2247,0,"Actual360","Simple","Annual","Annual","Annual")</f>
        <v/>
      </c>
      <c r="F2247" s="8">
        <f>QS.TRADE.CREATE("trade.2245",C2247,E2247,A2247,"Receive")</f>
        <v/>
      </c>
      <c r="G2247" s="5"/>
      <c r="H2247" s="7" t="s">
        <v>880</v>
      </c>
      <c r="I2247" s="9">
        <v>1224500</v>
      </c>
      <c r="J2247" s="10">
        <v>0.03950000000000001</v>
      </c>
    </row>
    <row r="2248" spans="1:10">
      <c r="A2248" s="7" t="s">
        <v>870</v>
      </c>
      <c r="B2248" s="7" t="s">
        <v>4115</v>
      </c>
      <c r="C2248" s="8">
        <f>QS.CONTEXT.CREATE("market.2246",A2248,"USD","SOFR")</f>
        <v/>
      </c>
      <c r="D2248" s="8">
        <f>QS.CONTEXT.ADD.CURVE(C2248,"SOFR",$K$2:$K$7,$L$2:$L$7,,,"Actual360","LogLinear",TRUE)</f>
        <v/>
      </c>
      <c r="E2248" s="8">
        <f>QS.INSTRUMENT.SWAP("swap.2246",C2248,H2248,B2248,"USD","SOFR",I2248,J2248,0,"Actual360","Simple","Annual","Annual","Annual")</f>
        <v/>
      </c>
      <c r="F2248" s="8">
        <f>QS.TRADE.CREATE("trade.2246",C2248,E2248,A2248,"Receive")</f>
        <v/>
      </c>
      <c r="G2248" s="5"/>
      <c r="H2248" s="7" t="s">
        <v>882</v>
      </c>
      <c r="I2248" s="9">
        <v>1224600</v>
      </c>
      <c r="J2248" s="10">
        <v>0.0396</v>
      </c>
    </row>
    <row r="2249" spans="1:10">
      <c r="A2249" s="7" t="s">
        <v>872</v>
      </c>
      <c r="B2249" s="7" t="s">
        <v>4116</v>
      </c>
      <c r="C2249" s="8">
        <f>QS.CONTEXT.CREATE("market.2247",A2249,"USD","SOFR")</f>
        <v/>
      </c>
      <c r="D2249" s="8">
        <f>QS.CONTEXT.ADD.CURVE(C2249,"SOFR",$K$2:$K$7,$L$2:$L$7,,,"Actual360","LogLinear",TRUE)</f>
        <v/>
      </c>
      <c r="E2249" s="8">
        <f>QS.INSTRUMENT.SWAP("swap.2247",C2249,H2249,B2249,"USD","SOFR",I2249,J2249,0,"Actual360","Simple","Annual","Annual","Annual")</f>
        <v/>
      </c>
      <c r="F2249" s="8">
        <f>QS.TRADE.CREATE("trade.2247",C2249,E2249,A2249,"Receive")</f>
        <v/>
      </c>
      <c r="G2249" s="5"/>
      <c r="H2249" s="7" t="s">
        <v>884</v>
      </c>
      <c r="I2249" s="9">
        <v>1224700</v>
      </c>
      <c r="J2249" s="10">
        <v>0.03970000000000001</v>
      </c>
    </row>
    <row r="2250" spans="1:10">
      <c r="A2250" s="7" t="s">
        <v>874</v>
      </c>
      <c r="B2250" s="7" t="s">
        <v>4117</v>
      </c>
      <c r="C2250" s="8">
        <f>QS.CONTEXT.CREATE("market.2248",A2250,"USD","SOFR")</f>
        <v/>
      </c>
      <c r="D2250" s="8">
        <f>QS.CONTEXT.ADD.CURVE(C2250,"SOFR",$K$2:$K$7,$L$2:$L$7,,,"Actual360","LogLinear",TRUE)</f>
        <v/>
      </c>
      <c r="E2250" s="8">
        <f>QS.INSTRUMENT.SWAP("swap.2248",C2250,H2250,B2250,"USD","SOFR",I2250,J2250,0,"Actual360","Simple","Annual","Annual","Annual")</f>
        <v/>
      </c>
      <c r="F2250" s="8">
        <f>QS.TRADE.CREATE("trade.2248",C2250,E2250,A2250,"Receive")</f>
        <v/>
      </c>
      <c r="G2250" s="5"/>
      <c r="H2250" s="7" t="s">
        <v>886</v>
      </c>
      <c r="I2250" s="9">
        <v>1224800</v>
      </c>
      <c r="J2250" s="10">
        <v>0.0398</v>
      </c>
    </row>
    <row r="2251" spans="1:10">
      <c r="A2251" s="7" t="s">
        <v>876</v>
      </c>
      <c r="B2251" s="7" t="s">
        <v>4118</v>
      </c>
      <c r="C2251" s="8">
        <f>QS.CONTEXT.CREATE("market.2249",A2251,"USD","SOFR")</f>
        <v/>
      </c>
      <c r="D2251" s="8">
        <f>QS.CONTEXT.ADD.CURVE(C2251,"SOFR",$K$2:$K$7,$L$2:$L$7,,,"Actual360","LogLinear",TRUE)</f>
        <v/>
      </c>
      <c r="E2251" s="8">
        <f>QS.INSTRUMENT.SWAP("swap.2249",C2251,H2251,B2251,"USD","SOFR",I2251,J2251,0,"Actual360","Simple","Annual","Annual","Annual")</f>
        <v/>
      </c>
      <c r="F2251" s="8">
        <f>QS.TRADE.CREATE("trade.2249",C2251,E2251,A2251,"Receive")</f>
        <v/>
      </c>
      <c r="G2251" s="5"/>
      <c r="H2251" s="7" t="s">
        <v>888</v>
      </c>
      <c r="I2251" s="9">
        <v>1224900</v>
      </c>
      <c r="J2251" s="10">
        <v>0.0399</v>
      </c>
    </row>
    <row r="2252" spans="1:10">
      <c r="A2252" s="7" t="s">
        <v>4112</v>
      </c>
      <c r="B2252" s="7" t="s">
        <v>4119</v>
      </c>
      <c r="C2252" s="8">
        <f>QS.CONTEXT.CREATE("market.2250",A2252,"USD","SOFR")</f>
        <v/>
      </c>
      <c r="D2252" s="8">
        <f>QS.CONTEXT.ADD.CURVE(C2252,"SOFR",$K$2:$K$7,$L$2:$L$7,,,"Actual360","LogLinear",TRUE)</f>
        <v/>
      </c>
      <c r="E2252" s="8">
        <f>QS.INSTRUMENT.SWAP("swap.2250",C2252,H2252,B2252,"USD","SOFR",I2252,J2252,0,"Actual360","Simple","Annual","Annual","Annual")</f>
        <v/>
      </c>
      <c r="F2252" s="8">
        <f>QS.TRADE.CREATE("trade.2250",C2252,E2252,A2252,"Receive")</f>
        <v/>
      </c>
      <c r="G2252" s="5"/>
      <c r="H2252" s="7" t="s">
        <v>890</v>
      </c>
      <c r="I2252" s="9">
        <v>1225000</v>
      </c>
      <c r="J2252" s="10">
        <v>0.035</v>
      </c>
    </row>
    <row r="2253" spans="1:10">
      <c r="A2253" s="7" t="s">
        <v>878</v>
      </c>
      <c r="B2253" s="7" t="s">
        <v>4120</v>
      </c>
      <c r="C2253" s="8">
        <f>QS.CONTEXT.CREATE("market.2251",A2253,"USD","SOFR")</f>
        <v/>
      </c>
      <c r="D2253" s="8">
        <f>QS.CONTEXT.ADD.CURVE(C2253,"SOFR",$K$2:$K$7,$L$2:$L$7,,,"Actual360","LogLinear",TRUE)</f>
        <v/>
      </c>
      <c r="E2253" s="8">
        <f>QS.INSTRUMENT.SWAP("swap.2251",C2253,H2253,B2253,"USD","SOFR",I2253,J2253,0,"Actual360","Simple","Annual","Annual","Annual")</f>
        <v/>
      </c>
      <c r="F2253" s="8">
        <f>QS.TRADE.CREATE("trade.2251",C2253,E2253,A2253,"Receive")</f>
        <v/>
      </c>
      <c r="G2253" s="5"/>
      <c r="H2253" s="7" t="s">
        <v>892</v>
      </c>
      <c r="I2253" s="9">
        <v>1225100</v>
      </c>
      <c r="J2253" s="10">
        <v>0.03510000000000001</v>
      </c>
    </row>
    <row r="2254" spans="1:10">
      <c r="A2254" s="7" t="s">
        <v>880</v>
      </c>
      <c r="B2254" s="7" t="s">
        <v>4121</v>
      </c>
      <c r="C2254" s="8">
        <f>QS.CONTEXT.CREATE("market.2252",A2254,"USD","SOFR")</f>
        <v/>
      </c>
      <c r="D2254" s="8">
        <f>QS.CONTEXT.ADD.CURVE(C2254,"SOFR",$K$2:$K$7,$L$2:$L$7,,,"Actual360","LogLinear",TRUE)</f>
        <v/>
      </c>
      <c r="E2254" s="8">
        <f>QS.INSTRUMENT.SWAP("swap.2252",C2254,H2254,B2254,"USD","SOFR",I2254,J2254,0,"Actual360","Simple","Annual","Annual","Annual")</f>
        <v/>
      </c>
      <c r="F2254" s="8">
        <f>QS.TRADE.CREATE("trade.2252",C2254,E2254,A2254,"Receive")</f>
        <v/>
      </c>
      <c r="G2254" s="5"/>
      <c r="H2254" s="7" t="s">
        <v>894</v>
      </c>
      <c r="I2254" s="9">
        <v>1225200</v>
      </c>
      <c r="J2254" s="10">
        <v>0.0352</v>
      </c>
    </row>
    <row r="2255" spans="1:10">
      <c r="A2255" s="7" t="s">
        <v>882</v>
      </c>
      <c r="B2255" s="7" t="s">
        <v>4122</v>
      </c>
      <c r="C2255" s="8">
        <f>QS.CONTEXT.CREATE("market.2253",A2255,"USD","SOFR")</f>
        <v/>
      </c>
      <c r="D2255" s="8">
        <f>QS.CONTEXT.ADD.CURVE(C2255,"SOFR",$K$2:$K$7,$L$2:$L$7,,,"Actual360","LogLinear",TRUE)</f>
        <v/>
      </c>
      <c r="E2255" s="8">
        <f>QS.INSTRUMENT.SWAP("swap.2253",C2255,H2255,B2255,"USD","SOFR",I2255,J2255,0,"Actual360","Simple","Annual","Annual","Annual")</f>
        <v/>
      </c>
      <c r="F2255" s="8">
        <f>QS.TRADE.CREATE("trade.2253",C2255,E2255,A2255,"Receive")</f>
        <v/>
      </c>
      <c r="G2255" s="5"/>
      <c r="H2255" s="7" t="s">
        <v>896</v>
      </c>
      <c r="I2255" s="9">
        <v>1225300</v>
      </c>
      <c r="J2255" s="10">
        <v>0.0353</v>
      </c>
    </row>
    <row r="2256" spans="1:10">
      <c r="A2256" s="7" t="s">
        <v>884</v>
      </c>
      <c r="B2256" s="7" t="s">
        <v>4123</v>
      </c>
      <c r="C2256" s="8">
        <f>QS.CONTEXT.CREATE("market.2254",A2256,"USD","SOFR")</f>
        <v/>
      </c>
      <c r="D2256" s="8">
        <f>QS.CONTEXT.ADD.CURVE(C2256,"SOFR",$K$2:$K$7,$L$2:$L$7,,,"Actual360","LogLinear",TRUE)</f>
        <v/>
      </c>
      <c r="E2256" s="8">
        <f>QS.INSTRUMENT.SWAP("swap.2254",C2256,H2256,B2256,"USD","SOFR",I2256,J2256,0,"Actual360","Simple","Annual","Annual","Annual")</f>
        <v/>
      </c>
      <c r="F2256" s="8">
        <f>QS.TRADE.CREATE("trade.2254",C2256,E2256,A2256,"Receive")</f>
        <v/>
      </c>
      <c r="G2256" s="5"/>
      <c r="H2256" s="7" t="s">
        <v>898</v>
      </c>
      <c r="I2256" s="9">
        <v>1225400</v>
      </c>
      <c r="J2256" s="10">
        <v>0.0354</v>
      </c>
    </row>
    <row r="2257" spans="1:10">
      <c r="A2257" s="7" t="s">
        <v>886</v>
      </c>
      <c r="B2257" s="7" t="s">
        <v>4124</v>
      </c>
      <c r="C2257" s="8">
        <f>QS.CONTEXT.CREATE("market.2255",A2257,"USD","SOFR")</f>
        <v/>
      </c>
      <c r="D2257" s="8">
        <f>QS.CONTEXT.ADD.CURVE(C2257,"SOFR",$K$2:$K$7,$L$2:$L$7,,,"Actual360","LogLinear",TRUE)</f>
        <v/>
      </c>
      <c r="E2257" s="8">
        <f>QS.INSTRUMENT.SWAP("swap.2255",C2257,H2257,B2257,"USD","SOFR",I2257,J2257,0,"Actual360","Simple","Annual","Annual","Annual")</f>
        <v/>
      </c>
      <c r="F2257" s="8">
        <f>QS.TRADE.CREATE("trade.2255",C2257,E2257,A2257,"Receive")</f>
        <v/>
      </c>
      <c r="G2257" s="5"/>
      <c r="H2257" s="7" t="s">
        <v>900</v>
      </c>
      <c r="I2257" s="9">
        <v>1225500</v>
      </c>
      <c r="J2257" s="10">
        <v>0.0355</v>
      </c>
    </row>
    <row r="2258" spans="1:10">
      <c r="A2258" s="7" t="s">
        <v>888</v>
      </c>
      <c r="B2258" s="7" t="s">
        <v>4125</v>
      </c>
      <c r="C2258" s="8">
        <f>QS.CONTEXT.CREATE("market.2256",A2258,"USD","SOFR")</f>
        <v/>
      </c>
      <c r="D2258" s="8">
        <f>QS.CONTEXT.ADD.CURVE(C2258,"SOFR",$K$2:$K$7,$L$2:$L$7,,,"Actual360","LogLinear",TRUE)</f>
        <v/>
      </c>
      <c r="E2258" s="8">
        <f>QS.INSTRUMENT.SWAP("swap.2256",C2258,H2258,B2258,"USD","SOFR",I2258,J2258,0,"Actual360","Simple","Annual","Annual","Annual")</f>
        <v/>
      </c>
      <c r="F2258" s="8">
        <f>QS.TRADE.CREATE("trade.2256",C2258,E2258,A2258,"Receive")</f>
        <v/>
      </c>
      <c r="G2258" s="5"/>
      <c r="H2258" s="7" t="s">
        <v>902</v>
      </c>
      <c r="I2258" s="9">
        <v>1225600</v>
      </c>
      <c r="J2258" s="10">
        <v>0.03560000000000001</v>
      </c>
    </row>
    <row r="2259" spans="1:10">
      <c r="A2259" s="7" t="s">
        <v>890</v>
      </c>
      <c r="B2259" s="7" t="s">
        <v>4126</v>
      </c>
      <c r="C2259" s="8">
        <f>QS.CONTEXT.CREATE("market.2257",A2259,"USD","SOFR")</f>
        <v/>
      </c>
      <c r="D2259" s="8">
        <f>QS.CONTEXT.ADD.CURVE(C2259,"SOFR",$K$2:$K$7,$L$2:$L$7,,,"Actual360","LogLinear",TRUE)</f>
        <v/>
      </c>
      <c r="E2259" s="8">
        <f>QS.INSTRUMENT.SWAP("swap.2257",C2259,H2259,B2259,"USD","SOFR",I2259,J2259,0,"Actual360","Simple","Annual","Annual","Annual")</f>
        <v/>
      </c>
      <c r="F2259" s="8">
        <f>QS.TRADE.CREATE("trade.2257",C2259,E2259,A2259,"Receive")</f>
        <v/>
      </c>
      <c r="G2259" s="5"/>
      <c r="H2259" s="7" t="s">
        <v>904</v>
      </c>
      <c r="I2259" s="9">
        <v>1225700</v>
      </c>
      <c r="J2259" s="10">
        <v>0.0357</v>
      </c>
    </row>
    <row r="2260" spans="1:10">
      <c r="A2260" s="7" t="s">
        <v>892</v>
      </c>
      <c r="B2260" s="7" t="s">
        <v>4127</v>
      </c>
      <c r="C2260" s="8">
        <f>QS.CONTEXT.CREATE("market.2258",A2260,"USD","SOFR")</f>
        <v/>
      </c>
      <c r="D2260" s="8">
        <f>QS.CONTEXT.ADD.CURVE(C2260,"SOFR",$K$2:$K$7,$L$2:$L$7,,,"Actual360","LogLinear",TRUE)</f>
        <v/>
      </c>
      <c r="E2260" s="8">
        <f>QS.INSTRUMENT.SWAP("swap.2258",C2260,H2260,B2260,"USD","SOFR",I2260,J2260,0,"Actual360","Simple","Annual","Annual","Annual")</f>
        <v/>
      </c>
      <c r="F2260" s="8">
        <f>QS.TRADE.CREATE("trade.2258",C2260,E2260,A2260,"Receive")</f>
        <v/>
      </c>
      <c r="G2260" s="5"/>
      <c r="H2260" s="7" t="s">
        <v>906</v>
      </c>
      <c r="I2260" s="9">
        <v>1225800</v>
      </c>
      <c r="J2260" s="10">
        <v>0.03580000000000001</v>
      </c>
    </row>
    <row r="2261" spans="1:10">
      <c r="A2261" s="7" t="s">
        <v>894</v>
      </c>
      <c r="B2261" s="7" t="s">
        <v>4128</v>
      </c>
      <c r="C2261" s="8">
        <f>QS.CONTEXT.CREATE("market.2259",A2261,"USD","SOFR")</f>
        <v/>
      </c>
      <c r="D2261" s="8">
        <f>QS.CONTEXT.ADD.CURVE(C2261,"SOFR",$K$2:$K$7,$L$2:$L$7,,,"Actual360","LogLinear",TRUE)</f>
        <v/>
      </c>
      <c r="E2261" s="8">
        <f>QS.INSTRUMENT.SWAP("swap.2259",C2261,H2261,B2261,"USD","SOFR",I2261,J2261,0,"Actual360","Simple","Annual","Annual","Annual")</f>
        <v/>
      </c>
      <c r="F2261" s="8">
        <f>QS.TRADE.CREATE("trade.2259",C2261,E2261,A2261,"Receive")</f>
        <v/>
      </c>
      <c r="G2261" s="5"/>
      <c r="H2261" s="7" t="s">
        <v>908</v>
      </c>
      <c r="I2261" s="9">
        <v>1225900</v>
      </c>
      <c r="J2261" s="10">
        <v>0.0359</v>
      </c>
    </row>
    <row r="2262" spans="1:10">
      <c r="A2262" s="7" t="s">
        <v>896</v>
      </c>
      <c r="B2262" s="7" t="s">
        <v>4129</v>
      </c>
      <c r="C2262" s="8">
        <f>QS.CONTEXT.CREATE("market.2260",A2262,"USD","SOFR")</f>
        <v/>
      </c>
      <c r="D2262" s="8">
        <f>QS.CONTEXT.ADD.CURVE(C2262,"SOFR",$K$2:$K$7,$L$2:$L$7,,,"Actual360","LogLinear",TRUE)</f>
        <v/>
      </c>
      <c r="E2262" s="8">
        <f>QS.INSTRUMENT.SWAP("swap.2260",C2262,H2262,B2262,"USD","SOFR",I2262,J2262,0,"Actual360","Simple","Annual","Annual","Annual")</f>
        <v/>
      </c>
      <c r="F2262" s="8">
        <f>QS.TRADE.CREATE("trade.2260",C2262,E2262,A2262,"Receive")</f>
        <v/>
      </c>
      <c r="G2262" s="5"/>
      <c r="H2262" s="7" t="s">
        <v>910</v>
      </c>
      <c r="I2262" s="9">
        <v>1226000</v>
      </c>
      <c r="J2262" s="10">
        <v>0.036</v>
      </c>
    </row>
    <row r="2263" spans="1:10">
      <c r="A2263" s="7" t="s">
        <v>898</v>
      </c>
      <c r="B2263" s="7" t="s">
        <v>4130</v>
      </c>
      <c r="C2263" s="8">
        <f>QS.CONTEXT.CREATE("market.2261",A2263,"USD","SOFR")</f>
        <v/>
      </c>
      <c r="D2263" s="8">
        <f>QS.CONTEXT.ADD.CURVE(C2263,"SOFR",$K$2:$K$7,$L$2:$L$7,,,"Actual360","LogLinear",TRUE)</f>
        <v/>
      </c>
      <c r="E2263" s="8">
        <f>QS.INSTRUMENT.SWAP("swap.2261",C2263,H2263,B2263,"USD","SOFR",I2263,J2263,0,"Actual360","Simple","Annual","Annual","Annual")</f>
        <v/>
      </c>
      <c r="F2263" s="8">
        <f>QS.TRADE.CREATE("trade.2261",C2263,E2263,A2263,"Receive")</f>
        <v/>
      </c>
      <c r="G2263" s="5"/>
      <c r="H2263" s="7" t="s">
        <v>912</v>
      </c>
      <c r="I2263" s="9">
        <v>1226100</v>
      </c>
      <c r="J2263" s="10">
        <v>0.0361</v>
      </c>
    </row>
    <row r="2264" spans="1:10">
      <c r="A2264" s="7" t="s">
        <v>900</v>
      </c>
      <c r="B2264" s="7" t="s">
        <v>4131</v>
      </c>
      <c r="C2264" s="8">
        <f>QS.CONTEXT.CREATE("market.2262",A2264,"USD","SOFR")</f>
        <v/>
      </c>
      <c r="D2264" s="8">
        <f>QS.CONTEXT.ADD.CURVE(C2264,"SOFR",$K$2:$K$7,$L$2:$L$7,,,"Actual360","LogLinear",TRUE)</f>
        <v/>
      </c>
      <c r="E2264" s="8">
        <f>QS.INSTRUMENT.SWAP("swap.2262",C2264,H2264,B2264,"USD","SOFR",I2264,J2264,0,"Actual360","Simple","Annual","Annual","Annual")</f>
        <v/>
      </c>
      <c r="F2264" s="8">
        <f>QS.TRADE.CREATE("trade.2262",C2264,E2264,A2264,"Receive")</f>
        <v/>
      </c>
      <c r="G2264" s="5"/>
      <c r="H2264" s="7" t="s">
        <v>914</v>
      </c>
      <c r="I2264" s="9">
        <v>1226200</v>
      </c>
      <c r="J2264" s="10">
        <v>0.0362</v>
      </c>
    </row>
    <row r="2265" spans="1:10">
      <c r="A2265" s="7" t="s">
        <v>902</v>
      </c>
      <c r="B2265" s="7" t="s">
        <v>4132</v>
      </c>
      <c r="C2265" s="8">
        <f>QS.CONTEXT.CREATE("market.2263",A2265,"USD","SOFR")</f>
        <v/>
      </c>
      <c r="D2265" s="8">
        <f>QS.CONTEXT.ADD.CURVE(C2265,"SOFR",$K$2:$K$7,$L$2:$L$7,,,"Actual360","LogLinear",TRUE)</f>
        <v/>
      </c>
      <c r="E2265" s="8">
        <f>QS.INSTRUMENT.SWAP("swap.2263",C2265,H2265,B2265,"USD","SOFR",I2265,J2265,0,"Actual360","Simple","Annual","Annual","Annual")</f>
        <v/>
      </c>
      <c r="F2265" s="8">
        <f>QS.TRADE.CREATE("trade.2263",C2265,E2265,A2265,"Receive")</f>
        <v/>
      </c>
      <c r="G2265" s="5"/>
      <c r="H2265" s="7" t="s">
        <v>916</v>
      </c>
      <c r="I2265" s="9">
        <v>1226300</v>
      </c>
      <c r="J2265" s="10">
        <v>0.03630000000000001</v>
      </c>
    </row>
    <row r="2266" spans="1:10">
      <c r="A2266" s="7" t="s">
        <v>904</v>
      </c>
      <c r="B2266" s="7" t="s">
        <v>4133</v>
      </c>
      <c r="C2266" s="8">
        <f>QS.CONTEXT.CREATE("market.2264",A2266,"USD","SOFR")</f>
        <v/>
      </c>
      <c r="D2266" s="8">
        <f>QS.CONTEXT.ADD.CURVE(C2266,"SOFR",$K$2:$K$7,$L$2:$L$7,,,"Actual360","LogLinear",TRUE)</f>
        <v/>
      </c>
      <c r="E2266" s="8">
        <f>QS.INSTRUMENT.SWAP("swap.2264",C2266,H2266,B2266,"USD","SOFR",I2266,J2266,0,"Actual360","Simple","Annual","Annual","Annual")</f>
        <v/>
      </c>
      <c r="F2266" s="8">
        <f>QS.TRADE.CREATE("trade.2264",C2266,E2266,A2266,"Receive")</f>
        <v/>
      </c>
      <c r="G2266" s="5"/>
      <c r="H2266" s="7" t="s">
        <v>918</v>
      </c>
      <c r="I2266" s="9">
        <v>1226400</v>
      </c>
      <c r="J2266" s="10">
        <v>0.0364</v>
      </c>
    </row>
    <row r="2267" spans="1:10">
      <c r="A2267" s="7" t="s">
        <v>906</v>
      </c>
      <c r="B2267" s="7" t="s">
        <v>4134</v>
      </c>
      <c r="C2267" s="8">
        <f>QS.CONTEXT.CREATE("market.2265",A2267,"USD","SOFR")</f>
        <v/>
      </c>
      <c r="D2267" s="8">
        <f>QS.CONTEXT.ADD.CURVE(C2267,"SOFR",$K$2:$K$7,$L$2:$L$7,,,"Actual360","LogLinear",TRUE)</f>
        <v/>
      </c>
      <c r="E2267" s="8">
        <f>QS.INSTRUMENT.SWAP("swap.2265",C2267,H2267,B2267,"USD","SOFR",I2267,J2267,0,"Actual360","Simple","Annual","Annual","Annual")</f>
        <v/>
      </c>
      <c r="F2267" s="8">
        <f>QS.TRADE.CREATE("trade.2265",C2267,E2267,A2267,"Receive")</f>
        <v/>
      </c>
      <c r="G2267" s="5"/>
      <c r="H2267" s="7" t="s">
        <v>920</v>
      </c>
      <c r="I2267" s="9">
        <v>1226500</v>
      </c>
      <c r="J2267" s="10">
        <v>0.0365</v>
      </c>
    </row>
    <row r="2268" spans="1:10">
      <c r="A2268" s="7" t="s">
        <v>908</v>
      </c>
      <c r="B2268" s="7" t="s">
        <v>4135</v>
      </c>
      <c r="C2268" s="8">
        <f>QS.CONTEXT.CREATE("market.2266",A2268,"USD","SOFR")</f>
        <v/>
      </c>
      <c r="D2268" s="8">
        <f>QS.CONTEXT.ADD.CURVE(C2268,"SOFR",$K$2:$K$7,$L$2:$L$7,,,"Actual360","LogLinear",TRUE)</f>
        <v/>
      </c>
      <c r="E2268" s="8">
        <f>QS.INSTRUMENT.SWAP("swap.2266",C2268,H2268,B2268,"USD","SOFR",I2268,J2268,0,"Actual360","Simple","Annual","Annual","Annual")</f>
        <v/>
      </c>
      <c r="F2268" s="8">
        <f>QS.TRADE.CREATE("trade.2266",C2268,E2268,A2268,"Receive")</f>
        <v/>
      </c>
      <c r="G2268" s="5"/>
      <c r="H2268" s="7" t="s">
        <v>922</v>
      </c>
      <c r="I2268" s="9">
        <v>1226600</v>
      </c>
      <c r="J2268" s="10">
        <v>0.0366</v>
      </c>
    </row>
    <row r="2269" spans="1:10">
      <c r="A2269" s="7" t="s">
        <v>910</v>
      </c>
      <c r="B2269" s="7" t="s">
        <v>4136</v>
      </c>
      <c r="C2269" s="8">
        <f>QS.CONTEXT.CREATE("market.2267",A2269,"USD","SOFR")</f>
        <v/>
      </c>
      <c r="D2269" s="8">
        <f>QS.CONTEXT.ADD.CURVE(C2269,"SOFR",$K$2:$K$7,$L$2:$L$7,,,"Actual360","LogLinear",TRUE)</f>
        <v/>
      </c>
      <c r="E2269" s="8">
        <f>QS.INSTRUMENT.SWAP("swap.2267",C2269,H2269,B2269,"USD","SOFR",I2269,J2269,0,"Actual360","Simple","Annual","Annual","Annual")</f>
        <v/>
      </c>
      <c r="F2269" s="8">
        <f>QS.TRADE.CREATE("trade.2267",C2269,E2269,A2269,"Receive")</f>
        <v/>
      </c>
      <c r="G2269" s="5"/>
      <c r="H2269" s="7" t="s">
        <v>924</v>
      </c>
      <c r="I2269" s="9">
        <v>1226700</v>
      </c>
      <c r="J2269" s="10">
        <v>0.0367</v>
      </c>
    </row>
    <row r="2270" spans="1:10">
      <c r="A2270" s="7" t="s">
        <v>912</v>
      </c>
      <c r="B2270" s="7" t="s">
        <v>4137</v>
      </c>
      <c r="C2270" s="8">
        <f>QS.CONTEXT.CREATE("market.2268",A2270,"USD","SOFR")</f>
        <v/>
      </c>
      <c r="D2270" s="8">
        <f>QS.CONTEXT.ADD.CURVE(C2270,"SOFR",$K$2:$K$7,$L$2:$L$7,,,"Actual360","LogLinear",TRUE)</f>
        <v/>
      </c>
      <c r="E2270" s="8">
        <f>QS.INSTRUMENT.SWAP("swap.2268",C2270,H2270,B2270,"USD","SOFR",I2270,J2270,0,"Actual360","Simple","Annual","Annual","Annual")</f>
        <v/>
      </c>
      <c r="F2270" s="8">
        <f>QS.TRADE.CREATE("trade.2268",C2270,E2270,A2270,"Receive")</f>
        <v/>
      </c>
      <c r="G2270" s="5"/>
      <c r="H2270" s="7" t="s">
        <v>926</v>
      </c>
      <c r="I2270" s="9">
        <v>1226800</v>
      </c>
      <c r="J2270" s="10">
        <v>0.03680000000000001</v>
      </c>
    </row>
    <row r="2271" spans="1:10">
      <c r="A2271" s="7" t="s">
        <v>914</v>
      </c>
      <c r="B2271" s="7" t="s">
        <v>4138</v>
      </c>
      <c r="C2271" s="8">
        <f>QS.CONTEXT.CREATE("market.2269",A2271,"USD","SOFR")</f>
        <v/>
      </c>
      <c r="D2271" s="8">
        <f>QS.CONTEXT.ADD.CURVE(C2271,"SOFR",$K$2:$K$7,$L$2:$L$7,,,"Actual360","LogLinear",TRUE)</f>
        <v/>
      </c>
      <c r="E2271" s="8">
        <f>QS.INSTRUMENT.SWAP("swap.2269",C2271,H2271,B2271,"USD","SOFR",I2271,J2271,0,"Actual360","Simple","Annual","Annual","Annual")</f>
        <v/>
      </c>
      <c r="F2271" s="8">
        <f>QS.TRADE.CREATE("trade.2269",C2271,E2271,A2271,"Receive")</f>
        <v/>
      </c>
      <c r="G2271" s="5"/>
      <c r="H2271" s="7" t="s">
        <v>928</v>
      </c>
      <c r="I2271" s="9">
        <v>1226900</v>
      </c>
      <c r="J2271" s="10">
        <v>0.0369</v>
      </c>
    </row>
    <row r="2272" spans="1:10">
      <c r="A2272" s="7" t="s">
        <v>916</v>
      </c>
      <c r="B2272" s="7" t="s">
        <v>4139</v>
      </c>
      <c r="C2272" s="8">
        <f>QS.CONTEXT.CREATE("market.2270",A2272,"USD","SOFR")</f>
        <v/>
      </c>
      <c r="D2272" s="8">
        <f>QS.CONTEXT.ADD.CURVE(C2272,"SOFR",$K$2:$K$7,$L$2:$L$7,,,"Actual360","LogLinear",TRUE)</f>
        <v/>
      </c>
      <c r="E2272" s="8">
        <f>QS.INSTRUMENT.SWAP("swap.2270",C2272,H2272,B2272,"USD","SOFR",I2272,J2272,0,"Actual360","Simple","Annual","Annual","Annual")</f>
        <v/>
      </c>
      <c r="F2272" s="8">
        <f>QS.TRADE.CREATE("trade.2270",C2272,E2272,A2272,"Receive")</f>
        <v/>
      </c>
      <c r="G2272" s="5"/>
      <c r="H2272" s="7" t="s">
        <v>930</v>
      </c>
      <c r="I2272" s="9">
        <v>1227000</v>
      </c>
      <c r="J2272" s="10">
        <v>0.03700000000000001</v>
      </c>
    </row>
    <row r="2273" spans="1:10">
      <c r="A2273" s="7" t="s">
        <v>918</v>
      </c>
      <c r="B2273" s="7" t="s">
        <v>4140</v>
      </c>
      <c r="C2273" s="8">
        <f>QS.CONTEXT.CREATE("market.2271",A2273,"USD","SOFR")</f>
        <v/>
      </c>
      <c r="D2273" s="8">
        <f>QS.CONTEXT.ADD.CURVE(C2273,"SOFR",$K$2:$K$7,$L$2:$L$7,,,"Actual360","LogLinear",TRUE)</f>
        <v/>
      </c>
      <c r="E2273" s="8">
        <f>QS.INSTRUMENT.SWAP("swap.2271",C2273,H2273,B2273,"USD","SOFR",I2273,J2273,0,"Actual360","Simple","Annual","Annual","Annual")</f>
        <v/>
      </c>
      <c r="F2273" s="8">
        <f>QS.TRADE.CREATE("trade.2271",C2273,E2273,A2273,"Receive")</f>
        <v/>
      </c>
      <c r="G2273" s="5"/>
      <c r="H2273" s="7" t="s">
        <v>932</v>
      </c>
      <c r="I2273" s="9">
        <v>1227100</v>
      </c>
      <c r="J2273" s="10">
        <v>0.0371</v>
      </c>
    </row>
    <row r="2274" spans="1:10">
      <c r="A2274" s="7" t="s">
        <v>920</v>
      </c>
      <c r="B2274" s="7" t="s">
        <v>4141</v>
      </c>
      <c r="C2274" s="8">
        <f>QS.CONTEXT.CREATE("market.2272",A2274,"USD","SOFR")</f>
        <v/>
      </c>
      <c r="D2274" s="8">
        <f>QS.CONTEXT.ADD.CURVE(C2274,"SOFR",$K$2:$K$7,$L$2:$L$7,,,"Actual360","LogLinear",TRUE)</f>
        <v/>
      </c>
      <c r="E2274" s="8">
        <f>QS.INSTRUMENT.SWAP("swap.2272",C2274,H2274,B2274,"USD","SOFR",I2274,J2274,0,"Actual360","Simple","Annual","Annual","Annual")</f>
        <v/>
      </c>
      <c r="F2274" s="8">
        <f>QS.TRADE.CREATE("trade.2272",C2274,E2274,A2274,"Receive")</f>
        <v/>
      </c>
      <c r="G2274" s="5"/>
      <c r="H2274" s="7" t="s">
        <v>934</v>
      </c>
      <c r="I2274" s="9">
        <v>1227200</v>
      </c>
      <c r="J2274" s="10">
        <v>0.0372</v>
      </c>
    </row>
    <row r="2275" spans="1:10">
      <c r="A2275" s="7" t="s">
        <v>922</v>
      </c>
      <c r="B2275" s="7" t="s">
        <v>4142</v>
      </c>
      <c r="C2275" s="8">
        <f>QS.CONTEXT.CREATE("market.2273",A2275,"USD","SOFR")</f>
        <v/>
      </c>
      <c r="D2275" s="8">
        <f>QS.CONTEXT.ADD.CURVE(C2275,"SOFR",$K$2:$K$7,$L$2:$L$7,,,"Actual360","LogLinear",TRUE)</f>
        <v/>
      </c>
      <c r="E2275" s="8">
        <f>QS.INSTRUMENT.SWAP("swap.2273",C2275,H2275,B2275,"USD","SOFR",I2275,J2275,0,"Actual360","Simple","Annual","Annual","Annual")</f>
        <v/>
      </c>
      <c r="F2275" s="8">
        <f>QS.TRADE.CREATE("trade.2273",C2275,E2275,A2275,"Receive")</f>
        <v/>
      </c>
      <c r="G2275" s="5"/>
      <c r="H2275" s="7" t="s">
        <v>936</v>
      </c>
      <c r="I2275" s="9">
        <v>1227300</v>
      </c>
      <c r="J2275" s="10">
        <v>0.0373</v>
      </c>
    </row>
    <row r="2276" spans="1:10">
      <c r="A2276" s="7" t="s">
        <v>924</v>
      </c>
      <c r="B2276" s="7" t="s">
        <v>4143</v>
      </c>
      <c r="C2276" s="8">
        <f>QS.CONTEXT.CREATE("market.2274",A2276,"USD","SOFR")</f>
        <v/>
      </c>
      <c r="D2276" s="8">
        <f>QS.CONTEXT.ADD.CURVE(C2276,"SOFR",$K$2:$K$7,$L$2:$L$7,,,"Actual360","LogLinear",TRUE)</f>
        <v/>
      </c>
      <c r="E2276" s="8">
        <f>QS.INSTRUMENT.SWAP("swap.2274",C2276,H2276,B2276,"USD","SOFR",I2276,J2276,0,"Actual360","Simple","Annual","Annual","Annual")</f>
        <v/>
      </c>
      <c r="F2276" s="8">
        <f>QS.TRADE.CREATE("trade.2274",C2276,E2276,A2276,"Receive")</f>
        <v/>
      </c>
      <c r="G2276" s="5"/>
      <c r="H2276" s="7" t="s">
        <v>938</v>
      </c>
      <c r="I2276" s="9">
        <v>1227400</v>
      </c>
      <c r="J2276" s="10">
        <v>0.0374</v>
      </c>
    </row>
    <row r="2277" spans="1:10">
      <c r="A2277" s="7" t="s">
        <v>926</v>
      </c>
      <c r="B2277" s="7" t="s">
        <v>4144</v>
      </c>
      <c r="C2277" s="8">
        <f>QS.CONTEXT.CREATE("market.2275",A2277,"USD","SOFR")</f>
        <v/>
      </c>
      <c r="D2277" s="8">
        <f>QS.CONTEXT.ADD.CURVE(C2277,"SOFR",$K$2:$K$7,$L$2:$L$7,,,"Actual360","LogLinear",TRUE)</f>
        <v/>
      </c>
      <c r="E2277" s="8">
        <f>QS.INSTRUMENT.SWAP("swap.2275",C2277,H2277,B2277,"USD","SOFR",I2277,J2277,0,"Actual360","Simple","Annual","Annual","Annual")</f>
        <v/>
      </c>
      <c r="F2277" s="8">
        <f>QS.TRADE.CREATE("trade.2275",C2277,E2277,A2277,"Receive")</f>
        <v/>
      </c>
      <c r="G2277" s="5"/>
      <c r="H2277" s="7" t="s">
        <v>940</v>
      </c>
      <c r="I2277" s="9">
        <v>1227500</v>
      </c>
      <c r="J2277" s="10">
        <v>0.03750000000000001</v>
      </c>
    </row>
    <row r="2278" spans="1:10">
      <c r="A2278" s="7" t="s">
        <v>928</v>
      </c>
      <c r="B2278" s="7" t="s">
        <v>4145</v>
      </c>
      <c r="C2278" s="8">
        <f>QS.CONTEXT.CREATE("market.2276",A2278,"USD","SOFR")</f>
        <v/>
      </c>
      <c r="D2278" s="8">
        <f>QS.CONTEXT.ADD.CURVE(C2278,"SOFR",$K$2:$K$7,$L$2:$L$7,,,"Actual360","LogLinear",TRUE)</f>
        <v/>
      </c>
      <c r="E2278" s="8">
        <f>QS.INSTRUMENT.SWAP("swap.2276",C2278,H2278,B2278,"USD","SOFR",I2278,J2278,0,"Actual360","Simple","Annual","Annual","Annual")</f>
        <v/>
      </c>
      <c r="F2278" s="8">
        <f>QS.TRADE.CREATE("trade.2276",C2278,E2278,A2278,"Receive")</f>
        <v/>
      </c>
      <c r="G2278" s="5"/>
      <c r="H2278" s="7" t="s">
        <v>942</v>
      </c>
      <c r="I2278" s="9">
        <v>1227600</v>
      </c>
      <c r="J2278" s="10">
        <v>0.0376</v>
      </c>
    </row>
    <row r="2279" spans="1:10">
      <c r="A2279" s="7" t="s">
        <v>930</v>
      </c>
      <c r="B2279" s="7" t="s">
        <v>4146</v>
      </c>
      <c r="C2279" s="8">
        <f>QS.CONTEXT.CREATE("market.2277",A2279,"USD","SOFR")</f>
        <v/>
      </c>
      <c r="D2279" s="8">
        <f>QS.CONTEXT.ADD.CURVE(C2279,"SOFR",$K$2:$K$7,$L$2:$L$7,,,"Actual360","LogLinear",TRUE)</f>
        <v/>
      </c>
      <c r="E2279" s="8">
        <f>QS.INSTRUMENT.SWAP("swap.2277",C2279,H2279,B2279,"USD","SOFR",I2279,J2279,0,"Actual360","Simple","Annual","Annual","Annual")</f>
        <v/>
      </c>
      <c r="F2279" s="8">
        <f>QS.TRADE.CREATE("trade.2277",C2279,E2279,A2279,"Receive")</f>
        <v/>
      </c>
      <c r="G2279" s="5"/>
      <c r="H2279" s="7" t="s">
        <v>944</v>
      </c>
      <c r="I2279" s="9">
        <v>1227700</v>
      </c>
      <c r="J2279" s="10">
        <v>0.0377</v>
      </c>
    </row>
    <row r="2280" spans="1:10">
      <c r="A2280" s="7" t="s">
        <v>932</v>
      </c>
      <c r="B2280" s="7" t="s">
        <v>4147</v>
      </c>
      <c r="C2280" s="8">
        <f>QS.CONTEXT.CREATE("market.2278",A2280,"USD","SOFR")</f>
        <v/>
      </c>
      <c r="D2280" s="8">
        <f>QS.CONTEXT.ADD.CURVE(C2280,"SOFR",$K$2:$K$7,$L$2:$L$7,,,"Actual360","LogLinear",TRUE)</f>
        <v/>
      </c>
      <c r="E2280" s="8">
        <f>QS.INSTRUMENT.SWAP("swap.2278",C2280,H2280,B2280,"USD","SOFR",I2280,J2280,0,"Actual360","Simple","Annual","Annual","Annual")</f>
        <v/>
      </c>
      <c r="F2280" s="8">
        <f>QS.TRADE.CREATE("trade.2278",C2280,E2280,A2280,"Receive")</f>
        <v/>
      </c>
      <c r="G2280" s="5"/>
      <c r="H2280" s="7" t="s">
        <v>946</v>
      </c>
      <c r="I2280" s="9">
        <v>1227800</v>
      </c>
      <c r="J2280" s="10">
        <v>0.0378</v>
      </c>
    </row>
    <row r="2281" spans="1:10">
      <c r="A2281" s="7" t="s">
        <v>934</v>
      </c>
      <c r="B2281" s="7" t="s">
        <v>4148</v>
      </c>
      <c r="C2281" s="8">
        <f>QS.CONTEXT.CREATE("market.2279",A2281,"USD","SOFR")</f>
        <v/>
      </c>
      <c r="D2281" s="8">
        <f>QS.CONTEXT.ADD.CURVE(C2281,"SOFR",$K$2:$K$7,$L$2:$L$7,,,"Actual360","LogLinear",TRUE)</f>
        <v/>
      </c>
      <c r="E2281" s="8">
        <f>QS.INSTRUMENT.SWAP("swap.2279",C2281,H2281,B2281,"USD","SOFR",I2281,J2281,0,"Actual360","Simple","Annual","Annual","Annual")</f>
        <v/>
      </c>
      <c r="F2281" s="8">
        <f>QS.TRADE.CREATE("trade.2279",C2281,E2281,A2281,"Receive")</f>
        <v/>
      </c>
      <c r="G2281" s="5"/>
      <c r="H2281" s="7" t="s">
        <v>948</v>
      </c>
      <c r="I2281" s="9">
        <v>1227900</v>
      </c>
      <c r="J2281" s="10">
        <v>0.0379</v>
      </c>
    </row>
    <row r="2282" spans="1:10">
      <c r="A2282" s="7" t="s">
        <v>936</v>
      </c>
      <c r="B2282" s="7" t="s">
        <v>4149</v>
      </c>
      <c r="C2282" s="8">
        <f>QS.CONTEXT.CREATE("market.2280",A2282,"USD","SOFR")</f>
        <v/>
      </c>
      <c r="D2282" s="8">
        <f>QS.CONTEXT.ADD.CURVE(C2282,"SOFR",$K$2:$K$7,$L$2:$L$7,,,"Actual360","LogLinear",TRUE)</f>
        <v/>
      </c>
      <c r="E2282" s="8">
        <f>QS.INSTRUMENT.SWAP("swap.2280",C2282,H2282,B2282,"USD","SOFR",I2282,J2282,0,"Actual360","Simple","Annual","Annual","Annual")</f>
        <v/>
      </c>
      <c r="F2282" s="8">
        <f>QS.TRADE.CREATE("trade.2280",C2282,E2282,A2282,"Receive")</f>
        <v/>
      </c>
      <c r="G2282" s="5"/>
      <c r="H2282" s="7" t="s">
        <v>950</v>
      </c>
      <c r="I2282" s="9">
        <v>1228000</v>
      </c>
      <c r="J2282" s="10">
        <v>0.03800000000000001</v>
      </c>
    </row>
    <row r="2283" spans="1:10">
      <c r="A2283" s="7" t="s">
        <v>938</v>
      </c>
      <c r="B2283" s="7" t="s">
        <v>4150</v>
      </c>
      <c r="C2283" s="8">
        <f>QS.CONTEXT.CREATE("market.2281",A2283,"USD","SOFR")</f>
        <v/>
      </c>
      <c r="D2283" s="8">
        <f>QS.CONTEXT.ADD.CURVE(C2283,"SOFR",$K$2:$K$7,$L$2:$L$7,,,"Actual360","LogLinear",TRUE)</f>
        <v/>
      </c>
      <c r="E2283" s="8">
        <f>QS.INSTRUMENT.SWAP("swap.2281",C2283,H2283,B2283,"USD","SOFR",I2283,J2283,0,"Actual360","Simple","Annual","Annual","Annual")</f>
        <v/>
      </c>
      <c r="F2283" s="8">
        <f>QS.TRADE.CREATE("trade.2281",C2283,E2283,A2283,"Receive")</f>
        <v/>
      </c>
      <c r="G2283" s="5"/>
      <c r="H2283" s="7" t="s">
        <v>952</v>
      </c>
      <c r="I2283" s="9">
        <v>1228100</v>
      </c>
      <c r="J2283" s="10">
        <v>0.0381</v>
      </c>
    </row>
    <row r="2284" spans="1:10">
      <c r="A2284" s="7" t="s">
        <v>940</v>
      </c>
      <c r="B2284" s="7" t="s">
        <v>4151</v>
      </c>
      <c r="C2284" s="8">
        <f>QS.CONTEXT.CREATE("market.2282",A2284,"USD","SOFR")</f>
        <v/>
      </c>
      <c r="D2284" s="8">
        <f>QS.CONTEXT.ADD.CURVE(C2284,"SOFR",$K$2:$K$7,$L$2:$L$7,,,"Actual360","LogLinear",TRUE)</f>
        <v/>
      </c>
      <c r="E2284" s="8">
        <f>QS.INSTRUMENT.SWAP("swap.2282",C2284,H2284,B2284,"USD","SOFR",I2284,J2284,0,"Actual360","Simple","Annual","Annual","Annual")</f>
        <v/>
      </c>
      <c r="F2284" s="8">
        <f>QS.TRADE.CREATE("trade.2282",C2284,E2284,A2284,"Receive")</f>
        <v/>
      </c>
      <c r="G2284" s="5"/>
      <c r="H2284" s="7" t="s">
        <v>954</v>
      </c>
      <c r="I2284" s="9">
        <v>1228200</v>
      </c>
      <c r="J2284" s="10">
        <v>0.0382</v>
      </c>
    </row>
    <row r="2285" spans="1:10">
      <c r="A2285" s="7" t="s">
        <v>942</v>
      </c>
      <c r="B2285" s="7" t="s">
        <v>4152</v>
      </c>
      <c r="C2285" s="8">
        <f>QS.CONTEXT.CREATE("market.2283",A2285,"USD","SOFR")</f>
        <v/>
      </c>
      <c r="D2285" s="8">
        <f>QS.CONTEXT.ADD.CURVE(C2285,"SOFR",$K$2:$K$7,$L$2:$L$7,,,"Actual360","LogLinear",TRUE)</f>
        <v/>
      </c>
      <c r="E2285" s="8">
        <f>QS.INSTRUMENT.SWAP("swap.2283",C2285,H2285,B2285,"USD","SOFR",I2285,J2285,0,"Actual360","Simple","Annual","Annual","Annual")</f>
        <v/>
      </c>
      <c r="F2285" s="8">
        <f>QS.TRADE.CREATE("trade.2283",C2285,E2285,A2285,"Receive")</f>
        <v/>
      </c>
      <c r="G2285" s="5"/>
      <c r="H2285" s="7" t="s">
        <v>956</v>
      </c>
      <c r="I2285" s="9">
        <v>1228300</v>
      </c>
      <c r="J2285" s="10">
        <v>0.0383</v>
      </c>
    </row>
    <row r="2286" spans="1:10">
      <c r="A2286" s="7" t="s">
        <v>944</v>
      </c>
      <c r="B2286" s="7" t="s">
        <v>4153</v>
      </c>
      <c r="C2286" s="8">
        <f>QS.CONTEXT.CREATE("market.2284",A2286,"USD","SOFR")</f>
        <v/>
      </c>
      <c r="D2286" s="8">
        <f>QS.CONTEXT.ADD.CURVE(C2286,"SOFR",$K$2:$K$7,$L$2:$L$7,,,"Actual360","LogLinear",TRUE)</f>
        <v/>
      </c>
      <c r="E2286" s="8">
        <f>QS.INSTRUMENT.SWAP("swap.2284",C2286,H2286,B2286,"USD","SOFR",I2286,J2286,0,"Actual360","Simple","Annual","Annual","Annual")</f>
        <v/>
      </c>
      <c r="F2286" s="8">
        <f>QS.TRADE.CREATE("trade.2284",C2286,E2286,A2286,"Receive")</f>
        <v/>
      </c>
      <c r="G2286" s="5"/>
      <c r="H2286" s="7" t="s">
        <v>958</v>
      </c>
      <c r="I2286" s="9">
        <v>1228400</v>
      </c>
      <c r="J2286" s="10">
        <v>0.0384</v>
      </c>
    </row>
    <row r="2287" spans="1:10">
      <c r="A2287" s="7" t="s">
        <v>946</v>
      </c>
      <c r="B2287" s="7" t="s">
        <v>4154</v>
      </c>
      <c r="C2287" s="8">
        <f>QS.CONTEXT.CREATE("market.2285",A2287,"USD","SOFR")</f>
        <v/>
      </c>
      <c r="D2287" s="8">
        <f>QS.CONTEXT.ADD.CURVE(C2287,"SOFR",$K$2:$K$7,$L$2:$L$7,,,"Actual360","LogLinear",TRUE)</f>
        <v/>
      </c>
      <c r="E2287" s="8">
        <f>QS.INSTRUMENT.SWAP("swap.2285",C2287,H2287,B2287,"USD","SOFR",I2287,J2287,0,"Actual360","Simple","Annual","Annual","Annual")</f>
        <v/>
      </c>
      <c r="F2287" s="8">
        <f>QS.TRADE.CREATE("trade.2285",C2287,E2287,A2287,"Receive")</f>
        <v/>
      </c>
      <c r="G2287" s="5"/>
      <c r="H2287" s="7" t="s">
        <v>960</v>
      </c>
      <c r="I2287" s="9">
        <v>1228500</v>
      </c>
      <c r="J2287" s="10">
        <v>0.03850000000000001</v>
      </c>
    </row>
    <row r="2288" spans="1:10">
      <c r="A2288" s="7" t="s">
        <v>948</v>
      </c>
      <c r="B2288" s="7" t="s">
        <v>4155</v>
      </c>
      <c r="C2288" s="8">
        <f>QS.CONTEXT.CREATE("market.2286",A2288,"USD","SOFR")</f>
        <v/>
      </c>
      <c r="D2288" s="8">
        <f>QS.CONTEXT.ADD.CURVE(C2288,"SOFR",$K$2:$K$7,$L$2:$L$7,,,"Actual360","LogLinear",TRUE)</f>
        <v/>
      </c>
      <c r="E2288" s="8">
        <f>QS.INSTRUMENT.SWAP("swap.2286",C2288,H2288,B2288,"USD","SOFR",I2288,J2288,0,"Actual360","Simple","Annual","Annual","Annual")</f>
        <v/>
      </c>
      <c r="F2288" s="8">
        <f>QS.TRADE.CREATE("trade.2286",C2288,E2288,A2288,"Receive")</f>
        <v/>
      </c>
      <c r="G2288" s="5"/>
      <c r="H2288" s="7" t="s">
        <v>962</v>
      </c>
      <c r="I2288" s="9">
        <v>1228600</v>
      </c>
      <c r="J2288" s="10">
        <v>0.0386</v>
      </c>
    </row>
    <row r="2289" spans="1:10">
      <c r="A2289" s="7" t="s">
        <v>950</v>
      </c>
      <c r="B2289" s="7" t="s">
        <v>4156</v>
      </c>
      <c r="C2289" s="8">
        <f>QS.CONTEXT.CREATE("market.2287",A2289,"USD","SOFR")</f>
        <v/>
      </c>
      <c r="D2289" s="8">
        <f>QS.CONTEXT.ADD.CURVE(C2289,"SOFR",$K$2:$K$7,$L$2:$L$7,,,"Actual360","LogLinear",TRUE)</f>
        <v/>
      </c>
      <c r="E2289" s="8">
        <f>QS.INSTRUMENT.SWAP("swap.2287",C2289,H2289,B2289,"USD","SOFR",I2289,J2289,0,"Actual360","Simple","Annual","Annual","Annual")</f>
        <v/>
      </c>
      <c r="F2289" s="8">
        <f>QS.TRADE.CREATE("trade.2287",C2289,E2289,A2289,"Receive")</f>
        <v/>
      </c>
      <c r="G2289" s="5"/>
      <c r="H2289" s="7" t="s">
        <v>964</v>
      </c>
      <c r="I2289" s="9">
        <v>1228700</v>
      </c>
      <c r="J2289" s="10">
        <v>0.03870000000000001</v>
      </c>
    </row>
    <row r="2290" spans="1:10">
      <c r="A2290" s="7" t="s">
        <v>952</v>
      </c>
      <c r="B2290" s="7" t="s">
        <v>4157</v>
      </c>
      <c r="C2290" s="8">
        <f>QS.CONTEXT.CREATE("market.2288",A2290,"USD","SOFR")</f>
        <v/>
      </c>
      <c r="D2290" s="8">
        <f>QS.CONTEXT.ADD.CURVE(C2290,"SOFR",$K$2:$K$7,$L$2:$L$7,,,"Actual360","LogLinear",TRUE)</f>
        <v/>
      </c>
      <c r="E2290" s="8">
        <f>QS.INSTRUMENT.SWAP("swap.2288",C2290,H2290,B2290,"USD","SOFR",I2290,J2290,0,"Actual360","Simple","Annual","Annual","Annual")</f>
        <v/>
      </c>
      <c r="F2290" s="8">
        <f>QS.TRADE.CREATE("trade.2288",C2290,E2290,A2290,"Receive")</f>
        <v/>
      </c>
      <c r="G2290" s="5"/>
      <c r="H2290" s="7" t="s">
        <v>966</v>
      </c>
      <c r="I2290" s="9">
        <v>1228800</v>
      </c>
      <c r="J2290" s="10">
        <v>0.0388</v>
      </c>
    </row>
    <row r="2291" spans="1:10">
      <c r="A2291" s="7" t="s">
        <v>954</v>
      </c>
      <c r="B2291" s="7" t="s">
        <v>4158</v>
      </c>
      <c r="C2291" s="8">
        <f>QS.CONTEXT.CREATE("market.2289",A2291,"USD","SOFR")</f>
        <v/>
      </c>
      <c r="D2291" s="8">
        <f>QS.CONTEXT.ADD.CURVE(C2291,"SOFR",$K$2:$K$7,$L$2:$L$7,,,"Actual360","LogLinear",TRUE)</f>
        <v/>
      </c>
      <c r="E2291" s="8">
        <f>QS.INSTRUMENT.SWAP("swap.2289",C2291,H2291,B2291,"USD","SOFR",I2291,J2291,0,"Actual360","Simple","Annual","Annual","Annual")</f>
        <v/>
      </c>
      <c r="F2291" s="8">
        <f>QS.TRADE.CREATE("trade.2289",C2291,E2291,A2291,"Receive")</f>
        <v/>
      </c>
      <c r="G2291" s="5"/>
      <c r="H2291" s="7" t="s">
        <v>968</v>
      </c>
      <c r="I2291" s="9">
        <v>1228900</v>
      </c>
      <c r="J2291" s="10">
        <v>0.0389</v>
      </c>
    </row>
    <row r="2292" spans="1:10">
      <c r="A2292" s="7" t="s">
        <v>956</v>
      </c>
      <c r="B2292" s="7" t="s">
        <v>4159</v>
      </c>
      <c r="C2292" s="8">
        <f>QS.CONTEXT.CREATE("market.2290",A2292,"USD","SOFR")</f>
        <v/>
      </c>
      <c r="D2292" s="8">
        <f>QS.CONTEXT.ADD.CURVE(C2292,"SOFR",$K$2:$K$7,$L$2:$L$7,,,"Actual360","LogLinear",TRUE)</f>
        <v/>
      </c>
      <c r="E2292" s="8">
        <f>QS.INSTRUMENT.SWAP("swap.2290",C2292,H2292,B2292,"USD","SOFR",I2292,J2292,0,"Actual360","Simple","Annual","Annual","Annual")</f>
        <v/>
      </c>
      <c r="F2292" s="8">
        <f>QS.TRADE.CREATE("trade.2290",C2292,E2292,A2292,"Receive")</f>
        <v/>
      </c>
      <c r="G2292" s="5"/>
      <c r="H2292" s="7" t="s">
        <v>970</v>
      </c>
      <c r="I2292" s="9">
        <v>1229000</v>
      </c>
      <c r="J2292" s="10">
        <v>0.03900000000000001</v>
      </c>
    </row>
    <row r="2293" spans="1:10">
      <c r="A2293" s="7" t="s">
        <v>958</v>
      </c>
      <c r="B2293" s="7" t="s">
        <v>4160</v>
      </c>
      <c r="C2293" s="8">
        <f>QS.CONTEXT.CREATE("market.2291",A2293,"USD","SOFR")</f>
        <v/>
      </c>
      <c r="D2293" s="8">
        <f>QS.CONTEXT.ADD.CURVE(C2293,"SOFR",$K$2:$K$7,$L$2:$L$7,,,"Actual360","LogLinear",TRUE)</f>
        <v/>
      </c>
      <c r="E2293" s="8">
        <f>QS.INSTRUMENT.SWAP("swap.2291",C2293,H2293,B2293,"USD","SOFR",I2293,J2293,0,"Actual360","Simple","Annual","Annual","Annual")</f>
        <v/>
      </c>
      <c r="F2293" s="8">
        <f>QS.TRADE.CREATE("trade.2291",C2293,E2293,A2293,"Receive")</f>
        <v/>
      </c>
      <c r="G2293" s="5"/>
      <c r="H2293" s="7" t="s">
        <v>972</v>
      </c>
      <c r="I2293" s="9">
        <v>1229100</v>
      </c>
      <c r="J2293" s="10">
        <v>0.0391</v>
      </c>
    </row>
    <row r="2294" spans="1:10">
      <c r="A2294" s="7" t="s">
        <v>960</v>
      </c>
      <c r="B2294" s="7" t="s">
        <v>4161</v>
      </c>
      <c r="C2294" s="8">
        <f>QS.CONTEXT.CREATE("market.2292",A2294,"USD","SOFR")</f>
        <v/>
      </c>
      <c r="D2294" s="8">
        <f>QS.CONTEXT.ADD.CURVE(C2294,"SOFR",$K$2:$K$7,$L$2:$L$7,,,"Actual360","LogLinear",TRUE)</f>
        <v/>
      </c>
      <c r="E2294" s="8">
        <f>QS.INSTRUMENT.SWAP("swap.2292",C2294,H2294,B2294,"USD","SOFR",I2294,J2294,0,"Actual360","Simple","Annual","Annual","Annual")</f>
        <v/>
      </c>
      <c r="F2294" s="8">
        <f>QS.TRADE.CREATE("trade.2292",C2294,E2294,A2294,"Receive")</f>
        <v/>
      </c>
      <c r="G2294" s="5"/>
      <c r="H2294" s="7" t="s">
        <v>974</v>
      </c>
      <c r="I2294" s="9">
        <v>1229200</v>
      </c>
      <c r="J2294" s="10">
        <v>0.03920000000000001</v>
      </c>
    </row>
    <row r="2295" spans="1:10">
      <c r="A2295" s="7" t="s">
        <v>962</v>
      </c>
      <c r="B2295" s="7" t="s">
        <v>4162</v>
      </c>
      <c r="C2295" s="8">
        <f>QS.CONTEXT.CREATE("market.2293",A2295,"USD","SOFR")</f>
        <v/>
      </c>
      <c r="D2295" s="8">
        <f>QS.CONTEXT.ADD.CURVE(C2295,"SOFR",$K$2:$K$7,$L$2:$L$7,,,"Actual360","LogLinear",TRUE)</f>
        <v/>
      </c>
      <c r="E2295" s="8">
        <f>QS.INSTRUMENT.SWAP("swap.2293",C2295,H2295,B2295,"USD","SOFR",I2295,J2295,0,"Actual360","Simple","Annual","Annual","Annual")</f>
        <v/>
      </c>
      <c r="F2295" s="8">
        <f>QS.TRADE.CREATE("trade.2293",C2295,E2295,A2295,"Receive")</f>
        <v/>
      </c>
      <c r="G2295" s="5"/>
      <c r="H2295" s="7" t="s">
        <v>976</v>
      </c>
      <c r="I2295" s="9">
        <v>1229300</v>
      </c>
      <c r="J2295" s="10">
        <v>0.0393</v>
      </c>
    </row>
    <row r="2296" spans="1:10">
      <c r="A2296" s="7" t="s">
        <v>964</v>
      </c>
      <c r="B2296" s="7" t="s">
        <v>4163</v>
      </c>
      <c r="C2296" s="8">
        <f>QS.CONTEXT.CREATE("market.2294",A2296,"USD","SOFR")</f>
        <v/>
      </c>
      <c r="D2296" s="8">
        <f>QS.CONTEXT.ADD.CURVE(C2296,"SOFR",$K$2:$K$7,$L$2:$L$7,,,"Actual360","LogLinear",TRUE)</f>
        <v/>
      </c>
      <c r="E2296" s="8">
        <f>QS.INSTRUMENT.SWAP("swap.2294",C2296,H2296,B2296,"USD","SOFR",I2296,J2296,0,"Actual360","Simple","Annual","Annual","Annual")</f>
        <v/>
      </c>
      <c r="F2296" s="8">
        <f>QS.TRADE.CREATE("trade.2294",C2296,E2296,A2296,"Receive")</f>
        <v/>
      </c>
      <c r="G2296" s="5"/>
      <c r="H2296" s="7" t="s">
        <v>978</v>
      </c>
      <c r="I2296" s="9">
        <v>1229400</v>
      </c>
      <c r="J2296" s="10">
        <v>0.0394</v>
      </c>
    </row>
    <row r="2297" spans="1:10">
      <c r="A2297" s="7" t="s">
        <v>966</v>
      </c>
      <c r="B2297" s="7" t="s">
        <v>4164</v>
      </c>
      <c r="C2297" s="8">
        <f>QS.CONTEXT.CREATE("market.2295",A2297,"USD","SOFR")</f>
        <v/>
      </c>
      <c r="D2297" s="8">
        <f>QS.CONTEXT.ADD.CURVE(C2297,"SOFR",$K$2:$K$7,$L$2:$L$7,,,"Actual360","LogLinear",TRUE)</f>
        <v/>
      </c>
      <c r="E2297" s="8">
        <f>QS.INSTRUMENT.SWAP("swap.2295",C2297,H2297,B2297,"USD","SOFR",I2297,J2297,0,"Actual360","Simple","Annual","Annual","Annual")</f>
        <v/>
      </c>
      <c r="F2297" s="8">
        <f>QS.TRADE.CREATE("trade.2295",C2297,E2297,A2297,"Receive")</f>
        <v/>
      </c>
      <c r="G2297" s="5"/>
      <c r="H2297" s="7" t="s">
        <v>980</v>
      </c>
      <c r="I2297" s="9">
        <v>1229500</v>
      </c>
      <c r="J2297" s="10">
        <v>0.03950000000000001</v>
      </c>
    </row>
    <row r="2298" spans="1:10">
      <c r="A2298" s="7" t="s">
        <v>968</v>
      </c>
      <c r="B2298" s="7" t="s">
        <v>4165</v>
      </c>
      <c r="C2298" s="8">
        <f>QS.CONTEXT.CREATE("market.2296",A2298,"USD","SOFR")</f>
        <v/>
      </c>
      <c r="D2298" s="8">
        <f>QS.CONTEXT.ADD.CURVE(C2298,"SOFR",$K$2:$K$7,$L$2:$L$7,,,"Actual360","LogLinear",TRUE)</f>
        <v/>
      </c>
      <c r="E2298" s="8">
        <f>QS.INSTRUMENT.SWAP("swap.2296",C2298,H2298,B2298,"USD","SOFR",I2298,J2298,0,"Actual360","Simple","Annual","Annual","Annual")</f>
        <v/>
      </c>
      <c r="F2298" s="8">
        <f>QS.TRADE.CREATE("trade.2296",C2298,E2298,A2298,"Receive")</f>
        <v/>
      </c>
      <c r="G2298" s="5"/>
      <c r="H2298" s="7" t="s">
        <v>982</v>
      </c>
      <c r="I2298" s="9">
        <v>1229600</v>
      </c>
      <c r="J2298" s="10">
        <v>0.0396</v>
      </c>
    </row>
    <row r="2299" spans="1:10">
      <c r="A2299" s="7" t="s">
        <v>970</v>
      </c>
      <c r="B2299" s="7" t="s">
        <v>4166</v>
      </c>
      <c r="C2299" s="8">
        <f>QS.CONTEXT.CREATE("market.2297",A2299,"USD","SOFR")</f>
        <v/>
      </c>
      <c r="D2299" s="8">
        <f>QS.CONTEXT.ADD.CURVE(C2299,"SOFR",$K$2:$K$7,$L$2:$L$7,,,"Actual360","LogLinear",TRUE)</f>
        <v/>
      </c>
      <c r="E2299" s="8">
        <f>QS.INSTRUMENT.SWAP("swap.2297",C2299,H2299,B2299,"USD","SOFR",I2299,J2299,0,"Actual360","Simple","Annual","Annual","Annual")</f>
        <v/>
      </c>
      <c r="F2299" s="8">
        <f>QS.TRADE.CREATE("trade.2297",C2299,E2299,A2299,"Receive")</f>
        <v/>
      </c>
      <c r="G2299" s="5"/>
      <c r="H2299" s="7" t="s">
        <v>984</v>
      </c>
      <c r="I2299" s="9">
        <v>1229700</v>
      </c>
      <c r="J2299" s="10">
        <v>0.03970000000000001</v>
      </c>
    </row>
    <row r="2300" spans="1:10">
      <c r="A2300" s="7" t="s">
        <v>972</v>
      </c>
      <c r="B2300" s="7" t="s">
        <v>4167</v>
      </c>
      <c r="C2300" s="8">
        <f>QS.CONTEXT.CREATE("market.2298",A2300,"USD","SOFR")</f>
        <v/>
      </c>
      <c r="D2300" s="8">
        <f>QS.CONTEXT.ADD.CURVE(C2300,"SOFR",$K$2:$K$7,$L$2:$L$7,,,"Actual360","LogLinear",TRUE)</f>
        <v/>
      </c>
      <c r="E2300" s="8">
        <f>QS.INSTRUMENT.SWAP("swap.2298",C2300,H2300,B2300,"USD","SOFR",I2300,J2300,0,"Actual360","Simple","Annual","Annual","Annual")</f>
        <v/>
      </c>
      <c r="F2300" s="8">
        <f>QS.TRADE.CREATE("trade.2298",C2300,E2300,A2300,"Receive")</f>
        <v/>
      </c>
      <c r="G2300" s="5"/>
      <c r="H2300" s="7" t="s">
        <v>986</v>
      </c>
      <c r="I2300" s="9">
        <v>1229800</v>
      </c>
      <c r="J2300" s="10">
        <v>0.0398</v>
      </c>
    </row>
    <row r="2301" spans="1:10">
      <c r="A2301" s="7" t="s">
        <v>974</v>
      </c>
      <c r="B2301" s="7" t="s">
        <v>4168</v>
      </c>
      <c r="C2301" s="8">
        <f>QS.CONTEXT.CREATE("market.2299",A2301,"USD","SOFR")</f>
        <v/>
      </c>
      <c r="D2301" s="8">
        <f>QS.CONTEXT.ADD.CURVE(C2301,"SOFR",$K$2:$K$7,$L$2:$L$7,,,"Actual360","LogLinear",TRUE)</f>
        <v/>
      </c>
      <c r="E2301" s="8">
        <f>QS.INSTRUMENT.SWAP("swap.2299",C2301,H2301,B2301,"USD","SOFR",I2301,J2301,0,"Actual360","Simple","Annual","Annual","Annual")</f>
        <v/>
      </c>
      <c r="F2301" s="8">
        <f>QS.TRADE.CREATE("trade.2299",C2301,E2301,A2301,"Receive")</f>
        <v/>
      </c>
      <c r="G2301" s="5"/>
      <c r="H2301" s="7" t="s">
        <v>988</v>
      </c>
      <c r="I2301" s="9">
        <v>1229900</v>
      </c>
      <c r="J2301" s="10">
        <v>0.0399</v>
      </c>
    </row>
    <row r="2302" spans="1:10">
      <c r="A2302" s="7" t="s">
        <v>976</v>
      </c>
      <c r="B2302" s="7" t="s">
        <v>4169</v>
      </c>
      <c r="C2302" s="8">
        <f>QS.CONTEXT.CREATE("market.2300",A2302,"USD","SOFR")</f>
        <v/>
      </c>
      <c r="D2302" s="8">
        <f>QS.CONTEXT.ADD.CURVE(C2302,"SOFR",$K$2:$K$7,$L$2:$L$7,,,"Actual360","LogLinear",TRUE)</f>
        <v/>
      </c>
      <c r="E2302" s="8">
        <f>QS.INSTRUMENT.SWAP("swap.2300",C2302,H2302,B2302,"USD","SOFR",I2302,J2302,0,"Actual360","Simple","Annual","Annual","Annual")</f>
        <v/>
      </c>
      <c r="F2302" s="8">
        <f>QS.TRADE.CREATE("trade.2300",C2302,E2302,A2302,"Receive")</f>
        <v/>
      </c>
      <c r="G2302" s="5"/>
      <c r="H2302" s="7" t="s">
        <v>990</v>
      </c>
      <c r="I2302" s="9">
        <v>1230000</v>
      </c>
      <c r="J2302" s="10">
        <v>0.035</v>
      </c>
    </row>
    <row r="2303" spans="1:10">
      <c r="A2303" s="7" t="s">
        <v>978</v>
      </c>
      <c r="B2303" s="7" t="s">
        <v>4170</v>
      </c>
      <c r="C2303" s="8">
        <f>QS.CONTEXT.CREATE("market.2301",A2303,"USD","SOFR")</f>
        <v/>
      </c>
      <c r="D2303" s="8">
        <f>QS.CONTEXT.ADD.CURVE(C2303,"SOFR",$K$2:$K$7,$L$2:$L$7,,,"Actual360","LogLinear",TRUE)</f>
        <v/>
      </c>
      <c r="E2303" s="8">
        <f>QS.INSTRUMENT.SWAP("swap.2301",C2303,H2303,B2303,"USD","SOFR",I2303,J2303,0,"Actual360","Simple","Annual","Annual","Annual")</f>
        <v/>
      </c>
      <c r="F2303" s="8">
        <f>QS.TRADE.CREATE("trade.2301",C2303,E2303,A2303,"Receive")</f>
        <v/>
      </c>
      <c r="G2303" s="5"/>
      <c r="H2303" s="7" t="s">
        <v>992</v>
      </c>
      <c r="I2303" s="9">
        <v>1230100</v>
      </c>
      <c r="J2303" s="10">
        <v>0.03510000000000001</v>
      </c>
    </row>
    <row r="2304" spans="1:10">
      <c r="A2304" s="7" t="s">
        <v>980</v>
      </c>
      <c r="B2304" s="7" t="s">
        <v>4171</v>
      </c>
      <c r="C2304" s="8">
        <f>QS.CONTEXT.CREATE("market.2302",A2304,"USD","SOFR")</f>
        <v/>
      </c>
      <c r="D2304" s="8">
        <f>QS.CONTEXT.ADD.CURVE(C2304,"SOFR",$K$2:$K$7,$L$2:$L$7,,,"Actual360","LogLinear",TRUE)</f>
        <v/>
      </c>
      <c r="E2304" s="8">
        <f>QS.INSTRUMENT.SWAP("swap.2302",C2304,H2304,B2304,"USD","SOFR",I2304,J2304,0,"Actual360","Simple","Annual","Annual","Annual")</f>
        <v/>
      </c>
      <c r="F2304" s="8">
        <f>QS.TRADE.CREATE("trade.2302",C2304,E2304,A2304,"Receive")</f>
        <v/>
      </c>
      <c r="G2304" s="5"/>
      <c r="H2304" s="7" t="s">
        <v>994</v>
      </c>
      <c r="I2304" s="9">
        <v>1230200</v>
      </c>
      <c r="J2304" s="10">
        <v>0.0352</v>
      </c>
    </row>
    <row r="2305" spans="1:10">
      <c r="A2305" s="7" t="s">
        <v>982</v>
      </c>
      <c r="B2305" s="7" t="s">
        <v>4172</v>
      </c>
      <c r="C2305" s="8">
        <f>QS.CONTEXT.CREATE("market.2303",A2305,"USD","SOFR")</f>
        <v/>
      </c>
      <c r="D2305" s="8">
        <f>QS.CONTEXT.ADD.CURVE(C2305,"SOFR",$K$2:$K$7,$L$2:$L$7,,,"Actual360","LogLinear",TRUE)</f>
        <v/>
      </c>
      <c r="E2305" s="8">
        <f>QS.INSTRUMENT.SWAP("swap.2303",C2305,H2305,B2305,"USD","SOFR",I2305,J2305,0,"Actual360","Simple","Annual","Annual","Annual")</f>
        <v/>
      </c>
      <c r="F2305" s="8">
        <f>QS.TRADE.CREATE("trade.2303",C2305,E2305,A2305,"Receive")</f>
        <v/>
      </c>
      <c r="G2305" s="5"/>
      <c r="H2305" s="7" t="s">
        <v>996</v>
      </c>
      <c r="I2305" s="9">
        <v>1230300</v>
      </c>
      <c r="J2305" s="10">
        <v>0.0353</v>
      </c>
    </row>
    <row r="2306" spans="1:10">
      <c r="A2306" s="7" t="s">
        <v>984</v>
      </c>
      <c r="B2306" s="7" t="s">
        <v>4173</v>
      </c>
      <c r="C2306" s="8">
        <f>QS.CONTEXT.CREATE("market.2304",A2306,"USD","SOFR")</f>
        <v/>
      </c>
      <c r="D2306" s="8">
        <f>QS.CONTEXT.ADD.CURVE(C2306,"SOFR",$K$2:$K$7,$L$2:$L$7,,,"Actual360","LogLinear",TRUE)</f>
        <v/>
      </c>
      <c r="E2306" s="8">
        <f>QS.INSTRUMENT.SWAP("swap.2304",C2306,H2306,B2306,"USD","SOFR",I2306,J2306,0,"Actual360","Simple","Annual","Annual","Annual")</f>
        <v/>
      </c>
      <c r="F2306" s="8">
        <f>QS.TRADE.CREATE("trade.2304",C2306,E2306,A2306,"Receive")</f>
        <v/>
      </c>
      <c r="G2306" s="5"/>
      <c r="H2306" s="7" t="s">
        <v>998</v>
      </c>
      <c r="I2306" s="9">
        <v>1230400</v>
      </c>
      <c r="J2306" s="10">
        <v>0.0354</v>
      </c>
    </row>
    <row r="2307" spans="1:10">
      <c r="A2307" s="7" t="s">
        <v>986</v>
      </c>
      <c r="B2307" s="7" t="s">
        <v>4174</v>
      </c>
      <c r="C2307" s="8">
        <f>QS.CONTEXT.CREATE("market.2305",A2307,"USD","SOFR")</f>
        <v/>
      </c>
      <c r="D2307" s="8">
        <f>QS.CONTEXT.ADD.CURVE(C2307,"SOFR",$K$2:$K$7,$L$2:$L$7,,,"Actual360","LogLinear",TRUE)</f>
        <v/>
      </c>
      <c r="E2307" s="8">
        <f>QS.INSTRUMENT.SWAP("swap.2305",C2307,H2307,B2307,"USD","SOFR",I2307,J2307,0,"Actual360","Simple","Annual","Annual","Annual")</f>
        <v/>
      </c>
      <c r="F2307" s="8">
        <f>QS.TRADE.CREATE("trade.2305",C2307,E2307,A2307,"Receive")</f>
        <v/>
      </c>
      <c r="G2307" s="5"/>
      <c r="H2307" s="7" t="s">
        <v>1000</v>
      </c>
      <c r="I2307" s="9">
        <v>1230500</v>
      </c>
      <c r="J2307" s="10">
        <v>0.0355</v>
      </c>
    </row>
    <row r="2308" spans="1:10">
      <c r="A2308" s="7" t="s">
        <v>988</v>
      </c>
      <c r="B2308" s="7" t="s">
        <v>4175</v>
      </c>
      <c r="C2308" s="8">
        <f>QS.CONTEXT.CREATE("market.2306",A2308,"USD","SOFR")</f>
        <v/>
      </c>
      <c r="D2308" s="8">
        <f>QS.CONTEXT.ADD.CURVE(C2308,"SOFR",$K$2:$K$7,$L$2:$L$7,,,"Actual360","LogLinear",TRUE)</f>
        <v/>
      </c>
      <c r="E2308" s="8">
        <f>QS.INSTRUMENT.SWAP("swap.2306",C2308,H2308,B2308,"USD","SOFR",I2308,J2308,0,"Actual360","Simple","Annual","Annual","Annual")</f>
        <v/>
      </c>
      <c r="F2308" s="8">
        <f>QS.TRADE.CREATE("trade.2306",C2308,E2308,A2308,"Receive")</f>
        <v/>
      </c>
      <c r="G2308" s="5"/>
      <c r="H2308" s="7" t="s">
        <v>1002</v>
      </c>
      <c r="I2308" s="9">
        <v>1230600</v>
      </c>
      <c r="J2308" s="10">
        <v>0.03560000000000001</v>
      </c>
    </row>
    <row r="2309" spans="1:10">
      <c r="A2309" s="7" t="s">
        <v>990</v>
      </c>
      <c r="B2309" s="7" t="s">
        <v>4176</v>
      </c>
      <c r="C2309" s="8">
        <f>QS.CONTEXT.CREATE("market.2307",A2309,"USD","SOFR")</f>
        <v/>
      </c>
      <c r="D2309" s="8">
        <f>QS.CONTEXT.ADD.CURVE(C2309,"SOFR",$K$2:$K$7,$L$2:$L$7,,,"Actual360","LogLinear",TRUE)</f>
        <v/>
      </c>
      <c r="E2309" s="8">
        <f>QS.INSTRUMENT.SWAP("swap.2307",C2309,H2309,B2309,"USD","SOFR",I2309,J2309,0,"Actual360","Simple","Annual","Annual","Annual")</f>
        <v/>
      </c>
      <c r="F2309" s="8">
        <f>QS.TRADE.CREATE("trade.2307",C2309,E2309,A2309,"Receive")</f>
        <v/>
      </c>
      <c r="G2309" s="5"/>
      <c r="H2309" s="7" t="s">
        <v>1004</v>
      </c>
      <c r="I2309" s="9">
        <v>1230700</v>
      </c>
      <c r="J2309" s="10">
        <v>0.0357</v>
      </c>
    </row>
    <row r="2310" spans="1:10">
      <c r="A2310" s="7" t="s">
        <v>992</v>
      </c>
      <c r="B2310" s="7" t="s">
        <v>4177</v>
      </c>
      <c r="C2310" s="8">
        <f>QS.CONTEXT.CREATE("market.2308",A2310,"USD","SOFR")</f>
        <v/>
      </c>
      <c r="D2310" s="8">
        <f>QS.CONTEXT.ADD.CURVE(C2310,"SOFR",$K$2:$K$7,$L$2:$L$7,,,"Actual360","LogLinear",TRUE)</f>
        <v/>
      </c>
      <c r="E2310" s="8">
        <f>QS.INSTRUMENT.SWAP("swap.2308",C2310,H2310,B2310,"USD","SOFR",I2310,J2310,0,"Actual360","Simple","Annual","Annual","Annual")</f>
        <v/>
      </c>
      <c r="F2310" s="8">
        <f>QS.TRADE.CREATE("trade.2308",C2310,E2310,A2310,"Receive")</f>
        <v/>
      </c>
      <c r="G2310" s="5"/>
      <c r="H2310" s="7" t="s">
        <v>1006</v>
      </c>
      <c r="I2310" s="9">
        <v>1230800</v>
      </c>
      <c r="J2310" s="10">
        <v>0.03580000000000001</v>
      </c>
    </row>
    <row r="2311" spans="1:10">
      <c r="A2311" s="7" t="s">
        <v>994</v>
      </c>
      <c r="B2311" s="7" t="s">
        <v>4178</v>
      </c>
      <c r="C2311" s="8">
        <f>QS.CONTEXT.CREATE("market.2309",A2311,"USD","SOFR")</f>
        <v/>
      </c>
      <c r="D2311" s="8">
        <f>QS.CONTEXT.ADD.CURVE(C2311,"SOFR",$K$2:$K$7,$L$2:$L$7,,,"Actual360","LogLinear",TRUE)</f>
        <v/>
      </c>
      <c r="E2311" s="8">
        <f>QS.INSTRUMENT.SWAP("swap.2309",C2311,H2311,B2311,"USD","SOFR",I2311,J2311,0,"Actual360","Simple","Annual","Annual","Annual")</f>
        <v/>
      </c>
      <c r="F2311" s="8">
        <f>QS.TRADE.CREATE("trade.2309",C2311,E2311,A2311,"Receive")</f>
        <v/>
      </c>
      <c r="G2311" s="5"/>
      <c r="H2311" s="7" t="s">
        <v>1008</v>
      </c>
      <c r="I2311" s="9">
        <v>1230900</v>
      </c>
      <c r="J2311" s="10">
        <v>0.0359</v>
      </c>
    </row>
    <row r="2312" spans="1:10">
      <c r="A2312" s="7" t="s">
        <v>996</v>
      </c>
      <c r="B2312" s="7" t="s">
        <v>4179</v>
      </c>
      <c r="C2312" s="8">
        <f>QS.CONTEXT.CREATE("market.2310",A2312,"USD","SOFR")</f>
        <v/>
      </c>
      <c r="D2312" s="8">
        <f>QS.CONTEXT.ADD.CURVE(C2312,"SOFR",$K$2:$K$7,$L$2:$L$7,,,"Actual360","LogLinear",TRUE)</f>
        <v/>
      </c>
      <c r="E2312" s="8">
        <f>QS.INSTRUMENT.SWAP("swap.2310",C2312,H2312,B2312,"USD","SOFR",I2312,J2312,0,"Actual360","Simple","Annual","Annual","Annual")</f>
        <v/>
      </c>
      <c r="F2312" s="8">
        <f>QS.TRADE.CREATE("trade.2310",C2312,E2312,A2312,"Receive")</f>
        <v/>
      </c>
      <c r="G2312" s="5"/>
      <c r="H2312" s="7" t="s">
        <v>1010</v>
      </c>
      <c r="I2312" s="9">
        <v>1231000</v>
      </c>
      <c r="J2312" s="10">
        <v>0.036</v>
      </c>
    </row>
    <row r="2313" spans="1:10">
      <c r="A2313" s="7" t="s">
        <v>998</v>
      </c>
      <c r="B2313" s="7" t="s">
        <v>4180</v>
      </c>
      <c r="C2313" s="8">
        <f>QS.CONTEXT.CREATE("market.2311",A2313,"USD","SOFR")</f>
        <v/>
      </c>
      <c r="D2313" s="8">
        <f>QS.CONTEXT.ADD.CURVE(C2313,"SOFR",$K$2:$K$7,$L$2:$L$7,,,"Actual360","LogLinear",TRUE)</f>
        <v/>
      </c>
      <c r="E2313" s="8">
        <f>QS.INSTRUMENT.SWAP("swap.2311",C2313,H2313,B2313,"USD","SOFR",I2313,J2313,0,"Actual360","Simple","Annual","Annual","Annual")</f>
        <v/>
      </c>
      <c r="F2313" s="8">
        <f>QS.TRADE.CREATE("trade.2311",C2313,E2313,A2313,"Receive")</f>
        <v/>
      </c>
      <c r="G2313" s="5"/>
      <c r="H2313" s="7" t="s">
        <v>1012</v>
      </c>
      <c r="I2313" s="9">
        <v>1231100</v>
      </c>
      <c r="J2313" s="10">
        <v>0.0361</v>
      </c>
    </row>
    <row r="2314" spans="1:10">
      <c r="A2314" s="7" t="s">
        <v>1000</v>
      </c>
      <c r="B2314" s="7" t="s">
        <v>4181</v>
      </c>
      <c r="C2314" s="8">
        <f>QS.CONTEXT.CREATE("market.2312",A2314,"USD","SOFR")</f>
        <v/>
      </c>
      <c r="D2314" s="8">
        <f>QS.CONTEXT.ADD.CURVE(C2314,"SOFR",$K$2:$K$7,$L$2:$L$7,,,"Actual360","LogLinear",TRUE)</f>
        <v/>
      </c>
      <c r="E2314" s="8">
        <f>QS.INSTRUMENT.SWAP("swap.2312",C2314,H2314,B2314,"USD","SOFR",I2314,J2314,0,"Actual360","Simple","Annual","Annual","Annual")</f>
        <v/>
      </c>
      <c r="F2314" s="8">
        <f>QS.TRADE.CREATE("trade.2312",C2314,E2314,A2314,"Receive")</f>
        <v/>
      </c>
      <c r="G2314" s="5"/>
      <c r="H2314" s="7" t="s">
        <v>1014</v>
      </c>
      <c r="I2314" s="9">
        <v>1231200</v>
      </c>
      <c r="J2314" s="10">
        <v>0.0362</v>
      </c>
    </row>
    <row r="2315" spans="1:10">
      <c r="A2315" s="7" t="s">
        <v>1002</v>
      </c>
      <c r="B2315" s="7" t="s">
        <v>4182</v>
      </c>
      <c r="C2315" s="8">
        <f>QS.CONTEXT.CREATE("market.2313",A2315,"USD","SOFR")</f>
        <v/>
      </c>
      <c r="D2315" s="8">
        <f>QS.CONTEXT.ADD.CURVE(C2315,"SOFR",$K$2:$K$7,$L$2:$L$7,,,"Actual360","LogLinear",TRUE)</f>
        <v/>
      </c>
      <c r="E2315" s="8">
        <f>QS.INSTRUMENT.SWAP("swap.2313",C2315,H2315,B2315,"USD","SOFR",I2315,J2315,0,"Actual360","Simple","Annual","Annual","Annual")</f>
        <v/>
      </c>
      <c r="F2315" s="8">
        <f>QS.TRADE.CREATE("trade.2313",C2315,E2315,A2315,"Receive")</f>
        <v/>
      </c>
      <c r="G2315" s="5"/>
      <c r="H2315" s="7" t="s">
        <v>1016</v>
      </c>
      <c r="I2315" s="9">
        <v>1231300</v>
      </c>
      <c r="J2315" s="10">
        <v>0.03630000000000001</v>
      </c>
    </row>
    <row r="2316" spans="1:10">
      <c r="A2316" s="7" t="s">
        <v>1004</v>
      </c>
      <c r="B2316" s="7" t="s">
        <v>4183</v>
      </c>
      <c r="C2316" s="8">
        <f>QS.CONTEXT.CREATE("market.2314",A2316,"USD","SOFR")</f>
        <v/>
      </c>
      <c r="D2316" s="8">
        <f>QS.CONTEXT.ADD.CURVE(C2316,"SOFR",$K$2:$K$7,$L$2:$L$7,,,"Actual360","LogLinear",TRUE)</f>
        <v/>
      </c>
      <c r="E2316" s="8">
        <f>QS.INSTRUMENT.SWAP("swap.2314",C2316,H2316,B2316,"USD","SOFR",I2316,J2316,0,"Actual360","Simple","Annual","Annual","Annual")</f>
        <v/>
      </c>
      <c r="F2316" s="8">
        <f>QS.TRADE.CREATE("trade.2314",C2316,E2316,A2316,"Receive")</f>
        <v/>
      </c>
      <c r="G2316" s="5"/>
      <c r="H2316" s="7" t="s">
        <v>1018</v>
      </c>
      <c r="I2316" s="9">
        <v>1231400</v>
      </c>
      <c r="J2316" s="10">
        <v>0.0364</v>
      </c>
    </row>
    <row r="2317" spans="1:10">
      <c r="A2317" s="7" t="s">
        <v>1006</v>
      </c>
      <c r="B2317" s="7" t="s">
        <v>4184</v>
      </c>
      <c r="C2317" s="8">
        <f>QS.CONTEXT.CREATE("market.2315",A2317,"USD","SOFR")</f>
        <v/>
      </c>
      <c r="D2317" s="8">
        <f>QS.CONTEXT.ADD.CURVE(C2317,"SOFR",$K$2:$K$7,$L$2:$L$7,,,"Actual360","LogLinear",TRUE)</f>
        <v/>
      </c>
      <c r="E2317" s="8">
        <f>QS.INSTRUMENT.SWAP("swap.2315",C2317,H2317,B2317,"USD","SOFR",I2317,J2317,0,"Actual360","Simple","Annual","Annual","Annual")</f>
        <v/>
      </c>
      <c r="F2317" s="8">
        <f>QS.TRADE.CREATE("trade.2315",C2317,E2317,A2317,"Receive")</f>
        <v/>
      </c>
      <c r="G2317" s="5"/>
      <c r="H2317" s="7" t="s">
        <v>1020</v>
      </c>
      <c r="I2317" s="9">
        <v>1231500</v>
      </c>
      <c r="J2317" s="10">
        <v>0.0365</v>
      </c>
    </row>
    <row r="2318" spans="1:10">
      <c r="A2318" s="7" t="s">
        <v>1008</v>
      </c>
      <c r="B2318" s="7" t="s">
        <v>4185</v>
      </c>
      <c r="C2318" s="8">
        <f>QS.CONTEXT.CREATE("market.2316",A2318,"USD","SOFR")</f>
        <v/>
      </c>
      <c r="D2318" s="8">
        <f>QS.CONTEXT.ADD.CURVE(C2318,"SOFR",$K$2:$K$7,$L$2:$L$7,,,"Actual360","LogLinear",TRUE)</f>
        <v/>
      </c>
      <c r="E2318" s="8">
        <f>QS.INSTRUMENT.SWAP("swap.2316",C2318,H2318,B2318,"USD","SOFR",I2318,J2318,0,"Actual360","Simple","Annual","Annual","Annual")</f>
        <v/>
      </c>
      <c r="F2318" s="8">
        <f>QS.TRADE.CREATE("trade.2316",C2318,E2318,A2318,"Receive")</f>
        <v/>
      </c>
      <c r="G2318" s="5"/>
      <c r="H2318" s="7" t="s">
        <v>1022</v>
      </c>
      <c r="I2318" s="9">
        <v>1231600</v>
      </c>
      <c r="J2318" s="10">
        <v>0.0366</v>
      </c>
    </row>
    <row r="2319" spans="1:10">
      <c r="A2319" s="7" t="s">
        <v>1010</v>
      </c>
      <c r="B2319" s="7" t="s">
        <v>4186</v>
      </c>
      <c r="C2319" s="8">
        <f>QS.CONTEXT.CREATE("market.2317",A2319,"USD","SOFR")</f>
        <v/>
      </c>
      <c r="D2319" s="8">
        <f>QS.CONTEXT.ADD.CURVE(C2319,"SOFR",$K$2:$K$7,$L$2:$L$7,,,"Actual360","LogLinear",TRUE)</f>
        <v/>
      </c>
      <c r="E2319" s="8">
        <f>QS.INSTRUMENT.SWAP("swap.2317",C2319,H2319,B2319,"USD","SOFR",I2319,J2319,0,"Actual360","Simple","Annual","Annual","Annual")</f>
        <v/>
      </c>
      <c r="F2319" s="8">
        <f>QS.TRADE.CREATE("trade.2317",C2319,E2319,A2319,"Receive")</f>
        <v/>
      </c>
      <c r="G2319" s="5"/>
      <c r="H2319" s="7" t="s">
        <v>1024</v>
      </c>
      <c r="I2319" s="9">
        <v>1231700</v>
      </c>
      <c r="J2319" s="10">
        <v>0.0367</v>
      </c>
    </row>
    <row r="2320" spans="1:10">
      <c r="A2320" s="7" t="s">
        <v>1012</v>
      </c>
      <c r="B2320" s="7" t="s">
        <v>4187</v>
      </c>
      <c r="C2320" s="8">
        <f>QS.CONTEXT.CREATE("market.2318",A2320,"USD","SOFR")</f>
        <v/>
      </c>
      <c r="D2320" s="8">
        <f>QS.CONTEXT.ADD.CURVE(C2320,"SOFR",$K$2:$K$7,$L$2:$L$7,,,"Actual360","LogLinear",TRUE)</f>
        <v/>
      </c>
      <c r="E2320" s="8">
        <f>QS.INSTRUMENT.SWAP("swap.2318",C2320,H2320,B2320,"USD","SOFR",I2320,J2320,0,"Actual360","Simple","Annual","Annual","Annual")</f>
        <v/>
      </c>
      <c r="F2320" s="8">
        <f>QS.TRADE.CREATE("trade.2318",C2320,E2320,A2320,"Receive")</f>
        <v/>
      </c>
      <c r="G2320" s="5"/>
      <c r="H2320" s="7" t="s">
        <v>1026</v>
      </c>
      <c r="I2320" s="9">
        <v>1231800</v>
      </c>
      <c r="J2320" s="10">
        <v>0.03680000000000001</v>
      </c>
    </row>
    <row r="2321" spans="1:10">
      <c r="A2321" s="7" t="s">
        <v>1014</v>
      </c>
      <c r="B2321" s="7" t="s">
        <v>4188</v>
      </c>
      <c r="C2321" s="8">
        <f>QS.CONTEXT.CREATE("market.2319",A2321,"USD","SOFR")</f>
        <v/>
      </c>
      <c r="D2321" s="8">
        <f>QS.CONTEXT.ADD.CURVE(C2321,"SOFR",$K$2:$K$7,$L$2:$L$7,,,"Actual360","LogLinear",TRUE)</f>
        <v/>
      </c>
      <c r="E2321" s="8">
        <f>QS.INSTRUMENT.SWAP("swap.2319",C2321,H2321,B2321,"USD","SOFR",I2321,J2321,0,"Actual360","Simple","Annual","Annual","Annual")</f>
        <v/>
      </c>
      <c r="F2321" s="8">
        <f>QS.TRADE.CREATE("trade.2319",C2321,E2321,A2321,"Receive")</f>
        <v/>
      </c>
      <c r="G2321" s="5"/>
      <c r="H2321" s="7" t="s">
        <v>1028</v>
      </c>
      <c r="I2321" s="9">
        <v>1231900</v>
      </c>
      <c r="J2321" s="10">
        <v>0.0369</v>
      </c>
    </row>
    <row r="2322" spans="1:10">
      <c r="A2322" s="7" t="s">
        <v>1016</v>
      </c>
      <c r="B2322" s="7" t="s">
        <v>4189</v>
      </c>
      <c r="C2322" s="8">
        <f>QS.CONTEXT.CREATE("market.2320",A2322,"USD","SOFR")</f>
        <v/>
      </c>
      <c r="D2322" s="8">
        <f>QS.CONTEXT.ADD.CURVE(C2322,"SOFR",$K$2:$K$7,$L$2:$L$7,,,"Actual360","LogLinear",TRUE)</f>
        <v/>
      </c>
      <c r="E2322" s="8">
        <f>QS.INSTRUMENT.SWAP("swap.2320",C2322,H2322,B2322,"USD","SOFR",I2322,J2322,0,"Actual360","Simple","Annual","Annual","Annual")</f>
        <v/>
      </c>
      <c r="F2322" s="8">
        <f>QS.TRADE.CREATE("trade.2320",C2322,E2322,A2322,"Receive")</f>
        <v/>
      </c>
      <c r="G2322" s="5"/>
      <c r="H2322" s="7" t="s">
        <v>1030</v>
      </c>
      <c r="I2322" s="9">
        <v>1232000</v>
      </c>
      <c r="J2322" s="10">
        <v>0.03700000000000001</v>
      </c>
    </row>
    <row r="2323" spans="1:10">
      <c r="A2323" s="7" t="s">
        <v>1018</v>
      </c>
      <c r="B2323" s="7" t="s">
        <v>4190</v>
      </c>
      <c r="C2323" s="8">
        <f>QS.CONTEXT.CREATE("market.2321",A2323,"USD","SOFR")</f>
        <v/>
      </c>
      <c r="D2323" s="8">
        <f>QS.CONTEXT.ADD.CURVE(C2323,"SOFR",$K$2:$K$7,$L$2:$L$7,,,"Actual360","LogLinear",TRUE)</f>
        <v/>
      </c>
      <c r="E2323" s="8">
        <f>QS.INSTRUMENT.SWAP("swap.2321",C2323,H2323,B2323,"USD","SOFR",I2323,J2323,0,"Actual360","Simple","Annual","Annual","Annual")</f>
        <v/>
      </c>
      <c r="F2323" s="8">
        <f>QS.TRADE.CREATE("trade.2321",C2323,E2323,A2323,"Receive")</f>
        <v/>
      </c>
      <c r="G2323" s="5"/>
      <c r="H2323" s="7" t="s">
        <v>1032</v>
      </c>
      <c r="I2323" s="9">
        <v>1232100</v>
      </c>
      <c r="J2323" s="10">
        <v>0.0371</v>
      </c>
    </row>
    <row r="2324" spans="1:10">
      <c r="A2324" s="7" t="s">
        <v>1020</v>
      </c>
      <c r="B2324" s="7" t="s">
        <v>4191</v>
      </c>
      <c r="C2324" s="8">
        <f>QS.CONTEXT.CREATE("market.2322",A2324,"USD","SOFR")</f>
        <v/>
      </c>
      <c r="D2324" s="8">
        <f>QS.CONTEXT.ADD.CURVE(C2324,"SOFR",$K$2:$K$7,$L$2:$L$7,,,"Actual360","LogLinear",TRUE)</f>
        <v/>
      </c>
      <c r="E2324" s="8">
        <f>QS.INSTRUMENT.SWAP("swap.2322",C2324,H2324,B2324,"USD","SOFR",I2324,J2324,0,"Actual360","Simple","Annual","Annual","Annual")</f>
        <v/>
      </c>
      <c r="F2324" s="8">
        <f>QS.TRADE.CREATE("trade.2322",C2324,E2324,A2324,"Receive")</f>
        <v/>
      </c>
      <c r="G2324" s="5"/>
      <c r="H2324" s="7" t="s">
        <v>1034</v>
      </c>
      <c r="I2324" s="9">
        <v>1232200</v>
      </c>
      <c r="J2324" s="10">
        <v>0.0372</v>
      </c>
    </row>
    <row r="2325" spans="1:10">
      <c r="A2325" s="7" t="s">
        <v>1022</v>
      </c>
      <c r="B2325" s="7" t="s">
        <v>4192</v>
      </c>
      <c r="C2325" s="8">
        <f>QS.CONTEXT.CREATE("market.2323",A2325,"USD","SOFR")</f>
        <v/>
      </c>
      <c r="D2325" s="8">
        <f>QS.CONTEXT.ADD.CURVE(C2325,"SOFR",$K$2:$K$7,$L$2:$L$7,,,"Actual360","LogLinear",TRUE)</f>
        <v/>
      </c>
      <c r="E2325" s="8">
        <f>QS.INSTRUMENT.SWAP("swap.2323",C2325,H2325,B2325,"USD","SOFR",I2325,J2325,0,"Actual360","Simple","Annual","Annual","Annual")</f>
        <v/>
      </c>
      <c r="F2325" s="8">
        <f>QS.TRADE.CREATE("trade.2323",C2325,E2325,A2325,"Receive")</f>
        <v/>
      </c>
      <c r="G2325" s="5"/>
      <c r="H2325" s="7" t="s">
        <v>1036</v>
      </c>
      <c r="I2325" s="9">
        <v>1232300</v>
      </c>
      <c r="J2325" s="10">
        <v>0.0373</v>
      </c>
    </row>
    <row r="2326" spans="1:10">
      <c r="A2326" s="7" t="s">
        <v>1024</v>
      </c>
      <c r="B2326" s="7" t="s">
        <v>4193</v>
      </c>
      <c r="C2326" s="8">
        <f>QS.CONTEXT.CREATE("market.2324",A2326,"USD","SOFR")</f>
        <v/>
      </c>
      <c r="D2326" s="8">
        <f>QS.CONTEXT.ADD.CURVE(C2326,"SOFR",$K$2:$K$7,$L$2:$L$7,,,"Actual360","LogLinear",TRUE)</f>
        <v/>
      </c>
      <c r="E2326" s="8">
        <f>QS.INSTRUMENT.SWAP("swap.2324",C2326,H2326,B2326,"USD","SOFR",I2326,J2326,0,"Actual360","Simple","Annual","Annual","Annual")</f>
        <v/>
      </c>
      <c r="F2326" s="8">
        <f>QS.TRADE.CREATE("trade.2324",C2326,E2326,A2326,"Receive")</f>
        <v/>
      </c>
      <c r="G2326" s="5"/>
      <c r="H2326" s="7" t="s">
        <v>1038</v>
      </c>
      <c r="I2326" s="9">
        <v>1232400</v>
      </c>
      <c r="J2326" s="10">
        <v>0.0374</v>
      </c>
    </row>
    <row r="2327" spans="1:10">
      <c r="A2327" s="7" t="s">
        <v>1026</v>
      </c>
      <c r="B2327" s="7" t="s">
        <v>4194</v>
      </c>
      <c r="C2327" s="8">
        <f>QS.CONTEXT.CREATE("market.2325",A2327,"USD","SOFR")</f>
        <v/>
      </c>
      <c r="D2327" s="8">
        <f>QS.CONTEXT.ADD.CURVE(C2327,"SOFR",$K$2:$K$7,$L$2:$L$7,,,"Actual360","LogLinear",TRUE)</f>
        <v/>
      </c>
      <c r="E2327" s="8">
        <f>QS.INSTRUMENT.SWAP("swap.2325",C2327,H2327,B2327,"USD","SOFR",I2327,J2327,0,"Actual360","Simple","Annual","Annual","Annual")</f>
        <v/>
      </c>
      <c r="F2327" s="8">
        <f>QS.TRADE.CREATE("trade.2325",C2327,E2327,A2327,"Receive")</f>
        <v/>
      </c>
      <c r="G2327" s="5"/>
      <c r="H2327" s="7" t="s">
        <v>1040</v>
      </c>
      <c r="I2327" s="9">
        <v>1232500</v>
      </c>
      <c r="J2327" s="10">
        <v>0.03750000000000001</v>
      </c>
    </row>
    <row r="2328" spans="1:10">
      <c r="A2328" s="7" t="s">
        <v>1028</v>
      </c>
      <c r="B2328" s="7" t="s">
        <v>4195</v>
      </c>
      <c r="C2328" s="8">
        <f>QS.CONTEXT.CREATE("market.2326",A2328,"USD","SOFR")</f>
        <v/>
      </c>
      <c r="D2328" s="8">
        <f>QS.CONTEXT.ADD.CURVE(C2328,"SOFR",$K$2:$K$7,$L$2:$L$7,,,"Actual360","LogLinear",TRUE)</f>
        <v/>
      </c>
      <c r="E2328" s="8">
        <f>QS.INSTRUMENT.SWAP("swap.2326",C2328,H2328,B2328,"USD","SOFR",I2328,J2328,0,"Actual360","Simple","Annual","Annual","Annual")</f>
        <v/>
      </c>
      <c r="F2328" s="8">
        <f>QS.TRADE.CREATE("trade.2326",C2328,E2328,A2328,"Receive")</f>
        <v/>
      </c>
      <c r="G2328" s="5"/>
      <c r="H2328" s="7" t="s">
        <v>1042</v>
      </c>
      <c r="I2328" s="9">
        <v>1232600</v>
      </c>
      <c r="J2328" s="10">
        <v>0.0376</v>
      </c>
    </row>
    <row r="2329" spans="1:10">
      <c r="A2329" s="7" t="s">
        <v>1030</v>
      </c>
      <c r="B2329" s="7" t="s">
        <v>4196</v>
      </c>
      <c r="C2329" s="8">
        <f>QS.CONTEXT.CREATE("market.2327",A2329,"USD","SOFR")</f>
        <v/>
      </c>
      <c r="D2329" s="8">
        <f>QS.CONTEXT.ADD.CURVE(C2329,"SOFR",$K$2:$K$7,$L$2:$L$7,,,"Actual360","LogLinear",TRUE)</f>
        <v/>
      </c>
      <c r="E2329" s="8">
        <f>QS.INSTRUMENT.SWAP("swap.2327",C2329,H2329,B2329,"USD","SOFR",I2329,J2329,0,"Actual360","Simple","Annual","Annual","Annual")</f>
        <v/>
      </c>
      <c r="F2329" s="8">
        <f>QS.TRADE.CREATE("trade.2327",C2329,E2329,A2329,"Receive")</f>
        <v/>
      </c>
      <c r="G2329" s="5"/>
      <c r="H2329" s="7" t="s">
        <v>1044</v>
      </c>
      <c r="I2329" s="9">
        <v>1232700</v>
      </c>
      <c r="J2329" s="10">
        <v>0.0377</v>
      </c>
    </row>
    <row r="2330" spans="1:10">
      <c r="A2330" s="7" t="s">
        <v>1032</v>
      </c>
      <c r="B2330" s="7" t="s">
        <v>4197</v>
      </c>
      <c r="C2330" s="8">
        <f>QS.CONTEXT.CREATE("market.2328",A2330,"USD","SOFR")</f>
        <v/>
      </c>
      <c r="D2330" s="8">
        <f>QS.CONTEXT.ADD.CURVE(C2330,"SOFR",$K$2:$K$7,$L$2:$L$7,,,"Actual360","LogLinear",TRUE)</f>
        <v/>
      </c>
      <c r="E2330" s="8">
        <f>QS.INSTRUMENT.SWAP("swap.2328",C2330,H2330,B2330,"USD","SOFR",I2330,J2330,0,"Actual360","Simple","Annual","Annual","Annual")</f>
        <v/>
      </c>
      <c r="F2330" s="8">
        <f>QS.TRADE.CREATE("trade.2328",C2330,E2330,A2330,"Receive")</f>
        <v/>
      </c>
      <c r="G2330" s="5"/>
      <c r="H2330" s="7" t="s">
        <v>1046</v>
      </c>
      <c r="I2330" s="9">
        <v>1232800</v>
      </c>
      <c r="J2330" s="10">
        <v>0.0378</v>
      </c>
    </row>
    <row r="2331" spans="1:10">
      <c r="A2331" s="7" t="s">
        <v>1034</v>
      </c>
      <c r="B2331" s="7" t="s">
        <v>4198</v>
      </c>
      <c r="C2331" s="8">
        <f>QS.CONTEXT.CREATE("market.2329",A2331,"USD","SOFR")</f>
        <v/>
      </c>
      <c r="D2331" s="8">
        <f>QS.CONTEXT.ADD.CURVE(C2331,"SOFR",$K$2:$K$7,$L$2:$L$7,,,"Actual360","LogLinear",TRUE)</f>
        <v/>
      </c>
      <c r="E2331" s="8">
        <f>QS.INSTRUMENT.SWAP("swap.2329",C2331,H2331,B2331,"USD","SOFR",I2331,J2331,0,"Actual360","Simple","Annual","Annual","Annual")</f>
        <v/>
      </c>
      <c r="F2331" s="8">
        <f>QS.TRADE.CREATE("trade.2329",C2331,E2331,A2331,"Receive")</f>
        <v/>
      </c>
      <c r="G2331" s="5"/>
      <c r="H2331" s="7" t="s">
        <v>1048</v>
      </c>
      <c r="I2331" s="9">
        <v>1232900</v>
      </c>
      <c r="J2331" s="10">
        <v>0.0379</v>
      </c>
    </row>
    <row r="2332" spans="1:10">
      <c r="A2332" s="7" t="s">
        <v>1036</v>
      </c>
      <c r="B2332" s="7" t="s">
        <v>4199</v>
      </c>
      <c r="C2332" s="8">
        <f>QS.CONTEXT.CREATE("market.2330",A2332,"USD","SOFR")</f>
        <v/>
      </c>
      <c r="D2332" s="8">
        <f>QS.CONTEXT.ADD.CURVE(C2332,"SOFR",$K$2:$K$7,$L$2:$L$7,,,"Actual360","LogLinear",TRUE)</f>
        <v/>
      </c>
      <c r="E2332" s="8">
        <f>QS.INSTRUMENT.SWAP("swap.2330",C2332,H2332,B2332,"USD","SOFR",I2332,J2332,0,"Actual360","Simple","Annual","Annual","Annual")</f>
        <v/>
      </c>
      <c r="F2332" s="8">
        <f>QS.TRADE.CREATE("trade.2330",C2332,E2332,A2332,"Receive")</f>
        <v/>
      </c>
      <c r="G2332" s="5"/>
      <c r="H2332" s="7" t="s">
        <v>1050</v>
      </c>
      <c r="I2332" s="9">
        <v>1233000</v>
      </c>
      <c r="J2332" s="10">
        <v>0.03800000000000001</v>
      </c>
    </row>
    <row r="2333" spans="1:10">
      <c r="A2333" s="7" t="s">
        <v>1038</v>
      </c>
      <c r="B2333" s="7" t="s">
        <v>4200</v>
      </c>
      <c r="C2333" s="8">
        <f>QS.CONTEXT.CREATE("market.2331",A2333,"USD","SOFR")</f>
        <v/>
      </c>
      <c r="D2333" s="8">
        <f>QS.CONTEXT.ADD.CURVE(C2333,"SOFR",$K$2:$K$7,$L$2:$L$7,,,"Actual360","LogLinear",TRUE)</f>
        <v/>
      </c>
      <c r="E2333" s="8">
        <f>QS.INSTRUMENT.SWAP("swap.2331",C2333,H2333,B2333,"USD","SOFR",I2333,J2333,0,"Actual360","Simple","Annual","Annual","Annual")</f>
        <v/>
      </c>
      <c r="F2333" s="8">
        <f>QS.TRADE.CREATE("trade.2331",C2333,E2333,A2333,"Receive")</f>
        <v/>
      </c>
      <c r="G2333" s="5"/>
      <c r="H2333" s="7" t="s">
        <v>1052</v>
      </c>
      <c r="I2333" s="9">
        <v>1233100</v>
      </c>
      <c r="J2333" s="10">
        <v>0.0381</v>
      </c>
    </row>
    <row r="2334" spans="1:10">
      <c r="A2334" s="7" t="s">
        <v>1040</v>
      </c>
      <c r="B2334" s="7" t="s">
        <v>4201</v>
      </c>
      <c r="C2334" s="8">
        <f>QS.CONTEXT.CREATE("market.2332",A2334,"USD","SOFR")</f>
        <v/>
      </c>
      <c r="D2334" s="8">
        <f>QS.CONTEXT.ADD.CURVE(C2334,"SOFR",$K$2:$K$7,$L$2:$L$7,,,"Actual360","LogLinear",TRUE)</f>
        <v/>
      </c>
      <c r="E2334" s="8">
        <f>QS.INSTRUMENT.SWAP("swap.2332",C2334,H2334,B2334,"USD","SOFR",I2334,J2334,0,"Actual360","Simple","Annual","Annual","Annual")</f>
        <v/>
      </c>
      <c r="F2334" s="8">
        <f>QS.TRADE.CREATE("trade.2332",C2334,E2334,A2334,"Receive")</f>
        <v/>
      </c>
      <c r="G2334" s="5"/>
      <c r="H2334" s="7" t="s">
        <v>1054</v>
      </c>
      <c r="I2334" s="9">
        <v>1233200</v>
      </c>
      <c r="J2334" s="10">
        <v>0.0382</v>
      </c>
    </row>
    <row r="2335" spans="1:10">
      <c r="A2335" s="7" t="s">
        <v>1042</v>
      </c>
      <c r="B2335" s="7" t="s">
        <v>4202</v>
      </c>
      <c r="C2335" s="8">
        <f>QS.CONTEXT.CREATE("market.2333",A2335,"USD","SOFR")</f>
        <v/>
      </c>
      <c r="D2335" s="8">
        <f>QS.CONTEXT.ADD.CURVE(C2335,"SOFR",$K$2:$K$7,$L$2:$L$7,,,"Actual360","LogLinear",TRUE)</f>
        <v/>
      </c>
      <c r="E2335" s="8">
        <f>QS.INSTRUMENT.SWAP("swap.2333",C2335,H2335,B2335,"USD","SOFR",I2335,J2335,0,"Actual360","Simple","Annual","Annual","Annual")</f>
        <v/>
      </c>
      <c r="F2335" s="8">
        <f>QS.TRADE.CREATE("trade.2333",C2335,E2335,A2335,"Receive")</f>
        <v/>
      </c>
      <c r="G2335" s="5"/>
      <c r="H2335" s="7" t="s">
        <v>1056</v>
      </c>
      <c r="I2335" s="9">
        <v>1233300</v>
      </c>
      <c r="J2335" s="10">
        <v>0.0383</v>
      </c>
    </row>
    <row r="2336" spans="1:10">
      <c r="A2336" s="7" t="s">
        <v>1044</v>
      </c>
      <c r="B2336" s="7" t="s">
        <v>4203</v>
      </c>
      <c r="C2336" s="8">
        <f>QS.CONTEXT.CREATE("market.2334",A2336,"USD","SOFR")</f>
        <v/>
      </c>
      <c r="D2336" s="8">
        <f>QS.CONTEXT.ADD.CURVE(C2336,"SOFR",$K$2:$K$7,$L$2:$L$7,,,"Actual360","LogLinear",TRUE)</f>
        <v/>
      </c>
      <c r="E2336" s="8">
        <f>QS.INSTRUMENT.SWAP("swap.2334",C2336,H2336,B2336,"USD","SOFR",I2336,J2336,0,"Actual360","Simple","Annual","Annual","Annual")</f>
        <v/>
      </c>
      <c r="F2336" s="8">
        <f>QS.TRADE.CREATE("trade.2334",C2336,E2336,A2336,"Receive")</f>
        <v/>
      </c>
      <c r="G2336" s="5"/>
      <c r="H2336" s="7" t="s">
        <v>1058</v>
      </c>
      <c r="I2336" s="9">
        <v>1233400</v>
      </c>
      <c r="J2336" s="10">
        <v>0.0384</v>
      </c>
    </row>
    <row r="2337" spans="1:10">
      <c r="A2337" s="7" t="s">
        <v>1046</v>
      </c>
      <c r="B2337" s="7" t="s">
        <v>4204</v>
      </c>
      <c r="C2337" s="8">
        <f>QS.CONTEXT.CREATE("market.2335",A2337,"USD","SOFR")</f>
        <v/>
      </c>
      <c r="D2337" s="8">
        <f>QS.CONTEXT.ADD.CURVE(C2337,"SOFR",$K$2:$K$7,$L$2:$L$7,,,"Actual360","LogLinear",TRUE)</f>
        <v/>
      </c>
      <c r="E2337" s="8">
        <f>QS.INSTRUMENT.SWAP("swap.2335",C2337,H2337,B2337,"USD","SOFR",I2337,J2337,0,"Actual360","Simple","Annual","Annual","Annual")</f>
        <v/>
      </c>
      <c r="F2337" s="8">
        <f>QS.TRADE.CREATE("trade.2335",C2337,E2337,A2337,"Receive")</f>
        <v/>
      </c>
      <c r="G2337" s="5"/>
      <c r="H2337" s="7" t="s">
        <v>1060</v>
      </c>
      <c r="I2337" s="9">
        <v>1233500</v>
      </c>
      <c r="J2337" s="10">
        <v>0.03850000000000001</v>
      </c>
    </row>
    <row r="2338" spans="1:10">
      <c r="A2338" s="7" t="s">
        <v>1048</v>
      </c>
      <c r="B2338" s="7" t="s">
        <v>4205</v>
      </c>
      <c r="C2338" s="8">
        <f>QS.CONTEXT.CREATE("market.2336",A2338,"USD","SOFR")</f>
        <v/>
      </c>
      <c r="D2338" s="8">
        <f>QS.CONTEXT.ADD.CURVE(C2338,"SOFR",$K$2:$K$7,$L$2:$L$7,,,"Actual360","LogLinear",TRUE)</f>
        <v/>
      </c>
      <c r="E2338" s="8">
        <f>QS.INSTRUMENT.SWAP("swap.2336",C2338,H2338,B2338,"USD","SOFR",I2338,J2338,0,"Actual360","Simple","Annual","Annual","Annual")</f>
        <v/>
      </c>
      <c r="F2338" s="8">
        <f>QS.TRADE.CREATE("trade.2336",C2338,E2338,A2338,"Receive")</f>
        <v/>
      </c>
      <c r="G2338" s="5"/>
      <c r="H2338" s="7" t="s">
        <v>1062</v>
      </c>
      <c r="I2338" s="9">
        <v>1233600</v>
      </c>
      <c r="J2338" s="10">
        <v>0.0386</v>
      </c>
    </row>
    <row r="2339" spans="1:10">
      <c r="A2339" s="7" t="s">
        <v>1050</v>
      </c>
      <c r="B2339" s="7" t="s">
        <v>4206</v>
      </c>
      <c r="C2339" s="8">
        <f>QS.CONTEXT.CREATE("market.2337",A2339,"USD","SOFR")</f>
        <v/>
      </c>
      <c r="D2339" s="8">
        <f>QS.CONTEXT.ADD.CURVE(C2339,"SOFR",$K$2:$K$7,$L$2:$L$7,,,"Actual360","LogLinear",TRUE)</f>
        <v/>
      </c>
      <c r="E2339" s="8">
        <f>QS.INSTRUMENT.SWAP("swap.2337",C2339,H2339,B2339,"USD","SOFR",I2339,J2339,0,"Actual360","Simple","Annual","Annual","Annual")</f>
        <v/>
      </c>
      <c r="F2339" s="8">
        <f>QS.TRADE.CREATE("trade.2337",C2339,E2339,A2339,"Receive")</f>
        <v/>
      </c>
      <c r="G2339" s="5"/>
      <c r="H2339" s="7" t="s">
        <v>1064</v>
      </c>
      <c r="I2339" s="9">
        <v>1233700</v>
      </c>
      <c r="J2339" s="10">
        <v>0.03870000000000001</v>
      </c>
    </row>
    <row r="2340" spans="1:10">
      <c r="A2340" s="7" t="s">
        <v>1052</v>
      </c>
      <c r="B2340" s="7" t="s">
        <v>4207</v>
      </c>
      <c r="C2340" s="8">
        <f>QS.CONTEXT.CREATE("market.2338",A2340,"USD","SOFR")</f>
        <v/>
      </c>
      <c r="D2340" s="8">
        <f>QS.CONTEXT.ADD.CURVE(C2340,"SOFR",$K$2:$K$7,$L$2:$L$7,,,"Actual360","LogLinear",TRUE)</f>
        <v/>
      </c>
      <c r="E2340" s="8">
        <f>QS.INSTRUMENT.SWAP("swap.2338",C2340,H2340,B2340,"USD","SOFR",I2340,J2340,0,"Actual360","Simple","Annual","Annual","Annual")</f>
        <v/>
      </c>
      <c r="F2340" s="8">
        <f>QS.TRADE.CREATE("trade.2338",C2340,E2340,A2340,"Receive")</f>
        <v/>
      </c>
      <c r="G2340" s="5"/>
      <c r="H2340" s="7" t="s">
        <v>1066</v>
      </c>
      <c r="I2340" s="9">
        <v>1233800</v>
      </c>
      <c r="J2340" s="10">
        <v>0.0388</v>
      </c>
    </row>
    <row r="2341" spans="1:10">
      <c r="A2341" s="7" t="s">
        <v>1054</v>
      </c>
      <c r="B2341" s="7" t="s">
        <v>4208</v>
      </c>
      <c r="C2341" s="8">
        <f>QS.CONTEXT.CREATE("market.2339",A2341,"USD","SOFR")</f>
        <v/>
      </c>
      <c r="D2341" s="8">
        <f>QS.CONTEXT.ADD.CURVE(C2341,"SOFR",$K$2:$K$7,$L$2:$L$7,,,"Actual360","LogLinear",TRUE)</f>
        <v/>
      </c>
      <c r="E2341" s="8">
        <f>QS.INSTRUMENT.SWAP("swap.2339",C2341,H2341,B2341,"USD","SOFR",I2341,J2341,0,"Actual360","Simple","Annual","Annual","Annual")</f>
        <v/>
      </c>
      <c r="F2341" s="8">
        <f>QS.TRADE.CREATE("trade.2339",C2341,E2341,A2341,"Receive")</f>
        <v/>
      </c>
      <c r="G2341" s="5"/>
      <c r="H2341" s="7" t="s">
        <v>1068</v>
      </c>
      <c r="I2341" s="9">
        <v>1233900</v>
      </c>
      <c r="J2341" s="10">
        <v>0.0389</v>
      </c>
    </row>
    <row r="2342" spans="1:10">
      <c r="A2342" s="7" t="s">
        <v>1056</v>
      </c>
      <c r="B2342" s="7" t="s">
        <v>4209</v>
      </c>
      <c r="C2342" s="8">
        <f>QS.CONTEXT.CREATE("market.2340",A2342,"USD","SOFR")</f>
        <v/>
      </c>
      <c r="D2342" s="8">
        <f>QS.CONTEXT.ADD.CURVE(C2342,"SOFR",$K$2:$K$7,$L$2:$L$7,,,"Actual360","LogLinear",TRUE)</f>
        <v/>
      </c>
      <c r="E2342" s="8">
        <f>QS.INSTRUMENT.SWAP("swap.2340",C2342,H2342,B2342,"USD","SOFR",I2342,J2342,0,"Actual360","Simple","Annual","Annual","Annual")</f>
        <v/>
      </c>
      <c r="F2342" s="8">
        <f>QS.TRADE.CREATE("trade.2340",C2342,E2342,A2342,"Receive")</f>
        <v/>
      </c>
      <c r="G2342" s="5"/>
      <c r="H2342" s="7" t="s">
        <v>1070</v>
      </c>
      <c r="I2342" s="9">
        <v>1234000</v>
      </c>
      <c r="J2342" s="10">
        <v>0.03900000000000001</v>
      </c>
    </row>
    <row r="2343" spans="1:10">
      <c r="A2343" s="7" t="s">
        <v>1058</v>
      </c>
      <c r="B2343" s="7" t="s">
        <v>4210</v>
      </c>
      <c r="C2343" s="8">
        <f>QS.CONTEXT.CREATE("market.2341",A2343,"USD","SOFR")</f>
        <v/>
      </c>
      <c r="D2343" s="8">
        <f>QS.CONTEXT.ADD.CURVE(C2343,"SOFR",$K$2:$K$7,$L$2:$L$7,,,"Actual360","LogLinear",TRUE)</f>
        <v/>
      </c>
      <c r="E2343" s="8">
        <f>QS.INSTRUMENT.SWAP("swap.2341",C2343,H2343,B2343,"USD","SOFR",I2343,J2343,0,"Actual360","Simple","Annual","Annual","Annual")</f>
        <v/>
      </c>
      <c r="F2343" s="8">
        <f>QS.TRADE.CREATE("trade.2341",C2343,E2343,A2343,"Receive")</f>
        <v/>
      </c>
      <c r="G2343" s="5"/>
      <c r="H2343" s="7" t="s">
        <v>1072</v>
      </c>
      <c r="I2343" s="9">
        <v>1234100</v>
      </c>
      <c r="J2343" s="10">
        <v>0.0391</v>
      </c>
    </row>
    <row r="2344" spans="1:10">
      <c r="A2344" s="7" t="s">
        <v>1060</v>
      </c>
      <c r="B2344" s="7" t="s">
        <v>4211</v>
      </c>
      <c r="C2344" s="8">
        <f>QS.CONTEXT.CREATE("market.2342",A2344,"USD","SOFR")</f>
        <v/>
      </c>
      <c r="D2344" s="8">
        <f>QS.CONTEXT.ADD.CURVE(C2344,"SOFR",$K$2:$K$7,$L$2:$L$7,,,"Actual360","LogLinear",TRUE)</f>
        <v/>
      </c>
      <c r="E2344" s="8">
        <f>QS.INSTRUMENT.SWAP("swap.2342",C2344,H2344,B2344,"USD","SOFR",I2344,J2344,0,"Actual360","Simple","Annual","Annual","Annual")</f>
        <v/>
      </c>
      <c r="F2344" s="8">
        <f>QS.TRADE.CREATE("trade.2342",C2344,E2344,A2344,"Receive")</f>
        <v/>
      </c>
      <c r="G2344" s="5"/>
      <c r="H2344" s="7" t="s">
        <v>1074</v>
      </c>
      <c r="I2344" s="9">
        <v>1234200</v>
      </c>
      <c r="J2344" s="10">
        <v>0.03920000000000001</v>
      </c>
    </row>
    <row r="2345" spans="1:10">
      <c r="A2345" s="7" t="s">
        <v>1062</v>
      </c>
      <c r="B2345" s="7" t="s">
        <v>4212</v>
      </c>
      <c r="C2345" s="8">
        <f>QS.CONTEXT.CREATE("market.2343",A2345,"USD","SOFR")</f>
        <v/>
      </c>
      <c r="D2345" s="8">
        <f>QS.CONTEXT.ADD.CURVE(C2345,"SOFR",$K$2:$K$7,$L$2:$L$7,,,"Actual360","LogLinear",TRUE)</f>
        <v/>
      </c>
      <c r="E2345" s="8">
        <f>QS.INSTRUMENT.SWAP("swap.2343",C2345,H2345,B2345,"USD","SOFR",I2345,J2345,0,"Actual360","Simple","Annual","Annual","Annual")</f>
        <v/>
      </c>
      <c r="F2345" s="8">
        <f>QS.TRADE.CREATE("trade.2343",C2345,E2345,A2345,"Receive")</f>
        <v/>
      </c>
      <c r="G2345" s="5"/>
      <c r="H2345" s="7" t="s">
        <v>1076</v>
      </c>
      <c r="I2345" s="9">
        <v>1234300</v>
      </c>
      <c r="J2345" s="10">
        <v>0.0393</v>
      </c>
    </row>
    <row r="2346" spans="1:10">
      <c r="A2346" s="7" t="s">
        <v>1064</v>
      </c>
      <c r="B2346" s="7" t="s">
        <v>4213</v>
      </c>
      <c r="C2346" s="8">
        <f>QS.CONTEXT.CREATE("market.2344",A2346,"USD","SOFR")</f>
        <v/>
      </c>
      <c r="D2346" s="8">
        <f>QS.CONTEXT.ADD.CURVE(C2346,"SOFR",$K$2:$K$7,$L$2:$L$7,,,"Actual360","LogLinear",TRUE)</f>
        <v/>
      </c>
      <c r="E2346" s="8">
        <f>QS.INSTRUMENT.SWAP("swap.2344",C2346,H2346,B2346,"USD","SOFR",I2346,J2346,0,"Actual360","Simple","Annual","Annual","Annual")</f>
        <v/>
      </c>
      <c r="F2346" s="8">
        <f>QS.TRADE.CREATE("trade.2344",C2346,E2346,A2346,"Receive")</f>
        <v/>
      </c>
      <c r="G2346" s="5"/>
      <c r="H2346" s="7" t="s">
        <v>1078</v>
      </c>
      <c r="I2346" s="9">
        <v>1234400</v>
      </c>
      <c r="J2346" s="10">
        <v>0.0394</v>
      </c>
    </row>
    <row r="2347" spans="1:10">
      <c r="A2347" s="7" t="s">
        <v>1066</v>
      </c>
      <c r="B2347" s="7" t="s">
        <v>4214</v>
      </c>
      <c r="C2347" s="8">
        <f>QS.CONTEXT.CREATE("market.2345",A2347,"USD","SOFR")</f>
        <v/>
      </c>
      <c r="D2347" s="8">
        <f>QS.CONTEXT.ADD.CURVE(C2347,"SOFR",$K$2:$K$7,$L$2:$L$7,,,"Actual360","LogLinear",TRUE)</f>
        <v/>
      </c>
      <c r="E2347" s="8">
        <f>QS.INSTRUMENT.SWAP("swap.2345",C2347,H2347,B2347,"USD","SOFR",I2347,J2347,0,"Actual360","Simple","Annual","Annual","Annual")</f>
        <v/>
      </c>
      <c r="F2347" s="8">
        <f>QS.TRADE.CREATE("trade.2345",C2347,E2347,A2347,"Receive")</f>
        <v/>
      </c>
      <c r="G2347" s="5"/>
      <c r="H2347" s="7" t="s">
        <v>1080</v>
      </c>
      <c r="I2347" s="9">
        <v>1234500</v>
      </c>
      <c r="J2347" s="10">
        <v>0.03950000000000001</v>
      </c>
    </row>
    <row r="2348" spans="1:10">
      <c r="A2348" s="7" t="s">
        <v>1068</v>
      </c>
      <c r="B2348" s="7" t="s">
        <v>4215</v>
      </c>
      <c r="C2348" s="8">
        <f>QS.CONTEXT.CREATE("market.2346",A2348,"USD","SOFR")</f>
        <v/>
      </c>
      <c r="D2348" s="8">
        <f>QS.CONTEXT.ADD.CURVE(C2348,"SOFR",$K$2:$K$7,$L$2:$L$7,,,"Actual360","LogLinear",TRUE)</f>
        <v/>
      </c>
      <c r="E2348" s="8">
        <f>QS.INSTRUMENT.SWAP("swap.2346",C2348,H2348,B2348,"USD","SOFR",I2348,J2348,0,"Actual360","Simple","Annual","Annual","Annual")</f>
        <v/>
      </c>
      <c r="F2348" s="8">
        <f>QS.TRADE.CREATE("trade.2346",C2348,E2348,A2348,"Receive")</f>
        <v/>
      </c>
      <c r="G2348" s="5"/>
      <c r="H2348" s="7" t="s">
        <v>1082</v>
      </c>
      <c r="I2348" s="9">
        <v>1234600</v>
      </c>
      <c r="J2348" s="10">
        <v>0.0396</v>
      </c>
    </row>
    <row r="2349" spans="1:10">
      <c r="A2349" s="7" t="s">
        <v>1070</v>
      </c>
      <c r="B2349" s="7" t="s">
        <v>4216</v>
      </c>
      <c r="C2349" s="8">
        <f>QS.CONTEXT.CREATE("market.2347",A2349,"USD","SOFR")</f>
        <v/>
      </c>
      <c r="D2349" s="8">
        <f>QS.CONTEXT.ADD.CURVE(C2349,"SOFR",$K$2:$K$7,$L$2:$L$7,,,"Actual360","LogLinear",TRUE)</f>
        <v/>
      </c>
      <c r="E2349" s="8">
        <f>QS.INSTRUMENT.SWAP("swap.2347",C2349,H2349,B2349,"USD","SOFR",I2349,J2349,0,"Actual360","Simple","Annual","Annual","Annual")</f>
        <v/>
      </c>
      <c r="F2349" s="8">
        <f>QS.TRADE.CREATE("trade.2347",C2349,E2349,A2349,"Receive")</f>
        <v/>
      </c>
      <c r="G2349" s="5"/>
      <c r="H2349" s="7" t="s">
        <v>1084</v>
      </c>
      <c r="I2349" s="9">
        <v>1234700</v>
      </c>
      <c r="J2349" s="10">
        <v>0.03970000000000001</v>
      </c>
    </row>
    <row r="2350" spans="1:10">
      <c r="A2350" s="7" t="s">
        <v>1072</v>
      </c>
      <c r="B2350" s="7" t="s">
        <v>4217</v>
      </c>
      <c r="C2350" s="8">
        <f>QS.CONTEXT.CREATE("market.2348",A2350,"USD","SOFR")</f>
        <v/>
      </c>
      <c r="D2350" s="8">
        <f>QS.CONTEXT.ADD.CURVE(C2350,"SOFR",$K$2:$K$7,$L$2:$L$7,,,"Actual360","LogLinear",TRUE)</f>
        <v/>
      </c>
      <c r="E2350" s="8">
        <f>QS.INSTRUMENT.SWAP("swap.2348",C2350,H2350,B2350,"USD","SOFR",I2350,J2350,0,"Actual360","Simple","Annual","Annual","Annual")</f>
        <v/>
      </c>
      <c r="F2350" s="8">
        <f>QS.TRADE.CREATE("trade.2348",C2350,E2350,A2350,"Receive")</f>
        <v/>
      </c>
      <c r="G2350" s="5"/>
      <c r="H2350" s="7" t="s">
        <v>1086</v>
      </c>
      <c r="I2350" s="9">
        <v>1234800</v>
      </c>
      <c r="J2350" s="10">
        <v>0.0398</v>
      </c>
    </row>
    <row r="2351" spans="1:10">
      <c r="A2351" s="7" t="s">
        <v>1074</v>
      </c>
      <c r="B2351" s="7" t="s">
        <v>4218</v>
      </c>
      <c r="C2351" s="8">
        <f>QS.CONTEXT.CREATE("market.2349",A2351,"USD","SOFR")</f>
        <v/>
      </c>
      <c r="D2351" s="8">
        <f>QS.CONTEXT.ADD.CURVE(C2351,"SOFR",$K$2:$K$7,$L$2:$L$7,,,"Actual360","LogLinear",TRUE)</f>
        <v/>
      </c>
      <c r="E2351" s="8">
        <f>QS.INSTRUMENT.SWAP("swap.2349",C2351,H2351,B2351,"USD","SOFR",I2351,J2351,0,"Actual360","Simple","Annual","Annual","Annual")</f>
        <v/>
      </c>
      <c r="F2351" s="8">
        <f>QS.TRADE.CREATE("trade.2349",C2351,E2351,A2351,"Receive")</f>
        <v/>
      </c>
      <c r="G2351" s="5"/>
      <c r="H2351" s="7" t="s">
        <v>1088</v>
      </c>
      <c r="I2351" s="9">
        <v>1234900</v>
      </c>
      <c r="J2351" s="10">
        <v>0.0399</v>
      </c>
    </row>
    <row r="2352" spans="1:10">
      <c r="A2352" s="7" t="s">
        <v>1076</v>
      </c>
      <c r="B2352" s="7" t="s">
        <v>4219</v>
      </c>
      <c r="C2352" s="8">
        <f>QS.CONTEXT.CREATE("market.2350",A2352,"USD","SOFR")</f>
        <v/>
      </c>
      <c r="D2352" s="8">
        <f>QS.CONTEXT.ADD.CURVE(C2352,"SOFR",$K$2:$K$7,$L$2:$L$7,,,"Actual360","LogLinear",TRUE)</f>
        <v/>
      </c>
      <c r="E2352" s="8">
        <f>QS.INSTRUMENT.SWAP("swap.2350",C2352,H2352,B2352,"USD","SOFR",I2352,J2352,0,"Actual360","Simple","Annual","Annual","Annual")</f>
        <v/>
      </c>
      <c r="F2352" s="8">
        <f>QS.TRADE.CREATE("trade.2350",C2352,E2352,A2352,"Receive")</f>
        <v/>
      </c>
      <c r="G2352" s="5"/>
      <c r="H2352" s="7" t="s">
        <v>1090</v>
      </c>
      <c r="I2352" s="9">
        <v>1235000</v>
      </c>
      <c r="J2352" s="10">
        <v>0.035</v>
      </c>
    </row>
    <row r="2353" spans="1:10">
      <c r="A2353" s="7" t="s">
        <v>1078</v>
      </c>
      <c r="B2353" s="7" t="s">
        <v>4220</v>
      </c>
      <c r="C2353" s="8">
        <f>QS.CONTEXT.CREATE("market.2351",A2353,"USD","SOFR")</f>
        <v/>
      </c>
      <c r="D2353" s="8">
        <f>QS.CONTEXT.ADD.CURVE(C2353,"SOFR",$K$2:$K$7,$L$2:$L$7,,,"Actual360","LogLinear",TRUE)</f>
        <v/>
      </c>
      <c r="E2353" s="8">
        <f>QS.INSTRUMENT.SWAP("swap.2351",C2353,H2353,B2353,"USD","SOFR",I2353,J2353,0,"Actual360","Simple","Annual","Annual","Annual")</f>
        <v/>
      </c>
      <c r="F2353" s="8">
        <f>QS.TRADE.CREATE("trade.2351",C2353,E2353,A2353,"Receive")</f>
        <v/>
      </c>
      <c r="G2353" s="5"/>
      <c r="H2353" s="7" t="s">
        <v>1092</v>
      </c>
      <c r="I2353" s="9">
        <v>1235100</v>
      </c>
      <c r="J2353" s="10">
        <v>0.03510000000000001</v>
      </c>
    </row>
    <row r="2354" spans="1:10">
      <c r="A2354" s="7" t="s">
        <v>1080</v>
      </c>
      <c r="B2354" s="7" t="s">
        <v>4221</v>
      </c>
      <c r="C2354" s="8">
        <f>QS.CONTEXT.CREATE("market.2352",A2354,"USD","SOFR")</f>
        <v/>
      </c>
      <c r="D2354" s="8">
        <f>QS.CONTEXT.ADD.CURVE(C2354,"SOFR",$K$2:$K$7,$L$2:$L$7,,,"Actual360","LogLinear",TRUE)</f>
        <v/>
      </c>
      <c r="E2354" s="8">
        <f>QS.INSTRUMENT.SWAP("swap.2352",C2354,H2354,B2354,"USD","SOFR",I2354,J2354,0,"Actual360","Simple","Annual","Annual","Annual")</f>
        <v/>
      </c>
      <c r="F2354" s="8">
        <f>QS.TRADE.CREATE("trade.2352",C2354,E2354,A2354,"Receive")</f>
        <v/>
      </c>
      <c r="G2354" s="5"/>
      <c r="H2354" s="7" t="s">
        <v>1094</v>
      </c>
      <c r="I2354" s="9">
        <v>1235200</v>
      </c>
      <c r="J2354" s="10">
        <v>0.0352</v>
      </c>
    </row>
    <row r="2355" spans="1:10">
      <c r="A2355" s="7" t="s">
        <v>1082</v>
      </c>
      <c r="B2355" s="7" t="s">
        <v>4222</v>
      </c>
      <c r="C2355" s="8">
        <f>QS.CONTEXT.CREATE("market.2353",A2355,"USD","SOFR")</f>
        <v/>
      </c>
      <c r="D2355" s="8">
        <f>QS.CONTEXT.ADD.CURVE(C2355,"SOFR",$K$2:$K$7,$L$2:$L$7,,,"Actual360","LogLinear",TRUE)</f>
        <v/>
      </c>
      <c r="E2355" s="8">
        <f>QS.INSTRUMENT.SWAP("swap.2353",C2355,H2355,B2355,"USD","SOFR",I2355,J2355,0,"Actual360","Simple","Annual","Annual","Annual")</f>
        <v/>
      </c>
      <c r="F2355" s="8">
        <f>QS.TRADE.CREATE("trade.2353",C2355,E2355,A2355,"Receive")</f>
        <v/>
      </c>
      <c r="G2355" s="5"/>
      <c r="H2355" s="7" t="s">
        <v>1096</v>
      </c>
      <c r="I2355" s="9">
        <v>1235300</v>
      </c>
      <c r="J2355" s="10">
        <v>0.0353</v>
      </c>
    </row>
    <row r="2356" spans="1:10">
      <c r="A2356" s="7" t="s">
        <v>1084</v>
      </c>
      <c r="B2356" s="7" t="s">
        <v>4223</v>
      </c>
      <c r="C2356" s="8">
        <f>QS.CONTEXT.CREATE("market.2354",A2356,"USD","SOFR")</f>
        <v/>
      </c>
      <c r="D2356" s="8">
        <f>QS.CONTEXT.ADD.CURVE(C2356,"SOFR",$K$2:$K$7,$L$2:$L$7,,,"Actual360","LogLinear",TRUE)</f>
        <v/>
      </c>
      <c r="E2356" s="8">
        <f>QS.INSTRUMENT.SWAP("swap.2354",C2356,H2356,B2356,"USD","SOFR",I2356,J2356,0,"Actual360","Simple","Annual","Annual","Annual")</f>
        <v/>
      </c>
      <c r="F2356" s="8">
        <f>QS.TRADE.CREATE("trade.2354",C2356,E2356,A2356,"Receive")</f>
        <v/>
      </c>
      <c r="G2356" s="5"/>
      <c r="H2356" s="7" t="s">
        <v>1098</v>
      </c>
      <c r="I2356" s="9">
        <v>1235400</v>
      </c>
      <c r="J2356" s="10">
        <v>0.0354</v>
      </c>
    </row>
    <row r="2357" spans="1:10">
      <c r="A2357" s="7" t="s">
        <v>1086</v>
      </c>
      <c r="B2357" s="7" t="s">
        <v>4224</v>
      </c>
      <c r="C2357" s="8">
        <f>QS.CONTEXT.CREATE("market.2355",A2357,"USD","SOFR")</f>
        <v/>
      </c>
      <c r="D2357" s="8">
        <f>QS.CONTEXT.ADD.CURVE(C2357,"SOFR",$K$2:$K$7,$L$2:$L$7,,,"Actual360","LogLinear",TRUE)</f>
        <v/>
      </c>
      <c r="E2357" s="8">
        <f>QS.INSTRUMENT.SWAP("swap.2355",C2357,H2357,B2357,"USD","SOFR",I2357,J2357,0,"Actual360","Simple","Annual","Annual","Annual")</f>
        <v/>
      </c>
      <c r="F2357" s="8">
        <f>QS.TRADE.CREATE("trade.2355",C2357,E2357,A2357,"Receive")</f>
        <v/>
      </c>
      <c r="G2357" s="5"/>
      <c r="H2357" s="7" t="s">
        <v>1100</v>
      </c>
      <c r="I2357" s="9">
        <v>1235500</v>
      </c>
      <c r="J2357" s="10">
        <v>0.0355</v>
      </c>
    </row>
    <row r="2358" spans="1:10">
      <c r="A2358" s="7" t="s">
        <v>1088</v>
      </c>
      <c r="B2358" s="7" t="s">
        <v>4225</v>
      </c>
      <c r="C2358" s="8">
        <f>QS.CONTEXT.CREATE("market.2356",A2358,"USD","SOFR")</f>
        <v/>
      </c>
      <c r="D2358" s="8">
        <f>QS.CONTEXT.ADD.CURVE(C2358,"SOFR",$K$2:$K$7,$L$2:$L$7,,,"Actual360","LogLinear",TRUE)</f>
        <v/>
      </c>
      <c r="E2358" s="8">
        <f>QS.INSTRUMENT.SWAP("swap.2356",C2358,H2358,B2358,"USD","SOFR",I2358,J2358,0,"Actual360","Simple","Annual","Annual","Annual")</f>
        <v/>
      </c>
      <c r="F2358" s="8">
        <f>QS.TRADE.CREATE("trade.2356",C2358,E2358,A2358,"Receive")</f>
        <v/>
      </c>
      <c r="G2358" s="5"/>
      <c r="H2358" s="7" t="s">
        <v>1102</v>
      </c>
      <c r="I2358" s="9">
        <v>1235600</v>
      </c>
      <c r="J2358" s="10">
        <v>0.03560000000000001</v>
      </c>
    </row>
    <row r="2359" spans="1:10">
      <c r="A2359" s="7" t="s">
        <v>1090</v>
      </c>
      <c r="B2359" s="7" t="s">
        <v>4226</v>
      </c>
      <c r="C2359" s="8">
        <f>QS.CONTEXT.CREATE("market.2357",A2359,"USD","SOFR")</f>
        <v/>
      </c>
      <c r="D2359" s="8">
        <f>QS.CONTEXT.ADD.CURVE(C2359,"SOFR",$K$2:$K$7,$L$2:$L$7,,,"Actual360","LogLinear",TRUE)</f>
        <v/>
      </c>
      <c r="E2359" s="8">
        <f>QS.INSTRUMENT.SWAP("swap.2357",C2359,H2359,B2359,"USD","SOFR",I2359,J2359,0,"Actual360","Simple","Annual","Annual","Annual")</f>
        <v/>
      </c>
      <c r="F2359" s="8">
        <f>QS.TRADE.CREATE("trade.2357",C2359,E2359,A2359,"Receive")</f>
        <v/>
      </c>
      <c r="G2359" s="5"/>
      <c r="H2359" s="7" t="s">
        <v>1104</v>
      </c>
      <c r="I2359" s="9">
        <v>1235700</v>
      </c>
      <c r="J2359" s="10">
        <v>0.0357</v>
      </c>
    </row>
    <row r="2360" spans="1:10">
      <c r="A2360" s="7" t="s">
        <v>1092</v>
      </c>
      <c r="B2360" s="7" t="s">
        <v>4227</v>
      </c>
      <c r="C2360" s="8">
        <f>QS.CONTEXT.CREATE("market.2358",A2360,"USD","SOFR")</f>
        <v/>
      </c>
      <c r="D2360" s="8">
        <f>QS.CONTEXT.ADD.CURVE(C2360,"SOFR",$K$2:$K$7,$L$2:$L$7,,,"Actual360","LogLinear",TRUE)</f>
        <v/>
      </c>
      <c r="E2360" s="8">
        <f>QS.INSTRUMENT.SWAP("swap.2358",C2360,H2360,B2360,"USD","SOFR",I2360,J2360,0,"Actual360","Simple","Annual","Annual","Annual")</f>
        <v/>
      </c>
      <c r="F2360" s="8">
        <f>QS.TRADE.CREATE("trade.2358",C2360,E2360,A2360,"Receive")</f>
        <v/>
      </c>
      <c r="G2360" s="5"/>
      <c r="H2360" s="7" t="s">
        <v>1106</v>
      </c>
      <c r="I2360" s="9">
        <v>1235800</v>
      </c>
      <c r="J2360" s="10">
        <v>0.03580000000000001</v>
      </c>
    </row>
    <row r="2361" spans="1:10">
      <c r="A2361" s="7" t="s">
        <v>1094</v>
      </c>
      <c r="B2361" s="7" t="s">
        <v>4228</v>
      </c>
      <c r="C2361" s="8">
        <f>QS.CONTEXT.CREATE("market.2359",A2361,"USD","SOFR")</f>
        <v/>
      </c>
      <c r="D2361" s="8">
        <f>QS.CONTEXT.ADD.CURVE(C2361,"SOFR",$K$2:$K$7,$L$2:$L$7,,,"Actual360","LogLinear",TRUE)</f>
        <v/>
      </c>
      <c r="E2361" s="8">
        <f>QS.INSTRUMENT.SWAP("swap.2359",C2361,H2361,B2361,"USD","SOFR",I2361,J2361,0,"Actual360","Simple","Annual","Annual","Annual")</f>
        <v/>
      </c>
      <c r="F2361" s="8">
        <f>QS.TRADE.CREATE("trade.2359",C2361,E2361,A2361,"Receive")</f>
        <v/>
      </c>
      <c r="G2361" s="5"/>
      <c r="H2361" s="7" t="s">
        <v>1108</v>
      </c>
      <c r="I2361" s="9">
        <v>1235900</v>
      </c>
      <c r="J2361" s="10">
        <v>0.0359</v>
      </c>
    </row>
    <row r="2362" spans="1:10">
      <c r="A2362" s="7" t="s">
        <v>1096</v>
      </c>
      <c r="B2362" s="7" t="s">
        <v>4229</v>
      </c>
      <c r="C2362" s="8">
        <f>QS.CONTEXT.CREATE("market.2360",A2362,"USD","SOFR")</f>
        <v/>
      </c>
      <c r="D2362" s="8">
        <f>QS.CONTEXT.ADD.CURVE(C2362,"SOFR",$K$2:$K$7,$L$2:$L$7,,,"Actual360","LogLinear",TRUE)</f>
        <v/>
      </c>
      <c r="E2362" s="8">
        <f>QS.INSTRUMENT.SWAP("swap.2360",C2362,H2362,B2362,"USD","SOFR",I2362,J2362,0,"Actual360","Simple","Annual","Annual","Annual")</f>
        <v/>
      </c>
      <c r="F2362" s="8">
        <f>QS.TRADE.CREATE("trade.2360",C2362,E2362,A2362,"Receive")</f>
        <v/>
      </c>
      <c r="G2362" s="5"/>
      <c r="H2362" s="7" t="s">
        <v>1110</v>
      </c>
      <c r="I2362" s="9">
        <v>1236000</v>
      </c>
      <c r="J2362" s="10">
        <v>0.036</v>
      </c>
    </row>
    <row r="2363" spans="1:10">
      <c r="A2363" s="7" t="s">
        <v>1098</v>
      </c>
      <c r="B2363" s="7" t="s">
        <v>4230</v>
      </c>
      <c r="C2363" s="8">
        <f>QS.CONTEXT.CREATE("market.2361",A2363,"USD","SOFR")</f>
        <v/>
      </c>
      <c r="D2363" s="8">
        <f>QS.CONTEXT.ADD.CURVE(C2363,"SOFR",$K$2:$K$7,$L$2:$L$7,,,"Actual360","LogLinear",TRUE)</f>
        <v/>
      </c>
      <c r="E2363" s="8">
        <f>QS.INSTRUMENT.SWAP("swap.2361",C2363,H2363,B2363,"USD","SOFR",I2363,J2363,0,"Actual360","Simple","Annual","Annual","Annual")</f>
        <v/>
      </c>
      <c r="F2363" s="8">
        <f>QS.TRADE.CREATE("trade.2361",C2363,E2363,A2363,"Receive")</f>
        <v/>
      </c>
      <c r="G2363" s="5"/>
      <c r="H2363" s="7" t="s">
        <v>1112</v>
      </c>
      <c r="I2363" s="9">
        <v>1236100</v>
      </c>
      <c r="J2363" s="10">
        <v>0.0361</v>
      </c>
    </row>
    <row r="2364" spans="1:10">
      <c r="A2364" s="7" t="s">
        <v>1100</v>
      </c>
      <c r="B2364" s="7" t="s">
        <v>4231</v>
      </c>
      <c r="C2364" s="8">
        <f>QS.CONTEXT.CREATE("market.2362",A2364,"USD","SOFR")</f>
        <v/>
      </c>
      <c r="D2364" s="8">
        <f>QS.CONTEXT.ADD.CURVE(C2364,"SOFR",$K$2:$K$7,$L$2:$L$7,,,"Actual360","LogLinear",TRUE)</f>
        <v/>
      </c>
      <c r="E2364" s="8">
        <f>QS.INSTRUMENT.SWAP("swap.2362",C2364,H2364,B2364,"USD","SOFR",I2364,J2364,0,"Actual360","Simple","Annual","Annual","Annual")</f>
        <v/>
      </c>
      <c r="F2364" s="8">
        <f>QS.TRADE.CREATE("trade.2362",C2364,E2364,A2364,"Receive")</f>
        <v/>
      </c>
      <c r="G2364" s="5"/>
      <c r="H2364" s="7" t="s">
        <v>1114</v>
      </c>
      <c r="I2364" s="9">
        <v>1236200</v>
      </c>
      <c r="J2364" s="10">
        <v>0.0362</v>
      </c>
    </row>
    <row r="2365" spans="1:10">
      <c r="A2365" s="7" t="s">
        <v>1102</v>
      </c>
      <c r="B2365" s="7" t="s">
        <v>4232</v>
      </c>
      <c r="C2365" s="8">
        <f>QS.CONTEXT.CREATE("market.2363",A2365,"USD","SOFR")</f>
        <v/>
      </c>
      <c r="D2365" s="8">
        <f>QS.CONTEXT.ADD.CURVE(C2365,"SOFR",$K$2:$K$7,$L$2:$L$7,,,"Actual360","LogLinear",TRUE)</f>
        <v/>
      </c>
      <c r="E2365" s="8">
        <f>QS.INSTRUMENT.SWAP("swap.2363",C2365,H2365,B2365,"USD","SOFR",I2365,J2365,0,"Actual360","Simple","Annual","Annual","Annual")</f>
        <v/>
      </c>
      <c r="F2365" s="8">
        <f>QS.TRADE.CREATE("trade.2363",C2365,E2365,A2365,"Receive")</f>
        <v/>
      </c>
      <c r="G2365" s="5"/>
      <c r="H2365" s="7" t="s">
        <v>1116</v>
      </c>
      <c r="I2365" s="9">
        <v>1236300</v>
      </c>
      <c r="J2365" s="10">
        <v>0.03630000000000001</v>
      </c>
    </row>
    <row r="2366" spans="1:10">
      <c r="A2366" s="7" t="s">
        <v>1104</v>
      </c>
      <c r="B2366" s="7" t="s">
        <v>4233</v>
      </c>
      <c r="C2366" s="8">
        <f>QS.CONTEXT.CREATE("market.2364",A2366,"USD","SOFR")</f>
        <v/>
      </c>
      <c r="D2366" s="8">
        <f>QS.CONTEXT.ADD.CURVE(C2366,"SOFR",$K$2:$K$7,$L$2:$L$7,,,"Actual360","LogLinear",TRUE)</f>
        <v/>
      </c>
      <c r="E2366" s="8">
        <f>QS.INSTRUMENT.SWAP("swap.2364",C2366,H2366,B2366,"USD","SOFR",I2366,J2366,0,"Actual360","Simple","Annual","Annual","Annual")</f>
        <v/>
      </c>
      <c r="F2366" s="8">
        <f>QS.TRADE.CREATE("trade.2364",C2366,E2366,A2366,"Receive")</f>
        <v/>
      </c>
      <c r="G2366" s="5"/>
      <c r="H2366" s="7" t="s">
        <v>1118</v>
      </c>
      <c r="I2366" s="9">
        <v>1236400</v>
      </c>
      <c r="J2366" s="10">
        <v>0.0364</v>
      </c>
    </row>
    <row r="2367" spans="1:10">
      <c r="A2367" s="7" t="s">
        <v>1106</v>
      </c>
      <c r="B2367" s="7" t="s">
        <v>4234</v>
      </c>
      <c r="C2367" s="8">
        <f>QS.CONTEXT.CREATE("market.2365",A2367,"USD","SOFR")</f>
        <v/>
      </c>
      <c r="D2367" s="8">
        <f>QS.CONTEXT.ADD.CURVE(C2367,"SOFR",$K$2:$K$7,$L$2:$L$7,,,"Actual360","LogLinear",TRUE)</f>
        <v/>
      </c>
      <c r="E2367" s="8">
        <f>QS.INSTRUMENT.SWAP("swap.2365",C2367,H2367,B2367,"USD","SOFR",I2367,J2367,0,"Actual360","Simple","Annual","Annual","Annual")</f>
        <v/>
      </c>
      <c r="F2367" s="8">
        <f>QS.TRADE.CREATE("trade.2365",C2367,E2367,A2367,"Receive")</f>
        <v/>
      </c>
      <c r="G2367" s="5"/>
      <c r="H2367" s="7" t="s">
        <v>1120</v>
      </c>
      <c r="I2367" s="9">
        <v>1236500</v>
      </c>
      <c r="J2367" s="10">
        <v>0.0365</v>
      </c>
    </row>
    <row r="2368" spans="1:10">
      <c r="A2368" s="7" t="s">
        <v>1108</v>
      </c>
      <c r="B2368" s="7" t="s">
        <v>4235</v>
      </c>
      <c r="C2368" s="8">
        <f>QS.CONTEXT.CREATE("market.2366",A2368,"USD","SOFR")</f>
        <v/>
      </c>
      <c r="D2368" s="8">
        <f>QS.CONTEXT.ADD.CURVE(C2368,"SOFR",$K$2:$K$7,$L$2:$L$7,,,"Actual360","LogLinear",TRUE)</f>
        <v/>
      </c>
      <c r="E2368" s="8">
        <f>QS.INSTRUMENT.SWAP("swap.2366",C2368,H2368,B2368,"USD","SOFR",I2368,J2368,0,"Actual360","Simple","Annual","Annual","Annual")</f>
        <v/>
      </c>
      <c r="F2368" s="8">
        <f>QS.TRADE.CREATE("trade.2366",C2368,E2368,A2368,"Receive")</f>
        <v/>
      </c>
      <c r="G2368" s="5"/>
      <c r="H2368" s="7" t="s">
        <v>1122</v>
      </c>
      <c r="I2368" s="9">
        <v>1236600</v>
      </c>
      <c r="J2368" s="10">
        <v>0.0366</v>
      </c>
    </row>
    <row r="2369" spans="1:10">
      <c r="A2369" s="7" t="s">
        <v>1110</v>
      </c>
      <c r="B2369" s="7" t="s">
        <v>4236</v>
      </c>
      <c r="C2369" s="8">
        <f>QS.CONTEXT.CREATE("market.2367",A2369,"USD","SOFR")</f>
        <v/>
      </c>
      <c r="D2369" s="8">
        <f>QS.CONTEXT.ADD.CURVE(C2369,"SOFR",$K$2:$K$7,$L$2:$L$7,,,"Actual360","LogLinear",TRUE)</f>
        <v/>
      </c>
      <c r="E2369" s="8">
        <f>QS.INSTRUMENT.SWAP("swap.2367",C2369,H2369,B2369,"USD","SOFR",I2369,J2369,0,"Actual360","Simple","Annual","Annual","Annual")</f>
        <v/>
      </c>
      <c r="F2369" s="8">
        <f>QS.TRADE.CREATE("trade.2367",C2369,E2369,A2369,"Receive")</f>
        <v/>
      </c>
      <c r="G2369" s="5"/>
      <c r="H2369" s="7" t="s">
        <v>1124</v>
      </c>
      <c r="I2369" s="9">
        <v>1236700</v>
      </c>
      <c r="J2369" s="10">
        <v>0.0367</v>
      </c>
    </row>
    <row r="2370" spans="1:10">
      <c r="A2370" s="7" t="s">
        <v>1112</v>
      </c>
      <c r="B2370" s="7" t="s">
        <v>4237</v>
      </c>
      <c r="C2370" s="8">
        <f>QS.CONTEXT.CREATE("market.2368",A2370,"USD","SOFR")</f>
        <v/>
      </c>
      <c r="D2370" s="8">
        <f>QS.CONTEXT.ADD.CURVE(C2370,"SOFR",$K$2:$K$7,$L$2:$L$7,,,"Actual360","LogLinear",TRUE)</f>
        <v/>
      </c>
      <c r="E2370" s="8">
        <f>QS.INSTRUMENT.SWAP("swap.2368",C2370,H2370,B2370,"USD","SOFR",I2370,J2370,0,"Actual360","Simple","Annual","Annual","Annual")</f>
        <v/>
      </c>
      <c r="F2370" s="8">
        <f>QS.TRADE.CREATE("trade.2368",C2370,E2370,A2370,"Receive")</f>
        <v/>
      </c>
      <c r="G2370" s="5"/>
      <c r="H2370" s="7" t="s">
        <v>1126</v>
      </c>
      <c r="I2370" s="9">
        <v>1236800</v>
      </c>
      <c r="J2370" s="10">
        <v>0.03680000000000001</v>
      </c>
    </row>
    <row r="2371" spans="1:10">
      <c r="A2371" s="7" t="s">
        <v>1114</v>
      </c>
      <c r="B2371" s="7" t="s">
        <v>4238</v>
      </c>
      <c r="C2371" s="8">
        <f>QS.CONTEXT.CREATE("market.2369",A2371,"USD","SOFR")</f>
        <v/>
      </c>
      <c r="D2371" s="8">
        <f>QS.CONTEXT.ADD.CURVE(C2371,"SOFR",$K$2:$K$7,$L$2:$L$7,,,"Actual360","LogLinear",TRUE)</f>
        <v/>
      </c>
      <c r="E2371" s="8">
        <f>QS.INSTRUMENT.SWAP("swap.2369",C2371,H2371,B2371,"USD","SOFR",I2371,J2371,0,"Actual360","Simple","Annual","Annual","Annual")</f>
        <v/>
      </c>
      <c r="F2371" s="8">
        <f>QS.TRADE.CREATE("trade.2369",C2371,E2371,A2371,"Receive")</f>
        <v/>
      </c>
      <c r="G2371" s="5"/>
      <c r="H2371" s="7" t="s">
        <v>1128</v>
      </c>
      <c r="I2371" s="9">
        <v>1236900</v>
      </c>
      <c r="J2371" s="10">
        <v>0.0369</v>
      </c>
    </row>
    <row r="2372" spans="1:10">
      <c r="A2372" s="7" t="s">
        <v>1116</v>
      </c>
      <c r="B2372" s="7" t="s">
        <v>4239</v>
      </c>
      <c r="C2372" s="8">
        <f>QS.CONTEXT.CREATE("market.2370",A2372,"USD","SOFR")</f>
        <v/>
      </c>
      <c r="D2372" s="8">
        <f>QS.CONTEXT.ADD.CURVE(C2372,"SOFR",$K$2:$K$7,$L$2:$L$7,,,"Actual360","LogLinear",TRUE)</f>
        <v/>
      </c>
      <c r="E2372" s="8">
        <f>QS.INSTRUMENT.SWAP("swap.2370",C2372,H2372,B2372,"USD","SOFR",I2372,J2372,0,"Actual360","Simple","Annual","Annual","Annual")</f>
        <v/>
      </c>
      <c r="F2372" s="8">
        <f>QS.TRADE.CREATE("trade.2370",C2372,E2372,A2372,"Receive")</f>
        <v/>
      </c>
      <c r="G2372" s="5"/>
      <c r="H2372" s="7" t="s">
        <v>1130</v>
      </c>
      <c r="I2372" s="9">
        <v>1237000</v>
      </c>
      <c r="J2372" s="10">
        <v>0.03700000000000001</v>
      </c>
    </row>
    <row r="2373" spans="1:10">
      <c r="A2373" s="7" t="s">
        <v>1118</v>
      </c>
      <c r="B2373" s="7" t="s">
        <v>4240</v>
      </c>
      <c r="C2373" s="8">
        <f>QS.CONTEXT.CREATE("market.2371",A2373,"USD","SOFR")</f>
        <v/>
      </c>
      <c r="D2373" s="8">
        <f>QS.CONTEXT.ADD.CURVE(C2373,"SOFR",$K$2:$K$7,$L$2:$L$7,,,"Actual360","LogLinear",TRUE)</f>
        <v/>
      </c>
      <c r="E2373" s="8">
        <f>QS.INSTRUMENT.SWAP("swap.2371",C2373,H2373,B2373,"USD","SOFR",I2373,J2373,0,"Actual360","Simple","Annual","Annual","Annual")</f>
        <v/>
      </c>
      <c r="F2373" s="8">
        <f>QS.TRADE.CREATE("trade.2371",C2373,E2373,A2373,"Receive")</f>
        <v/>
      </c>
      <c r="G2373" s="5"/>
      <c r="H2373" s="7" t="s">
        <v>1132</v>
      </c>
      <c r="I2373" s="9">
        <v>1237100</v>
      </c>
      <c r="J2373" s="10">
        <v>0.0371</v>
      </c>
    </row>
    <row r="2374" spans="1:10">
      <c r="A2374" s="7" t="s">
        <v>1120</v>
      </c>
      <c r="B2374" s="7" t="s">
        <v>4241</v>
      </c>
      <c r="C2374" s="8">
        <f>QS.CONTEXT.CREATE("market.2372",A2374,"USD","SOFR")</f>
        <v/>
      </c>
      <c r="D2374" s="8">
        <f>QS.CONTEXT.ADD.CURVE(C2374,"SOFR",$K$2:$K$7,$L$2:$L$7,,,"Actual360","LogLinear",TRUE)</f>
        <v/>
      </c>
      <c r="E2374" s="8">
        <f>QS.INSTRUMENT.SWAP("swap.2372",C2374,H2374,B2374,"USD","SOFR",I2374,J2374,0,"Actual360","Simple","Annual","Annual","Annual")</f>
        <v/>
      </c>
      <c r="F2374" s="8">
        <f>QS.TRADE.CREATE("trade.2372",C2374,E2374,A2374,"Receive")</f>
        <v/>
      </c>
      <c r="G2374" s="5"/>
      <c r="H2374" s="7" t="s">
        <v>1134</v>
      </c>
      <c r="I2374" s="9">
        <v>1237200</v>
      </c>
      <c r="J2374" s="10">
        <v>0.0372</v>
      </c>
    </row>
    <row r="2375" spans="1:10">
      <c r="A2375" s="7" t="s">
        <v>1122</v>
      </c>
      <c r="B2375" s="7" t="s">
        <v>4242</v>
      </c>
      <c r="C2375" s="8">
        <f>QS.CONTEXT.CREATE("market.2373",A2375,"USD","SOFR")</f>
        <v/>
      </c>
      <c r="D2375" s="8">
        <f>QS.CONTEXT.ADD.CURVE(C2375,"SOFR",$K$2:$K$7,$L$2:$L$7,,,"Actual360","LogLinear",TRUE)</f>
        <v/>
      </c>
      <c r="E2375" s="8">
        <f>QS.INSTRUMENT.SWAP("swap.2373",C2375,H2375,B2375,"USD","SOFR",I2375,J2375,0,"Actual360","Simple","Annual","Annual","Annual")</f>
        <v/>
      </c>
      <c r="F2375" s="8">
        <f>QS.TRADE.CREATE("trade.2373",C2375,E2375,A2375,"Receive")</f>
        <v/>
      </c>
      <c r="G2375" s="5"/>
      <c r="H2375" s="7" t="s">
        <v>1136</v>
      </c>
      <c r="I2375" s="9">
        <v>1237300</v>
      </c>
      <c r="J2375" s="10">
        <v>0.0373</v>
      </c>
    </row>
    <row r="2376" spans="1:10">
      <c r="A2376" s="7" t="s">
        <v>1124</v>
      </c>
      <c r="B2376" s="7" t="s">
        <v>4243</v>
      </c>
      <c r="C2376" s="8">
        <f>QS.CONTEXT.CREATE("market.2374",A2376,"USD","SOFR")</f>
        <v/>
      </c>
      <c r="D2376" s="8">
        <f>QS.CONTEXT.ADD.CURVE(C2376,"SOFR",$K$2:$K$7,$L$2:$L$7,,,"Actual360","LogLinear",TRUE)</f>
        <v/>
      </c>
      <c r="E2376" s="8">
        <f>QS.INSTRUMENT.SWAP("swap.2374",C2376,H2376,B2376,"USD","SOFR",I2376,J2376,0,"Actual360","Simple","Annual","Annual","Annual")</f>
        <v/>
      </c>
      <c r="F2376" s="8">
        <f>QS.TRADE.CREATE("trade.2374",C2376,E2376,A2376,"Receive")</f>
        <v/>
      </c>
      <c r="G2376" s="5"/>
      <c r="H2376" s="7" t="s">
        <v>1138</v>
      </c>
      <c r="I2376" s="9">
        <v>1237400</v>
      </c>
      <c r="J2376" s="10">
        <v>0.0374</v>
      </c>
    </row>
    <row r="2377" spans="1:10">
      <c r="A2377" s="7" t="s">
        <v>1126</v>
      </c>
      <c r="B2377" s="7" t="s">
        <v>4244</v>
      </c>
      <c r="C2377" s="8">
        <f>QS.CONTEXT.CREATE("market.2375",A2377,"USD","SOFR")</f>
        <v/>
      </c>
      <c r="D2377" s="8">
        <f>QS.CONTEXT.ADD.CURVE(C2377,"SOFR",$K$2:$K$7,$L$2:$L$7,,,"Actual360","LogLinear",TRUE)</f>
        <v/>
      </c>
      <c r="E2377" s="8">
        <f>QS.INSTRUMENT.SWAP("swap.2375",C2377,H2377,B2377,"USD","SOFR",I2377,J2377,0,"Actual360","Simple","Annual","Annual","Annual")</f>
        <v/>
      </c>
      <c r="F2377" s="8">
        <f>QS.TRADE.CREATE("trade.2375",C2377,E2377,A2377,"Receive")</f>
        <v/>
      </c>
      <c r="G2377" s="5"/>
      <c r="H2377" s="7" t="s">
        <v>1140</v>
      </c>
      <c r="I2377" s="9">
        <v>1237500</v>
      </c>
      <c r="J2377" s="10">
        <v>0.03750000000000001</v>
      </c>
    </row>
    <row r="2378" spans="1:10">
      <c r="A2378" s="7" t="s">
        <v>1128</v>
      </c>
      <c r="B2378" s="7" t="s">
        <v>4245</v>
      </c>
      <c r="C2378" s="8">
        <f>QS.CONTEXT.CREATE("market.2376",A2378,"USD","SOFR")</f>
        <v/>
      </c>
      <c r="D2378" s="8">
        <f>QS.CONTEXT.ADD.CURVE(C2378,"SOFR",$K$2:$K$7,$L$2:$L$7,,,"Actual360","LogLinear",TRUE)</f>
        <v/>
      </c>
      <c r="E2378" s="8">
        <f>QS.INSTRUMENT.SWAP("swap.2376",C2378,H2378,B2378,"USD","SOFR",I2378,J2378,0,"Actual360","Simple","Annual","Annual","Annual")</f>
        <v/>
      </c>
      <c r="F2378" s="8">
        <f>QS.TRADE.CREATE("trade.2376",C2378,E2378,A2378,"Receive")</f>
        <v/>
      </c>
      <c r="G2378" s="5"/>
      <c r="H2378" s="7" t="s">
        <v>1142</v>
      </c>
      <c r="I2378" s="9">
        <v>1237600</v>
      </c>
      <c r="J2378" s="10">
        <v>0.0376</v>
      </c>
    </row>
    <row r="2379" spans="1:10">
      <c r="A2379" s="7" t="s">
        <v>1130</v>
      </c>
      <c r="B2379" s="7" t="s">
        <v>4246</v>
      </c>
      <c r="C2379" s="8">
        <f>QS.CONTEXT.CREATE("market.2377",A2379,"USD","SOFR")</f>
        <v/>
      </c>
      <c r="D2379" s="8">
        <f>QS.CONTEXT.ADD.CURVE(C2379,"SOFR",$K$2:$K$7,$L$2:$L$7,,,"Actual360","LogLinear",TRUE)</f>
        <v/>
      </c>
      <c r="E2379" s="8">
        <f>QS.INSTRUMENT.SWAP("swap.2377",C2379,H2379,B2379,"USD","SOFR",I2379,J2379,0,"Actual360","Simple","Annual","Annual","Annual")</f>
        <v/>
      </c>
      <c r="F2379" s="8">
        <f>QS.TRADE.CREATE("trade.2377",C2379,E2379,A2379,"Receive")</f>
        <v/>
      </c>
      <c r="G2379" s="5"/>
      <c r="H2379" s="7" t="s">
        <v>1144</v>
      </c>
      <c r="I2379" s="9">
        <v>1237700</v>
      </c>
      <c r="J2379" s="10">
        <v>0.0377</v>
      </c>
    </row>
    <row r="2380" spans="1:10">
      <c r="A2380" s="7" t="s">
        <v>1132</v>
      </c>
      <c r="B2380" s="7" t="s">
        <v>4247</v>
      </c>
      <c r="C2380" s="8">
        <f>QS.CONTEXT.CREATE("market.2378",A2380,"USD","SOFR")</f>
        <v/>
      </c>
      <c r="D2380" s="8">
        <f>QS.CONTEXT.ADD.CURVE(C2380,"SOFR",$K$2:$K$7,$L$2:$L$7,,,"Actual360","LogLinear",TRUE)</f>
        <v/>
      </c>
      <c r="E2380" s="8">
        <f>QS.INSTRUMENT.SWAP("swap.2378",C2380,H2380,B2380,"USD","SOFR",I2380,J2380,0,"Actual360","Simple","Annual","Annual","Annual")</f>
        <v/>
      </c>
      <c r="F2380" s="8">
        <f>QS.TRADE.CREATE("trade.2378",C2380,E2380,A2380,"Receive")</f>
        <v/>
      </c>
      <c r="G2380" s="5"/>
      <c r="H2380" s="7" t="s">
        <v>1146</v>
      </c>
      <c r="I2380" s="9">
        <v>1237800</v>
      </c>
      <c r="J2380" s="10">
        <v>0.0378</v>
      </c>
    </row>
    <row r="2381" spans="1:10">
      <c r="A2381" s="7" t="s">
        <v>1134</v>
      </c>
      <c r="B2381" s="7" t="s">
        <v>4248</v>
      </c>
      <c r="C2381" s="8">
        <f>QS.CONTEXT.CREATE("market.2379",A2381,"USD","SOFR")</f>
        <v/>
      </c>
      <c r="D2381" s="8">
        <f>QS.CONTEXT.ADD.CURVE(C2381,"SOFR",$K$2:$K$7,$L$2:$L$7,,,"Actual360","LogLinear",TRUE)</f>
        <v/>
      </c>
      <c r="E2381" s="8">
        <f>QS.INSTRUMENT.SWAP("swap.2379",C2381,H2381,B2381,"USD","SOFR",I2381,J2381,0,"Actual360","Simple","Annual","Annual","Annual")</f>
        <v/>
      </c>
      <c r="F2381" s="8">
        <f>QS.TRADE.CREATE("trade.2379",C2381,E2381,A2381,"Receive")</f>
        <v/>
      </c>
      <c r="G2381" s="5"/>
      <c r="H2381" s="7" t="s">
        <v>1148</v>
      </c>
      <c r="I2381" s="9">
        <v>1237900</v>
      </c>
      <c r="J2381" s="10">
        <v>0.0379</v>
      </c>
    </row>
    <row r="2382" spans="1:10">
      <c r="A2382" s="7" t="s">
        <v>1136</v>
      </c>
      <c r="B2382" s="7" t="s">
        <v>4249</v>
      </c>
      <c r="C2382" s="8">
        <f>QS.CONTEXT.CREATE("market.2380",A2382,"USD","SOFR")</f>
        <v/>
      </c>
      <c r="D2382" s="8">
        <f>QS.CONTEXT.ADD.CURVE(C2382,"SOFR",$K$2:$K$7,$L$2:$L$7,,,"Actual360","LogLinear",TRUE)</f>
        <v/>
      </c>
      <c r="E2382" s="8">
        <f>QS.INSTRUMENT.SWAP("swap.2380",C2382,H2382,B2382,"USD","SOFR",I2382,J2382,0,"Actual360","Simple","Annual","Annual","Annual")</f>
        <v/>
      </c>
      <c r="F2382" s="8">
        <f>QS.TRADE.CREATE("trade.2380",C2382,E2382,A2382,"Receive")</f>
        <v/>
      </c>
      <c r="G2382" s="5"/>
      <c r="H2382" s="7" t="s">
        <v>1150</v>
      </c>
      <c r="I2382" s="9">
        <v>1238000</v>
      </c>
      <c r="J2382" s="10">
        <v>0.03800000000000001</v>
      </c>
    </row>
    <row r="2383" spans="1:10">
      <c r="A2383" s="7" t="s">
        <v>1138</v>
      </c>
      <c r="B2383" s="7" t="s">
        <v>4250</v>
      </c>
      <c r="C2383" s="8">
        <f>QS.CONTEXT.CREATE("market.2381",A2383,"USD","SOFR")</f>
        <v/>
      </c>
      <c r="D2383" s="8">
        <f>QS.CONTEXT.ADD.CURVE(C2383,"SOFR",$K$2:$K$7,$L$2:$L$7,,,"Actual360","LogLinear",TRUE)</f>
        <v/>
      </c>
      <c r="E2383" s="8">
        <f>QS.INSTRUMENT.SWAP("swap.2381",C2383,H2383,B2383,"USD","SOFR",I2383,J2383,0,"Actual360","Simple","Annual","Annual","Annual")</f>
        <v/>
      </c>
      <c r="F2383" s="8">
        <f>QS.TRADE.CREATE("trade.2381",C2383,E2383,A2383,"Receive")</f>
        <v/>
      </c>
      <c r="G2383" s="5"/>
      <c r="H2383" s="7" t="s">
        <v>1152</v>
      </c>
      <c r="I2383" s="9">
        <v>1238100</v>
      </c>
      <c r="J2383" s="10">
        <v>0.0381</v>
      </c>
    </row>
    <row r="2384" spans="1:10">
      <c r="A2384" s="7" t="s">
        <v>1140</v>
      </c>
      <c r="B2384" s="7" t="s">
        <v>4251</v>
      </c>
      <c r="C2384" s="8">
        <f>QS.CONTEXT.CREATE("market.2382",A2384,"USD","SOFR")</f>
        <v/>
      </c>
      <c r="D2384" s="8">
        <f>QS.CONTEXT.ADD.CURVE(C2384,"SOFR",$K$2:$K$7,$L$2:$L$7,,,"Actual360","LogLinear",TRUE)</f>
        <v/>
      </c>
      <c r="E2384" s="8">
        <f>QS.INSTRUMENT.SWAP("swap.2382",C2384,H2384,B2384,"USD","SOFR",I2384,J2384,0,"Actual360","Simple","Annual","Annual","Annual")</f>
        <v/>
      </c>
      <c r="F2384" s="8">
        <f>QS.TRADE.CREATE("trade.2382",C2384,E2384,A2384,"Receive")</f>
        <v/>
      </c>
      <c r="G2384" s="5"/>
      <c r="H2384" s="7" t="s">
        <v>1154</v>
      </c>
      <c r="I2384" s="9">
        <v>1238200</v>
      </c>
      <c r="J2384" s="10">
        <v>0.0382</v>
      </c>
    </row>
    <row r="2385" spans="1:10">
      <c r="A2385" s="7" t="s">
        <v>1142</v>
      </c>
      <c r="B2385" s="7" t="s">
        <v>4252</v>
      </c>
      <c r="C2385" s="8">
        <f>QS.CONTEXT.CREATE("market.2383",A2385,"USD","SOFR")</f>
        <v/>
      </c>
      <c r="D2385" s="8">
        <f>QS.CONTEXT.ADD.CURVE(C2385,"SOFR",$K$2:$K$7,$L$2:$L$7,,,"Actual360","LogLinear",TRUE)</f>
        <v/>
      </c>
      <c r="E2385" s="8">
        <f>QS.INSTRUMENT.SWAP("swap.2383",C2385,H2385,B2385,"USD","SOFR",I2385,J2385,0,"Actual360","Simple","Annual","Annual","Annual")</f>
        <v/>
      </c>
      <c r="F2385" s="8">
        <f>QS.TRADE.CREATE("trade.2383",C2385,E2385,A2385,"Receive")</f>
        <v/>
      </c>
      <c r="G2385" s="5"/>
      <c r="H2385" s="7" t="s">
        <v>1156</v>
      </c>
      <c r="I2385" s="9">
        <v>1238300</v>
      </c>
      <c r="J2385" s="10">
        <v>0.0383</v>
      </c>
    </row>
    <row r="2386" spans="1:10">
      <c r="A2386" s="7" t="s">
        <v>1144</v>
      </c>
      <c r="B2386" s="7" t="s">
        <v>4253</v>
      </c>
      <c r="C2386" s="8">
        <f>QS.CONTEXT.CREATE("market.2384",A2386,"USD","SOFR")</f>
        <v/>
      </c>
      <c r="D2386" s="8">
        <f>QS.CONTEXT.ADD.CURVE(C2386,"SOFR",$K$2:$K$7,$L$2:$L$7,,,"Actual360","LogLinear",TRUE)</f>
        <v/>
      </c>
      <c r="E2386" s="8">
        <f>QS.INSTRUMENT.SWAP("swap.2384",C2386,H2386,B2386,"USD","SOFR",I2386,J2386,0,"Actual360","Simple","Annual","Annual","Annual")</f>
        <v/>
      </c>
      <c r="F2386" s="8">
        <f>QS.TRADE.CREATE("trade.2384",C2386,E2386,A2386,"Receive")</f>
        <v/>
      </c>
      <c r="G2386" s="5"/>
      <c r="H2386" s="7" t="s">
        <v>1158</v>
      </c>
      <c r="I2386" s="9">
        <v>1238400</v>
      </c>
      <c r="J2386" s="10">
        <v>0.0384</v>
      </c>
    </row>
    <row r="2387" spans="1:10">
      <c r="A2387" s="7" t="s">
        <v>1146</v>
      </c>
      <c r="B2387" s="7" t="s">
        <v>4254</v>
      </c>
      <c r="C2387" s="8">
        <f>QS.CONTEXT.CREATE("market.2385",A2387,"USD","SOFR")</f>
        <v/>
      </c>
      <c r="D2387" s="8">
        <f>QS.CONTEXT.ADD.CURVE(C2387,"SOFR",$K$2:$K$7,$L$2:$L$7,,,"Actual360","LogLinear",TRUE)</f>
        <v/>
      </c>
      <c r="E2387" s="8">
        <f>QS.INSTRUMENT.SWAP("swap.2385",C2387,H2387,B2387,"USD","SOFR",I2387,J2387,0,"Actual360","Simple","Annual","Annual","Annual")</f>
        <v/>
      </c>
      <c r="F2387" s="8">
        <f>QS.TRADE.CREATE("trade.2385",C2387,E2387,A2387,"Receive")</f>
        <v/>
      </c>
      <c r="G2387" s="5"/>
      <c r="H2387" s="7" t="s">
        <v>1160</v>
      </c>
      <c r="I2387" s="9">
        <v>1238500</v>
      </c>
      <c r="J2387" s="10">
        <v>0.03850000000000001</v>
      </c>
    </row>
    <row r="2388" spans="1:10">
      <c r="A2388" s="7" t="s">
        <v>1148</v>
      </c>
      <c r="B2388" s="7" t="s">
        <v>4255</v>
      </c>
      <c r="C2388" s="8">
        <f>QS.CONTEXT.CREATE("market.2386",A2388,"USD","SOFR")</f>
        <v/>
      </c>
      <c r="D2388" s="8">
        <f>QS.CONTEXT.ADD.CURVE(C2388,"SOFR",$K$2:$K$7,$L$2:$L$7,,,"Actual360","LogLinear",TRUE)</f>
        <v/>
      </c>
      <c r="E2388" s="8">
        <f>QS.INSTRUMENT.SWAP("swap.2386",C2388,H2388,B2388,"USD","SOFR",I2388,J2388,0,"Actual360","Simple","Annual","Annual","Annual")</f>
        <v/>
      </c>
      <c r="F2388" s="8">
        <f>QS.TRADE.CREATE("trade.2386",C2388,E2388,A2388,"Receive")</f>
        <v/>
      </c>
      <c r="G2388" s="5"/>
      <c r="H2388" s="7" t="s">
        <v>1162</v>
      </c>
      <c r="I2388" s="9">
        <v>1238600</v>
      </c>
      <c r="J2388" s="10">
        <v>0.0386</v>
      </c>
    </row>
    <row r="2389" spans="1:10">
      <c r="A2389" s="7" t="s">
        <v>1150</v>
      </c>
      <c r="B2389" s="7" t="s">
        <v>4256</v>
      </c>
      <c r="C2389" s="8">
        <f>QS.CONTEXT.CREATE("market.2387",A2389,"USD","SOFR")</f>
        <v/>
      </c>
      <c r="D2389" s="8">
        <f>QS.CONTEXT.ADD.CURVE(C2389,"SOFR",$K$2:$K$7,$L$2:$L$7,,,"Actual360","LogLinear",TRUE)</f>
        <v/>
      </c>
      <c r="E2389" s="8">
        <f>QS.INSTRUMENT.SWAP("swap.2387",C2389,H2389,B2389,"USD","SOFR",I2389,J2389,0,"Actual360","Simple","Annual","Annual","Annual")</f>
        <v/>
      </c>
      <c r="F2389" s="8">
        <f>QS.TRADE.CREATE("trade.2387",C2389,E2389,A2389,"Receive")</f>
        <v/>
      </c>
      <c r="G2389" s="5"/>
      <c r="H2389" s="7" t="s">
        <v>1164</v>
      </c>
      <c r="I2389" s="9">
        <v>1238700</v>
      </c>
      <c r="J2389" s="10">
        <v>0.03870000000000001</v>
      </c>
    </row>
    <row r="2390" spans="1:10">
      <c r="A2390" s="7" t="s">
        <v>1152</v>
      </c>
      <c r="B2390" s="7" t="s">
        <v>4257</v>
      </c>
      <c r="C2390" s="8">
        <f>QS.CONTEXT.CREATE("market.2388",A2390,"USD","SOFR")</f>
        <v/>
      </c>
      <c r="D2390" s="8">
        <f>QS.CONTEXT.ADD.CURVE(C2390,"SOFR",$K$2:$K$7,$L$2:$L$7,,,"Actual360","LogLinear",TRUE)</f>
        <v/>
      </c>
      <c r="E2390" s="8">
        <f>QS.INSTRUMENT.SWAP("swap.2388",C2390,H2390,B2390,"USD","SOFR",I2390,J2390,0,"Actual360","Simple","Annual","Annual","Annual")</f>
        <v/>
      </c>
      <c r="F2390" s="8">
        <f>QS.TRADE.CREATE("trade.2388",C2390,E2390,A2390,"Receive")</f>
        <v/>
      </c>
      <c r="G2390" s="5"/>
      <c r="H2390" s="7" t="s">
        <v>1166</v>
      </c>
      <c r="I2390" s="9">
        <v>1238800</v>
      </c>
      <c r="J2390" s="10">
        <v>0.0388</v>
      </c>
    </row>
    <row r="2391" spans="1:10">
      <c r="A2391" s="7" t="s">
        <v>1154</v>
      </c>
      <c r="B2391" s="7" t="s">
        <v>4258</v>
      </c>
      <c r="C2391" s="8">
        <f>QS.CONTEXT.CREATE("market.2389",A2391,"USD","SOFR")</f>
        <v/>
      </c>
      <c r="D2391" s="8">
        <f>QS.CONTEXT.ADD.CURVE(C2391,"SOFR",$K$2:$K$7,$L$2:$L$7,,,"Actual360","LogLinear",TRUE)</f>
        <v/>
      </c>
      <c r="E2391" s="8">
        <f>QS.INSTRUMENT.SWAP("swap.2389",C2391,H2391,B2391,"USD","SOFR",I2391,J2391,0,"Actual360","Simple","Annual","Annual","Annual")</f>
        <v/>
      </c>
      <c r="F2391" s="8">
        <f>QS.TRADE.CREATE("trade.2389",C2391,E2391,A2391,"Receive")</f>
        <v/>
      </c>
      <c r="G2391" s="5"/>
      <c r="H2391" s="7" t="s">
        <v>1168</v>
      </c>
      <c r="I2391" s="9">
        <v>1238900</v>
      </c>
      <c r="J2391" s="10">
        <v>0.0389</v>
      </c>
    </row>
    <row r="2392" spans="1:10">
      <c r="A2392" s="7" t="s">
        <v>1156</v>
      </c>
      <c r="B2392" s="7" t="s">
        <v>4259</v>
      </c>
      <c r="C2392" s="8">
        <f>QS.CONTEXT.CREATE("market.2390",A2392,"USD","SOFR")</f>
        <v/>
      </c>
      <c r="D2392" s="8">
        <f>QS.CONTEXT.ADD.CURVE(C2392,"SOFR",$K$2:$K$7,$L$2:$L$7,,,"Actual360","LogLinear",TRUE)</f>
        <v/>
      </c>
      <c r="E2392" s="8">
        <f>QS.INSTRUMENT.SWAP("swap.2390",C2392,H2392,B2392,"USD","SOFR",I2392,J2392,0,"Actual360","Simple","Annual","Annual","Annual")</f>
        <v/>
      </c>
      <c r="F2392" s="8">
        <f>QS.TRADE.CREATE("trade.2390",C2392,E2392,A2392,"Receive")</f>
        <v/>
      </c>
      <c r="G2392" s="5"/>
      <c r="H2392" s="7" t="s">
        <v>1170</v>
      </c>
      <c r="I2392" s="9">
        <v>1239000</v>
      </c>
      <c r="J2392" s="10">
        <v>0.03900000000000001</v>
      </c>
    </row>
    <row r="2393" spans="1:10">
      <c r="A2393" s="7" t="s">
        <v>1158</v>
      </c>
      <c r="B2393" s="7" t="s">
        <v>4260</v>
      </c>
      <c r="C2393" s="8">
        <f>QS.CONTEXT.CREATE("market.2391",A2393,"USD","SOFR")</f>
        <v/>
      </c>
      <c r="D2393" s="8">
        <f>QS.CONTEXT.ADD.CURVE(C2393,"SOFR",$K$2:$K$7,$L$2:$L$7,,,"Actual360","LogLinear",TRUE)</f>
        <v/>
      </c>
      <c r="E2393" s="8">
        <f>QS.INSTRUMENT.SWAP("swap.2391",C2393,H2393,B2393,"USD","SOFR",I2393,J2393,0,"Actual360","Simple","Annual","Annual","Annual")</f>
        <v/>
      </c>
      <c r="F2393" s="8">
        <f>QS.TRADE.CREATE("trade.2391",C2393,E2393,A2393,"Receive")</f>
        <v/>
      </c>
      <c r="G2393" s="5"/>
      <c r="H2393" s="7" t="s">
        <v>1172</v>
      </c>
      <c r="I2393" s="9">
        <v>1239100</v>
      </c>
      <c r="J2393" s="10">
        <v>0.0391</v>
      </c>
    </row>
    <row r="2394" spans="1:10">
      <c r="A2394" s="7" t="s">
        <v>1160</v>
      </c>
      <c r="B2394" s="7" t="s">
        <v>4261</v>
      </c>
      <c r="C2394" s="8">
        <f>QS.CONTEXT.CREATE("market.2392",A2394,"USD","SOFR")</f>
        <v/>
      </c>
      <c r="D2394" s="8">
        <f>QS.CONTEXT.ADD.CURVE(C2394,"SOFR",$K$2:$K$7,$L$2:$L$7,,,"Actual360","LogLinear",TRUE)</f>
        <v/>
      </c>
      <c r="E2394" s="8">
        <f>QS.INSTRUMENT.SWAP("swap.2392",C2394,H2394,B2394,"USD","SOFR",I2394,J2394,0,"Actual360","Simple","Annual","Annual","Annual")</f>
        <v/>
      </c>
      <c r="F2394" s="8">
        <f>QS.TRADE.CREATE("trade.2392",C2394,E2394,A2394,"Receive")</f>
        <v/>
      </c>
      <c r="G2394" s="5"/>
      <c r="H2394" s="7" t="s">
        <v>1174</v>
      </c>
      <c r="I2394" s="9">
        <v>1239200</v>
      </c>
      <c r="J2394" s="10">
        <v>0.03920000000000001</v>
      </c>
    </row>
    <row r="2395" spans="1:10">
      <c r="A2395" s="7" t="s">
        <v>1162</v>
      </c>
      <c r="B2395" s="7" t="s">
        <v>4262</v>
      </c>
      <c r="C2395" s="8">
        <f>QS.CONTEXT.CREATE("market.2393",A2395,"USD","SOFR")</f>
        <v/>
      </c>
      <c r="D2395" s="8">
        <f>QS.CONTEXT.ADD.CURVE(C2395,"SOFR",$K$2:$K$7,$L$2:$L$7,,,"Actual360","LogLinear",TRUE)</f>
        <v/>
      </c>
      <c r="E2395" s="8">
        <f>QS.INSTRUMENT.SWAP("swap.2393",C2395,H2395,B2395,"USD","SOFR",I2395,J2395,0,"Actual360","Simple","Annual","Annual","Annual")</f>
        <v/>
      </c>
      <c r="F2395" s="8">
        <f>QS.TRADE.CREATE("trade.2393",C2395,E2395,A2395,"Receive")</f>
        <v/>
      </c>
      <c r="G2395" s="5"/>
      <c r="H2395" s="7" t="s">
        <v>1176</v>
      </c>
      <c r="I2395" s="9">
        <v>1239300</v>
      </c>
      <c r="J2395" s="10">
        <v>0.0393</v>
      </c>
    </row>
    <row r="2396" spans="1:10">
      <c r="A2396" s="7" t="s">
        <v>1164</v>
      </c>
      <c r="B2396" s="7" t="s">
        <v>4263</v>
      </c>
      <c r="C2396" s="8">
        <f>QS.CONTEXT.CREATE("market.2394",A2396,"USD","SOFR")</f>
        <v/>
      </c>
      <c r="D2396" s="8">
        <f>QS.CONTEXT.ADD.CURVE(C2396,"SOFR",$K$2:$K$7,$L$2:$L$7,,,"Actual360","LogLinear",TRUE)</f>
        <v/>
      </c>
      <c r="E2396" s="8">
        <f>QS.INSTRUMENT.SWAP("swap.2394",C2396,H2396,B2396,"USD","SOFR",I2396,J2396,0,"Actual360","Simple","Annual","Annual","Annual")</f>
        <v/>
      </c>
      <c r="F2396" s="8">
        <f>QS.TRADE.CREATE("trade.2394",C2396,E2396,A2396,"Receive")</f>
        <v/>
      </c>
      <c r="G2396" s="5"/>
      <c r="H2396" s="7" t="s">
        <v>1178</v>
      </c>
      <c r="I2396" s="9">
        <v>1239400</v>
      </c>
      <c r="J2396" s="10">
        <v>0.0394</v>
      </c>
    </row>
    <row r="2397" spans="1:10">
      <c r="A2397" s="7" t="s">
        <v>1166</v>
      </c>
      <c r="B2397" s="7" t="s">
        <v>4264</v>
      </c>
      <c r="C2397" s="8">
        <f>QS.CONTEXT.CREATE("market.2395",A2397,"USD","SOFR")</f>
        <v/>
      </c>
      <c r="D2397" s="8">
        <f>QS.CONTEXT.ADD.CURVE(C2397,"SOFR",$K$2:$K$7,$L$2:$L$7,,,"Actual360","LogLinear",TRUE)</f>
        <v/>
      </c>
      <c r="E2397" s="8">
        <f>QS.INSTRUMENT.SWAP("swap.2395",C2397,H2397,B2397,"USD","SOFR",I2397,J2397,0,"Actual360","Simple","Annual","Annual","Annual")</f>
        <v/>
      </c>
      <c r="F2397" s="8">
        <f>QS.TRADE.CREATE("trade.2395",C2397,E2397,A2397,"Receive")</f>
        <v/>
      </c>
      <c r="G2397" s="5"/>
      <c r="H2397" s="7" t="s">
        <v>1180</v>
      </c>
      <c r="I2397" s="9">
        <v>1239500</v>
      </c>
      <c r="J2397" s="10">
        <v>0.03950000000000001</v>
      </c>
    </row>
    <row r="2398" spans="1:10">
      <c r="A2398" s="7" t="s">
        <v>1168</v>
      </c>
      <c r="B2398" s="7" t="s">
        <v>4265</v>
      </c>
      <c r="C2398" s="8">
        <f>QS.CONTEXT.CREATE("market.2396",A2398,"USD","SOFR")</f>
        <v/>
      </c>
      <c r="D2398" s="8">
        <f>QS.CONTEXT.ADD.CURVE(C2398,"SOFR",$K$2:$K$7,$L$2:$L$7,,,"Actual360","LogLinear",TRUE)</f>
        <v/>
      </c>
      <c r="E2398" s="8">
        <f>QS.INSTRUMENT.SWAP("swap.2396",C2398,H2398,B2398,"USD","SOFR",I2398,J2398,0,"Actual360","Simple","Annual","Annual","Annual")</f>
        <v/>
      </c>
      <c r="F2398" s="8">
        <f>QS.TRADE.CREATE("trade.2396",C2398,E2398,A2398,"Receive")</f>
        <v/>
      </c>
      <c r="G2398" s="5"/>
      <c r="H2398" s="7" t="s">
        <v>1182</v>
      </c>
      <c r="I2398" s="9">
        <v>1239600</v>
      </c>
      <c r="J2398" s="10">
        <v>0.0396</v>
      </c>
    </row>
    <row r="2399" spans="1:10">
      <c r="A2399" s="7" t="s">
        <v>1170</v>
      </c>
      <c r="B2399" s="7" t="s">
        <v>4266</v>
      </c>
      <c r="C2399" s="8">
        <f>QS.CONTEXT.CREATE("market.2397",A2399,"USD","SOFR")</f>
        <v/>
      </c>
      <c r="D2399" s="8">
        <f>QS.CONTEXT.ADD.CURVE(C2399,"SOFR",$K$2:$K$7,$L$2:$L$7,,,"Actual360","LogLinear",TRUE)</f>
        <v/>
      </c>
      <c r="E2399" s="8">
        <f>QS.INSTRUMENT.SWAP("swap.2397",C2399,H2399,B2399,"USD","SOFR",I2399,J2399,0,"Actual360","Simple","Annual","Annual","Annual")</f>
        <v/>
      </c>
      <c r="F2399" s="8">
        <f>QS.TRADE.CREATE("trade.2397",C2399,E2399,A2399,"Receive")</f>
        <v/>
      </c>
      <c r="G2399" s="5"/>
      <c r="H2399" s="7" t="s">
        <v>1184</v>
      </c>
      <c r="I2399" s="9">
        <v>1239700</v>
      </c>
      <c r="J2399" s="10">
        <v>0.03970000000000001</v>
      </c>
    </row>
    <row r="2400" spans="1:10">
      <c r="A2400" s="7" t="s">
        <v>1172</v>
      </c>
      <c r="B2400" s="7" t="s">
        <v>4267</v>
      </c>
      <c r="C2400" s="8">
        <f>QS.CONTEXT.CREATE("market.2398",A2400,"USD","SOFR")</f>
        <v/>
      </c>
      <c r="D2400" s="8">
        <f>QS.CONTEXT.ADD.CURVE(C2400,"SOFR",$K$2:$K$7,$L$2:$L$7,,,"Actual360","LogLinear",TRUE)</f>
        <v/>
      </c>
      <c r="E2400" s="8">
        <f>QS.INSTRUMENT.SWAP("swap.2398",C2400,H2400,B2400,"USD","SOFR",I2400,J2400,0,"Actual360","Simple","Annual","Annual","Annual")</f>
        <v/>
      </c>
      <c r="F2400" s="8">
        <f>QS.TRADE.CREATE("trade.2398",C2400,E2400,A2400,"Receive")</f>
        <v/>
      </c>
      <c r="G2400" s="5"/>
      <c r="H2400" s="7" t="s">
        <v>1186</v>
      </c>
      <c r="I2400" s="9">
        <v>1239800</v>
      </c>
      <c r="J2400" s="10">
        <v>0.0398</v>
      </c>
    </row>
    <row r="2401" spans="1:10">
      <c r="A2401" s="7" t="s">
        <v>1174</v>
      </c>
      <c r="B2401" s="7" t="s">
        <v>4268</v>
      </c>
      <c r="C2401" s="8">
        <f>QS.CONTEXT.CREATE("market.2399",A2401,"USD","SOFR")</f>
        <v/>
      </c>
      <c r="D2401" s="8">
        <f>QS.CONTEXT.ADD.CURVE(C2401,"SOFR",$K$2:$K$7,$L$2:$L$7,,,"Actual360","LogLinear",TRUE)</f>
        <v/>
      </c>
      <c r="E2401" s="8">
        <f>QS.INSTRUMENT.SWAP("swap.2399",C2401,H2401,B2401,"USD","SOFR",I2401,J2401,0,"Actual360","Simple","Annual","Annual","Annual")</f>
        <v/>
      </c>
      <c r="F2401" s="8">
        <f>QS.TRADE.CREATE("trade.2399",C2401,E2401,A2401,"Receive")</f>
        <v/>
      </c>
      <c r="G2401" s="5"/>
      <c r="H2401" s="7" t="s">
        <v>1188</v>
      </c>
      <c r="I2401" s="9">
        <v>1239900</v>
      </c>
      <c r="J2401" s="10">
        <v>0.0399</v>
      </c>
    </row>
    <row r="2402" spans="1:10">
      <c r="A2402" s="7" t="s">
        <v>1176</v>
      </c>
      <c r="B2402" s="7" t="s">
        <v>4269</v>
      </c>
      <c r="C2402" s="8">
        <f>QS.CONTEXT.CREATE("market.2400",A2402,"USD","SOFR")</f>
        <v/>
      </c>
      <c r="D2402" s="8">
        <f>QS.CONTEXT.ADD.CURVE(C2402,"SOFR",$K$2:$K$7,$L$2:$L$7,,,"Actual360","LogLinear",TRUE)</f>
        <v/>
      </c>
      <c r="E2402" s="8">
        <f>QS.INSTRUMENT.SWAP("swap.2400",C2402,H2402,B2402,"USD","SOFR",I2402,J2402,0,"Actual360","Simple","Annual","Annual","Annual")</f>
        <v/>
      </c>
      <c r="F2402" s="8">
        <f>QS.TRADE.CREATE("trade.2400",C2402,E2402,A2402,"Receive")</f>
        <v/>
      </c>
      <c r="G2402" s="5"/>
      <c r="H2402" s="7" t="s">
        <v>1190</v>
      </c>
      <c r="I2402" s="9">
        <v>1240000</v>
      </c>
      <c r="J2402" s="10">
        <v>0.035</v>
      </c>
    </row>
    <row r="2403" spans="1:10">
      <c r="A2403" s="7" t="s">
        <v>1178</v>
      </c>
      <c r="B2403" s="7" t="s">
        <v>4270</v>
      </c>
      <c r="C2403" s="8">
        <f>QS.CONTEXT.CREATE("market.2401",A2403,"USD","SOFR")</f>
        <v/>
      </c>
      <c r="D2403" s="8">
        <f>QS.CONTEXT.ADD.CURVE(C2403,"SOFR",$K$2:$K$7,$L$2:$L$7,,,"Actual360","LogLinear",TRUE)</f>
        <v/>
      </c>
      <c r="E2403" s="8">
        <f>QS.INSTRUMENT.SWAP("swap.2401",C2403,H2403,B2403,"USD","SOFR",I2403,J2403,0,"Actual360","Simple","Annual","Annual","Annual")</f>
        <v/>
      </c>
      <c r="F2403" s="8">
        <f>QS.TRADE.CREATE("trade.2401",C2403,E2403,A2403,"Receive")</f>
        <v/>
      </c>
      <c r="G2403" s="5"/>
      <c r="H2403" s="7" t="s">
        <v>1192</v>
      </c>
      <c r="I2403" s="9">
        <v>1240100</v>
      </c>
      <c r="J2403" s="10">
        <v>0.03510000000000001</v>
      </c>
    </row>
    <row r="2404" spans="1:10">
      <c r="A2404" s="7" t="s">
        <v>1180</v>
      </c>
      <c r="B2404" s="7" t="s">
        <v>4271</v>
      </c>
      <c r="C2404" s="8">
        <f>QS.CONTEXT.CREATE("market.2402",A2404,"USD","SOFR")</f>
        <v/>
      </c>
      <c r="D2404" s="8">
        <f>QS.CONTEXT.ADD.CURVE(C2404,"SOFR",$K$2:$K$7,$L$2:$L$7,,,"Actual360","LogLinear",TRUE)</f>
        <v/>
      </c>
      <c r="E2404" s="8">
        <f>QS.INSTRUMENT.SWAP("swap.2402",C2404,H2404,B2404,"USD","SOFR",I2404,J2404,0,"Actual360","Simple","Annual","Annual","Annual")</f>
        <v/>
      </c>
      <c r="F2404" s="8">
        <f>QS.TRADE.CREATE("trade.2402",C2404,E2404,A2404,"Receive")</f>
        <v/>
      </c>
      <c r="G2404" s="5"/>
      <c r="H2404" s="7" t="s">
        <v>1194</v>
      </c>
      <c r="I2404" s="9">
        <v>1240200</v>
      </c>
      <c r="J2404" s="10">
        <v>0.0352</v>
      </c>
    </row>
    <row r="2405" spans="1:10">
      <c r="A2405" s="7" t="s">
        <v>1182</v>
      </c>
      <c r="B2405" s="7" t="s">
        <v>4272</v>
      </c>
      <c r="C2405" s="8">
        <f>QS.CONTEXT.CREATE("market.2403",A2405,"USD","SOFR")</f>
        <v/>
      </c>
      <c r="D2405" s="8">
        <f>QS.CONTEXT.ADD.CURVE(C2405,"SOFR",$K$2:$K$7,$L$2:$L$7,,,"Actual360","LogLinear",TRUE)</f>
        <v/>
      </c>
      <c r="E2405" s="8">
        <f>QS.INSTRUMENT.SWAP("swap.2403",C2405,H2405,B2405,"USD","SOFR",I2405,J2405,0,"Actual360","Simple","Annual","Annual","Annual")</f>
        <v/>
      </c>
      <c r="F2405" s="8">
        <f>QS.TRADE.CREATE("trade.2403",C2405,E2405,A2405,"Receive")</f>
        <v/>
      </c>
      <c r="G2405" s="5"/>
      <c r="H2405" s="7" t="s">
        <v>1196</v>
      </c>
      <c r="I2405" s="9">
        <v>1240300</v>
      </c>
      <c r="J2405" s="10">
        <v>0.0353</v>
      </c>
    </row>
    <row r="2406" spans="1:10">
      <c r="A2406" s="7" t="s">
        <v>1184</v>
      </c>
      <c r="B2406" s="7" t="s">
        <v>4273</v>
      </c>
      <c r="C2406" s="8">
        <f>QS.CONTEXT.CREATE("market.2404",A2406,"USD","SOFR")</f>
        <v/>
      </c>
      <c r="D2406" s="8">
        <f>QS.CONTEXT.ADD.CURVE(C2406,"SOFR",$K$2:$K$7,$L$2:$L$7,,,"Actual360","LogLinear",TRUE)</f>
        <v/>
      </c>
      <c r="E2406" s="8">
        <f>QS.INSTRUMENT.SWAP("swap.2404",C2406,H2406,B2406,"USD","SOFR",I2406,J2406,0,"Actual360","Simple","Annual","Annual","Annual")</f>
        <v/>
      </c>
      <c r="F2406" s="8">
        <f>QS.TRADE.CREATE("trade.2404",C2406,E2406,A2406,"Receive")</f>
        <v/>
      </c>
      <c r="G2406" s="5"/>
      <c r="H2406" s="7" t="s">
        <v>1198</v>
      </c>
      <c r="I2406" s="9">
        <v>1240400</v>
      </c>
      <c r="J2406" s="10">
        <v>0.0354</v>
      </c>
    </row>
    <row r="2407" spans="1:10">
      <c r="A2407" s="7" t="s">
        <v>1186</v>
      </c>
      <c r="B2407" s="7" t="s">
        <v>4274</v>
      </c>
      <c r="C2407" s="8">
        <f>QS.CONTEXT.CREATE("market.2405",A2407,"USD","SOFR")</f>
        <v/>
      </c>
      <c r="D2407" s="8">
        <f>QS.CONTEXT.ADD.CURVE(C2407,"SOFR",$K$2:$K$7,$L$2:$L$7,,,"Actual360","LogLinear",TRUE)</f>
        <v/>
      </c>
      <c r="E2407" s="8">
        <f>QS.INSTRUMENT.SWAP("swap.2405",C2407,H2407,B2407,"USD","SOFR",I2407,J2407,0,"Actual360","Simple","Annual","Annual","Annual")</f>
        <v/>
      </c>
      <c r="F2407" s="8">
        <f>QS.TRADE.CREATE("trade.2405",C2407,E2407,A2407,"Receive")</f>
        <v/>
      </c>
      <c r="G2407" s="5"/>
      <c r="H2407" s="7" t="s">
        <v>1200</v>
      </c>
      <c r="I2407" s="9">
        <v>1240500</v>
      </c>
      <c r="J2407" s="10">
        <v>0.0355</v>
      </c>
    </row>
    <row r="2408" spans="1:10">
      <c r="A2408" s="7" t="s">
        <v>1188</v>
      </c>
      <c r="B2408" s="7" t="s">
        <v>4275</v>
      </c>
      <c r="C2408" s="8">
        <f>QS.CONTEXT.CREATE("market.2406",A2408,"USD","SOFR")</f>
        <v/>
      </c>
      <c r="D2408" s="8">
        <f>QS.CONTEXT.ADD.CURVE(C2408,"SOFR",$K$2:$K$7,$L$2:$L$7,,,"Actual360","LogLinear",TRUE)</f>
        <v/>
      </c>
      <c r="E2408" s="8">
        <f>QS.INSTRUMENT.SWAP("swap.2406",C2408,H2408,B2408,"USD","SOFR",I2408,J2408,0,"Actual360","Simple","Annual","Annual","Annual")</f>
        <v/>
      </c>
      <c r="F2408" s="8">
        <f>QS.TRADE.CREATE("trade.2406",C2408,E2408,A2408,"Receive")</f>
        <v/>
      </c>
      <c r="G2408" s="5"/>
      <c r="H2408" s="7" t="s">
        <v>1202</v>
      </c>
      <c r="I2408" s="9">
        <v>1240600</v>
      </c>
      <c r="J2408" s="10">
        <v>0.03560000000000001</v>
      </c>
    </row>
    <row r="2409" spans="1:10">
      <c r="A2409" s="7" t="s">
        <v>1190</v>
      </c>
      <c r="B2409" s="7" t="s">
        <v>4276</v>
      </c>
      <c r="C2409" s="8">
        <f>QS.CONTEXT.CREATE("market.2407",A2409,"USD","SOFR")</f>
        <v/>
      </c>
      <c r="D2409" s="8">
        <f>QS.CONTEXT.ADD.CURVE(C2409,"SOFR",$K$2:$K$7,$L$2:$L$7,,,"Actual360","LogLinear",TRUE)</f>
        <v/>
      </c>
      <c r="E2409" s="8">
        <f>QS.INSTRUMENT.SWAP("swap.2407",C2409,H2409,B2409,"USD","SOFR",I2409,J2409,0,"Actual360","Simple","Annual","Annual","Annual")</f>
        <v/>
      </c>
      <c r="F2409" s="8">
        <f>QS.TRADE.CREATE("trade.2407",C2409,E2409,A2409,"Receive")</f>
        <v/>
      </c>
      <c r="G2409" s="5"/>
      <c r="H2409" s="7" t="s">
        <v>1204</v>
      </c>
      <c r="I2409" s="9">
        <v>1240700</v>
      </c>
      <c r="J2409" s="10">
        <v>0.0357</v>
      </c>
    </row>
    <row r="2410" spans="1:10">
      <c r="A2410" s="7" t="s">
        <v>1192</v>
      </c>
      <c r="B2410" s="7" t="s">
        <v>4277</v>
      </c>
      <c r="C2410" s="8">
        <f>QS.CONTEXT.CREATE("market.2408",A2410,"USD","SOFR")</f>
        <v/>
      </c>
      <c r="D2410" s="8">
        <f>QS.CONTEXT.ADD.CURVE(C2410,"SOFR",$K$2:$K$7,$L$2:$L$7,,,"Actual360","LogLinear",TRUE)</f>
        <v/>
      </c>
      <c r="E2410" s="8">
        <f>QS.INSTRUMENT.SWAP("swap.2408",C2410,H2410,B2410,"USD","SOFR",I2410,J2410,0,"Actual360","Simple","Annual","Annual","Annual")</f>
        <v/>
      </c>
      <c r="F2410" s="8">
        <f>QS.TRADE.CREATE("trade.2408",C2410,E2410,A2410,"Receive")</f>
        <v/>
      </c>
      <c r="G2410" s="5"/>
      <c r="H2410" s="7" t="s">
        <v>1206</v>
      </c>
      <c r="I2410" s="9">
        <v>1240800</v>
      </c>
      <c r="J2410" s="10">
        <v>0.03580000000000001</v>
      </c>
    </row>
    <row r="2411" spans="1:10">
      <c r="A2411" s="7" t="s">
        <v>1194</v>
      </c>
      <c r="B2411" s="7" t="s">
        <v>4278</v>
      </c>
      <c r="C2411" s="8">
        <f>QS.CONTEXT.CREATE("market.2409",A2411,"USD","SOFR")</f>
        <v/>
      </c>
      <c r="D2411" s="8">
        <f>QS.CONTEXT.ADD.CURVE(C2411,"SOFR",$K$2:$K$7,$L$2:$L$7,,,"Actual360","LogLinear",TRUE)</f>
        <v/>
      </c>
      <c r="E2411" s="8">
        <f>QS.INSTRUMENT.SWAP("swap.2409",C2411,H2411,B2411,"USD","SOFR",I2411,J2411,0,"Actual360","Simple","Annual","Annual","Annual")</f>
        <v/>
      </c>
      <c r="F2411" s="8">
        <f>QS.TRADE.CREATE("trade.2409",C2411,E2411,A2411,"Receive")</f>
        <v/>
      </c>
      <c r="G2411" s="5"/>
      <c r="H2411" s="7" t="s">
        <v>1208</v>
      </c>
      <c r="I2411" s="9">
        <v>1240900</v>
      </c>
      <c r="J2411" s="10">
        <v>0.0359</v>
      </c>
    </row>
    <row r="2412" spans="1:10">
      <c r="A2412" s="7" t="s">
        <v>1196</v>
      </c>
      <c r="B2412" s="7" t="s">
        <v>4279</v>
      </c>
      <c r="C2412" s="8">
        <f>QS.CONTEXT.CREATE("market.2410",A2412,"USD","SOFR")</f>
        <v/>
      </c>
      <c r="D2412" s="8">
        <f>QS.CONTEXT.ADD.CURVE(C2412,"SOFR",$K$2:$K$7,$L$2:$L$7,,,"Actual360","LogLinear",TRUE)</f>
        <v/>
      </c>
      <c r="E2412" s="8">
        <f>QS.INSTRUMENT.SWAP("swap.2410",C2412,H2412,B2412,"USD","SOFR",I2412,J2412,0,"Actual360","Simple","Annual","Annual","Annual")</f>
        <v/>
      </c>
      <c r="F2412" s="8">
        <f>QS.TRADE.CREATE("trade.2410",C2412,E2412,A2412,"Receive")</f>
        <v/>
      </c>
      <c r="G2412" s="5"/>
      <c r="H2412" s="7" t="s">
        <v>1210</v>
      </c>
      <c r="I2412" s="9">
        <v>1241000</v>
      </c>
      <c r="J2412" s="10">
        <v>0.036</v>
      </c>
    </row>
    <row r="2413" spans="1:10">
      <c r="A2413" s="7" t="s">
        <v>1198</v>
      </c>
      <c r="B2413" s="7" t="s">
        <v>4280</v>
      </c>
      <c r="C2413" s="8">
        <f>QS.CONTEXT.CREATE("market.2411",A2413,"USD","SOFR")</f>
        <v/>
      </c>
      <c r="D2413" s="8">
        <f>QS.CONTEXT.ADD.CURVE(C2413,"SOFR",$K$2:$K$7,$L$2:$L$7,,,"Actual360","LogLinear",TRUE)</f>
        <v/>
      </c>
      <c r="E2413" s="8">
        <f>QS.INSTRUMENT.SWAP("swap.2411",C2413,H2413,B2413,"USD","SOFR",I2413,J2413,0,"Actual360","Simple","Annual","Annual","Annual")</f>
        <v/>
      </c>
      <c r="F2413" s="8">
        <f>QS.TRADE.CREATE("trade.2411",C2413,E2413,A2413,"Receive")</f>
        <v/>
      </c>
      <c r="G2413" s="5"/>
      <c r="H2413" s="7" t="s">
        <v>1212</v>
      </c>
      <c r="I2413" s="9">
        <v>1241100</v>
      </c>
      <c r="J2413" s="10">
        <v>0.0361</v>
      </c>
    </row>
    <row r="2414" spans="1:10">
      <c r="A2414" s="7" t="s">
        <v>1200</v>
      </c>
      <c r="B2414" s="7" t="s">
        <v>4281</v>
      </c>
      <c r="C2414" s="8">
        <f>QS.CONTEXT.CREATE("market.2412",A2414,"USD","SOFR")</f>
        <v/>
      </c>
      <c r="D2414" s="8">
        <f>QS.CONTEXT.ADD.CURVE(C2414,"SOFR",$K$2:$K$7,$L$2:$L$7,,,"Actual360","LogLinear",TRUE)</f>
        <v/>
      </c>
      <c r="E2414" s="8">
        <f>QS.INSTRUMENT.SWAP("swap.2412",C2414,H2414,B2414,"USD","SOFR",I2414,J2414,0,"Actual360","Simple","Annual","Annual","Annual")</f>
        <v/>
      </c>
      <c r="F2414" s="8">
        <f>QS.TRADE.CREATE("trade.2412",C2414,E2414,A2414,"Receive")</f>
        <v/>
      </c>
      <c r="G2414" s="5"/>
      <c r="H2414" s="7" t="s">
        <v>1214</v>
      </c>
      <c r="I2414" s="9">
        <v>1241200</v>
      </c>
      <c r="J2414" s="10">
        <v>0.0362</v>
      </c>
    </row>
    <row r="2415" spans="1:10">
      <c r="A2415" s="7" t="s">
        <v>1202</v>
      </c>
      <c r="B2415" s="7" t="s">
        <v>4282</v>
      </c>
      <c r="C2415" s="8">
        <f>QS.CONTEXT.CREATE("market.2413",A2415,"USD","SOFR")</f>
        <v/>
      </c>
      <c r="D2415" s="8">
        <f>QS.CONTEXT.ADD.CURVE(C2415,"SOFR",$K$2:$K$7,$L$2:$L$7,,,"Actual360","LogLinear",TRUE)</f>
        <v/>
      </c>
      <c r="E2415" s="8">
        <f>QS.INSTRUMENT.SWAP("swap.2413",C2415,H2415,B2415,"USD","SOFR",I2415,J2415,0,"Actual360","Simple","Annual","Annual","Annual")</f>
        <v/>
      </c>
      <c r="F2415" s="8">
        <f>QS.TRADE.CREATE("trade.2413",C2415,E2415,A2415,"Receive")</f>
        <v/>
      </c>
      <c r="G2415" s="5"/>
      <c r="H2415" s="7" t="s">
        <v>1216</v>
      </c>
      <c r="I2415" s="9">
        <v>1241300</v>
      </c>
      <c r="J2415" s="10">
        <v>0.03630000000000001</v>
      </c>
    </row>
    <row r="2416" spans="1:10">
      <c r="A2416" s="7" t="s">
        <v>1204</v>
      </c>
      <c r="B2416" s="7" t="s">
        <v>4283</v>
      </c>
      <c r="C2416" s="8">
        <f>QS.CONTEXT.CREATE("market.2414",A2416,"USD","SOFR")</f>
        <v/>
      </c>
      <c r="D2416" s="8">
        <f>QS.CONTEXT.ADD.CURVE(C2416,"SOFR",$K$2:$K$7,$L$2:$L$7,,,"Actual360","LogLinear",TRUE)</f>
        <v/>
      </c>
      <c r="E2416" s="8">
        <f>QS.INSTRUMENT.SWAP("swap.2414",C2416,H2416,B2416,"USD","SOFR",I2416,J2416,0,"Actual360","Simple","Annual","Annual","Annual")</f>
        <v/>
      </c>
      <c r="F2416" s="8">
        <f>QS.TRADE.CREATE("trade.2414",C2416,E2416,A2416,"Receive")</f>
        <v/>
      </c>
      <c r="G2416" s="5"/>
      <c r="H2416" s="7" t="s">
        <v>1218</v>
      </c>
      <c r="I2416" s="9">
        <v>1241400</v>
      </c>
      <c r="J2416" s="10">
        <v>0.0364</v>
      </c>
    </row>
    <row r="2417" spans="1:10">
      <c r="A2417" s="7" t="s">
        <v>1206</v>
      </c>
      <c r="B2417" s="7" t="s">
        <v>4284</v>
      </c>
      <c r="C2417" s="8">
        <f>QS.CONTEXT.CREATE("market.2415",A2417,"USD","SOFR")</f>
        <v/>
      </c>
      <c r="D2417" s="8">
        <f>QS.CONTEXT.ADD.CURVE(C2417,"SOFR",$K$2:$K$7,$L$2:$L$7,,,"Actual360","LogLinear",TRUE)</f>
        <v/>
      </c>
      <c r="E2417" s="8">
        <f>QS.INSTRUMENT.SWAP("swap.2415",C2417,H2417,B2417,"USD","SOFR",I2417,J2417,0,"Actual360","Simple","Annual","Annual","Annual")</f>
        <v/>
      </c>
      <c r="F2417" s="8">
        <f>QS.TRADE.CREATE("trade.2415",C2417,E2417,A2417,"Receive")</f>
        <v/>
      </c>
      <c r="G2417" s="5"/>
      <c r="H2417" s="7" t="s">
        <v>1220</v>
      </c>
      <c r="I2417" s="9">
        <v>1241500</v>
      </c>
      <c r="J2417" s="10">
        <v>0.0365</v>
      </c>
    </row>
    <row r="2418" spans="1:10">
      <c r="A2418" s="7" t="s">
        <v>1208</v>
      </c>
      <c r="B2418" s="7" t="s">
        <v>4285</v>
      </c>
      <c r="C2418" s="8">
        <f>QS.CONTEXT.CREATE("market.2416",A2418,"USD","SOFR")</f>
        <v/>
      </c>
      <c r="D2418" s="8">
        <f>QS.CONTEXT.ADD.CURVE(C2418,"SOFR",$K$2:$K$7,$L$2:$L$7,,,"Actual360","LogLinear",TRUE)</f>
        <v/>
      </c>
      <c r="E2418" s="8">
        <f>QS.INSTRUMENT.SWAP("swap.2416",C2418,H2418,B2418,"USD","SOFR",I2418,J2418,0,"Actual360","Simple","Annual","Annual","Annual")</f>
        <v/>
      </c>
      <c r="F2418" s="8">
        <f>QS.TRADE.CREATE("trade.2416",C2418,E2418,A2418,"Receive")</f>
        <v/>
      </c>
      <c r="G2418" s="5"/>
      <c r="H2418" s="7" t="s">
        <v>1222</v>
      </c>
      <c r="I2418" s="9">
        <v>1241600</v>
      </c>
      <c r="J2418" s="10">
        <v>0.0366</v>
      </c>
    </row>
    <row r="2419" spans="1:10">
      <c r="A2419" s="7" t="s">
        <v>1210</v>
      </c>
      <c r="B2419" s="7" t="s">
        <v>4286</v>
      </c>
      <c r="C2419" s="8">
        <f>QS.CONTEXT.CREATE("market.2417",A2419,"USD","SOFR")</f>
        <v/>
      </c>
      <c r="D2419" s="8">
        <f>QS.CONTEXT.ADD.CURVE(C2419,"SOFR",$K$2:$K$7,$L$2:$L$7,,,"Actual360","LogLinear",TRUE)</f>
        <v/>
      </c>
      <c r="E2419" s="8">
        <f>QS.INSTRUMENT.SWAP("swap.2417",C2419,H2419,B2419,"USD","SOFR",I2419,J2419,0,"Actual360","Simple","Annual","Annual","Annual")</f>
        <v/>
      </c>
      <c r="F2419" s="8">
        <f>QS.TRADE.CREATE("trade.2417",C2419,E2419,A2419,"Receive")</f>
        <v/>
      </c>
      <c r="G2419" s="5"/>
      <c r="H2419" s="7" t="s">
        <v>1224</v>
      </c>
      <c r="I2419" s="9">
        <v>1241700</v>
      </c>
      <c r="J2419" s="10">
        <v>0.0367</v>
      </c>
    </row>
    <row r="2420" spans="1:10">
      <c r="A2420" s="7" t="s">
        <v>1212</v>
      </c>
      <c r="B2420" s="7" t="s">
        <v>4287</v>
      </c>
      <c r="C2420" s="8">
        <f>QS.CONTEXT.CREATE("market.2418",A2420,"USD","SOFR")</f>
        <v/>
      </c>
      <c r="D2420" s="8">
        <f>QS.CONTEXT.ADD.CURVE(C2420,"SOFR",$K$2:$K$7,$L$2:$L$7,,,"Actual360","LogLinear",TRUE)</f>
        <v/>
      </c>
      <c r="E2420" s="8">
        <f>QS.INSTRUMENT.SWAP("swap.2418",C2420,H2420,B2420,"USD","SOFR",I2420,J2420,0,"Actual360","Simple","Annual","Annual","Annual")</f>
        <v/>
      </c>
      <c r="F2420" s="8">
        <f>QS.TRADE.CREATE("trade.2418",C2420,E2420,A2420,"Receive")</f>
        <v/>
      </c>
      <c r="G2420" s="5"/>
      <c r="H2420" s="7" t="s">
        <v>1226</v>
      </c>
      <c r="I2420" s="9">
        <v>1241800</v>
      </c>
      <c r="J2420" s="10">
        <v>0.03680000000000001</v>
      </c>
    </row>
    <row r="2421" spans="1:10">
      <c r="A2421" s="7" t="s">
        <v>1214</v>
      </c>
      <c r="B2421" s="7" t="s">
        <v>4288</v>
      </c>
      <c r="C2421" s="8">
        <f>QS.CONTEXT.CREATE("market.2419",A2421,"USD","SOFR")</f>
        <v/>
      </c>
      <c r="D2421" s="8">
        <f>QS.CONTEXT.ADD.CURVE(C2421,"SOFR",$K$2:$K$7,$L$2:$L$7,,,"Actual360","LogLinear",TRUE)</f>
        <v/>
      </c>
      <c r="E2421" s="8">
        <f>QS.INSTRUMENT.SWAP("swap.2419",C2421,H2421,B2421,"USD","SOFR",I2421,J2421,0,"Actual360","Simple","Annual","Annual","Annual")</f>
        <v/>
      </c>
      <c r="F2421" s="8">
        <f>QS.TRADE.CREATE("trade.2419",C2421,E2421,A2421,"Receive")</f>
        <v/>
      </c>
      <c r="G2421" s="5"/>
      <c r="H2421" s="7" t="s">
        <v>1228</v>
      </c>
      <c r="I2421" s="9">
        <v>1241900</v>
      </c>
      <c r="J2421" s="10">
        <v>0.0369</v>
      </c>
    </row>
    <row r="2422" spans="1:10">
      <c r="A2422" s="7" t="s">
        <v>1216</v>
      </c>
      <c r="B2422" s="7" t="s">
        <v>4289</v>
      </c>
      <c r="C2422" s="8">
        <f>QS.CONTEXT.CREATE("market.2420",A2422,"USD","SOFR")</f>
        <v/>
      </c>
      <c r="D2422" s="8">
        <f>QS.CONTEXT.ADD.CURVE(C2422,"SOFR",$K$2:$K$7,$L$2:$L$7,,,"Actual360","LogLinear",TRUE)</f>
        <v/>
      </c>
      <c r="E2422" s="8">
        <f>QS.INSTRUMENT.SWAP("swap.2420",C2422,H2422,B2422,"USD","SOFR",I2422,J2422,0,"Actual360","Simple","Annual","Annual","Annual")</f>
        <v/>
      </c>
      <c r="F2422" s="8">
        <f>QS.TRADE.CREATE("trade.2420",C2422,E2422,A2422,"Receive")</f>
        <v/>
      </c>
      <c r="G2422" s="5"/>
      <c r="H2422" s="7" t="s">
        <v>1230</v>
      </c>
      <c r="I2422" s="9">
        <v>1242000</v>
      </c>
      <c r="J2422" s="10">
        <v>0.03700000000000001</v>
      </c>
    </row>
    <row r="2423" spans="1:10">
      <c r="A2423" s="7" t="s">
        <v>1218</v>
      </c>
      <c r="B2423" s="7" t="s">
        <v>4290</v>
      </c>
      <c r="C2423" s="8">
        <f>QS.CONTEXT.CREATE("market.2421",A2423,"USD","SOFR")</f>
        <v/>
      </c>
      <c r="D2423" s="8">
        <f>QS.CONTEXT.ADD.CURVE(C2423,"SOFR",$K$2:$K$7,$L$2:$L$7,,,"Actual360","LogLinear",TRUE)</f>
        <v/>
      </c>
      <c r="E2423" s="8">
        <f>QS.INSTRUMENT.SWAP("swap.2421",C2423,H2423,B2423,"USD","SOFR",I2423,J2423,0,"Actual360","Simple","Annual","Annual","Annual")</f>
        <v/>
      </c>
      <c r="F2423" s="8">
        <f>QS.TRADE.CREATE("trade.2421",C2423,E2423,A2423,"Receive")</f>
        <v/>
      </c>
      <c r="G2423" s="5"/>
      <c r="H2423" s="7" t="s">
        <v>1232</v>
      </c>
      <c r="I2423" s="9">
        <v>1242100</v>
      </c>
      <c r="J2423" s="10">
        <v>0.0371</v>
      </c>
    </row>
    <row r="2424" spans="1:10">
      <c r="A2424" s="7" t="s">
        <v>1220</v>
      </c>
      <c r="B2424" s="7" t="s">
        <v>4291</v>
      </c>
      <c r="C2424" s="8">
        <f>QS.CONTEXT.CREATE("market.2422",A2424,"USD","SOFR")</f>
        <v/>
      </c>
      <c r="D2424" s="8">
        <f>QS.CONTEXT.ADD.CURVE(C2424,"SOFR",$K$2:$K$7,$L$2:$L$7,,,"Actual360","LogLinear",TRUE)</f>
        <v/>
      </c>
      <c r="E2424" s="8">
        <f>QS.INSTRUMENT.SWAP("swap.2422",C2424,H2424,B2424,"USD","SOFR",I2424,J2424,0,"Actual360","Simple","Annual","Annual","Annual")</f>
        <v/>
      </c>
      <c r="F2424" s="8">
        <f>QS.TRADE.CREATE("trade.2422",C2424,E2424,A2424,"Receive")</f>
        <v/>
      </c>
      <c r="G2424" s="5"/>
      <c r="H2424" s="7" t="s">
        <v>1234</v>
      </c>
      <c r="I2424" s="9">
        <v>1242200</v>
      </c>
      <c r="J2424" s="10">
        <v>0.0372</v>
      </c>
    </row>
    <row r="2425" spans="1:10">
      <c r="A2425" s="7" t="s">
        <v>1222</v>
      </c>
      <c r="B2425" s="7" t="s">
        <v>4292</v>
      </c>
      <c r="C2425" s="8">
        <f>QS.CONTEXT.CREATE("market.2423",A2425,"USD","SOFR")</f>
        <v/>
      </c>
      <c r="D2425" s="8">
        <f>QS.CONTEXT.ADD.CURVE(C2425,"SOFR",$K$2:$K$7,$L$2:$L$7,,,"Actual360","LogLinear",TRUE)</f>
        <v/>
      </c>
      <c r="E2425" s="8">
        <f>QS.INSTRUMENT.SWAP("swap.2423",C2425,H2425,B2425,"USD","SOFR",I2425,J2425,0,"Actual360","Simple","Annual","Annual","Annual")</f>
        <v/>
      </c>
      <c r="F2425" s="8">
        <f>QS.TRADE.CREATE("trade.2423",C2425,E2425,A2425,"Receive")</f>
        <v/>
      </c>
      <c r="G2425" s="5"/>
      <c r="H2425" s="7" t="s">
        <v>1236</v>
      </c>
      <c r="I2425" s="9">
        <v>1242300</v>
      </c>
      <c r="J2425" s="10">
        <v>0.0373</v>
      </c>
    </row>
    <row r="2426" spans="1:10">
      <c r="A2426" s="7" t="s">
        <v>1224</v>
      </c>
      <c r="B2426" s="7" t="s">
        <v>4293</v>
      </c>
      <c r="C2426" s="8">
        <f>QS.CONTEXT.CREATE("market.2424",A2426,"USD","SOFR")</f>
        <v/>
      </c>
      <c r="D2426" s="8">
        <f>QS.CONTEXT.ADD.CURVE(C2426,"SOFR",$K$2:$K$7,$L$2:$L$7,,,"Actual360","LogLinear",TRUE)</f>
        <v/>
      </c>
      <c r="E2426" s="8">
        <f>QS.INSTRUMENT.SWAP("swap.2424",C2426,H2426,B2426,"USD","SOFR",I2426,J2426,0,"Actual360","Simple","Annual","Annual","Annual")</f>
        <v/>
      </c>
      <c r="F2426" s="8">
        <f>QS.TRADE.CREATE("trade.2424",C2426,E2426,A2426,"Receive")</f>
        <v/>
      </c>
      <c r="G2426" s="5"/>
      <c r="H2426" s="7" t="s">
        <v>1238</v>
      </c>
      <c r="I2426" s="9">
        <v>1242400</v>
      </c>
      <c r="J2426" s="10">
        <v>0.0374</v>
      </c>
    </row>
    <row r="2427" spans="1:10">
      <c r="A2427" s="7" t="s">
        <v>1226</v>
      </c>
      <c r="B2427" s="7" t="s">
        <v>4294</v>
      </c>
      <c r="C2427" s="8">
        <f>QS.CONTEXT.CREATE("market.2425",A2427,"USD","SOFR")</f>
        <v/>
      </c>
      <c r="D2427" s="8">
        <f>QS.CONTEXT.ADD.CURVE(C2427,"SOFR",$K$2:$K$7,$L$2:$L$7,,,"Actual360","LogLinear",TRUE)</f>
        <v/>
      </c>
      <c r="E2427" s="8">
        <f>QS.INSTRUMENT.SWAP("swap.2425",C2427,H2427,B2427,"USD","SOFR",I2427,J2427,0,"Actual360","Simple","Annual","Annual","Annual")</f>
        <v/>
      </c>
      <c r="F2427" s="8">
        <f>QS.TRADE.CREATE("trade.2425",C2427,E2427,A2427,"Receive")</f>
        <v/>
      </c>
      <c r="G2427" s="5"/>
      <c r="H2427" s="7" t="s">
        <v>1240</v>
      </c>
      <c r="I2427" s="9">
        <v>1242500</v>
      </c>
      <c r="J2427" s="10">
        <v>0.03750000000000001</v>
      </c>
    </row>
    <row r="2428" spans="1:10">
      <c r="A2428" s="7" t="s">
        <v>1228</v>
      </c>
      <c r="B2428" s="7" t="s">
        <v>4295</v>
      </c>
      <c r="C2428" s="8">
        <f>QS.CONTEXT.CREATE("market.2426",A2428,"USD","SOFR")</f>
        <v/>
      </c>
      <c r="D2428" s="8">
        <f>QS.CONTEXT.ADD.CURVE(C2428,"SOFR",$K$2:$K$7,$L$2:$L$7,,,"Actual360","LogLinear",TRUE)</f>
        <v/>
      </c>
      <c r="E2428" s="8">
        <f>QS.INSTRUMENT.SWAP("swap.2426",C2428,H2428,B2428,"USD","SOFR",I2428,J2428,0,"Actual360","Simple","Annual","Annual","Annual")</f>
        <v/>
      </c>
      <c r="F2428" s="8">
        <f>QS.TRADE.CREATE("trade.2426",C2428,E2428,A2428,"Receive")</f>
        <v/>
      </c>
      <c r="G2428" s="5"/>
      <c r="H2428" s="7" t="s">
        <v>1242</v>
      </c>
      <c r="I2428" s="9">
        <v>1242600</v>
      </c>
      <c r="J2428" s="10">
        <v>0.0376</v>
      </c>
    </row>
    <row r="2429" spans="1:10">
      <c r="A2429" s="7" t="s">
        <v>1230</v>
      </c>
      <c r="B2429" s="7" t="s">
        <v>4296</v>
      </c>
      <c r="C2429" s="8">
        <f>QS.CONTEXT.CREATE("market.2427",A2429,"USD","SOFR")</f>
        <v/>
      </c>
      <c r="D2429" s="8">
        <f>QS.CONTEXT.ADD.CURVE(C2429,"SOFR",$K$2:$K$7,$L$2:$L$7,,,"Actual360","LogLinear",TRUE)</f>
        <v/>
      </c>
      <c r="E2429" s="8">
        <f>QS.INSTRUMENT.SWAP("swap.2427",C2429,H2429,B2429,"USD","SOFR",I2429,J2429,0,"Actual360","Simple","Annual","Annual","Annual")</f>
        <v/>
      </c>
      <c r="F2429" s="8">
        <f>QS.TRADE.CREATE("trade.2427",C2429,E2429,A2429,"Receive")</f>
        <v/>
      </c>
      <c r="G2429" s="5"/>
      <c r="H2429" s="7" t="s">
        <v>1244</v>
      </c>
      <c r="I2429" s="9">
        <v>1242700</v>
      </c>
      <c r="J2429" s="10">
        <v>0.0377</v>
      </c>
    </row>
    <row r="2430" spans="1:10">
      <c r="A2430" s="7" t="s">
        <v>1232</v>
      </c>
      <c r="B2430" s="7" t="s">
        <v>4297</v>
      </c>
      <c r="C2430" s="8">
        <f>QS.CONTEXT.CREATE("market.2428",A2430,"USD","SOFR")</f>
        <v/>
      </c>
      <c r="D2430" s="8">
        <f>QS.CONTEXT.ADD.CURVE(C2430,"SOFR",$K$2:$K$7,$L$2:$L$7,,,"Actual360","LogLinear",TRUE)</f>
        <v/>
      </c>
      <c r="E2430" s="8">
        <f>QS.INSTRUMENT.SWAP("swap.2428",C2430,H2430,B2430,"USD","SOFR",I2430,J2430,0,"Actual360","Simple","Annual","Annual","Annual")</f>
        <v/>
      </c>
      <c r="F2430" s="8">
        <f>QS.TRADE.CREATE("trade.2428",C2430,E2430,A2430,"Receive")</f>
        <v/>
      </c>
      <c r="G2430" s="5"/>
      <c r="H2430" s="7" t="s">
        <v>1246</v>
      </c>
      <c r="I2430" s="9">
        <v>1242800</v>
      </c>
      <c r="J2430" s="10">
        <v>0.0378</v>
      </c>
    </row>
    <row r="2431" spans="1:10">
      <c r="A2431" s="7" t="s">
        <v>1234</v>
      </c>
      <c r="B2431" s="7" t="s">
        <v>4298</v>
      </c>
      <c r="C2431" s="8">
        <f>QS.CONTEXT.CREATE("market.2429",A2431,"USD","SOFR")</f>
        <v/>
      </c>
      <c r="D2431" s="8">
        <f>QS.CONTEXT.ADD.CURVE(C2431,"SOFR",$K$2:$K$7,$L$2:$L$7,,,"Actual360","LogLinear",TRUE)</f>
        <v/>
      </c>
      <c r="E2431" s="8">
        <f>QS.INSTRUMENT.SWAP("swap.2429",C2431,H2431,B2431,"USD","SOFR",I2431,J2431,0,"Actual360","Simple","Annual","Annual","Annual")</f>
        <v/>
      </c>
      <c r="F2431" s="8">
        <f>QS.TRADE.CREATE("trade.2429",C2431,E2431,A2431,"Receive")</f>
        <v/>
      </c>
      <c r="G2431" s="5"/>
      <c r="H2431" s="7" t="s">
        <v>1248</v>
      </c>
      <c r="I2431" s="9">
        <v>1242900</v>
      </c>
      <c r="J2431" s="10">
        <v>0.0379</v>
      </c>
    </row>
    <row r="2432" spans="1:10">
      <c r="A2432" s="7" t="s">
        <v>1236</v>
      </c>
      <c r="B2432" s="7" t="s">
        <v>4299</v>
      </c>
      <c r="C2432" s="8">
        <f>QS.CONTEXT.CREATE("market.2430",A2432,"USD","SOFR")</f>
        <v/>
      </c>
      <c r="D2432" s="8">
        <f>QS.CONTEXT.ADD.CURVE(C2432,"SOFR",$K$2:$K$7,$L$2:$L$7,,,"Actual360","LogLinear",TRUE)</f>
        <v/>
      </c>
      <c r="E2432" s="8">
        <f>QS.INSTRUMENT.SWAP("swap.2430",C2432,H2432,B2432,"USD","SOFR",I2432,J2432,0,"Actual360","Simple","Annual","Annual","Annual")</f>
        <v/>
      </c>
      <c r="F2432" s="8">
        <f>QS.TRADE.CREATE("trade.2430",C2432,E2432,A2432,"Receive")</f>
        <v/>
      </c>
      <c r="G2432" s="5"/>
      <c r="H2432" s="7" t="s">
        <v>1250</v>
      </c>
      <c r="I2432" s="9">
        <v>1243000</v>
      </c>
      <c r="J2432" s="10">
        <v>0.03800000000000001</v>
      </c>
    </row>
    <row r="2433" spans="1:10">
      <c r="A2433" s="7" t="s">
        <v>1238</v>
      </c>
      <c r="B2433" s="7" t="s">
        <v>4300</v>
      </c>
      <c r="C2433" s="8">
        <f>QS.CONTEXT.CREATE("market.2431",A2433,"USD","SOFR")</f>
        <v/>
      </c>
      <c r="D2433" s="8">
        <f>QS.CONTEXT.ADD.CURVE(C2433,"SOFR",$K$2:$K$7,$L$2:$L$7,,,"Actual360","LogLinear",TRUE)</f>
        <v/>
      </c>
      <c r="E2433" s="8">
        <f>QS.INSTRUMENT.SWAP("swap.2431",C2433,H2433,B2433,"USD","SOFR",I2433,J2433,0,"Actual360","Simple","Annual","Annual","Annual")</f>
        <v/>
      </c>
      <c r="F2433" s="8">
        <f>QS.TRADE.CREATE("trade.2431",C2433,E2433,A2433,"Receive")</f>
        <v/>
      </c>
      <c r="G2433" s="5"/>
      <c r="H2433" s="7" t="s">
        <v>1252</v>
      </c>
      <c r="I2433" s="9">
        <v>1243100</v>
      </c>
      <c r="J2433" s="10">
        <v>0.0381</v>
      </c>
    </row>
    <row r="2434" spans="1:10">
      <c r="A2434" s="7" t="s">
        <v>1240</v>
      </c>
      <c r="B2434" s="7" t="s">
        <v>4301</v>
      </c>
      <c r="C2434" s="8">
        <f>QS.CONTEXT.CREATE("market.2432",A2434,"USD","SOFR")</f>
        <v/>
      </c>
      <c r="D2434" s="8">
        <f>QS.CONTEXT.ADD.CURVE(C2434,"SOFR",$K$2:$K$7,$L$2:$L$7,,,"Actual360","LogLinear",TRUE)</f>
        <v/>
      </c>
      <c r="E2434" s="8">
        <f>QS.INSTRUMENT.SWAP("swap.2432",C2434,H2434,B2434,"USD","SOFR",I2434,J2434,0,"Actual360","Simple","Annual","Annual","Annual")</f>
        <v/>
      </c>
      <c r="F2434" s="8">
        <f>QS.TRADE.CREATE("trade.2432",C2434,E2434,A2434,"Receive")</f>
        <v/>
      </c>
      <c r="G2434" s="5"/>
      <c r="H2434" s="7" t="s">
        <v>1254</v>
      </c>
      <c r="I2434" s="9">
        <v>1243200</v>
      </c>
      <c r="J2434" s="10">
        <v>0.0382</v>
      </c>
    </row>
    <row r="2435" spans="1:10">
      <c r="A2435" s="7" t="s">
        <v>1242</v>
      </c>
      <c r="B2435" s="7" t="s">
        <v>4302</v>
      </c>
      <c r="C2435" s="8">
        <f>QS.CONTEXT.CREATE("market.2433",A2435,"USD","SOFR")</f>
        <v/>
      </c>
      <c r="D2435" s="8">
        <f>QS.CONTEXT.ADD.CURVE(C2435,"SOFR",$K$2:$K$7,$L$2:$L$7,,,"Actual360","LogLinear",TRUE)</f>
        <v/>
      </c>
      <c r="E2435" s="8">
        <f>QS.INSTRUMENT.SWAP("swap.2433",C2435,H2435,B2435,"USD","SOFR",I2435,J2435,0,"Actual360","Simple","Annual","Annual","Annual")</f>
        <v/>
      </c>
      <c r="F2435" s="8">
        <f>QS.TRADE.CREATE("trade.2433",C2435,E2435,A2435,"Receive")</f>
        <v/>
      </c>
      <c r="G2435" s="5"/>
      <c r="H2435" s="7" t="s">
        <v>1256</v>
      </c>
      <c r="I2435" s="9">
        <v>1243300</v>
      </c>
      <c r="J2435" s="10">
        <v>0.0383</v>
      </c>
    </row>
    <row r="2436" spans="1:10">
      <c r="A2436" s="7" t="s">
        <v>1244</v>
      </c>
      <c r="B2436" s="7" t="s">
        <v>4303</v>
      </c>
      <c r="C2436" s="8">
        <f>QS.CONTEXT.CREATE("market.2434",A2436,"USD","SOFR")</f>
        <v/>
      </c>
      <c r="D2436" s="8">
        <f>QS.CONTEXT.ADD.CURVE(C2436,"SOFR",$K$2:$K$7,$L$2:$L$7,,,"Actual360","LogLinear",TRUE)</f>
        <v/>
      </c>
      <c r="E2436" s="8">
        <f>QS.INSTRUMENT.SWAP("swap.2434",C2436,H2436,B2436,"USD","SOFR",I2436,J2436,0,"Actual360","Simple","Annual","Annual","Annual")</f>
        <v/>
      </c>
      <c r="F2436" s="8">
        <f>QS.TRADE.CREATE("trade.2434",C2436,E2436,A2436,"Receive")</f>
        <v/>
      </c>
      <c r="G2436" s="5"/>
      <c r="H2436" s="7" t="s">
        <v>1258</v>
      </c>
      <c r="I2436" s="9">
        <v>1243400</v>
      </c>
      <c r="J2436" s="10">
        <v>0.0384</v>
      </c>
    </row>
    <row r="2437" spans="1:10">
      <c r="A2437" s="7" t="s">
        <v>1246</v>
      </c>
      <c r="B2437" s="7" t="s">
        <v>4304</v>
      </c>
      <c r="C2437" s="8">
        <f>QS.CONTEXT.CREATE("market.2435",A2437,"USD","SOFR")</f>
        <v/>
      </c>
      <c r="D2437" s="8">
        <f>QS.CONTEXT.ADD.CURVE(C2437,"SOFR",$K$2:$K$7,$L$2:$L$7,,,"Actual360","LogLinear",TRUE)</f>
        <v/>
      </c>
      <c r="E2437" s="8">
        <f>QS.INSTRUMENT.SWAP("swap.2435",C2437,H2437,B2437,"USD","SOFR",I2437,J2437,0,"Actual360","Simple","Annual","Annual","Annual")</f>
        <v/>
      </c>
      <c r="F2437" s="8">
        <f>QS.TRADE.CREATE("trade.2435",C2437,E2437,A2437,"Receive")</f>
        <v/>
      </c>
      <c r="G2437" s="5"/>
      <c r="H2437" s="7" t="s">
        <v>1260</v>
      </c>
      <c r="I2437" s="9">
        <v>1243500</v>
      </c>
      <c r="J2437" s="10">
        <v>0.03850000000000001</v>
      </c>
    </row>
    <row r="2438" spans="1:10">
      <c r="A2438" s="7" t="s">
        <v>1248</v>
      </c>
      <c r="B2438" s="7" t="s">
        <v>4305</v>
      </c>
      <c r="C2438" s="8">
        <f>QS.CONTEXT.CREATE("market.2436",A2438,"USD","SOFR")</f>
        <v/>
      </c>
      <c r="D2438" s="8">
        <f>QS.CONTEXT.ADD.CURVE(C2438,"SOFR",$K$2:$K$7,$L$2:$L$7,,,"Actual360","LogLinear",TRUE)</f>
        <v/>
      </c>
      <c r="E2438" s="8">
        <f>QS.INSTRUMENT.SWAP("swap.2436",C2438,H2438,B2438,"USD","SOFR",I2438,J2438,0,"Actual360","Simple","Annual","Annual","Annual")</f>
        <v/>
      </c>
      <c r="F2438" s="8">
        <f>QS.TRADE.CREATE("trade.2436",C2438,E2438,A2438,"Receive")</f>
        <v/>
      </c>
      <c r="G2438" s="5"/>
      <c r="H2438" s="7" t="s">
        <v>1262</v>
      </c>
      <c r="I2438" s="9">
        <v>1243600</v>
      </c>
      <c r="J2438" s="10">
        <v>0.0386</v>
      </c>
    </row>
    <row r="2439" spans="1:10">
      <c r="A2439" s="7" t="s">
        <v>1250</v>
      </c>
      <c r="B2439" s="7" t="s">
        <v>4306</v>
      </c>
      <c r="C2439" s="8">
        <f>QS.CONTEXT.CREATE("market.2437",A2439,"USD","SOFR")</f>
        <v/>
      </c>
      <c r="D2439" s="8">
        <f>QS.CONTEXT.ADD.CURVE(C2439,"SOFR",$K$2:$K$7,$L$2:$L$7,,,"Actual360","LogLinear",TRUE)</f>
        <v/>
      </c>
      <c r="E2439" s="8">
        <f>QS.INSTRUMENT.SWAP("swap.2437",C2439,H2439,B2439,"USD","SOFR",I2439,J2439,0,"Actual360","Simple","Annual","Annual","Annual")</f>
        <v/>
      </c>
      <c r="F2439" s="8">
        <f>QS.TRADE.CREATE("trade.2437",C2439,E2439,A2439,"Receive")</f>
        <v/>
      </c>
      <c r="G2439" s="5"/>
      <c r="H2439" s="7" t="s">
        <v>1264</v>
      </c>
      <c r="I2439" s="9">
        <v>1243700</v>
      </c>
      <c r="J2439" s="10">
        <v>0.03870000000000001</v>
      </c>
    </row>
    <row r="2440" spans="1:10">
      <c r="A2440" s="7" t="s">
        <v>1252</v>
      </c>
      <c r="B2440" s="7" t="s">
        <v>4307</v>
      </c>
      <c r="C2440" s="8">
        <f>QS.CONTEXT.CREATE("market.2438",A2440,"USD","SOFR")</f>
        <v/>
      </c>
      <c r="D2440" s="8">
        <f>QS.CONTEXT.ADD.CURVE(C2440,"SOFR",$K$2:$K$7,$L$2:$L$7,,,"Actual360","LogLinear",TRUE)</f>
        <v/>
      </c>
      <c r="E2440" s="8">
        <f>QS.INSTRUMENT.SWAP("swap.2438",C2440,H2440,B2440,"USD","SOFR",I2440,J2440,0,"Actual360","Simple","Annual","Annual","Annual")</f>
        <v/>
      </c>
      <c r="F2440" s="8">
        <f>QS.TRADE.CREATE("trade.2438",C2440,E2440,A2440,"Receive")</f>
        <v/>
      </c>
      <c r="G2440" s="5"/>
      <c r="H2440" s="7" t="s">
        <v>1266</v>
      </c>
      <c r="I2440" s="9">
        <v>1243800</v>
      </c>
      <c r="J2440" s="10">
        <v>0.0388</v>
      </c>
    </row>
    <row r="2441" spans="1:10">
      <c r="A2441" s="7" t="s">
        <v>1254</v>
      </c>
      <c r="B2441" s="7" t="s">
        <v>4308</v>
      </c>
      <c r="C2441" s="8">
        <f>QS.CONTEXT.CREATE("market.2439",A2441,"USD","SOFR")</f>
        <v/>
      </c>
      <c r="D2441" s="8">
        <f>QS.CONTEXT.ADD.CURVE(C2441,"SOFR",$K$2:$K$7,$L$2:$L$7,,,"Actual360","LogLinear",TRUE)</f>
        <v/>
      </c>
      <c r="E2441" s="8">
        <f>QS.INSTRUMENT.SWAP("swap.2439",C2441,H2441,B2441,"USD","SOFR",I2441,J2441,0,"Actual360","Simple","Annual","Annual","Annual")</f>
        <v/>
      </c>
      <c r="F2441" s="8">
        <f>QS.TRADE.CREATE("trade.2439",C2441,E2441,A2441,"Receive")</f>
        <v/>
      </c>
      <c r="G2441" s="5"/>
      <c r="H2441" s="7" t="s">
        <v>1268</v>
      </c>
      <c r="I2441" s="9">
        <v>1243900</v>
      </c>
      <c r="J2441" s="10">
        <v>0.0389</v>
      </c>
    </row>
    <row r="2442" spans="1:10">
      <c r="A2442" s="7" t="s">
        <v>1256</v>
      </c>
      <c r="B2442" s="7" t="s">
        <v>4309</v>
      </c>
      <c r="C2442" s="8">
        <f>QS.CONTEXT.CREATE("market.2440",A2442,"USD","SOFR")</f>
        <v/>
      </c>
      <c r="D2442" s="8">
        <f>QS.CONTEXT.ADD.CURVE(C2442,"SOFR",$K$2:$K$7,$L$2:$L$7,,,"Actual360","LogLinear",TRUE)</f>
        <v/>
      </c>
      <c r="E2442" s="8">
        <f>QS.INSTRUMENT.SWAP("swap.2440",C2442,H2442,B2442,"USD","SOFR",I2442,J2442,0,"Actual360","Simple","Annual","Annual","Annual")</f>
        <v/>
      </c>
      <c r="F2442" s="8">
        <f>QS.TRADE.CREATE("trade.2440",C2442,E2442,A2442,"Receive")</f>
        <v/>
      </c>
      <c r="G2442" s="5"/>
      <c r="H2442" s="7" t="s">
        <v>1270</v>
      </c>
      <c r="I2442" s="9">
        <v>1244000</v>
      </c>
      <c r="J2442" s="10">
        <v>0.03900000000000001</v>
      </c>
    </row>
    <row r="2443" spans="1:10">
      <c r="A2443" s="7" t="s">
        <v>1258</v>
      </c>
      <c r="B2443" s="7" t="s">
        <v>4310</v>
      </c>
      <c r="C2443" s="8">
        <f>QS.CONTEXT.CREATE("market.2441",A2443,"USD","SOFR")</f>
        <v/>
      </c>
      <c r="D2443" s="8">
        <f>QS.CONTEXT.ADD.CURVE(C2443,"SOFR",$K$2:$K$7,$L$2:$L$7,,,"Actual360","LogLinear",TRUE)</f>
        <v/>
      </c>
      <c r="E2443" s="8">
        <f>QS.INSTRUMENT.SWAP("swap.2441",C2443,H2443,B2443,"USD","SOFR",I2443,J2443,0,"Actual360","Simple","Annual","Annual","Annual")</f>
        <v/>
      </c>
      <c r="F2443" s="8">
        <f>QS.TRADE.CREATE("trade.2441",C2443,E2443,A2443,"Receive")</f>
        <v/>
      </c>
      <c r="G2443" s="5"/>
      <c r="H2443" s="7" t="s">
        <v>1272</v>
      </c>
      <c r="I2443" s="9">
        <v>1244100</v>
      </c>
      <c r="J2443" s="10">
        <v>0.0391</v>
      </c>
    </row>
    <row r="2444" spans="1:10">
      <c r="A2444" s="7" t="s">
        <v>1260</v>
      </c>
      <c r="B2444" s="7" t="s">
        <v>4311</v>
      </c>
      <c r="C2444" s="8">
        <f>QS.CONTEXT.CREATE("market.2442",A2444,"USD","SOFR")</f>
        <v/>
      </c>
      <c r="D2444" s="8">
        <f>QS.CONTEXT.ADD.CURVE(C2444,"SOFR",$K$2:$K$7,$L$2:$L$7,,,"Actual360","LogLinear",TRUE)</f>
        <v/>
      </c>
      <c r="E2444" s="8">
        <f>QS.INSTRUMENT.SWAP("swap.2442",C2444,H2444,B2444,"USD","SOFR",I2444,J2444,0,"Actual360","Simple","Annual","Annual","Annual")</f>
        <v/>
      </c>
      <c r="F2444" s="8">
        <f>QS.TRADE.CREATE("trade.2442",C2444,E2444,A2444,"Receive")</f>
        <v/>
      </c>
      <c r="G2444" s="5"/>
      <c r="H2444" s="7" t="s">
        <v>1274</v>
      </c>
      <c r="I2444" s="9">
        <v>1244200</v>
      </c>
      <c r="J2444" s="10">
        <v>0.03920000000000001</v>
      </c>
    </row>
    <row r="2445" spans="1:10">
      <c r="A2445" s="7" t="s">
        <v>1262</v>
      </c>
      <c r="B2445" s="7" t="s">
        <v>4312</v>
      </c>
      <c r="C2445" s="8">
        <f>QS.CONTEXT.CREATE("market.2443",A2445,"USD","SOFR")</f>
        <v/>
      </c>
      <c r="D2445" s="8">
        <f>QS.CONTEXT.ADD.CURVE(C2445,"SOFR",$K$2:$K$7,$L$2:$L$7,,,"Actual360","LogLinear",TRUE)</f>
        <v/>
      </c>
      <c r="E2445" s="8">
        <f>QS.INSTRUMENT.SWAP("swap.2443",C2445,H2445,B2445,"USD","SOFR",I2445,J2445,0,"Actual360","Simple","Annual","Annual","Annual")</f>
        <v/>
      </c>
      <c r="F2445" s="8">
        <f>QS.TRADE.CREATE("trade.2443",C2445,E2445,A2445,"Receive")</f>
        <v/>
      </c>
      <c r="G2445" s="5"/>
      <c r="H2445" s="7" t="s">
        <v>1276</v>
      </c>
      <c r="I2445" s="9">
        <v>1244300</v>
      </c>
      <c r="J2445" s="10">
        <v>0.0393</v>
      </c>
    </row>
    <row r="2446" spans="1:10">
      <c r="A2446" s="7" t="s">
        <v>1264</v>
      </c>
      <c r="B2446" s="7" t="s">
        <v>4313</v>
      </c>
      <c r="C2446" s="8">
        <f>QS.CONTEXT.CREATE("market.2444",A2446,"USD","SOFR")</f>
        <v/>
      </c>
      <c r="D2446" s="8">
        <f>QS.CONTEXT.ADD.CURVE(C2446,"SOFR",$K$2:$K$7,$L$2:$L$7,,,"Actual360","LogLinear",TRUE)</f>
        <v/>
      </c>
      <c r="E2446" s="8">
        <f>QS.INSTRUMENT.SWAP("swap.2444",C2446,H2446,B2446,"USD","SOFR",I2446,J2446,0,"Actual360","Simple","Annual","Annual","Annual")</f>
        <v/>
      </c>
      <c r="F2446" s="8">
        <f>QS.TRADE.CREATE("trade.2444",C2446,E2446,A2446,"Receive")</f>
        <v/>
      </c>
      <c r="G2446" s="5"/>
      <c r="H2446" s="7" t="s">
        <v>1278</v>
      </c>
      <c r="I2446" s="9">
        <v>1244400</v>
      </c>
      <c r="J2446" s="10">
        <v>0.0394</v>
      </c>
    </row>
    <row r="2447" spans="1:10">
      <c r="A2447" s="7" t="s">
        <v>1266</v>
      </c>
      <c r="B2447" s="7" t="s">
        <v>4314</v>
      </c>
      <c r="C2447" s="8">
        <f>QS.CONTEXT.CREATE("market.2445",A2447,"USD","SOFR")</f>
        <v/>
      </c>
      <c r="D2447" s="8">
        <f>QS.CONTEXT.ADD.CURVE(C2447,"SOFR",$K$2:$K$7,$L$2:$L$7,,,"Actual360","LogLinear",TRUE)</f>
        <v/>
      </c>
      <c r="E2447" s="8">
        <f>QS.INSTRUMENT.SWAP("swap.2445",C2447,H2447,B2447,"USD","SOFR",I2447,J2447,0,"Actual360","Simple","Annual","Annual","Annual")</f>
        <v/>
      </c>
      <c r="F2447" s="8">
        <f>QS.TRADE.CREATE("trade.2445",C2447,E2447,A2447,"Receive")</f>
        <v/>
      </c>
      <c r="G2447" s="5"/>
      <c r="H2447" s="7" t="s">
        <v>1280</v>
      </c>
      <c r="I2447" s="9">
        <v>1244500</v>
      </c>
      <c r="J2447" s="10">
        <v>0.03950000000000001</v>
      </c>
    </row>
    <row r="2448" spans="1:10">
      <c r="A2448" s="7" t="s">
        <v>1268</v>
      </c>
      <c r="B2448" s="7" t="s">
        <v>4315</v>
      </c>
      <c r="C2448" s="8">
        <f>QS.CONTEXT.CREATE("market.2446",A2448,"USD","SOFR")</f>
        <v/>
      </c>
      <c r="D2448" s="8">
        <f>QS.CONTEXT.ADD.CURVE(C2448,"SOFR",$K$2:$K$7,$L$2:$L$7,,,"Actual360","LogLinear",TRUE)</f>
        <v/>
      </c>
      <c r="E2448" s="8">
        <f>QS.INSTRUMENT.SWAP("swap.2446",C2448,H2448,B2448,"USD","SOFR",I2448,J2448,0,"Actual360","Simple","Annual","Annual","Annual")</f>
        <v/>
      </c>
      <c r="F2448" s="8">
        <f>QS.TRADE.CREATE("trade.2446",C2448,E2448,A2448,"Receive")</f>
        <v/>
      </c>
      <c r="G2448" s="5"/>
      <c r="H2448" s="7" t="s">
        <v>1282</v>
      </c>
      <c r="I2448" s="9">
        <v>1244600</v>
      </c>
      <c r="J2448" s="10">
        <v>0.0396</v>
      </c>
    </row>
    <row r="2449" spans="1:10">
      <c r="A2449" s="7" t="s">
        <v>1270</v>
      </c>
      <c r="B2449" s="7" t="s">
        <v>4316</v>
      </c>
      <c r="C2449" s="8">
        <f>QS.CONTEXT.CREATE("market.2447",A2449,"USD","SOFR")</f>
        <v/>
      </c>
      <c r="D2449" s="8">
        <f>QS.CONTEXT.ADD.CURVE(C2449,"SOFR",$K$2:$K$7,$L$2:$L$7,,,"Actual360","LogLinear",TRUE)</f>
        <v/>
      </c>
      <c r="E2449" s="8">
        <f>QS.INSTRUMENT.SWAP("swap.2447",C2449,H2449,B2449,"USD","SOFR",I2449,J2449,0,"Actual360","Simple","Annual","Annual","Annual")</f>
        <v/>
      </c>
      <c r="F2449" s="8">
        <f>QS.TRADE.CREATE("trade.2447",C2449,E2449,A2449,"Receive")</f>
        <v/>
      </c>
      <c r="G2449" s="5"/>
      <c r="H2449" s="7" t="s">
        <v>1284</v>
      </c>
      <c r="I2449" s="9">
        <v>1244700</v>
      </c>
      <c r="J2449" s="10">
        <v>0.03970000000000001</v>
      </c>
    </row>
    <row r="2450" spans="1:10">
      <c r="A2450" s="7" t="s">
        <v>1272</v>
      </c>
      <c r="B2450" s="7" t="s">
        <v>4317</v>
      </c>
      <c r="C2450" s="8">
        <f>QS.CONTEXT.CREATE("market.2448",A2450,"USD","SOFR")</f>
        <v/>
      </c>
      <c r="D2450" s="8">
        <f>QS.CONTEXT.ADD.CURVE(C2450,"SOFR",$K$2:$K$7,$L$2:$L$7,,,"Actual360","LogLinear",TRUE)</f>
        <v/>
      </c>
      <c r="E2450" s="8">
        <f>QS.INSTRUMENT.SWAP("swap.2448",C2450,H2450,B2450,"USD","SOFR",I2450,J2450,0,"Actual360","Simple","Annual","Annual","Annual")</f>
        <v/>
      </c>
      <c r="F2450" s="8">
        <f>QS.TRADE.CREATE("trade.2448",C2450,E2450,A2450,"Receive")</f>
        <v/>
      </c>
      <c r="G2450" s="5"/>
      <c r="H2450" s="7" t="s">
        <v>1286</v>
      </c>
      <c r="I2450" s="9">
        <v>1244800</v>
      </c>
      <c r="J2450" s="10">
        <v>0.0398</v>
      </c>
    </row>
    <row r="2451" spans="1:10">
      <c r="A2451" s="7" t="s">
        <v>1274</v>
      </c>
      <c r="B2451" s="7" t="s">
        <v>4318</v>
      </c>
      <c r="C2451" s="8">
        <f>QS.CONTEXT.CREATE("market.2449",A2451,"USD","SOFR")</f>
        <v/>
      </c>
      <c r="D2451" s="8">
        <f>QS.CONTEXT.ADD.CURVE(C2451,"SOFR",$K$2:$K$7,$L$2:$L$7,,,"Actual360","LogLinear",TRUE)</f>
        <v/>
      </c>
      <c r="E2451" s="8">
        <f>QS.INSTRUMENT.SWAP("swap.2449",C2451,H2451,B2451,"USD","SOFR",I2451,J2451,0,"Actual360","Simple","Annual","Annual","Annual")</f>
        <v/>
      </c>
      <c r="F2451" s="8">
        <f>QS.TRADE.CREATE("trade.2449",C2451,E2451,A2451,"Receive")</f>
        <v/>
      </c>
      <c r="G2451" s="5"/>
      <c r="H2451" s="7" t="s">
        <v>1288</v>
      </c>
      <c r="I2451" s="9">
        <v>1244900</v>
      </c>
      <c r="J2451" s="10">
        <v>0.0399</v>
      </c>
    </row>
    <row r="2452" spans="1:10">
      <c r="A2452" s="7" t="s">
        <v>1276</v>
      </c>
      <c r="B2452" s="7" t="s">
        <v>4319</v>
      </c>
      <c r="C2452" s="8">
        <f>QS.CONTEXT.CREATE("market.2450",A2452,"USD","SOFR")</f>
        <v/>
      </c>
      <c r="D2452" s="8">
        <f>QS.CONTEXT.ADD.CURVE(C2452,"SOFR",$K$2:$K$7,$L$2:$L$7,,,"Actual360","LogLinear",TRUE)</f>
        <v/>
      </c>
      <c r="E2452" s="8">
        <f>QS.INSTRUMENT.SWAP("swap.2450",C2452,H2452,B2452,"USD","SOFR",I2452,J2452,0,"Actual360","Simple","Annual","Annual","Annual")</f>
        <v/>
      </c>
      <c r="F2452" s="8">
        <f>QS.TRADE.CREATE("trade.2450",C2452,E2452,A2452,"Receive")</f>
        <v/>
      </c>
      <c r="G2452" s="5"/>
      <c r="H2452" s="7" t="s">
        <v>1290</v>
      </c>
      <c r="I2452" s="9">
        <v>1245000</v>
      </c>
      <c r="J2452" s="10">
        <v>0.035</v>
      </c>
    </row>
    <row r="2453" spans="1:10">
      <c r="A2453" s="7" t="s">
        <v>1278</v>
      </c>
      <c r="B2453" s="7" t="s">
        <v>4320</v>
      </c>
      <c r="C2453" s="8">
        <f>QS.CONTEXT.CREATE("market.2451",A2453,"USD","SOFR")</f>
        <v/>
      </c>
      <c r="D2453" s="8">
        <f>QS.CONTEXT.ADD.CURVE(C2453,"SOFR",$K$2:$K$7,$L$2:$L$7,,,"Actual360","LogLinear",TRUE)</f>
        <v/>
      </c>
      <c r="E2453" s="8">
        <f>QS.INSTRUMENT.SWAP("swap.2451",C2453,H2453,B2453,"USD","SOFR",I2453,J2453,0,"Actual360","Simple","Annual","Annual","Annual")</f>
        <v/>
      </c>
      <c r="F2453" s="8">
        <f>QS.TRADE.CREATE("trade.2451",C2453,E2453,A2453,"Receive")</f>
        <v/>
      </c>
      <c r="G2453" s="5"/>
      <c r="H2453" s="7" t="s">
        <v>1292</v>
      </c>
      <c r="I2453" s="9">
        <v>1245100</v>
      </c>
      <c r="J2453" s="10">
        <v>0.03510000000000001</v>
      </c>
    </row>
    <row r="2454" spans="1:10">
      <c r="A2454" s="7" t="s">
        <v>1280</v>
      </c>
      <c r="B2454" s="7" t="s">
        <v>4321</v>
      </c>
      <c r="C2454" s="8">
        <f>QS.CONTEXT.CREATE("market.2452",A2454,"USD","SOFR")</f>
        <v/>
      </c>
      <c r="D2454" s="8">
        <f>QS.CONTEXT.ADD.CURVE(C2454,"SOFR",$K$2:$K$7,$L$2:$L$7,,,"Actual360","LogLinear",TRUE)</f>
        <v/>
      </c>
      <c r="E2454" s="8">
        <f>QS.INSTRUMENT.SWAP("swap.2452",C2454,H2454,B2454,"USD","SOFR",I2454,J2454,0,"Actual360","Simple","Annual","Annual","Annual")</f>
        <v/>
      </c>
      <c r="F2454" s="8">
        <f>QS.TRADE.CREATE("trade.2452",C2454,E2454,A2454,"Receive")</f>
        <v/>
      </c>
      <c r="G2454" s="5"/>
      <c r="H2454" s="7" t="s">
        <v>1294</v>
      </c>
      <c r="I2454" s="9">
        <v>1245200</v>
      </c>
      <c r="J2454" s="10">
        <v>0.0352</v>
      </c>
    </row>
    <row r="2455" spans="1:10">
      <c r="A2455" s="7" t="s">
        <v>1282</v>
      </c>
      <c r="B2455" s="7" t="s">
        <v>4322</v>
      </c>
      <c r="C2455" s="8">
        <f>QS.CONTEXT.CREATE("market.2453",A2455,"USD","SOFR")</f>
        <v/>
      </c>
      <c r="D2455" s="8">
        <f>QS.CONTEXT.ADD.CURVE(C2455,"SOFR",$K$2:$K$7,$L$2:$L$7,,,"Actual360","LogLinear",TRUE)</f>
        <v/>
      </c>
      <c r="E2455" s="8">
        <f>QS.INSTRUMENT.SWAP("swap.2453",C2455,H2455,B2455,"USD","SOFR",I2455,J2455,0,"Actual360","Simple","Annual","Annual","Annual")</f>
        <v/>
      </c>
      <c r="F2455" s="8">
        <f>QS.TRADE.CREATE("trade.2453",C2455,E2455,A2455,"Receive")</f>
        <v/>
      </c>
      <c r="G2455" s="5"/>
      <c r="H2455" s="7" t="s">
        <v>1296</v>
      </c>
      <c r="I2455" s="9">
        <v>1245300</v>
      </c>
      <c r="J2455" s="10">
        <v>0.0353</v>
      </c>
    </row>
    <row r="2456" spans="1:10">
      <c r="A2456" s="7" t="s">
        <v>1284</v>
      </c>
      <c r="B2456" s="7" t="s">
        <v>4323</v>
      </c>
      <c r="C2456" s="8">
        <f>QS.CONTEXT.CREATE("market.2454",A2456,"USD","SOFR")</f>
        <v/>
      </c>
      <c r="D2456" s="8">
        <f>QS.CONTEXT.ADD.CURVE(C2456,"SOFR",$K$2:$K$7,$L$2:$L$7,,,"Actual360","LogLinear",TRUE)</f>
        <v/>
      </c>
      <c r="E2456" s="8">
        <f>QS.INSTRUMENT.SWAP("swap.2454",C2456,H2456,B2456,"USD","SOFR",I2456,J2456,0,"Actual360","Simple","Annual","Annual","Annual")</f>
        <v/>
      </c>
      <c r="F2456" s="8">
        <f>QS.TRADE.CREATE("trade.2454",C2456,E2456,A2456,"Receive")</f>
        <v/>
      </c>
      <c r="G2456" s="5"/>
      <c r="H2456" s="7" t="s">
        <v>1298</v>
      </c>
      <c r="I2456" s="9">
        <v>1245400</v>
      </c>
      <c r="J2456" s="10">
        <v>0.0354</v>
      </c>
    </row>
    <row r="2457" spans="1:10">
      <c r="A2457" s="7" t="s">
        <v>1286</v>
      </c>
      <c r="B2457" s="7" t="s">
        <v>4324</v>
      </c>
      <c r="C2457" s="8">
        <f>QS.CONTEXT.CREATE("market.2455",A2457,"USD","SOFR")</f>
        <v/>
      </c>
      <c r="D2457" s="8">
        <f>QS.CONTEXT.ADD.CURVE(C2457,"SOFR",$K$2:$K$7,$L$2:$L$7,,,"Actual360","LogLinear",TRUE)</f>
        <v/>
      </c>
      <c r="E2457" s="8">
        <f>QS.INSTRUMENT.SWAP("swap.2455",C2457,H2457,B2457,"USD","SOFR",I2457,J2457,0,"Actual360","Simple","Annual","Annual","Annual")</f>
        <v/>
      </c>
      <c r="F2457" s="8">
        <f>QS.TRADE.CREATE("trade.2455",C2457,E2457,A2457,"Receive")</f>
        <v/>
      </c>
      <c r="G2457" s="5"/>
      <c r="H2457" s="7" t="s">
        <v>1300</v>
      </c>
      <c r="I2457" s="9">
        <v>1245500</v>
      </c>
      <c r="J2457" s="10">
        <v>0.0355</v>
      </c>
    </row>
    <row r="2458" spans="1:10">
      <c r="A2458" s="7" t="s">
        <v>1288</v>
      </c>
      <c r="B2458" s="7" t="s">
        <v>4325</v>
      </c>
      <c r="C2458" s="8">
        <f>QS.CONTEXT.CREATE("market.2456",A2458,"USD","SOFR")</f>
        <v/>
      </c>
      <c r="D2458" s="8">
        <f>QS.CONTEXT.ADD.CURVE(C2458,"SOFR",$K$2:$K$7,$L$2:$L$7,,,"Actual360","LogLinear",TRUE)</f>
        <v/>
      </c>
      <c r="E2458" s="8">
        <f>QS.INSTRUMENT.SWAP("swap.2456",C2458,H2458,B2458,"USD","SOFR",I2458,J2458,0,"Actual360","Simple","Annual","Annual","Annual")</f>
        <v/>
      </c>
      <c r="F2458" s="8">
        <f>QS.TRADE.CREATE("trade.2456",C2458,E2458,A2458,"Receive")</f>
        <v/>
      </c>
      <c r="G2458" s="5"/>
      <c r="H2458" s="7" t="s">
        <v>1302</v>
      </c>
      <c r="I2458" s="9">
        <v>1245600</v>
      </c>
      <c r="J2458" s="10">
        <v>0.03560000000000001</v>
      </c>
    </row>
    <row r="2459" spans="1:10">
      <c r="A2459" s="7" t="s">
        <v>1290</v>
      </c>
      <c r="B2459" s="7" t="s">
        <v>4326</v>
      </c>
      <c r="C2459" s="8">
        <f>QS.CONTEXT.CREATE("market.2457",A2459,"USD","SOFR")</f>
        <v/>
      </c>
      <c r="D2459" s="8">
        <f>QS.CONTEXT.ADD.CURVE(C2459,"SOFR",$K$2:$K$7,$L$2:$L$7,,,"Actual360","LogLinear",TRUE)</f>
        <v/>
      </c>
      <c r="E2459" s="8">
        <f>QS.INSTRUMENT.SWAP("swap.2457",C2459,H2459,B2459,"USD","SOFR",I2459,J2459,0,"Actual360","Simple","Annual","Annual","Annual")</f>
        <v/>
      </c>
      <c r="F2459" s="8">
        <f>QS.TRADE.CREATE("trade.2457",C2459,E2459,A2459,"Receive")</f>
        <v/>
      </c>
      <c r="G2459" s="5"/>
      <c r="H2459" s="7" t="s">
        <v>1304</v>
      </c>
      <c r="I2459" s="9">
        <v>1245700</v>
      </c>
      <c r="J2459" s="10">
        <v>0.0357</v>
      </c>
    </row>
    <row r="2460" spans="1:10">
      <c r="A2460" s="7" t="s">
        <v>1292</v>
      </c>
      <c r="B2460" s="7" t="s">
        <v>4327</v>
      </c>
      <c r="C2460" s="8">
        <f>QS.CONTEXT.CREATE("market.2458",A2460,"USD","SOFR")</f>
        <v/>
      </c>
      <c r="D2460" s="8">
        <f>QS.CONTEXT.ADD.CURVE(C2460,"SOFR",$K$2:$K$7,$L$2:$L$7,,,"Actual360","LogLinear",TRUE)</f>
        <v/>
      </c>
      <c r="E2460" s="8">
        <f>QS.INSTRUMENT.SWAP("swap.2458",C2460,H2460,B2460,"USD","SOFR",I2460,J2460,0,"Actual360","Simple","Annual","Annual","Annual")</f>
        <v/>
      </c>
      <c r="F2460" s="8">
        <f>QS.TRADE.CREATE("trade.2458",C2460,E2460,A2460,"Receive")</f>
        <v/>
      </c>
      <c r="G2460" s="5"/>
      <c r="H2460" s="7" t="s">
        <v>1306</v>
      </c>
      <c r="I2460" s="9">
        <v>1245800</v>
      </c>
      <c r="J2460" s="10">
        <v>0.03580000000000001</v>
      </c>
    </row>
    <row r="2461" spans="1:10">
      <c r="A2461" s="7" t="s">
        <v>1294</v>
      </c>
      <c r="B2461" s="7" t="s">
        <v>4328</v>
      </c>
      <c r="C2461" s="8">
        <f>QS.CONTEXT.CREATE("market.2459",A2461,"USD","SOFR")</f>
        <v/>
      </c>
      <c r="D2461" s="8">
        <f>QS.CONTEXT.ADD.CURVE(C2461,"SOFR",$K$2:$K$7,$L$2:$L$7,,,"Actual360","LogLinear",TRUE)</f>
        <v/>
      </c>
      <c r="E2461" s="8">
        <f>QS.INSTRUMENT.SWAP("swap.2459",C2461,H2461,B2461,"USD","SOFR",I2461,J2461,0,"Actual360","Simple","Annual","Annual","Annual")</f>
        <v/>
      </c>
      <c r="F2461" s="8">
        <f>QS.TRADE.CREATE("trade.2459",C2461,E2461,A2461,"Receive")</f>
        <v/>
      </c>
      <c r="G2461" s="5"/>
      <c r="H2461" s="7" t="s">
        <v>1308</v>
      </c>
      <c r="I2461" s="9">
        <v>1245900</v>
      </c>
      <c r="J2461" s="10">
        <v>0.0359</v>
      </c>
    </row>
    <row r="2462" spans="1:10">
      <c r="A2462" s="7" t="s">
        <v>1296</v>
      </c>
      <c r="B2462" s="7" t="s">
        <v>4329</v>
      </c>
      <c r="C2462" s="8">
        <f>QS.CONTEXT.CREATE("market.2460",A2462,"USD","SOFR")</f>
        <v/>
      </c>
      <c r="D2462" s="8">
        <f>QS.CONTEXT.ADD.CURVE(C2462,"SOFR",$K$2:$K$7,$L$2:$L$7,,,"Actual360","LogLinear",TRUE)</f>
        <v/>
      </c>
      <c r="E2462" s="8">
        <f>QS.INSTRUMENT.SWAP("swap.2460",C2462,H2462,B2462,"USD","SOFR",I2462,J2462,0,"Actual360","Simple","Annual","Annual","Annual")</f>
        <v/>
      </c>
      <c r="F2462" s="8">
        <f>QS.TRADE.CREATE("trade.2460",C2462,E2462,A2462,"Receive")</f>
        <v/>
      </c>
      <c r="G2462" s="5"/>
      <c r="H2462" s="7" t="s">
        <v>1310</v>
      </c>
      <c r="I2462" s="9">
        <v>1246000</v>
      </c>
      <c r="J2462" s="10">
        <v>0.036</v>
      </c>
    </row>
    <row r="2463" spans="1:10">
      <c r="A2463" s="7" t="s">
        <v>1298</v>
      </c>
      <c r="B2463" s="7" t="s">
        <v>4330</v>
      </c>
      <c r="C2463" s="8">
        <f>QS.CONTEXT.CREATE("market.2461",A2463,"USD","SOFR")</f>
        <v/>
      </c>
      <c r="D2463" s="8">
        <f>QS.CONTEXT.ADD.CURVE(C2463,"SOFR",$K$2:$K$7,$L$2:$L$7,,,"Actual360","LogLinear",TRUE)</f>
        <v/>
      </c>
      <c r="E2463" s="8">
        <f>QS.INSTRUMENT.SWAP("swap.2461",C2463,H2463,B2463,"USD","SOFR",I2463,J2463,0,"Actual360","Simple","Annual","Annual","Annual")</f>
        <v/>
      </c>
      <c r="F2463" s="8">
        <f>QS.TRADE.CREATE("trade.2461",C2463,E2463,A2463,"Receive")</f>
        <v/>
      </c>
      <c r="G2463" s="5"/>
      <c r="H2463" s="7" t="s">
        <v>1312</v>
      </c>
      <c r="I2463" s="9">
        <v>1246100</v>
      </c>
      <c r="J2463" s="10">
        <v>0.0361</v>
      </c>
    </row>
    <row r="2464" spans="1:10">
      <c r="A2464" s="7" t="s">
        <v>1300</v>
      </c>
      <c r="B2464" s="7" t="s">
        <v>4331</v>
      </c>
      <c r="C2464" s="8">
        <f>QS.CONTEXT.CREATE("market.2462",A2464,"USD","SOFR")</f>
        <v/>
      </c>
      <c r="D2464" s="8">
        <f>QS.CONTEXT.ADD.CURVE(C2464,"SOFR",$K$2:$K$7,$L$2:$L$7,,,"Actual360","LogLinear",TRUE)</f>
        <v/>
      </c>
      <c r="E2464" s="8">
        <f>QS.INSTRUMENT.SWAP("swap.2462",C2464,H2464,B2464,"USD","SOFR",I2464,J2464,0,"Actual360","Simple","Annual","Annual","Annual")</f>
        <v/>
      </c>
      <c r="F2464" s="8">
        <f>QS.TRADE.CREATE("trade.2462",C2464,E2464,A2464,"Receive")</f>
        <v/>
      </c>
      <c r="G2464" s="5"/>
      <c r="H2464" s="7" t="s">
        <v>1314</v>
      </c>
      <c r="I2464" s="9">
        <v>1246200</v>
      </c>
      <c r="J2464" s="10">
        <v>0.0362</v>
      </c>
    </row>
    <row r="2465" spans="1:10">
      <c r="A2465" s="7" t="s">
        <v>1302</v>
      </c>
      <c r="B2465" s="7" t="s">
        <v>4332</v>
      </c>
      <c r="C2465" s="8">
        <f>QS.CONTEXT.CREATE("market.2463",A2465,"USD","SOFR")</f>
        <v/>
      </c>
      <c r="D2465" s="8">
        <f>QS.CONTEXT.ADD.CURVE(C2465,"SOFR",$K$2:$K$7,$L$2:$L$7,,,"Actual360","LogLinear",TRUE)</f>
        <v/>
      </c>
      <c r="E2465" s="8">
        <f>QS.INSTRUMENT.SWAP("swap.2463",C2465,H2465,B2465,"USD","SOFR",I2465,J2465,0,"Actual360","Simple","Annual","Annual","Annual")</f>
        <v/>
      </c>
      <c r="F2465" s="8">
        <f>QS.TRADE.CREATE("trade.2463",C2465,E2465,A2465,"Receive")</f>
        <v/>
      </c>
      <c r="G2465" s="5"/>
      <c r="H2465" s="7" t="s">
        <v>1316</v>
      </c>
      <c r="I2465" s="9">
        <v>1246300</v>
      </c>
      <c r="J2465" s="10">
        <v>0.03630000000000001</v>
      </c>
    </row>
    <row r="2466" spans="1:10">
      <c r="A2466" s="7" t="s">
        <v>1304</v>
      </c>
      <c r="B2466" s="7" t="s">
        <v>4333</v>
      </c>
      <c r="C2466" s="8">
        <f>QS.CONTEXT.CREATE("market.2464",A2466,"USD","SOFR")</f>
        <v/>
      </c>
      <c r="D2466" s="8">
        <f>QS.CONTEXT.ADD.CURVE(C2466,"SOFR",$K$2:$K$7,$L$2:$L$7,,,"Actual360","LogLinear",TRUE)</f>
        <v/>
      </c>
      <c r="E2466" s="8">
        <f>QS.INSTRUMENT.SWAP("swap.2464",C2466,H2466,B2466,"USD","SOFR",I2466,J2466,0,"Actual360","Simple","Annual","Annual","Annual")</f>
        <v/>
      </c>
      <c r="F2466" s="8">
        <f>QS.TRADE.CREATE("trade.2464",C2466,E2466,A2466,"Receive")</f>
        <v/>
      </c>
      <c r="G2466" s="5"/>
      <c r="H2466" s="7" t="s">
        <v>1318</v>
      </c>
      <c r="I2466" s="9">
        <v>1246400</v>
      </c>
      <c r="J2466" s="10">
        <v>0.0364</v>
      </c>
    </row>
    <row r="2467" spans="1:10">
      <c r="A2467" s="7" t="s">
        <v>1306</v>
      </c>
      <c r="B2467" s="7" t="s">
        <v>4334</v>
      </c>
      <c r="C2467" s="8">
        <f>QS.CONTEXT.CREATE("market.2465",A2467,"USD","SOFR")</f>
        <v/>
      </c>
      <c r="D2467" s="8">
        <f>QS.CONTEXT.ADD.CURVE(C2467,"SOFR",$K$2:$K$7,$L$2:$L$7,,,"Actual360","LogLinear",TRUE)</f>
        <v/>
      </c>
      <c r="E2467" s="8">
        <f>QS.INSTRUMENT.SWAP("swap.2465",C2467,H2467,B2467,"USD","SOFR",I2467,J2467,0,"Actual360","Simple","Annual","Annual","Annual")</f>
        <v/>
      </c>
      <c r="F2467" s="8">
        <f>QS.TRADE.CREATE("trade.2465",C2467,E2467,A2467,"Receive")</f>
        <v/>
      </c>
      <c r="G2467" s="5"/>
      <c r="H2467" s="7" t="s">
        <v>1320</v>
      </c>
      <c r="I2467" s="9">
        <v>1246500</v>
      </c>
      <c r="J2467" s="10">
        <v>0.0365</v>
      </c>
    </row>
    <row r="2468" spans="1:10">
      <c r="A2468" s="7" t="s">
        <v>1308</v>
      </c>
      <c r="B2468" s="7" t="s">
        <v>4335</v>
      </c>
      <c r="C2468" s="8">
        <f>QS.CONTEXT.CREATE("market.2466",A2468,"USD","SOFR")</f>
        <v/>
      </c>
      <c r="D2468" s="8">
        <f>QS.CONTEXT.ADD.CURVE(C2468,"SOFR",$K$2:$K$7,$L$2:$L$7,,,"Actual360","LogLinear",TRUE)</f>
        <v/>
      </c>
      <c r="E2468" s="8">
        <f>QS.INSTRUMENT.SWAP("swap.2466",C2468,H2468,B2468,"USD","SOFR",I2468,J2468,0,"Actual360","Simple","Annual","Annual","Annual")</f>
        <v/>
      </c>
      <c r="F2468" s="8">
        <f>QS.TRADE.CREATE("trade.2466",C2468,E2468,A2468,"Receive")</f>
        <v/>
      </c>
      <c r="G2468" s="5"/>
      <c r="H2468" s="7" t="s">
        <v>1322</v>
      </c>
      <c r="I2468" s="9">
        <v>1246600</v>
      </c>
      <c r="J2468" s="10">
        <v>0.0366</v>
      </c>
    </row>
    <row r="2469" spans="1:10">
      <c r="A2469" s="7" t="s">
        <v>1310</v>
      </c>
      <c r="B2469" s="7" t="s">
        <v>4336</v>
      </c>
      <c r="C2469" s="8">
        <f>QS.CONTEXT.CREATE("market.2467",A2469,"USD","SOFR")</f>
        <v/>
      </c>
      <c r="D2469" s="8">
        <f>QS.CONTEXT.ADD.CURVE(C2469,"SOFR",$K$2:$K$7,$L$2:$L$7,,,"Actual360","LogLinear",TRUE)</f>
        <v/>
      </c>
      <c r="E2469" s="8">
        <f>QS.INSTRUMENT.SWAP("swap.2467",C2469,H2469,B2469,"USD","SOFR",I2469,J2469,0,"Actual360","Simple","Annual","Annual","Annual")</f>
        <v/>
      </c>
      <c r="F2469" s="8">
        <f>QS.TRADE.CREATE("trade.2467",C2469,E2469,A2469,"Receive")</f>
        <v/>
      </c>
      <c r="G2469" s="5"/>
      <c r="H2469" s="7" t="s">
        <v>1324</v>
      </c>
      <c r="I2469" s="9">
        <v>1246700</v>
      </c>
      <c r="J2469" s="10">
        <v>0.0367</v>
      </c>
    </row>
    <row r="2470" spans="1:10">
      <c r="A2470" s="7" t="s">
        <v>1312</v>
      </c>
      <c r="B2470" s="7" t="s">
        <v>4337</v>
      </c>
      <c r="C2470" s="8">
        <f>QS.CONTEXT.CREATE("market.2468",A2470,"USD","SOFR")</f>
        <v/>
      </c>
      <c r="D2470" s="8">
        <f>QS.CONTEXT.ADD.CURVE(C2470,"SOFR",$K$2:$K$7,$L$2:$L$7,,,"Actual360","LogLinear",TRUE)</f>
        <v/>
      </c>
      <c r="E2470" s="8">
        <f>QS.INSTRUMENT.SWAP("swap.2468",C2470,H2470,B2470,"USD","SOFR",I2470,J2470,0,"Actual360","Simple","Annual","Annual","Annual")</f>
        <v/>
      </c>
      <c r="F2470" s="8">
        <f>QS.TRADE.CREATE("trade.2468",C2470,E2470,A2470,"Receive")</f>
        <v/>
      </c>
      <c r="G2470" s="5"/>
      <c r="H2470" s="7" t="s">
        <v>1326</v>
      </c>
      <c r="I2470" s="9">
        <v>1246800</v>
      </c>
      <c r="J2470" s="10">
        <v>0.03680000000000001</v>
      </c>
    </row>
    <row r="2471" spans="1:10">
      <c r="A2471" s="7" t="s">
        <v>1314</v>
      </c>
      <c r="B2471" s="7" t="s">
        <v>4338</v>
      </c>
      <c r="C2471" s="8">
        <f>QS.CONTEXT.CREATE("market.2469",A2471,"USD","SOFR")</f>
        <v/>
      </c>
      <c r="D2471" s="8">
        <f>QS.CONTEXT.ADD.CURVE(C2471,"SOFR",$K$2:$K$7,$L$2:$L$7,,,"Actual360","LogLinear",TRUE)</f>
        <v/>
      </c>
      <c r="E2471" s="8">
        <f>QS.INSTRUMENT.SWAP("swap.2469",C2471,H2471,B2471,"USD","SOFR",I2471,J2471,0,"Actual360","Simple","Annual","Annual","Annual")</f>
        <v/>
      </c>
      <c r="F2471" s="8">
        <f>QS.TRADE.CREATE("trade.2469",C2471,E2471,A2471,"Receive")</f>
        <v/>
      </c>
      <c r="G2471" s="5"/>
      <c r="H2471" s="7" t="s">
        <v>1328</v>
      </c>
      <c r="I2471" s="9">
        <v>1246900</v>
      </c>
      <c r="J2471" s="10">
        <v>0.0369</v>
      </c>
    </row>
    <row r="2472" spans="1:10">
      <c r="A2472" s="7" t="s">
        <v>1316</v>
      </c>
      <c r="B2472" s="7" t="s">
        <v>4339</v>
      </c>
      <c r="C2472" s="8">
        <f>QS.CONTEXT.CREATE("market.2470",A2472,"USD","SOFR")</f>
        <v/>
      </c>
      <c r="D2472" s="8">
        <f>QS.CONTEXT.ADD.CURVE(C2472,"SOFR",$K$2:$K$7,$L$2:$L$7,,,"Actual360","LogLinear",TRUE)</f>
        <v/>
      </c>
      <c r="E2472" s="8">
        <f>QS.INSTRUMENT.SWAP("swap.2470",C2472,H2472,B2472,"USD","SOFR",I2472,J2472,0,"Actual360","Simple","Annual","Annual","Annual")</f>
        <v/>
      </c>
      <c r="F2472" s="8">
        <f>QS.TRADE.CREATE("trade.2470",C2472,E2472,A2472,"Receive")</f>
        <v/>
      </c>
      <c r="G2472" s="5"/>
      <c r="H2472" s="7" t="s">
        <v>1330</v>
      </c>
      <c r="I2472" s="9">
        <v>1247000</v>
      </c>
      <c r="J2472" s="10">
        <v>0.03700000000000001</v>
      </c>
    </row>
    <row r="2473" spans="1:10">
      <c r="A2473" s="7" t="s">
        <v>1318</v>
      </c>
      <c r="B2473" s="7" t="s">
        <v>4340</v>
      </c>
      <c r="C2473" s="8">
        <f>QS.CONTEXT.CREATE("market.2471",A2473,"USD","SOFR")</f>
        <v/>
      </c>
      <c r="D2473" s="8">
        <f>QS.CONTEXT.ADD.CURVE(C2473,"SOFR",$K$2:$K$7,$L$2:$L$7,,,"Actual360","LogLinear",TRUE)</f>
        <v/>
      </c>
      <c r="E2473" s="8">
        <f>QS.INSTRUMENT.SWAP("swap.2471",C2473,H2473,B2473,"USD","SOFR",I2473,J2473,0,"Actual360","Simple","Annual","Annual","Annual")</f>
        <v/>
      </c>
      <c r="F2473" s="8">
        <f>QS.TRADE.CREATE("trade.2471",C2473,E2473,A2473,"Receive")</f>
        <v/>
      </c>
      <c r="G2473" s="5"/>
      <c r="H2473" s="7" t="s">
        <v>1332</v>
      </c>
      <c r="I2473" s="9">
        <v>1247100</v>
      </c>
      <c r="J2473" s="10">
        <v>0.0371</v>
      </c>
    </row>
    <row r="2474" spans="1:10">
      <c r="A2474" s="7" t="s">
        <v>1320</v>
      </c>
      <c r="B2474" s="7" t="s">
        <v>4341</v>
      </c>
      <c r="C2474" s="8">
        <f>QS.CONTEXT.CREATE("market.2472",A2474,"USD","SOFR")</f>
        <v/>
      </c>
      <c r="D2474" s="8">
        <f>QS.CONTEXT.ADD.CURVE(C2474,"SOFR",$K$2:$K$7,$L$2:$L$7,,,"Actual360","LogLinear",TRUE)</f>
        <v/>
      </c>
      <c r="E2474" s="8">
        <f>QS.INSTRUMENT.SWAP("swap.2472",C2474,H2474,B2474,"USD","SOFR",I2474,J2474,0,"Actual360","Simple","Annual","Annual","Annual")</f>
        <v/>
      </c>
      <c r="F2474" s="8">
        <f>QS.TRADE.CREATE("trade.2472",C2474,E2474,A2474,"Receive")</f>
        <v/>
      </c>
      <c r="G2474" s="5"/>
      <c r="H2474" s="7" t="s">
        <v>1334</v>
      </c>
      <c r="I2474" s="9">
        <v>1247200</v>
      </c>
      <c r="J2474" s="10">
        <v>0.0372</v>
      </c>
    </row>
    <row r="2475" spans="1:10">
      <c r="A2475" s="7" t="s">
        <v>1322</v>
      </c>
      <c r="B2475" s="7" t="s">
        <v>4342</v>
      </c>
      <c r="C2475" s="8">
        <f>QS.CONTEXT.CREATE("market.2473",A2475,"USD","SOFR")</f>
        <v/>
      </c>
      <c r="D2475" s="8">
        <f>QS.CONTEXT.ADD.CURVE(C2475,"SOFR",$K$2:$K$7,$L$2:$L$7,,,"Actual360","LogLinear",TRUE)</f>
        <v/>
      </c>
      <c r="E2475" s="8">
        <f>QS.INSTRUMENT.SWAP("swap.2473",C2475,H2475,B2475,"USD","SOFR",I2475,J2475,0,"Actual360","Simple","Annual","Annual","Annual")</f>
        <v/>
      </c>
      <c r="F2475" s="8">
        <f>QS.TRADE.CREATE("trade.2473",C2475,E2475,A2475,"Receive")</f>
        <v/>
      </c>
      <c r="G2475" s="5"/>
      <c r="H2475" s="7" t="s">
        <v>1336</v>
      </c>
      <c r="I2475" s="9">
        <v>1247300</v>
      </c>
      <c r="J2475" s="10">
        <v>0.0373</v>
      </c>
    </row>
    <row r="2476" spans="1:10">
      <c r="A2476" s="7" t="s">
        <v>1324</v>
      </c>
      <c r="B2476" s="7" t="s">
        <v>4343</v>
      </c>
      <c r="C2476" s="8">
        <f>QS.CONTEXT.CREATE("market.2474",A2476,"USD","SOFR")</f>
        <v/>
      </c>
      <c r="D2476" s="8">
        <f>QS.CONTEXT.ADD.CURVE(C2476,"SOFR",$K$2:$K$7,$L$2:$L$7,,,"Actual360","LogLinear",TRUE)</f>
        <v/>
      </c>
      <c r="E2476" s="8">
        <f>QS.INSTRUMENT.SWAP("swap.2474",C2476,H2476,B2476,"USD","SOFR",I2476,J2476,0,"Actual360","Simple","Annual","Annual","Annual")</f>
        <v/>
      </c>
      <c r="F2476" s="8">
        <f>QS.TRADE.CREATE("trade.2474",C2476,E2476,A2476,"Receive")</f>
        <v/>
      </c>
      <c r="G2476" s="5"/>
      <c r="H2476" s="7" t="s">
        <v>1338</v>
      </c>
      <c r="I2476" s="9">
        <v>1247400</v>
      </c>
      <c r="J2476" s="10">
        <v>0.0374</v>
      </c>
    </row>
    <row r="2477" spans="1:10">
      <c r="A2477" s="7" t="s">
        <v>1326</v>
      </c>
      <c r="B2477" s="7" t="s">
        <v>4344</v>
      </c>
      <c r="C2477" s="8">
        <f>QS.CONTEXT.CREATE("market.2475",A2477,"USD","SOFR")</f>
        <v/>
      </c>
      <c r="D2477" s="8">
        <f>QS.CONTEXT.ADD.CURVE(C2477,"SOFR",$K$2:$K$7,$L$2:$L$7,,,"Actual360","LogLinear",TRUE)</f>
        <v/>
      </c>
      <c r="E2477" s="8">
        <f>QS.INSTRUMENT.SWAP("swap.2475",C2477,H2477,B2477,"USD","SOFR",I2477,J2477,0,"Actual360","Simple","Annual","Annual","Annual")</f>
        <v/>
      </c>
      <c r="F2477" s="8">
        <f>QS.TRADE.CREATE("trade.2475",C2477,E2477,A2477,"Receive")</f>
        <v/>
      </c>
      <c r="G2477" s="5"/>
      <c r="H2477" s="7" t="s">
        <v>1340</v>
      </c>
      <c r="I2477" s="9">
        <v>1247500</v>
      </c>
      <c r="J2477" s="10">
        <v>0.03750000000000001</v>
      </c>
    </row>
    <row r="2478" spans="1:10">
      <c r="A2478" s="7" t="s">
        <v>1328</v>
      </c>
      <c r="B2478" s="7" t="s">
        <v>4345</v>
      </c>
      <c r="C2478" s="8">
        <f>QS.CONTEXT.CREATE("market.2476",A2478,"USD","SOFR")</f>
        <v/>
      </c>
      <c r="D2478" s="8">
        <f>QS.CONTEXT.ADD.CURVE(C2478,"SOFR",$K$2:$K$7,$L$2:$L$7,,,"Actual360","LogLinear",TRUE)</f>
        <v/>
      </c>
      <c r="E2478" s="8">
        <f>QS.INSTRUMENT.SWAP("swap.2476",C2478,H2478,B2478,"USD","SOFR",I2478,J2478,0,"Actual360","Simple","Annual","Annual","Annual")</f>
        <v/>
      </c>
      <c r="F2478" s="8">
        <f>QS.TRADE.CREATE("trade.2476",C2478,E2478,A2478,"Receive")</f>
        <v/>
      </c>
      <c r="G2478" s="5"/>
      <c r="H2478" s="7" t="s">
        <v>1342</v>
      </c>
      <c r="I2478" s="9">
        <v>1247600</v>
      </c>
      <c r="J2478" s="10">
        <v>0.0376</v>
      </c>
    </row>
    <row r="2479" spans="1:10">
      <c r="A2479" s="7" t="s">
        <v>1330</v>
      </c>
      <c r="B2479" s="7" t="s">
        <v>4346</v>
      </c>
      <c r="C2479" s="8">
        <f>QS.CONTEXT.CREATE("market.2477",A2479,"USD","SOFR")</f>
        <v/>
      </c>
      <c r="D2479" s="8">
        <f>QS.CONTEXT.ADD.CURVE(C2479,"SOFR",$K$2:$K$7,$L$2:$L$7,,,"Actual360","LogLinear",TRUE)</f>
        <v/>
      </c>
      <c r="E2479" s="8">
        <f>QS.INSTRUMENT.SWAP("swap.2477",C2479,H2479,B2479,"USD","SOFR",I2479,J2479,0,"Actual360","Simple","Annual","Annual","Annual")</f>
        <v/>
      </c>
      <c r="F2479" s="8">
        <f>QS.TRADE.CREATE("trade.2477",C2479,E2479,A2479,"Receive")</f>
        <v/>
      </c>
      <c r="G2479" s="5"/>
      <c r="H2479" s="7" t="s">
        <v>1344</v>
      </c>
      <c r="I2479" s="9">
        <v>1247700</v>
      </c>
      <c r="J2479" s="10">
        <v>0.0377</v>
      </c>
    </row>
    <row r="2480" spans="1:10">
      <c r="A2480" s="7" t="s">
        <v>1332</v>
      </c>
      <c r="B2480" s="7" t="s">
        <v>4347</v>
      </c>
      <c r="C2480" s="8">
        <f>QS.CONTEXT.CREATE("market.2478",A2480,"USD","SOFR")</f>
        <v/>
      </c>
      <c r="D2480" s="8">
        <f>QS.CONTEXT.ADD.CURVE(C2480,"SOFR",$K$2:$K$7,$L$2:$L$7,,,"Actual360","LogLinear",TRUE)</f>
        <v/>
      </c>
      <c r="E2480" s="8">
        <f>QS.INSTRUMENT.SWAP("swap.2478",C2480,H2480,B2480,"USD","SOFR",I2480,J2480,0,"Actual360","Simple","Annual","Annual","Annual")</f>
        <v/>
      </c>
      <c r="F2480" s="8">
        <f>QS.TRADE.CREATE("trade.2478",C2480,E2480,A2480,"Receive")</f>
        <v/>
      </c>
      <c r="G2480" s="5"/>
      <c r="H2480" s="7" t="s">
        <v>1346</v>
      </c>
      <c r="I2480" s="9">
        <v>1247800</v>
      </c>
      <c r="J2480" s="10">
        <v>0.0378</v>
      </c>
    </row>
    <row r="2481" spans="1:10">
      <c r="A2481" s="7" t="s">
        <v>1334</v>
      </c>
      <c r="B2481" s="7" t="s">
        <v>4348</v>
      </c>
      <c r="C2481" s="8">
        <f>QS.CONTEXT.CREATE("market.2479",A2481,"USD","SOFR")</f>
        <v/>
      </c>
      <c r="D2481" s="8">
        <f>QS.CONTEXT.ADD.CURVE(C2481,"SOFR",$K$2:$K$7,$L$2:$L$7,,,"Actual360","LogLinear",TRUE)</f>
        <v/>
      </c>
      <c r="E2481" s="8">
        <f>QS.INSTRUMENT.SWAP("swap.2479",C2481,H2481,B2481,"USD","SOFR",I2481,J2481,0,"Actual360","Simple","Annual","Annual","Annual")</f>
        <v/>
      </c>
      <c r="F2481" s="8">
        <f>QS.TRADE.CREATE("trade.2479",C2481,E2481,A2481,"Receive")</f>
        <v/>
      </c>
      <c r="G2481" s="5"/>
      <c r="H2481" s="7" t="s">
        <v>1348</v>
      </c>
      <c r="I2481" s="9">
        <v>1247900</v>
      </c>
      <c r="J2481" s="10">
        <v>0.0379</v>
      </c>
    </row>
    <row r="2482" spans="1:10">
      <c r="A2482" s="7" t="s">
        <v>1336</v>
      </c>
      <c r="B2482" s="7" t="s">
        <v>4349</v>
      </c>
      <c r="C2482" s="8">
        <f>QS.CONTEXT.CREATE("market.2480",A2482,"USD","SOFR")</f>
        <v/>
      </c>
      <c r="D2482" s="8">
        <f>QS.CONTEXT.ADD.CURVE(C2482,"SOFR",$K$2:$K$7,$L$2:$L$7,,,"Actual360","LogLinear",TRUE)</f>
        <v/>
      </c>
      <c r="E2482" s="8">
        <f>QS.INSTRUMENT.SWAP("swap.2480",C2482,H2482,B2482,"USD","SOFR",I2482,J2482,0,"Actual360","Simple","Annual","Annual","Annual")</f>
        <v/>
      </c>
      <c r="F2482" s="8">
        <f>QS.TRADE.CREATE("trade.2480",C2482,E2482,A2482,"Receive")</f>
        <v/>
      </c>
      <c r="G2482" s="5"/>
      <c r="H2482" s="7" t="s">
        <v>1350</v>
      </c>
      <c r="I2482" s="9">
        <v>1248000</v>
      </c>
      <c r="J2482" s="10">
        <v>0.03800000000000001</v>
      </c>
    </row>
    <row r="2483" spans="1:10">
      <c r="A2483" s="7" t="s">
        <v>1338</v>
      </c>
      <c r="B2483" s="7" t="s">
        <v>4350</v>
      </c>
      <c r="C2483" s="8">
        <f>QS.CONTEXT.CREATE("market.2481",A2483,"USD","SOFR")</f>
        <v/>
      </c>
      <c r="D2483" s="8">
        <f>QS.CONTEXT.ADD.CURVE(C2483,"SOFR",$K$2:$K$7,$L$2:$L$7,,,"Actual360","LogLinear",TRUE)</f>
        <v/>
      </c>
      <c r="E2483" s="8">
        <f>QS.INSTRUMENT.SWAP("swap.2481",C2483,H2483,B2483,"USD","SOFR",I2483,J2483,0,"Actual360","Simple","Annual","Annual","Annual")</f>
        <v/>
      </c>
      <c r="F2483" s="8">
        <f>QS.TRADE.CREATE("trade.2481",C2483,E2483,A2483,"Receive")</f>
        <v/>
      </c>
      <c r="G2483" s="5"/>
      <c r="H2483" s="7" t="s">
        <v>1352</v>
      </c>
      <c r="I2483" s="9">
        <v>1248100</v>
      </c>
      <c r="J2483" s="10">
        <v>0.0381</v>
      </c>
    </row>
    <row r="2484" spans="1:10">
      <c r="A2484" s="7" t="s">
        <v>1340</v>
      </c>
      <c r="B2484" s="7" t="s">
        <v>4351</v>
      </c>
      <c r="C2484" s="8">
        <f>QS.CONTEXT.CREATE("market.2482",A2484,"USD","SOFR")</f>
        <v/>
      </c>
      <c r="D2484" s="8">
        <f>QS.CONTEXT.ADD.CURVE(C2484,"SOFR",$K$2:$K$7,$L$2:$L$7,,,"Actual360","LogLinear",TRUE)</f>
        <v/>
      </c>
      <c r="E2484" s="8">
        <f>QS.INSTRUMENT.SWAP("swap.2482",C2484,H2484,B2484,"USD","SOFR",I2484,J2484,0,"Actual360","Simple","Annual","Annual","Annual")</f>
        <v/>
      </c>
      <c r="F2484" s="8">
        <f>QS.TRADE.CREATE("trade.2482",C2484,E2484,A2484,"Receive")</f>
        <v/>
      </c>
      <c r="G2484" s="5"/>
      <c r="H2484" s="7" t="s">
        <v>1354</v>
      </c>
      <c r="I2484" s="9">
        <v>1248200</v>
      </c>
      <c r="J2484" s="10">
        <v>0.0382</v>
      </c>
    </row>
    <row r="2485" spans="1:10">
      <c r="A2485" s="7" t="s">
        <v>1342</v>
      </c>
      <c r="B2485" s="7" t="s">
        <v>4352</v>
      </c>
      <c r="C2485" s="8">
        <f>QS.CONTEXT.CREATE("market.2483",A2485,"USD","SOFR")</f>
        <v/>
      </c>
      <c r="D2485" s="8">
        <f>QS.CONTEXT.ADD.CURVE(C2485,"SOFR",$K$2:$K$7,$L$2:$L$7,,,"Actual360","LogLinear",TRUE)</f>
        <v/>
      </c>
      <c r="E2485" s="8">
        <f>QS.INSTRUMENT.SWAP("swap.2483",C2485,H2485,B2485,"USD","SOFR",I2485,J2485,0,"Actual360","Simple","Annual","Annual","Annual")</f>
        <v/>
      </c>
      <c r="F2485" s="8">
        <f>QS.TRADE.CREATE("trade.2483",C2485,E2485,A2485,"Receive")</f>
        <v/>
      </c>
      <c r="G2485" s="5"/>
      <c r="H2485" s="7" t="s">
        <v>1356</v>
      </c>
      <c r="I2485" s="9">
        <v>1248300</v>
      </c>
      <c r="J2485" s="10">
        <v>0.0383</v>
      </c>
    </row>
    <row r="2486" spans="1:10">
      <c r="A2486" s="7" t="s">
        <v>1344</v>
      </c>
      <c r="B2486" s="7" t="s">
        <v>4353</v>
      </c>
      <c r="C2486" s="8">
        <f>QS.CONTEXT.CREATE("market.2484",A2486,"USD","SOFR")</f>
        <v/>
      </c>
      <c r="D2486" s="8">
        <f>QS.CONTEXT.ADD.CURVE(C2486,"SOFR",$K$2:$K$7,$L$2:$L$7,,,"Actual360","LogLinear",TRUE)</f>
        <v/>
      </c>
      <c r="E2486" s="8">
        <f>QS.INSTRUMENT.SWAP("swap.2484",C2486,H2486,B2486,"USD","SOFR",I2486,J2486,0,"Actual360","Simple","Annual","Annual","Annual")</f>
        <v/>
      </c>
      <c r="F2486" s="8">
        <f>QS.TRADE.CREATE("trade.2484",C2486,E2486,A2486,"Receive")</f>
        <v/>
      </c>
      <c r="G2486" s="5"/>
      <c r="H2486" s="7" t="s">
        <v>1358</v>
      </c>
      <c r="I2486" s="9">
        <v>1248400</v>
      </c>
      <c r="J2486" s="10">
        <v>0.0384</v>
      </c>
    </row>
    <row r="2487" spans="1:10">
      <c r="A2487" s="7" t="s">
        <v>1346</v>
      </c>
      <c r="B2487" s="7" t="s">
        <v>4354</v>
      </c>
      <c r="C2487" s="8">
        <f>QS.CONTEXT.CREATE("market.2485",A2487,"USD","SOFR")</f>
        <v/>
      </c>
      <c r="D2487" s="8">
        <f>QS.CONTEXT.ADD.CURVE(C2487,"SOFR",$K$2:$K$7,$L$2:$L$7,,,"Actual360","LogLinear",TRUE)</f>
        <v/>
      </c>
      <c r="E2487" s="8">
        <f>QS.INSTRUMENT.SWAP("swap.2485",C2487,H2487,B2487,"USD","SOFR",I2487,J2487,0,"Actual360","Simple","Annual","Annual","Annual")</f>
        <v/>
      </c>
      <c r="F2487" s="8">
        <f>QS.TRADE.CREATE("trade.2485",C2487,E2487,A2487,"Receive")</f>
        <v/>
      </c>
      <c r="G2487" s="5"/>
      <c r="H2487" s="7" t="s">
        <v>1360</v>
      </c>
      <c r="I2487" s="9">
        <v>1248500</v>
      </c>
      <c r="J2487" s="10">
        <v>0.03850000000000001</v>
      </c>
    </row>
    <row r="2488" spans="1:10">
      <c r="A2488" s="7" t="s">
        <v>1348</v>
      </c>
      <c r="B2488" s="7" t="s">
        <v>4355</v>
      </c>
      <c r="C2488" s="8">
        <f>QS.CONTEXT.CREATE("market.2486",A2488,"USD","SOFR")</f>
        <v/>
      </c>
      <c r="D2488" s="8">
        <f>QS.CONTEXT.ADD.CURVE(C2488,"SOFR",$K$2:$K$7,$L$2:$L$7,,,"Actual360","LogLinear",TRUE)</f>
        <v/>
      </c>
      <c r="E2488" s="8">
        <f>QS.INSTRUMENT.SWAP("swap.2486",C2488,H2488,B2488,"USD","SOFR",I2488,J2488,0,"Actual360","Simple","Annual","Annual","Annual")</f>
        <v/>
      </c>
      <c r="F2488" s="8">
        <f>QS.TRADE.CREATE("trade.2486",C2488,E2488,A2488,"Receive")</f>
        <v/>
      </c>
      <c r="G2488" s="5"/>
      <c r="H2488" s="7" t="s">
        <v>1362</v>
      </c>
      <c r="I2488" s="9">
        <v>1248600</v>
      </c>
      <c r="J2488" s="10">
        <v>0.0386</v>
      </c>
    </row>
    <row r="2489" spans="1:10">
      <c r="A2489" s="7" t="s">
        <v>1350</v>
      </c>
      <c r="B2489" s="7" t="s">
        <v>4356</v>
      </c>
      <c r="C2489" s="8">
        <f>QS.CONTEXT.CREATE("market.2487",A2489,"USD","SOFR")</f>
        <v/>
      </c>
      <c r="D2489" s="8">
        <f>QS.CONTEXT.ADD.CURVE(C2489,"SOFR",$K$2:$K$7,$L$2:$L$7,,,"Actual360","LogLinear",TRUE)</f>
        <v/>
      </c>
      <c r="E2489" s="8">
        <f>QS.INSTRUMENT.SWAP("swap.2487",C2489,H2489,B2489,"USD","SOFR",I2489,J2489,0,"Actual360","Simple","Annual","Annual","Annual")</f>
        <v/>
      </c>
      <c r="F2489" s="8">
        <f>QS.TRADE.CREATE("trade.2487",C2489,E2489,A2489,"Receive")</f>
        <v/>
      </c>
      <c r="G2489" s="5"/>
      <c r="H2489" s="7" t="s">
        <v>1364</v>
      </c>
      <c r="I2489" s="9">
        <v>1248700</v>
      </c>
      <c r="J2489" s="10">
        <v>0.03870000000000001</v>
      </c>
    </row>
    <row r="2490" spans="1:10">
      <c r="A2490" s="7" t="s">
        <v>1352</v>
      </c>
      <c r="B2490" s="7" t="s">
        <v>4357</v>
      </c>
      <c r="C2490" s="8">
        <f>QS.CONTEXT.CREATE("market.2488",A2490,"USD","SOFR")</f>
        <v/>
      </c>
      <c r="D2490" s="8">
        <f>QS.CONTEXT.ADD.CURVE(C2490,"SOFR",$K$2:$K$7,$L$2:$L$7,,,"Actual360","LogLinear",TRUE)</f>
        <v/>
      </c>
      <c r="E2490" s="8">
        <f>QS.INSTRUMENT.SWAP("swap.2488",C2490,H2490,B2490,"USD","SOFR",I2490,J2490,0,"Actual360","Simple","Annual","Annual","Annual")</f>
        <v/>
      </c>
      <c r="F2490" s="8">
        <f>QS.TRADE.CREATE("trade.2488",C2490,E2490,A2490,"Receive")</f>
        <v/>
      </c>
      <c r="G2490" s="5"/>
      <c r="H2490" s="7" t="s">
        <v>1366</v>
      </c>
      <c r="I2490" s="9">
        <v>1248800</v>
      </c>
      <c r="J2490" s="10">
        <v>0.0388</v>
      </c>
    </row>
    <row r="2491" spans="1:10">
      <c r="A2491" s="7" t="s">
        <v>1354</v>
      </c>
      <c r="B2491" s="7" t="s">
        <v>4358</v>
      </c>
      <c r="C2491" s="8">
        <f>QS.CONTEXT.CREATE("market.2489",A2491,"USD","SOFR")</f>
        <v/>
      </c>
      <c r="D2491" s="8">
        <f>QS.CONTEXT.ADD.CURVE(C2491,"SOFR",$K$2:$K$7,$L$2:$L$7,,,"Actual360","LogLinear",TRUE)</f>
        <v/>
      </c>
      <c r="E2491" s="8">
        <f>QS.INSTRUMENT.SWAP("swap.2489",C2491,H2491,B2491,"USD","SOFR",I2491,J2491,0,"Actual360","Simple","Annual","Annual","Annual")</f>
        <v/>
      </c>
      <c r="F2491" s="8">
        <f>QS.TRADE.CREATE("trade.2489",C2491,E2491,A2491,"Receive")</f>
        <v/>
      </c>
      <c r="G2491" s="5"/>
      <c r="H2491" s="7" t="s">
        <v>1368</v>
      </c>
      <c r="I2491" s="9">
        <v>1248900</v>
      </c>
      <c r="J2491" s="10">
        <v>0.0389</v>
      </c>
    </row>
    <row r="2492" spans="1:10">
      <c r="A2492" s="7" t="s">
        <v>1356</v>
      </c>
      <c r="B2492" s="7" t="s">
        <v>4359</v>
      </c>
      <c r="C2492" s="8">
        <f>QS.CONTEXT.CREATE("market.2490",A2492,"USD","SOFR")</f>
        <v/>
      </c>
      <c r="D2492" s="8">
        <f>QS.CONTEXT.ADD.CURVE(C2492,"SOFR",$K$2:$K$7,$L$2:$L$7,,,"Actual360","LogLinear",TRUE)</f>
        <v/>
      </c>
      <c r="E2492" s="8">
        <f>QS.INSTRUMENT.SWAP("swap.2490",C2492,H2492,B2492,"USD","SOFR",I2492,J2492,0,"Actual360","Simple","Annual","Annual","Annual")</f>
        <v/>
      </c>
      <c r="F2492" s="8">
        <f>QS.TRADE.CREATE("trade.2490",C2492,E2492,A2492,"Receive")</f>
        <v/>
      </c>
      <c r="G2492" s="5"/>
      <c r="H2492" s="7" t="s">
        <v>1370</v>
      </c>
      <c r="I2492" s="9">
        <v>1249000</v>
      </c>
      <c r="J2492" s="10">
        <v>0.03900000000000001</v>
      </c>
    </row>
    <row r="2493" spans="1:10">
      <c r="A2493" s="7" t="s">
        <v>1358</v>
      </c>
      <c r="B2493" s="7" t="s">
        <v>4360</v>
      </c>
      <c r="C2493" s="8">
        <f>QS.CONTEXT.CREATE("market.2491",A2493,"USD","SOFR")</f>
        <v/>
      </c>
      <c r="D2493" s="8">
        <f>QS.CONTEXT.ADD.CURVE(C2493,"SOFR",$K$2:$K$7,$L$2:$L$7,,,"Actual360","LogLinear",TRUE)</f>
        <v/>
      </c>
      <c r="E2493" s="8">
        <f>QS.INSTRUMENT.SWAP("swap.2491",C2493,H2493,B2493,"USD","SOFR",I2493,J2493,0,"Actual360","Simple","Annual","Annual","Annual")</f>
        <v/>
      </c>
      <c r="F2493" s="8">
        <f>QS.TRADE.CREATE("trade.2491",C2493,E2493,A2493,"Receive")</f>
        <v/>
      </c>
      <c r="G2493" s="5"/>
      <c r="H2493" s="7" t="s">
        <v>1372</v>
      </c>
      <c r="I2493" s="9">
        <v>1249100</v>
      </c>
      <c r="J2493" s="10">
        <v>0.0391</v>
      </c>
    </row>
    <row r="2494" spans="1:10">
      <c r="A2494" s="7" t="s">
        <v>1360</v>
      </c>
      <c r="B2494" s="7" t="s">
        <v>4361</v>
      </c>
      <c r="C2494" s="8">
        <f>QS.CONTEXT.CREATE("market.2492",A2494,"USD","SOFR")</f>
        <v/>
      </c>
      <c r="D2494" s="8">
        <f>QS.CONTEXT.ADD.CURVE(C2494,"SOFR",$K$2:$K$7,$L$2:$L$7,,,"Actual360","LogLinear",TRUE)</f>
        <v/>
      </c>
      <c r="E2494" s="8">
        <f>QS.INSTRUMENT.SWAP("swap.2492",C2494,H2494,B2494,"USD","SOFR",I2494,J2494,0,"Actual360","Simple","Annual","Annual","Annual")</f>
        <v/>
      </c>
      <c r="F2494" s="8">
        <f>QS.TRADE.CREATE("trade.2492",C2494,E2494,A2494,"Receive")</f>
        <v/>
      </c>
      <c r="G2494" s="5"/>
      <c r="H2494" s="7" t="s">
        <v>1374</v>
      </c>
      <c r="I2494" s="9">
        <v>1249200</v>
      </c>
      <c r="J2494" s="10">
        <v>0.03920000000000001</v>
      </c>
    </row>
    <row r="2495" spans="1:10">
      <c r="A2495" s="7" t="s">
        <v>1362</v>
      </c>
      <c r="B2495" s="7" t="s">
        <v>4362</v>
      </c>
      <c r="C2495" s="8">
        <f>QS.CONTEXT.CREATE("market.2493",A2495,"USD","SOFR")</f>
        <v/>
      </c>
      <c r="D2495" s="8">
        <f>QS.CONTEXT.ADD.CURVE(C2495,"SOFR",$K$2:$K$7,$L$2:$L$7,,,"Actual360","LogLinear",TRUE)</f>
        <v/>
      </c>
      <c r="E2495" s="8">
        <f>QS.INSTRUMENT.SWAP("swap.2493",C2495,H2495,B2495,"USD","SOFR",I2495,J2495,0,"Actual360","Simple","Annual","Annual","Annual")</f>
        <v/>
      </c>
      <c r="F2495" s="8">
        <f>QS.TRADE.CREATE("trade.2493",C2495,E2495,A2495,"Receive")</f>
        <v/>
      </c>
      <c r="G2495" s="5"/>
      <c r="H2495" s="7" t="s">
        <v>1376</v>
      </c>
      <c r="I2495" s="9">
        <v>1249300</v>
      </c>
      <c r="J2495" s="10">
        <v>0.0393</v>
      </c>
    </row>
    <row r="2496" spans="1:10">
      <c r="A2496" s="7" t="s">
        <v>1364</v>
      </c>
      <c r="B2496" s="7" t="s">
        <v>4363</v>
      </c>
      <c r="C2496" s="8">
        <f>QS.CONTEXT.CREATE("market.2494",A2496,"USD","SOFR")</f>
        <v/>
      </c>
      <c r="D2496" s="8">
        <f>QS.CONTEXT.ADD.CURVE(C2496,"SOFR",$K$2:$K$7,$L$2:$L$7,,,"Actual360","LogLinear",TRUE)</f>
        <v/>
      </c>
      <c r="E2496" s="8">
        <f>QS.INSTRUMENT.SWAP("swap.2494",C2496,H2496,B2496,"USD","SOFR",I2496,J2496,0,"Actual360","Simple","Annual","Annual","Annual")</f>
        <v/>
      </c>
      <c r="F2496" s="8">
        <f>QS.TRADE.CREATE("trade.2494",C2496,E2496,A2496,"Receive")</f>
        <v/>
      </c>
      <c r="G2496" s="5"/>
      <c r="H2496" s="7" t="s">
        <v>1378</v>
      </c>
      <c r="I2496" s="9">
        <v>1249400</v>
      </c>
      <c r="J2496" s="10">
        <v>0.0394</v>
      </c>
    </row>
    <row r="2497" spans="1:10">
      <c r="A2497" s="7" t="s">
        <v>1366</v>
      </c>
      <c r="B2497" s="7" t="s">
        <v>4364</v>
      </c>
      <c r="C2497" s="8">
        <f>QS.CONTEXT.CREATE("market.2495",A2497,"USD","SOFR")</f>
        <v/>
      </c>
      <c r="D2497" s="8">
        <f>QS.CONTEXT.ADD.CURVE(C2497,"SOFR",$K$2:$K$7,$L$2:$L$7,,,"Actual360","LogLinear",TRUE)</f>
        <v/>
      </c>
      <c r="E2497" s="8">
        <f>QS.INSTRUMENT.SWAP("swap.2495",C2497,H2497,B2497,"USD","SOFR",I2497,J2497,0,"Actual360","Simple","Annual","Annual","Annual")</f>
        <v/>
      </c>
      <c r="F2497" s="8">
        <f>QS.TRADE.CREATE("trade.2495",C2497,E2497,A2497,"Receive")</f>
        <v/>
      </c>
      <c r="G2497" s="5"/>
      <c r="H2497" s="7" t="s">
        <v>1380</v>
      </c>
      <c r="I2497" s="9">
        <v>1249500</v>
      </c>
      <c r="J2497" s="10">
        <v>0.03950000000000001</v>
      </c>
    </row>
    <row r="2498" spans="1:10">
      <c r="A2498" s="7" t="s">
        <v>1368</v>
      </c>
      <c r="B2498" s="7" t="s">
        <v>4365</v>
      </c>
      <c r="C2498" s="8">
        <f>QS.CONTEXT.CREATE("market.2496",A2498,"USD","SOFR")</f>
        <v/>
      </c>
      <c r="D2498" s="8">
        <f>QS.CONTEXT.ADD.CURVE(C2498,"SOFR",$K$2:$K$7,$L$2:$L$7,,,"Actual360","LogLinear",TRUE)</f>
        <v/>
      </c>
      <c r="E2498" s="8">
        <f>QS.INSTRUMENT.SWAP("swap.2496",C2498,H2498,B2498,"USD","SOFR",I2498,J2498,0,"Actual360","Simple","Annual","Annual","Annual")</f>
        <v/>
      </c>
      <c r="F2498" s="8">
        <f>QS.TRADE.CREATE("trade.2496",C2498,E2498,A2498,"Receive")</f>
        <v/>
      </c>
      <c r="G2498" s="5"/>
      <c r="H2498" s="7" t="s">
        <v>1382</v>
      </c>
      <c r="I2498" s="9">
        <v>1249600</v>
      </c>
      <c r="J2498" s="10">
        <v>0.0396</v>
      </c>
    </row>
    <row r="2499" spans="1:10">
      <c r="A2499" s="7" t="s">
        <v>1370</v>
      </c>
      <c r="B2499" s="7" t="s">
        <v>4366</v>
      </c>
      <c r="C2499" s="8">
        <f>QS.CONTEXT.CREATE("market.2497",A2499,"USD","SOFR")</f>
        <v/>
      </c>
      <c r="D2499" s="8">
        <f>QS.CONTEXT.ADD.CURVE(C2499,"SOFR",$K$2:$K$7,$L$2:$L$7,,,"Actual360","LogLinear",TRUE)</f>
        <v/>
      </c>
      <c r="E2499" s="8">
        <f>QS.INSTRUMENT.SWAP("swap.2497",C2499,H2499,B2499,"USD","SOFR",I2499,J2499,0,"Actual360","Simple","Annual","Annual","Annual")</f>
        <v/>
      </c>
      <c r="F2499" s="8">
        <f>QS.TRADE.CREATE("trade.2497",C2499,E2499,A2499,"Receive")</f>
        <v/>
      </c>
      <c r="G2499" s="5"/>
      <c r="H2499" s="7" t="s">
        <v>1384</v>
      </c>
      <c r="I2499" s="9">
        <v>1249700</v>
      </c>
      <c r="J2499" s="10">
        <v>0.03970000000000001</v>
      </c>
    </row>
    <row r="2500" spans="1:10">
      <c r="A2500" s="7" t="s">
        <v>1372</v>
      </c>
      <c r="B2500" s="7" t="s">
        <v>4367</v>
      </c>
      <c r="C2500" s="8">
        <f>QS.CONTEXT.CREATE("market.2498",A2500,"USD","SOFR")</f>
        <v/>
      </c>
      <c r="D2500" s="8">
        <f>QS.CONTEXT.ADD.CURVE(C2500,"SOFR",$K$2:$K$7,$L$2:$L$7,,,"Actual360","LogLinear",TRUE)</f>
        <v/>
      </c>
      <c r="E2500" s="8">
        <f>QS.INSTRUMENT.SWAP("swap.2498",C2500,H2500,B2500,"USD","SOFR",I2500,J2500,0,"Actual360","Simple","Annual","Annual","Annual")</f>
        <v/>
      </c>
      <c r="F2500" s="8">
        <f>QS.TRADE.CREATE("trade.2498",C2500,E2500,A2500,"Receive")</f>
        <v/>
      </c>
      <c r="G2500" s="5"/>
      <c r="H2500" s="7" t="s">
        <v>1386</v>
      </c>
      <c r="I2500" s="9">
        <v>1249800</v>
      </c>
      <c r="J2500" s="10">
        <v>0.0398</v>
      </c>
    </row>
    <row r="2501" spans="1:10">
      <c r="A2501" s="7" t="s">
        <v>1374</v>
      </c>
      <c r="B2501" s="7" t="s">
        <v>4368</v>
      </c>
      <c r="C2501" s="8">
        <f>QS.CONTEXT.CREATE("market.2499",A2501,"USD","SOFR")</f>
        <v/>
      </c>
      <c r="D2501" s="8">
        <f>QS.CONTEXT.ADD.CURVE(C2501,"SOFR",$K$2:$K$7,$L$2:$L$7,,,"Actual360","LogLinear",TRUE)</f>
        <v/>
      </c>
      <c r="E2501" s="8">
        <f>QS.INSTRUMENT.SWAP("swap.2499",C2501,H2501,B2501,"USD","SOFR",I2501,J2501,0,"Actual360","Simple","Annual","Annual","Annual")</f>
        <v/>
      </c>
      <c r="F2501" s="8">
        <f>QS.TRADE.CREATE("trade.2499",C2501,E2501,A2501,"Receive")</f>
        <v/>
      </c>
      <c r="G2501" s="5"/>
      <c r="H2501" s="7" t="s">
        <v>1388</v>
      </c>
      <c r="I2501" s="9">
        <v>1249900</v>
      </c>
      <c r="J2501" s="10">
        <v>0.0399</v>
      </c>
    </row>
    <row r="2502" spans="1:10">
      <c r="A2502" s="7" t="s">
        <v>1376</v>
      </c>
      <c r="B2502" s="7" t="s">
        <v>4369</v>
      </c>
      <c r="C2502" s="8">
        <f>QS.CONTEXT.CREATE("market.2500",A2502,"USD","SOFR")</f>
        <v/>
      </c>
      <c r="D2502" s="8">
        <f>QS.CONTEXT.ADD.CURVE(C2502,"SOFR",$K$2:$K$7,$L$2:$L$7,,,"Actual360","LogLinear",TRUE)</f>
        <v/>
      </c>
      <c r="E2502" s="8">
        <f>QS.INSTRUMENT.SWAP("swap.2500",C2502,H2502,B2502,"USD","SOFR",I2502,J2502,0,"Actual360","Simple","Annual","Annual","Annual")</f>
        <v/>
      </c>
      <c r="F2502" s="8">
        <f>QS.TRADE.CREATE("trade.2500",C2502,E2502,A2502,"Receive")</f>
        <v/>
      </c>
      <c r="G2502" s="5"/>
      <c r="H2502" s="7" t="s">
        <v>1390</v>
      </c>
      <c r="I2502" s="9">
        <v>1250000</v>
      </c>
      <c r="J2502" s="10">
        <v>0.035</v>
      </c>
    </row>
    <row r="2503" spans="1:10">
      <c r="A2503" s="7" t="s">
        <v>1378</v>
      </c>
      <c r="B2503" s="7" t="s">
        <v>4370</v>
      </c>
      <c r="C2503" s="8">
        <f>QS.CONTEXT.CREATE("market.2501",A2503,"USD","SOFR")</f>
        <v/>
      </c>
      <c r="D2503" s="8">
        <f>QS.CONTEXT.ADD.CURVE(C2503,"SOFR",$K$2:$K$7,$L$2:$L$7,,,"Actual360","LogLinear",TRUE)</f>
        <v/>
      </c>
      <c r="E2503" s="8">
        <f>QS.INSTRUMENT.SWAP("swap.2501",C2503,H2503,B2503,"USD","SOFR",I2503,J2503,0,"Actual360","Simple","Annual","Annual","Annual")</f>
        <v/>
      </c>
      <c r="F2503" s="8">
        <f>QS.TRADE.CREATE("trade.2501",C2503,E2503,A2503,"Receive")</f>
        <v/>
      </c>
      <c r="G2503" s="5"/>
      <c r="H2503" s="7" t="s">
        <v>1392</v>
      </c>
      <c r="I2503" s="9">
        <v>1250100</v>
      </c>
      <c r="J2503" s="10">
        <v>0.03510000000000001</v>
      </c>
    </row>
    <row r="2504" spans="1:10">
      <c r="A2504" s="7" t="s">
        <v>1380</v>
      </c>
      <c r="B2504" s="7" t="s">
        <v>4371</v>
      </c>
      <c r="C2504" s="8">
        <f>QS.CONTEXT.CREATE("market.2502",A2504,"USD","SOFR")</f>
        <v/>
      </c>
      <c r="D2504" s="8">
        <f>QS.CONTEXT.ADD.CURVE(C2504,"SOFR",$K$2:$K$7,$L$2:$L$7,,,"Actual360","LogLinear",TRUE)</f>
        <v/>
      </c>
      <c r="E2504" s="8">
        <f>QS.INSTRUMENT.SWAP("swap.2502",C2504,H2504,B2504,"USD","SOFR",I2504,J2504,0,"Actual360","Simple","Annual","Annual","Annual")</f>
        <v/>
      </c>
      <c r="F2504" s="8">
        <f>QS.TRADE.CREATE("trade.2502",C2504,E2504,A2504,"Receive")</f>
        <v/>
      </c>
      <c r="G2504" s="5"/>
      <c r="H2504" s="7" t="s">
        <v>1394</v>
      </c>
      <c r="I2504" s="9">
        <v>1250200</v>
      </c>
      <c r="J2504" s="10">
        <v>0.0352</v>
      </c>
    </row>
    <row r="2505" spans="1:10">
      <c r="A2505" s="7" t="s">
        <v>1382</v>
      </c>
      <c r="B2505" s="7" t="s">
        <v>4372</v>
      </c>
      <c r="C2505" s="8">
        <f>QS.CONTEXT.CREATE("market.2503",A2505,"USD","SOFR")</f>
        <v/>
      </c>
      <c r="D2505" s="8">
        <f>QS.CONTEXT.ADD.CURVE(C2505,"SOFR",$K$2:$K$7,$L$2:$L$7,,,"Actual360","LogLinear",TRUE)</f>
        <v/>
      </c>
      <c r="E2505" s="8">
        <f>QS.INSTRUMENT.SWAP("swap.2503",C2505,H2505,B2505,"USD","SOFR",I2505,J2505,0,"Actual360","Simple","Annual","Annual","Annual")</f>
        <v/>
      </c>
      <c r="F2505" s="8">
        <f>QS.TRADE.CREATE("trade.2503",C2505,E2505,A2505,"Receive")</f>
        <v/>
      </c>
      <c r="G2505" s="5"/>
      <c r="H2505" s="7" t="s">
        <v>1396</v>
      </c>
      <c r="I2505" s="9">
        <v>1250300</v>
      </c>
      <c r="J2505" s="10">
        <v>0.0353</v>
      </c>
    </row>
    <row r="2506" spans="1:10">
      <c r="A2506" s="7" t="s">
        <v>1384</v>
      </c>
      <c r="B2506" s="7" t="s">
        <v>4373</v>
      </c>
      <c r="C2506" s="8">
        <f>QS.CONTEXT.CREATE("market.2504",A2506,"USD","SOFR")</f>
        <v/>
      </c>
      <c r="D2506" s="8">
        <f>QS.CONTEXT.ADD.CURVE(C2506,"SOFR",$K$2:$K$7,$L$2:$L$7,,,"Actual360","LogLinear",TRUE)</f>
        <v/>
      </c>
      <c r="E2506" s="8">
        <f>QS.INSTRUMENT.SWAP("swap.2504",C2506,H2506,B2506,"USD","SOFR",I2506,J2506,0,"Actual360","Simple","Annual","Annual","Annual")</f>
        <v/>
      </c>
      <c r="F2506" s="8">
        <f>QS.TRADE.CREATE("trade.2504",C2506,E2506,A2506,"Receive")</f>
        <v/>
      </c>
      <c r="G2506" s="5"/>
      <c r="H2506" s="7" t="s">
        <v>1398</v>
      </c>
      <c r="I2506" s="9">
        <v>1250400</v>
      </c>
      <c r="J2506" s="10">
        <v>0.0354</v>
      </c>
    </row>
    <row r="2507" spans="1:10">
      <c r="A2507" s="7" t="s">
        <v>1386</v>
      </c>
      <c r="B2507" s="7" t="s">
        <v>4374</v>
      </c>
      <c r="C2507" s="8">
        <f>QS.CONTEXT.CREATE("market.2505",A2507,"USD","SOFR")</f>
        <v/>
      </c>
      <c r="D2507" s="8">
        <f>QS.CONTEXT.ADD.CURVE(C2507,"SOFR",$K$2:$K$7,$L$2:$L$7,,,"Actual360","LogLinear",TRUE)</f>
        <v/>
      </c>
      <c r="E2507" s="8">
        <f>QS.INSTRUMENT.SWAP("swap.2505",C2507,H2507,B2507,"USD","SOFR",I2507,J2507,0,"Actual360","Simple","Annual","Annual","Annual")</f>
        <v/>
      </c>
      <c r="F2507" s="8">
        <f>QS.TRADE.CREATE("trade.2505",C2507,E2507,A2507,"Receive")</f>
        <v/>
      </c>
      <c r="G2507" s="5"/>
      <c r="H2507" s="7" t="s">
        <v>1400</v>
      </c>
      <c r="I2507" s="9">
        <v>1250500</v>
      </c>
      <c r="J2507" s="10">
        <v>0.0355</v>
      </c>
    </row>
    <row r="2508" spans="1:10">
      <c r="A2508" s="7" t="s">
        <v>1388</v>
      </c>
      <c r="B2508" s="7" t="s">
        <v>4375</v>
      </c>
      <c r="C2508" s="8">
        <f>QS.CONTEXT.CREATE("market.2506",A2508,"USD","SOFR")</f>
        <v/>
      </c>
      <c r="D2508" s="8">
        <f>QS.CONTEXT.ADD.CURVE(C2508,"SOFR",$K$2:$K$7,$L$2:$L$7,,,"Actual360","LogLinear",TRUE)</f>
        <v/>
      </c>
      <c r="E2508" s="8">
        <f>QS.INSTRUMENT.SWAP("swap.2506",C2508,H2508,B2508,"USD","SOFR",I2508,J2508,0,"Actual360","Simple","Annual","Annual","Annual")</f>
        <v/>
      </c>
      <c r="F2508" s="8">
        <f>QS.TRADE.CREATE("trade.2506",C2508,E2508,A2508,"Receive")</f>
        <v/>
      </c>
      <c r="G2508" s="5"/>
      <c r="H2508" s="7" t="s">
        <v>1402</v>
      </c>
      <c r="I2508" s="9">
        <v>1250600</v>
      </c>
      <c r="J2508" s="10">
        <v>0.03560000000000001</v>
      </c>
    </row>
    <row r="2509" spans="1:10">
      <c r="A2509" s="7" t="s">
        <v>1390</v>
      </c>
      <c r="B2509" s="7" t="s">
        <v>4376</v>
      </c>
      <c r="C2509" s="8">
        <f>QS.CONTEXT.CREATE("market.2507",A2509,"USD","SOFR")</f>
        <v/>
      </c>
      <c r="D2509" s="8">
        <f>QS.CONTEXT.ADD.CURVE(C2509,"SOFR",$K$2:$K$7,$L$2:$L$7,,,"Actual360","LogLinear",TRUE)</f>
        <v/>
      </c>
      <c r="E2509" s="8">
        <f>QS.INSTRUMENT.SWAP("swap.2507",C2509,H2509,B2509,"USD","SOFR",I2509,J2509,0,"Actual360","Simple","Annual","Annual","Annual")</f>
        <v/>
      </c>
      <c r="F2509" s="8">
        <f>QS.TRADE.CREATE("trade.2507",C2509,E2509,A2509,"Receive")</f>
        <v/>
      </c>
      <c r="G2509" s="5"/>
      <c r="H2509" s="7" t="s">
        <v>1404</v>
      </c>
      <c r="I2509" s="9">
        <v>1250700</v>
      </c>
      <c r="J2509" s="10">
        <v>0.0357</v>
      </c>
    </row>
    <row r="2510" spans="1:10">
      <c r="A2510" s="7" t="s">
        <v>1392</v>
      </c>
      <c r="B2510" s="7" t="s">
        <v>4377</v>
      </c>
      <c r="C2510" s="8">
        <f>QS.CONTEXT.CREATE("market.2508",A2510,"USD","SOFR")</f>
        <v/>
      </c>
      <c r="D2510" s="8">
        <f>QS.CONTEXT.ADD.CURVE(C2510,"SOFR",$K$2:$K$7,$L$2:$L$7,,,"Actual360","LogLinear",TRUE)</f>
        <v/>
      </c>
      <c r="E2510" s="8">
        <f>QS.INSTRUMENT.SWAP("swap.2508",C2510,H2510,B2510,"USD","SOFR",I2510,J2510,0,"Actual360","Simple","Annual","Annual","Annual")</f>
        <v/>
      </c>
      <c r="F2510" s="8">
        <f>QS.TRADE.CREATE("trade.2508",C2510,E2510,A2510,"Receive")</f>
        <v/>
      </c>
      <c r="G2510" s="5"/>
      <c r="H2510" s="7" t="s">
        <v>1406</v>
      </c>
      <c r="I2510" s="9">
        <v>1250800</v>
      </c>
      <c r="J2510" s="10">
        <v>0.03580000000000001</v>
      </c>
    </row>
    <row r="2511" spans="1:10">
      <c r="A2511" s="7" t="s">
        <v>1394</v>
      </c>
      <c r="B2511" s="7" t="s">
        <v>4378</v>
      </c>
      <c r="C2511" s="8">
        <f>QS.CONTEXT.CREATE("market.2509",A2511,"USD","SOFR")</f>
        <v/>
      </c>
      <c r="D2511" s="8">
        <f>QS.CONTEXT.ADD.CURVE(C2511,"SOFR",$K$2:$K$7,$L$2:$L$7,,,"Actual360","LogLinear",TRUE)</f>
        <v/>
      </c>
      <c r="E2511" s="8">
        <f>QS.INSTRUMENT.SWAP("swap.2509",C2511,H2511,B2511,"USD","SOFR",I2511,J2511,0,"Actual360","Simple","Annual","Annual","Annual")</f>
        <v/>
      </c>
      <c r="F2511" s="8">
        <f>QS.TRADE.CREATE("trade.2509",C2511,E2511,A2511,"Receive")</f>
        <v/>
      </c>
      <c r="G2511" s="5"/>
      <c r="H2511" s="7" t="s">
        <v>1408</v>
      </c>
      <c r="I2511" s="9">
        <v>1250900</v>
      </c>
      <c r="J2511" s="10">
        <v>0.0359</v>
      </c>
    </row>
    <row r="2512" spans="1:10">
      <c r="A2512" s="7" t="s">
        <v>1396</v>
      </c>
      <c r="B2512" s="7" t="s">
        <v>4379</v>
      </c>
      <c r="C2512" s="8">
        <f>QS.CONTEXT.CREATE("market.2510",A2512,"USD","SOFR")</f>
        <v/>
      </c>
      <c r="D2512" s="8">
        <f>QS.CONTEXT.ADD.CURVE(C2512,"SOFR",$K$2:$K$7,$L$2:$L$7,,,"Actual360","LogLinear",TRUE)</f>
        <v/>
      </c>
      <c r="E2512" s="8">
        <f>QS.INSTRUMENT.SWAP("swap.2510",C2512,H2512,B2512,"USD","SOFR",I2512,J2512,0,"Actual360","Simple","Annual","Annual","Annual")</f>
        <v/>
      </c>
      <c r="F2512" s="8">
        <f>QS.TRADE.CREATE("trade.2510",C2512,E2512,A2512,"Receive")</f>
        <v/>
      </c>
      <c r="G2512" s="5"/>
      <c r="H2512" s="7" t="s">
        <v>1410</v>
      </c>
      <c r="I2512" s="9">
        <v>1251000</v>
      </c>
      <c r="J2512" s="10">
        <v>0.036</v>
      </c>
    </row>
    <row r="2513" spans="1:10">
      <c r="A2513" s="7" t="s">
        <v>1398</v>
      </c>
      <c r="B2513" s="7" t="s">
        <v>4380</v>
      </c>
      <c r="C2513" s="8">
        <f>QS.CONTEXT.CREATE("market.2511",A2513,"USD","SOFR")</f>
        <v/>
      </c>
      <c r="D2513" s="8">
        <f>QS.CONTEXT.ADD.CURVE(C2513,"SOFR",$K$2:$K$7,$L$2:$L$7,,,"Actual360","LogLinear",TRUE)</f>
        <v/>
      </c>
      <c r="E2513" s="8">
        <f>QS.INSTRUMENT.SWAP("swap.2511",C2513,H2513,B2513,"USD","SOFR",I2513,J2513,0,"Actual360","Simple","Annual","Annual","Annual")</f>
        <v/>
      </c>
      <c r="F2513" s="8">
        <f>QS.TRADE.CREATE("trade.2511",C2513,E2513,A2513,"Receive")</f>
        <v/>
      </c>
      <c r="G2513" s="5"/>
      <c r="H2513" s="7" t="s">
        <v>1412</v>
      </c>
      <c r="I2513" s="9">
        <v>1251100</v>
      </c>
      <c r="J2513" s="10">
        <v>0.0361</v>
      </c>
    </row>
    <row r="2514" spans="1:10">
      <c r="A2514" s="7" t="s">
        <v>1400</v>
      </c>
      <c r="B2514" s="7" t="s">
        <v>4381</v>
      </c>
      <c r="C2514" s="8">
        <f>QS.CONTEXT.CREATE("market.2512",A2514,"USD","SOFR")</f>
        <v/>
      </c>
      <c r="D2514" s="8">
        <f>QS.CONTEXT.ADD.CURVE(C2514,"SOFR",$K$2:$K$7,$L$2:$L$7,,,"Actual360","LogLinear",TRUE)</f>
        <v/>
      </c>
      <c r="E2514" s="8">
        <f>QS.INSTRUMENT.SWAP("swap.2512",C2514,H2514,B2514,"USD","SOFR",I2514,J2514,0,"Actual360","Simple","Annual","Annual","Annual")</f>
        <v/>
      </c>
      <c r="F2514" s="8">
        <f>QS.TRADE.CREATE("trade.2512",C2514,E2514,A2514,"Receive")</f>
        <v/>
      </c>
      <c r="G2514" s="5"/>
      <c r="H2514" s="7" t="s">
        <v>1414</v>
      </c>
      <c r="I2514" s="9">
        <v>1251200</v>
      </c>
      <c r="J2514" s="10">
        <v>0.0362</v>
      </c>
    </row>
    <row r="2515" spans="1:10">
      <c r="A2515" s="7" t="s">
        <v>1402</v>
      </c>
      <c r="B2515" s="7" t="s">
        <v>4382</v>
      </c>
      <c r="C2515" s="8">
        <f>QS.CONTEXT.CREATE("market.2513",A2515,"USD","SOFR")</f>
        <v/>
      </c>
      <c r="D2515" s="8">
        <f>QS.CONTEXT.ADD.CURVE(C2515,"SOFR",$K$2:$K$7,$L$2:$L$7,,,"Actual360","LogLinear",TRUE)</f>
        <v/>
      </c>
      <c r="E2515" s="8">
        <f>QS.INSTRUMENT.SWAP("swap.2513",C2515,H2515,B2515,"USD","SOFR",I2515,J2515,0,"Actual360","Simple","Annual","Annual","Annual")</f>
        <v/>
      </c>
      <c r="F2515" s="8">
        <f>QS.TRADE.CREATE("trade.2513",C2515,E2515,A2515,"Receive")</f>
        <v/>
      </c>
      <c r="G2515" s="5"/>
      <c r="H2515" s="7" t="s">
        <v>1416</v>
      </c>
      <c r="I2515" s="9">
        <v>1251300</v>
      </c>
      <c r="J2515" s="10">
        <v>0.03630000000000001</v>
      </c>
    </row>
    <row r="2516" spans="1:10">
      <c r="A2516" s="7" t="s">
        <v>1404</v>
      </c>
      <c r="B2516" s="7" t="s">
        <v>4383</v>
      </c>
      <c r="C2516" s="8">
        <f>QS.CONTEXT.CREATE("market.2514",A2516,"USD","SOFR")</f>
        <v/>
      </c>
      <c r="D2516" s="8">
        <f>QS.CONTEXT.ADD.CURVE(C2516,"SOFR",$K$2:$K$7,$L$2:$L$7,,,"Actual360","LogLinear",TRUE)</f>
        <v/>
      </c>
      <c r="E2516" s="8">
        <f>QS.INSTRUMENT.SWAP("swap.2514",C2516,H2516,B2516,"USD","SOFR",I2516,J2516,0,"Actual360","Simple","Annual","Annual","Annual")</f>
        <v/>
      </c>
      <c r="F2516" s="8">
        <f>QS.TRADE.CREATE("trade.2514",C2516,E2516,A2516,"Receive")</f>
        <v/>
      </c>
      <c r="G2516" s="5"/>
      <c r="H2516" s="7" t="s">
        <v>1418</v>
      </c>
      <c r="I2516" s="9">
        <v>1251400</v>
      </c>
      <c r="J2516" s="10">
        <v>0.0364</v>
      </c>
    </row>
    <row r="2517" spans="1:10">
      <c r="A2517" s="7" t="s">
        <v>1406</v>
      </c>
      <c r="B2517" s="7" t="s">
        <v>4384</v>
      </c>
      <c r="C2517" s="8">
        <f>QS.CONTEXT.CREATE("market.2515",A2517,"USD","SOFR")</f>
        <v/>
      </c>
      <c r="D2517" s="8">
        <f>QS.CONTEXT.ADD.CURVE(C2517,"SOFR",$K$2:$K$7,$L$2:$L$7,,,"Actual360","LogLinear",TRUE)</f>
        <v/>
      </c>
      <c r="E2517" s="8">
        <f>QS.INSTRUMENT.SWAP("swap.2515",C2517,H2517,B2517,"USD","SOFR",I2517,J2517,0,"Actual360","Simple","Annual","Annual","Annual")</f>
        <v/>
      </c>
      <c r="F2517" s="8">
        <f>QS.TRADE.CREATE("trade.2515",C2517,E2517,A2517,"Receive")</f>
        <v/>
      </c>
      <c r="G2517" s="5"/>
      <c r="H2517" s="7" t="s">
        <v>1420</v>
      </c>
      <c r="I2517" s="9">
        <v>1251500</v>
      </c>
      <c r="J2517" s="10">
        <v>0.0365</v>
      </c>
    </row>
    <row r="2518" spans="1:10">
      <c r="A2518" s="7" t="s">
        <v>1408</v>
      </c>
      <c r="B2518" s="7" t="s">
        <v>4385</v>
      </c>
      <c r="C2518" s="8">
        <f>QS.CONTEXT.CREATE("market.2516",A2518,"USD","SOFR")</f>
        <v/>
      </c>
      <c r="D2518" s="8">
        <f>QS.CONTEXT.ADD.CURVE(C2518,"SOFR",$K$2:$K$7,$L$2:$L$7,,,"Actual360","LogLinear",TRUE)</f>
        <v/>
      </c>
      <c r="E2518" s="8">
        <f>QS.INSTRUMENT.SWAP("swap.2516",C2518,H2518,B2518,"USD","SOFR",I2518,J2518,0,"Actual360","Simple","Annual","Annual","Annual")</f>
        <v/>
      </c>
      <c r="F2518" s="8">
        <f>QS.TRADE.CREATE("trade.2516",C2518,E2518,A2518,"Receive")</f>
        <v/>
      </c>
      <c r="G2518" s="5"/>
      <c r="H2518" s="7" t="s">
        <v>1422</v>
      </c>
      <c r="I2518" s="9">
        <v>1251600</v>
      </c>
      <c r="J2518" s="10">
        <v>0.0366</v>
      </c>
    </row>
    <row r="2519" spans="1:10">
      <c r="A2519" s="7" t="s">
        <v>1410</v>
      </c>
      <c r="B2519" s="7" t="s">
        <v>4386</v>
      </c>
      <c r="C2519" s="8">
        <f>QS.CONTEXT.CREATE("market.2517",A2519,"USD","SOFR")</f>
        <v/>
      </c>
      <c r="D2519" s="8">
        <f>QS.CONTEXT.ADD.CURVE(C2519,"SOFR",$K$2:$K$7,$L$2:$L$7,,,"Actual360","LogLinear",TRUE)</f>
        <v/>
      </c>
      <c r="E2519" s="8">
        <f>QS.INSTRUMENT.SWAP("swap.2517",C2519,H2519,B2519,"USD","SOFR",I2519,J2519,0,"Actual360","Simple","Annual","Annual","Annual")</f>
        <v/>
      </c>
      <c r="F2519" s="8">
        <f>QS.TRADE.CREATE("trade.2517",C2519,E2519,A2519,"Receive")</f>
        <v/>
      </c>
      <c r="G2519" s="5"/>
      <c r="H2519" s="7" t="s">
        <v>1424</v>
      </c>
      <c r="I2519" s="9">
        <v>1251700</v>
      </c>
      <c r="J2519" s="10">
        <v>0.0367</v>
      </c>
    </row>
    <row r="2520" spans="1:10">
      <c r="A2520" s="7" t="s">
        <v>1412</v>
      </c>
      <c r="B2520" s="7" t="s">
        <v>4387</v>
      </c>
      <c r="C2520" s="8">
        <f>QS.CONTEXT.CREATE("market.2518",A2520,"USD","SOFR")</f>
        <v/>
      </c>
      <c r="D2520" s="8">
        <f>QS.CONTEXT.ADD.CURVE(C2520,"SOFR",$K$2:$K$7,$L$2:$L$7,,,"Actual360","LogLinear",TRUE)</f>
        <v/>
      </c>
      <c r="E2520" s="8">
        <f>QS.INSTRUMENT.SWAP("swap.2518",C2520,H2520,B2520,"USD","SOFR",I2520,J2520,0,"Actual360","Simple","Annual","Annual","Annual")</f>
        <v/>
      </c>
      <c r="F2520" s="8">
        <f>QS.TRADE.CREATE("trade.2518",C2520,E2520,A2520,"Receive")</f>
        <v/>
      </c>
      <c r="G2520" s="5"/>
      <c r="H2520" s="7" t="s">
        <v>1426</v>
      </c>
      <c r="I2520" s="9">
        <v>1251800</v>
      </c>
      <c r="J2520" s="10">
        <v>0.03680000000000001</v>
      </c>
    </row>
    <row r="2521" spans="1:10">
      <c r="A2521" s="7" t="s">
        <v>1414</v>
      </c>
      <c r="B2521" s="7" t="s">
        <v>4388</v>
      </c>
      <c r="C2521" s="8">
        <f>QS.CONTEXT.CREATE("market.2519",A2521,"USD","SOFR")</f>
        <v/>
      </c>
      <c r="D2521" s="8">
        <f>QS.CONTEXT.ADD.CURVE(C2521,"SOFR",$K$2:$K$7,$L$2:$L$7,,,"Actual360","LogLinear",TRUE)</f>
        <v/>
      </c>
      <c r="E2521" s="8">
        <f>QS.INSTRUMENT.SWAP("swap.2519",C2521,H2521,B2521,"USD","SOFR",I2521,J2521,0,"Actual360","Simple","Annual","Annual","Annual")</f>
        <v/>
      </c>
      <c r="F2521" s="8">
        <f>QS.TRADE.CREATE("trade.2519",C2521,E2521,A2521,"Receive")</f>
        <v/>
      </c>
      <c r="G2521" s="5"/>
      <c r="H2521" s="7" t="s">
        <v>1428</v>
      </c>
      <c r="I2521" s="9">
        <v>1251900</v>
      </c>
      <c r="J2521" s="10">
        <v>0.0369</v>
      </c>
    </row>
    <row r="2522" spans="1:10">
      <c r="A2522" s="7" t="s">
        <v>1416</v>
      </c>
      <c r="B2522" s="7" t="s">
        <v>4389</v>
      </c>
      <c r="C2522" s="8">
        <f>QS.CONTEXT.CREATE("market.2520",A2522,"USD","SOFR")</f>
        <v/>
      </c>
      <c r="D2522" s="8">
        <f>QS.CONTEXT.ADD.CURVE(C2522,"SOFR",$K$2:$K$7,$L$2:$L$7,,,"Actual360","LogLinear",TRUE)</f>
        <v/>
      </c>
      <c r="E2522" s="8">
        <f>QS.INSTRUMENT.SWAP("swap.2520",C2522,H2522,B2522,"USD","SOFR",I2522,J2522,0,"Actual360","Simple","Annual","Annual","Annual")</f>
        <v/>
      </c>
      <c r="F2522" s="8">
        <f>QS.TRADE.CREATE("trade.2520",C2522,E2522,A2522,"Receive")</f>
        <v/>
      </c>
      <c r="G2522" s="5"/>
      <c r="H2522" s="7" t="s">
        <v>1430</v>
      </c>
      <c r="I2522" s="9">
        <v>1252000</v>
      </c>
      <c r="J2522" s="10">
        <v>0.03700000000000001</v>
      </c>
    </row>
    <row r="2523" spans="1:10">
      <c r="A2523" s="7" t="s">
        <v>1418</v>
      </c>
      <c r="B2523" s="7" t="s">
        <v>4390</v>
      </c>
      <c r="C2523" s="8">
        <f>QS.CONTEXT.CREATE("market.2521",A2523,"USD","SOFR")</f>
        <v/>
      </c>
      <c r="D2523" s="8">
        <f>QS.CONTEXT.ADD.CURVE(C2523,"SOFR",$K$2:$K$7,$L$2:$L$7,,,"Actual360","LogLinear",TRUE)</f>
        <v/>
      </c>
      <c r="E2523" s="8">
        <f>QS.INSTRUMENT.SWAP("swap.2521",C2523,H2523,B2523,"USD","SOFR",I2523,J2523,0,"Actual360","Simple","Annual","Annual","Annual")</f>
        <v/>
      </c>
      <c r="F2523" s="8">
        <f>QS.TRADE.CREATE("trade.2521",C2523,E2523,A2523,"Receive")</f>
        <v/>
      </c>
      <c r="G2523" s="5"/>
      <c r="H2523" s="7" t="s">
        <v>1432</v>
      </c>
      <c r="I2523" s="9">
        <v>1252100</v>
      </c>
      <c r="J2523" s="10">
        <v>0.0371</v>
      </c>
    </row>
    <row r="2524" spans="1:10">
      <c r="A2524" s="7" t="s">
        <v>1420</v>
      </c>
      <c r="B2524" s="7" t="s">
        <v>4391</v>
      </c>
      <c r="C2524" s="8">
        <f>QS.CONTEXT.CREATE("market.2522",A2524,"USD","SOFR")</f>
        <v/>
      </c>
      <c r="D2524" s="8">
        <f>QS.CONTEXT.ADD.CURVE(C2524,"SOFR",$K$2:$K$7,$L$2:$L$7,,,"Actual360","LogLinear",TRUE)</f>
        <v/>
      </c>
      <c r="E2524" s="8">
        <f>QS.INSTRUMENT.SWAP("swap.2522",C2524,H2524,B2524,"USD","SOFR",I2524,J2524,0,"Actual360","Simple","Annual","Annual","Annual")</f>
        <v/>
      </c>
      <c r="F2524" s="8">
        <f>QS.TRADE.CREATE("trade.2522",C2524,E2524,A2524,"Receive")</f>
        <v/>
      </c>
      <c r="G2524" s="5"/>
      <c r="H2524" s="7" t="s">
        <v>1434</v>
      </c>
      <c r="I2524" s="9">
        <v>1252200</v>
      </c>
      <c r="J2524" s="10">
        <v>0.0372</v>
      </c>
    </row>
    <row r="2525" spans="1:10">
      <c r="A2525" s="7" t="s">
        <v>1422</v>
      </c>
      <c r="B2525" s="7" t="s">
        <v>4392</v>
      </c>
      <c r="C2525" s="8">
        <f>QS.CONTEXT.CREATE("market.2523",A2525,"USD","SOFR")</f>
        <v/>
      </c>
      <c r="D2525" s="8">
        <f>QS.CONTEXT.ADD.CURVE(C2525,"SOFR",$K$2:$K$7,$L$2:$L$7,,,"Actual360","LogLinear",TRUE)</f>
        <v/>
      </c>
      <c r="E2525" s="8">
        <f>QS.INSTRUMENT.SWAP("swap.2523",C2525,H2525,B2525,"USD","SOFR",I2525,J2525,0,"Actual360","Simple","Annual","Annual","Annual")</f>
        <v/>
      </c>
      <c r="F2525" s="8">
        <f>QS.TRADE.CREATE("trade.2523",C2525,E2525,A2525,"Receive")</f>
        <v/>
      </c>
      <c r="G2525" s="5"/>
      <c r="H2525" s="7" t="s">
        <v>1436</v>
      </c>
      <c r="I2525" s="9">
        <v>1252300</v>
      </c>
      <c r="J2525" s="10">
        <v>0.0373</v>
      </c>
    </row>
    <row r="2526" spans="1:10">
      <c r="A2526" s="7" t="s">
        <v>1424</v>
      </c>
      <c r="B2526" s="7" t="s">
        <v>4393</v>
      </c>
      <c r="C2526" s="8">
        <f>QS.CONTEXT.CREATE("market.2524",A2526,"USD","SOFR")</f>
        <v/>
      </c>
      <c r="D2526" s="8">
        <f>QS.CONTEXT.ADD.CURVE(C2526,"SOFR",$K$2:$K$7,$L$2:$L$7,,,"Actual360","LogLinear",TRUE)</f>
        <v/>
      </c>
      <c r="E2526" s="8">
        <f>QS.INSTRUMENT.SWAP("swap.2524",C2526,H2526,B2526,"USD","SOFR",I2526,J2526,0,"Actual360","Simple","Annual","Annual","Annual")</f>
        <v/>
      </c>
      <c r="F2526" s="8">
        <f>QS.TRADE.CREATE("trade.2524",C2526,E2526,A2526,"Receive")</f>
        <v/>
      </c>
      <c r="G2526" s="5"/>
      <c r="H2526" s="7" t="s">
        <v>1438</v>
      </c>
      <c r="I2526" s="9">
        <v>1252400</v>
      </c>
      <c r="J2526" s="10">
        <v>0.0374</v>
      </c>
    </row>
    <row r="2527" spans="1:10">
      <c r="A2527" s="7" t="s">
        <v>1426</v>
      </c>
      <c r="B2527" s="7" t="s">
        <v>4394</v>
      </c>
      <c r="C2527" s="8">
        <f>QS.CONTEXT.CREATE("market.2525",A2527,"USD","SOFR")</f>
        <v/>
      </c>
      <c r="D2527" s="8">
        <f>QS.CONTEXT.ADD.CURVE(C2527,"SOFR",$K$2:$K$7,$L$2:$L$7,,,"Actual360","LogLinear",TRUE)</f>
        <v/>
      </c>
      <c r="E2527" s="8">
        <f>QS.INSTRUMENT.SWAP("swap.2525",C2527,H2527,B2527,"USD","SOFR",I2527,J2527,0,"Actual360","Simple","Annual","Annual","Annual")</f>
        <v/>
      </c>
      <c r="F2527" s="8">
        <f>QS.TRADE.CREATE("trade.2525",C2527,E2527,A2527,"Receive")</f>
        <v/>
      </c>
      <c r="G2527" s="5"/>
      <c r="H2527" s="7" t="s">
        <v>1440</v>
      </c>
      <c r="I2527" s="9">
        <v>1252500</v>
      </c>
      <c r="J2527" s="10">
        <v>0.03750000000000001</v>
      </c>
    </row>
    <row r="2528" spans="1:10">
      <c r="A2528" s="7" t="s">
        <v>1428</v>
      </c>
      <c r="B2528" s="7" t="s">
        <v>4395</v>
      </c>
      <c r="C2528" s="8">
        <f>QS.CONTEXT.CREATE("market.2526",A2528,"USD","SOFR")</f>
        <v/>
      </c>
      <c r="D2528" s="8">
        <f>QS.CONTEXT.ADD.CURVE(C2528,"SOFR",$K$2:$K$7,$L$2:$L$7,,,"Actual360","LogLinear",TRUE)</f>
        <v/>
      </c>
      <c r="E2528" s="8">
        <f>QS.INSTRUMENT.SWAP("swap.2526",C2528,H2528,B2528,"USD","SOFR",I2528,J2528,0,"Actual360","Simple","Annual","Annual","Annual")</f>
        <v/>
      </c>
      <c r="F2528" s="8">
        <f>QS.TRADE.CREATE("trade.2526",C2528,E2528,A2528,"Receive")</f>
        <v/>
      </c>
      <c r="G2528" s="5"/>
      <c r="H2528" s="7" t="s">
        <v>1442</v>
      </c>
      <c r="I2528" s="9">
        <v>1252600</v>
      </c>
      <c r="J2528" s="10">
        <v>0.0376</v>
      </c>
    </row>
    <row r="2529" spans="1:10">
      <c r="A2529" s="7" t="s">
        <v>1430</v>
      </c>
      <c r="B2529" s="7" t="s">
        <v>4396</v>
      </c>
      <c r="C2529" s="8">
        <f>QS.CONTEXT.CREATE("market.2527",A2529,"USD","SOFR")</f>
        <v/>
      </c>
      <c r="D2529" s="8">
        <f>QS.CONTEXT.ADD.CURVE(C2529,"SOFR",$K$2:$K$7,$L$2:$L$7,,,"Actual360","LogLinear",TRUE)</f>
        <v/>
      </c>
      <c r="E2529" s="8">
        <f>QS.INSTRUMENT.SWAP("swap.2527",C2529,H2529,B2529,"USD","SOFR",I2529,J2529,0,"Actual360","Simple","Annual","Annual","Annual")</f>
        <v/>
      </c>
      <c r="F2529" s="8">
        <f>QS.TRADE.CREATE("trade.2527",C2529,E2529,A2529,"Receive")</f>
        <v/>
      </c>
      <c r="G2529" s="5"/>
      <c r="H2529" s="7" t="s">
        <v>1444</v>
      </c>
      <c r="I2529" s="9">
        <v>1252700</v>
      </c>
      <c r="J2529" s="10">
        <v>0.0377</v>
      </c>
    </row>
    <row r="2530" spans="1:10">
      <c r="A2530" s="7" t="s">
        <v>1432</v>
      </c>
      <c r="B2530" s="7" t="s">
        <v>4397</v>
      </c>
      <c r="C2530" s="8">
        <f>QS.CONTEXT.CREATE("market.2528",A2530,"USD","SOFR")</f>
        <v/>
      </c>
      <c r="D2530" s="8">
        <f>QS.CONTEXT.ADD.CURVE(C2530,"SOFR",$K$2:$K$7,$L$2:$L$7,,,"Actual360","LogLinear",TRUE)</f>
        <v/>
      </c>
      <c r="E2530" s="8">
        <f>QS.INSTRUMENT.SWAP("swap.2528",C2530,H2530,B2530,"USD","SOFR",I2530,J2530,0,"Actual360","Simple","Annual","Annual","Annual")</f>
        <v/>
      </c>
      <c r="F2530" s="8">
        <f>QS.TRADE.CREATE("trade.2528",C2530,E2530,A2530,"Receive")</f>
        <v/>
      </c>
      <c r="G2530" s="5"/>
      <c r="H2530" s="7" t="s">
        <v>1446</v>
      </c>
      <c r="I2530" s="9">
        <v>1252800</v>
      </c>
      <c r="J2530" s="10">
        <v>0.0378</v>
      </c>
    </row>
    <row r="2531" spans="1:10">
      <c r="A2531" s="7" t="s">
        <v>1434</v>
      </c>
      <c r="B2531" s="7" t="s">
        <v>4398</v>
      </c>
      <c r="C2531" s="8">
        <f>QS.CONTEXT.CREATE("market.2529",A2531,"USD","SOFR")</f>
        <v/>
      </c>
      <c r="D2531" s="8">
        <f>QS.CONTEXT.ADD.CURVE(C2531,"SOFR",$K$2:$K$7,$L$2:$L$7,,,"Actual360","LogLinear",TRUE)</f>
        <v/>
      </c>
      <c r="E2531" s="8">
        <f>QS.INSTRUMENT.SWAP("swap.2529",C2531,H2531,B2531,"USD","SOFR",I2531,J2531,0,"Actual360","Simple","Annual","Annual","Annual")</f>
        <v/>
      </c>
      <c r="F2531" s="8">
        <f>QS.TRADE.CREATE("trade.2529",C2531,E2531,A2531,"Receive")</f>
        <v/>
      </c>
      <c r="G2531" s="5"/>
      <c r="H2531" s="7" t="s">
        <v>1448</v>
      </c>
      <c r="I2531" s="9">
        <v>1252900</v>
      </c>
      <c r="J2531" s="10">
        <v>0.0379</v>
      </c>
    </row>
    <row r="2532" spans="1:10">
      <c r="A2532" s="7" t="s">
        <v>1436</v>
      </c>
      <c r="B2532" s="7" t="s">
        <v>4399</v>
      </c>
      <c r="C2532" s="8">
        <f>QS.CONTEXT.CREATE("market.2530",A2532,"USD","SOFR")</f>
        <v/>
      </c>
      <c r="D2532" s="8">
        <f>QS.CONTEXT.ADD.CURVE(C2532,"SOFR",$K$2:$K$7,$L$2:$L$7,,,"Actual360","LogLinear",TRUE)</f>
        <v/>
      </c>
      <c r="E2532" s="8">
        <f>QS.INSTRUMENT.SWAP("swap.2530",C2532,H2532,B2532,"USD","SOFR",I2532,J2532,0,"Actual360","Simple","Annual","Annual","Annual")</f>
        <v/>
      </c>
      <c r="F2532" s="8">
        <f>QS.TRADE.CREATE("trade.2530",C2532,E2532,A2532,"Receive")</f>
        <v/>
      </c>
      <c r="G2532" s="5"/>
      <c r="H2532" s="7" t="s">
        <v>1450</v>
      </c>
      <c r="I2532" s="9">
        <v>1253000</v>
      </c>
      <c r="J2532" s="10">
        <v>0.03800000000000001</v>
      </c>
    </row>
    <row r="2533" spans="1:10">
      <c r="A2533" s="7" t="s">
        <v>1438</v>
      </c>
      <c r="B2533" s="7" t="s">
        <v>4400</v>
      </c>
      <c r="C2533" s="8">
        <f>QS.CONTEXT.CREATE("market.2531",A2533,"USD","SOFR")</f>
        <v/>
      </c>
      <c r="D2533" s="8">
        <f>QS.CONTEXT.ADD.CURVE(C2533,"SOFR",$K$2:$K$7,$L$2:$L$7,,,"Actual360","LogLinear",TRUE)</f>
        <v/>
      </c>
      <c r="E2533" s="8">
        <f>QS.INSTRUMENT.SWAP("swap.2531",C2533,H2533,B2533,"USD","SOFR",I2533,J2533,0,"Actual360","Simple","Annual","Annual","Annual")</f>
        <v/>
      </c>
      <c r="F2533" s="8">
        <f>QS.TRADE.CREATE("trade.2531",C2533,E2533,A2533,"Receive")</f>
        <v/>
      </c>
      <c r="G2533" s="5"/>
      <c r="H2533" s="7" t="s">
        <v>1452</v>
      </c>
      <c r="I2533" s="9">
        <v>1253100</v>
      </c>
      <c r="J2533" s="10">
        <v>0.0381</v>
      </c>
    </row>
    <row r="2534" spans="1:10">
      <c r="A2534" s="7" t="s">
        <v>1440</v>
      </c>
      <c r="B2534" s="7" t="s">
        <v>4401</v>
      </c>
      <c r="C2534" s="8">
        <f>QS.CONTEXT.CREATE("market.2532",A2534,"USD","SOFR")</f>
        <v/>
      </c>
      <c r="D2534" s="8">
        <f>QS.CONTEXT.ADD.CURVE(C2534,"SOFR",$K$2:$K$7,$L$2:$L$7,,,"Actual360","LogLinear",TRUE)</f>
        <v/>
      </c>
      <c r="E2534" s="8">
        <f>QS.INSTRUMENT.SWAP("swap.2532",C2534,H2534,B2534,"USD","SOFR",I2534,J2534,0,"Actual360","Simple","Annual","Annual","Annual")</f>
        <v/>
      </c>
      <c r="F2534" s="8">
        <f>QS.TRADE.CREATE("trade.2532",C2534,E2534,A2534,"Receive")</f>
        <v/>
      </c>
      <c r="G2534" s="5"/>
      <c r="H2534" s="7" t="s">
        <v>1454</v>
      </c>
      <c r="I2534" s="9">
        <v>1253200</v>
      </c>
      <c r="J2534" s="10">
        <v>0.0382</v>
      </c>
    </row>
    <row r="2535" spans="1:10">
      <c r="A2535" s="7" t="s">
        <v>1442</v>
      </c>
      <c r="B2535" s="7" t="s">
        <v>4402</v>
      </c>
      <c r="C2535" s="8">
        <f>QS.CONTEXT.CREATE("market.2533",A2535,"USD","SOFR")</f>
        <v/>
      </c>
      <c r="D2535" s="8">
        <f>QS.CONTEXT.ADD.CURVE(C2535,"SOFR",$K$2:$K$7,$L$2:$L$7,,,"Actual360","LogLinear",TRUE)</f>
        <v/>
      </c>
      <c r="E2535" s="8">
        <f>QS.INSTRUMENT.SWAP("swap.2533",C2535,H2535,B2535,"USD","SOFR",I2535,J2535,0,"Actual360","Simple","Annual","Annual","Annual")</f>
        <v/>
      </c>
      <c r="F2535" s="8">
        <f>QS.TRADE.CREATE("trade.2533",C2535,E2535,A2535,"Receive")</f>
        <v/>
      </c>
      <c r="G2535" s="5"/>
      <c r="H2535" s="7" t="s">
        <v>1456</v>
      </c>
      <c r="I2535" s="9">
        <v>1253300</v>
      </c>
      <c r="J2535" s="10">
        <v>0.0383</v>
      </c>
    </row>
    <row r="2536" spans="1:10">
      <c r="A2536" s="7" t="s">
        <v>1444</v>
      </c>
      <c r="B2536" s="7" t="s">
        <v>4403</v>
      </c>
      <c r="C2536" s="8">
        <f>QS.CONTEXT.CREATE("market.2534",A2536,"USD","SOFR")</f>
        <v/>
      </c>
      <c r="D2536" s="8">
        <f>QS.CONTEXT.ADD.CURVE(C2536,"SOFR",$K$2:$K$7,$L$2:$L$7,,,"Actual360","LogLinear",TRUE)</f>
        <v/>
      </c>
      <c r="E2536" s="8">
        <f>QS.INSTRUMENT.SWAP("swap.2534",C2536,H2536,B2536,"USD","SOFR",I2536,J2536,0,"Actual360","Simple","Annual","Annual","Annual")</f>
        <v/>
      </c>
      <c r="F2536" s="8">
        <f>QS.TRADE.CREATE("trade.2534",C2536,E2536,A2536,"Receive")</f>
        <v/>
      </c>
      <c r="G2536" s="5"/>
      <c r="H2536" s="7" t="s">
        <v>1458</v>
      </c>
      <c r="I2536" s="9">
        <v>1253400</v>
      </c>
      <c r="J2536" s="10">
        <v>0.0384</v>
      </c>
    </row>
    <row r="2537" spans="1:10">
      <c r="A2537" s="7" t="s">
        <v>1446</v>
      </c>
      <c r="B2537" s="7" t="s">
        <v>4404</v>
      </c>
      <c r="C2537" s="8">
        <f>QS.CONTEXT.CREATE("market.2535",A2537,"USD","SOFR")</f>
        <v/>
      </c>
      <c r="D2537" s="8">
        <f>QS.CONTEXT.ADD.CURVE(C2537,"SOFR",$K$2:$K$7,$L$2:$L$7,,,"Actual360","LogLinear",TRUE)</f>
        <v/>
      </c>
      <c r="E2537" s="8">
        <f>QS.INSTRUMENT.SWAP("swap.2535",C2537,H2537,B2537,"USD","SOFR",I2537,J2537,0,"Actual360","Simple","Annual","Annual","Annual")</f>
        <v/>
      </c>
      <c r="F2537" s="8">
        <f>QS.TRADE.CREATE("trade.2535",C2537,E2537,A2537,"Receive")</f>
        <v/>
      </c>
      <c r="G2537" s="5"/>
      <c r="H2537" s="7" t="s">
        <v>1460</v>
      </c>
      <c r="I2537" s="9">
        <v>1253500</v>
      </c>
      <c r="J2537" s="10">
        <v>0.03850000000000001</v>
      </c>
    </row>
    <row r="2538" spans="1:10">
      <c r="A2538" s="7" t="s">
        <v>1448</v>
      </c>
      <c r="B2538" s="7" t="s">
        <v>4405</v>
      </c>
      <c r="C2538" s="8">
        <f>QS.CONTEXT.CREATE("market.2536",A2538,"USD","SOFR")</f>
        <v/>
      </c>
      <c r="D2538" s="8">
        <f>QS.CONTEXT.ADD.CURVE(C2538,"SOFR",$K$2:$K$7,$L$2:$L$7,,,"Actual360","LogLinear",TRUE)</f>
        <v/>
      </c>
      <c r="E2538" s="8">
        <f>QS.INSTRUMENT.SWAP("swap.2536",C2538,H2538,B2538,"USD","SOFR",I2538,J2538,0,"Actual360","Simple","Annual","Annual","Annual")</f>
        <v/>
      </c>
      <c r="F2538" s="8">
        <f>QS.TRADE.CREATE("trade.2536",C2538,E2538,A2538,"Receive")</f>
        <v/>
      </c>
      <c r="G2538" s="5"/>
      <c r="H2538" s="7" t="s">
        <v>1462</v>
      </c>
      <c r="I2538" s="9">
        <v>1253600</v>
      </c>
      <c r="J2538" s="10">
        <v>0.0386</v>
      </c>
    </row>
    <row r="2539" spans="1:10">
      <c r="A2539" s="7" t="s">
        <v>1450</v>
      </c>
      <c r="B2539" s="7" t="s">
        <v>4406</v>
      </c>
      <c r="C2539" s="8">
        <f>QS.CONTEXT.CREATE("market.2537",A2539,"USD","SOFR")</f>
        <v/>
      </c>
      <c r="D2539" s="8">
        <f>QS.CONTEXT.ADD.CURVE(C2539,"SOFR",$K$2:$K$7,$L$2:$L$7,,,"Actual360","LogLinear",TRUE)</f>
        <v/>
      </c>
      <c r="E2539" s="8">
        <f>QS.INSTRUMENT.SWAP("swap.2537",C2539,H2539,B2539,"USD","SOFR",I2539,J2539,0,"Actual360","Simple","Annual","Annual","Annual")</f>
        <v/>
      </c>
      <c r="F2539" s="8">
        <f>QS.TRADE.CREATE("trade.2537",C2539,E2539,A2539,"Receive")</f>
        <v/>
      </c>
      <c r="G2539" s="5"/>
      <c r="H2539" s="7" t="s">
        <v>1464</v>
      </c>
      <c r="I2539" s="9">
        <v>1253700</v>
      </c>
      <c r="J2539" s="10">
        <v>0.03870000000000001</v>
      </c>
    </row>
    <row r="2540" spans="1:10">
      <c r="A2540" s="7" t="s">
        <v>1452</v>
      </c>
      <c r="B2540" s="7" t="s">
        <v>4407</v>
      </c>
      <c r="C2540" s="8">
        <f>QS.CONTEXT.CREATE("market.2538",A2540,"USD","SOFR")</f>
        <v/>
      </c>
      <c r="D2540" s="8">
        <f>QS.CONTEXT.ADD.CURVE(C2540,"SOFR",$K$2:$K$7,$L$2:$L$7,,,"Actual360","LogLinear",TRUE)</f>
        <v/>
      </c>
      <c r="E2540" s="8">
        <f>QS.INSTRUMENT.SWAP("swap.2538",C2540,H2540,B2540,"USD","SOFR",I2540,J2540,0,"Actual360","Simple","Annual","Annual","Annual")</f>
        <v/>
      </c>
      <c r="F2540" s="8">
        <f>QS.TRADE.CREATE("trade.2538",C2540,E2540,A2540,"Receive")</f>
        <v/>
      </c>
      <c r="G2540" s="5"/>
      <c r="H2540" s="7" t="s">
        <v>1466</v>
      </c>
      <c r="I2540" s="9">
        <v>1253800</v>
      </c>
      <c r="J2540" s="10">
        <v>0.0388</v>
      </c>
    </row>
    <row r="2541" spans="1:10">
      <c r="A2541" s="7" t="s">
        <v>1454</v>
      </c>
      <c r="B2541" s="7" t="s">
        <v>4408</v>
      </c>
      <c r="C2541" s="8">
        <f>QS.CONTEXT.CREATE("market.2539",A2541,"USD","SOFR")</f>
        <v/>
      </c>
      <c r="D2541" s="8">
        <f>QS.CONTEXT.ADD.CURVE(C2541,"SOFR",$K$2:$K$7,$L$2:$L$7,,,"Actual360","LogLinear",TRUE)</f>
        <v/>
      </c>
      <c r="E2541" s="8">
        <f>QS.INSTRUMENT.SWAP("swap.2539",C2541,H2541,B2541,"USD","SOFR",I2541,J2541,0,"Actual360","Simple","Annual","Annual","Annual")</f>
        <v/>
      </c>
      <c r="F2541" s="8">
        <f>QS.TRADE.CREATE("trade.2539",C2541,E2541,A2541,"Receive")</f>
        <v/>
      </c>
      <c r="G2541" s="5"/>
      <c r="H2541" s="7" t="s">
        <v>1468</v>
      </c>
      <c r="I2541" s="9">
        <v>1253900</v>
      </c>
      <c r="J2541" s="10">
        <v>0.0389</v>
      </c>
    </row>
    <row r="2542" spans="1:10">
      <c r="A2542" s="7" t="s">
        <v>1456</v>
      </c>
      <c r="B2542" s="7" t="s">
        <v>4409</v>
      </c>
      <c r="C2542" s="8">
        <f>QS.CONTEXT.CREATE("market.2540",A2542,"USD","SOFR")</f>
        <v/>
      </c>
      <c r="D2542" s="8">
        <f>QS.CONTEXT.ADD.CURVE(C2542,"SOFR",$K$2:$K$7,$L$2:$L$7,,,"Actual360","LogLinear",TRUE)</f>
        <v/>
      </c>
      <c r="E2542" s="8">
        <f>QS.INSTRUMENT.SWAP("swap.2540",C2542,H2542,B2542,"USD","SOFR",I2542,J2542,0,"Actual360","Simple","Annual","Annual","Annual")</f>
        <v/>
      </c>
      <c r="F2542" s="8">
        <f>QS.TRADE.CREATE("trade.2540",C2542,E2542,A2542,"Receive")</f>
        <v/>
      </c>
      <c r="G2542" s="5"/>
      <c r="H2542" s="7" t="s">
        <v>1470</v>
      </c>
      <c r="I2542" s="9">
        <v>1254000</v>
      </c>
      <c r="J2542" s="10">
        <v>0.03900000000000001</v>
      </c>
    </row>
    <row r="2543" spans="1:10">
      <c r="A2543" s="7" t="s">
        <v>1458</v>
      </c>
      <c r="B2543" s="7" t="s">
        <v>4410</v>
      </c>
      <c r="C2543" s="8">
        <f>QS.CONTEXT.CREATE("market.2541",A2543,"USD","SOFR")</f>
        <v/>
      </c>
      <c r="D2543" s="8">
        <f>QS.CONTEXT.ADD.CURVE(C2543,"SOFR",$K$2:$K$7,$L$2:$L$7,,,"Actual360","LogLinear",TRUE)</f>
        <v/>
      </c>
      <c r="E2543" s="8">
        <f>QS.INSTRUMENT.SWAP("swap.2541",C2543,H2543,B2543,"USD","SOFR",I2543,J2543,0,"Actual360","Simple","Annual","Annual","Annual")</f>
        <v/>
      </c>
      <c r="F2543" s="8">
        <f>QS.TRADE.CREATE("trade.2541",C2543,E2543,A2543,"Receive")</f>
        <v/>
      </c>
      <c r="G2543" s="5"/>
      <c r="H2543" s="7" t="s">
        <v>1472</v>
      </c>
      <c r="I2543" s="9">
        <v>1254100</v>
      </c>
      <c r="J2543" s="10">
        <v>0.0391</v>
      </c>
    </row>
    <row r="2544" spans="1:10">
      <c r="A2544" s="7" t="s">
        <v>1460</v>
      </c>
      <c r="B2544" s="7" t="s">
        <v>4411</v>
      </c>
      <c r="C2544" s="8">
        <f>QS.CONTEXT.CREATE("market.2542",A2544,"USD","SOFR")</f>
        <v/>
      </c>
      <c r="D2544" s="8">
        <f>QS.CONTEXT.ADD.CURVE(C2544,"SOFR",$K$2:$K$7,$L$2:$L$7,,,"Actual360","LogLinear",TRUE)</f>
        <v/>
      </c>
      <c r="E2544" s="8">
        <f>QS.INSTRUMENT.SWAP("swap.2542",C2544,H2544,B2544,"USD","SOFR",I2544,J2544,0,"Actual360","Simple","Annual","Annual","Annual")</f>
        <v/>
      </c>
      <c r="F2544" s="8">
        <f>QS.TRADE.CREATE("trade.2542",C2544,E2544,A2544,"Receive")</f>
        <v/>
      </c>
      <c r="G2544" s="5"/>
      <c r="H2544" s="7" t="s">
        <v>1474</v>
      </c>
      <c r="I2544" s="9">
        <v>1254200</v>
      </c>
      <c r="J2544" s="10">
        <v>0.03920000000000001</v>
      </c>
    </row>
    <row r="2545" spans="1:10">
      <c r="A2545" s="7" t="s">
        <v>1462</v>
      </c>
      <c r="B2545" s="7" t="s">
        <v>4412</v>
      </c>
      <c r="C2545" s="8">
        <f>QS.CONTEXT.CREATE("market.2543",A2545,"USD","SOFR")</f>
        <v/>
      </c>
      <c r="D2545" s="8">
        <f>QS.CONTEXT.ADD.CURVE(C2545,"SOFR",$K$2:$K$7,$L$2:$L$7,,,"Actual360","LogLinear",TRUE)</f>
        <v/>
      </c>
      <c r="E2545" s="8">
        <f>QS.INSTRUMENT.SWAP("swap.2543",C2545,H2545,B2545,"USD","SOFR",I2545,J2545,0,"Actual360","Simple","Annual","Annual","Annual")</f>
        <v/>
      </c>
      <c r="F2545" s="8">
        <f>QS.TRADE.CREATE("trade.2543",C2545,E2545,A2545,"Receive")</f>
        <v/>
      </c>
      <c r="G2545" s="5"/>
      <c r="H2545" s="7" t="s">
        <v>1476</v>
      </c>
      <c r="I2545" s="9">
        <v>1254300</v>
      </c>
      <c r="J2545" s="10">
        <v>0.0393</v>
      </c>
    </row>
    <row r="2546" spans="1:10">
      <c r="A2546" s="7" t="s">
        <v>1464</v>
      </c>
      <c r="B2546" s="7" t="s">
        <v>4413</v>
      </c>
      <c r="C2546" s="8">
        <f>QS.CONTEXT.CREATE("market.2544",A2546,"USD","SOFR")</f>
        <v/>
      </c>
      <c r="D2546" s="8">
        <f>QS.CONTEXT.ADD.CURVE(C2546,"SOFR",$K$2:$K$7,$L$2:$L$7,,,"Actual360","LogLinear",TRUE)</f>
        <v/>
      </c>
      <c r="E2546" s="8">
        <f>QS.INSTRUMENT.SWAP("swap.2544",C2546,H2546,B2546,"USD","SOFR",I2546,J2546,0,"Actual360","Simple","Annual","Annual","Annual")</f>
        <v/>
      </c>
      <c r="F2546" s="8">
        <f>QS.TRADE.CREATE("trade.2544",C2546,E2546,A2546,"Receive")</f>
        <v/>
      </c>
      <c r="G2546" s="5"/>
      <c r="H2546" s="7" t="s">
        <v>1478</v>
      </c>
      <c r="I2546" s="9">
        <v>1254400</v>
      </c>
      <c r="J2546" s="10">
        <v>0.0394</v>
      </c>
    </row>
    <row r="2547" spans="1:10">
      <c r="A2547" s="7" t="s">
        <v>1466</v>
      </c>
      <c r="B2547" s="7" t="s">
        <v>4414</v>
      </c>
      <c r="C2547" s="8">
        <f>QS.CONTEXT.CREATE("market.2545",A2547,"USD","SOFR")</f>
        <v/>
      </c>
      <c r="D2547" s="8">
        <f>QS.CONTEXT.ADD.CURVE(C2547,"SOFR",$K$2:$K$7,$L$2:$L$7,,,"Actual360","LogLinear",TRUE)</f>
        <v/>
      </c>
      <c r="E2547" s="8">
        <f>QS.INSTRUMENT.SWAP("swap.2545",C2547,H2547,B2547,"USD","SOFR",I2547,J2547,0,"Actual360","Simple","Annual","Annual","Annual")</f>
        <v/>
      </c>
      <c r="F2547" s="8">
        <f>QS.TRADE.CREATE("trade.2545",C2547,E2547,A2547,"Receive")</f>
        <v/>
      </c>
      <c r="G2547" s="5"/>
      <c r="H2547" s="7" t="s">
        <v>1480</v>
      </c>
      <c r="I2547" s="9">
        <v>1254500</v>
      </c>
      <c r="J2547" s="10">
        <v>0.03950000000000001</v>
      </c>
    </row>
    <row r="2548" spans="1:10">
      <c r="A2548" s="7" t="s">
        <v>1468</v>
      </c>
      <c r="B2548" s="7" t="s">
        <v>4415</v>
      </c>
      <c r="C2548" s="8">
        <f>QS.CONTEXT.CREATE("market.2546",A2548,"USD","SOFR")</f>
        <v/>
      </c>
      <c r="D2548" s="8">
        <f>QS.CONTEXT.ADD.CURVE(C2548,"SOFR",$K$2:$K$7,$L$2:$L$7,,,"Actual360","LogLinear",TRUE)</f>
        <v/>
      </c>
      <c r="E2548" s="8">
        <f>QS.INSTRUMENT.SWAP("swap.2546",C2548,H2548,B2548,"USD","SOFR",I2548,J2548,0,"Actual360","Simple","Annual","Annual","Annual")</f>
        <v/>
      </c>
      <c r="F2548" s="8">
        <f>QS.TRADE.CREATE("trade.2546",C2548,E2548,A2548,"Receive")</f>
        <v/>
      </c>
      <c r="G2548" s="5"/>
      <c r="H2548" s="7" t="s">
        <v>1482</v>
      </c>
      <c r="I2548" s="9">
        <v>1254600</v>
      </c>
      <c r="J2548" s="10">
        <v>0.0396</v>
      </c>
    </row>
    <row r="2549" spans="1:10">
      <c r="A2549" s="7" t="s">
        <v>1470</v>
      </c>
      <c r="B2549" s="7" t="s">
        <v>4416</v>
      </c>
      <c r="C2549" s="8">
        <f>QS.CONTEXT.CREATE("market.2547",A2549,"USD","SOFR")</f>
        <v/>
      </c>
      <c r="D2549" s="8">
        <f>QS.CONTEXT.ADD.CURVE(C2549,"SOFR",$K$2:$K$7,$L$2:$L$7,,,"Actual360","LogLinear",TRUE)</f>
        <v/>
      </c>
      <c r="E2549" s="8">
        <f>QS.INSTRUMENT.SWAP("swap.2547",C2549,H2549,B2549,"USD","SOFR",I2549,J2549,0,"Actual360","Simple","Annual","Annual","Annual")</f>
        <v/>
      </c>
      <c r="F2549" s="8">
        <f>QS.TRADE.CREATE("trade.2547",C2549,E2549,A2549,"Receive")</f>
        <v/>
      </c>
      <c r="G2549" s="5"/>
      <c r="H2549" s="7" t="s">
        <v>1484</v>
      </c>
      <c r="I2549" s="9">
        <v>1254700</v>
      </c>
      <c r="J2549" s="10">
        <v>0.03970000000000001</v>
      </c>
    </row>
    <row r="2550" spans="1:10">
      <c r="A2550" s="7" t="s">
        <v>1472</v>
      </c>
      <c r="B2550" s="7" t="s">
        <v>4417</v>
      </c>
      <c r="C2550" s="8">
        <f>QS.CONTEXT.CREATE("market.2548",A2550,"USD","SOFR")</f>
        <v/>
      </c>
      <c r="D2550" s="8">
        <f>QS.CONTEXT.ADD.CURVE(C2550,"SOFR",$K$2:$K$7,$L$2:$L$7,,,"Actual360","LogLinear",TRUE)</f>
        <v/>
      </c>
      <c r="E2550" s="8">
        <f>QS.INSTRUMENT.SWAP("swap.2548",C2550,H2550,B2550,"USD","SOFR",I2550,J2550,0,"Actual360","Simple","Annual","Annual","Annual")</f>
        <v/>
      </c>
      <c r="F2550" s="8">
        <f>QS.TRADE.CREATE("trade.2548",C2550,E2550,A2550,"Receive")</f>
        <v/>
      </c>
      <c r="G2550" s="5"/>
      <c r="H2550" s="7" t="s">
        <v>1486</v>
      </c>
      <c r="I2550" s="9">
        <v>1254800</v>
      </c>
      <c r="J2550" s="10">
        <v>0.0398</v>
      </c>
    </row>
    <row r="2551" spans="1:10">
      <c r="A2551" s="7" t="s">
        <v>1474</v>
      </c>
      <c r="B2551" s="7" t="s">
        <v>4418</v>
      </c>
      <c r="C2551" s="8">
        <f>QS.CONTEXT.CREATE("market.2549",A2551,"USD","SOFR")</f>
        <v/>
      </c>
      <c r="D2551" s="8">
        <f>QS.CONTEXT.ADD.CURVE(C2551,"SOFR",$K$2:$K$7,$L$2:$L$7,,,"Actual360","LogLinear",TRUE)</f>
        <v/>
      </c>
      <c r="E2551" s="8">
        <f>QS.INSTRUMENT.SWAP("swap.2549",C2551,H2551,B2551,"USD","SOFR",I2551,J2551,0,"Actual360","Simple","Annual","Annual","Annual")</f>
        <v/>
      </c>
      <c r="F2551" s="8">
        <f>QS.TRADE.CREATE("trade.2549",C2551,E2551,A2551,"Receive")</f>
        <v/>
      </c>
      <c r="G2551" s="5"/>
      <c r="H2551" s="7" t="s">
        <v>1488</v>
      </c>
      <c r="I2551" s="9">
        <v>1254900</v>
      </c>
      <c r="J2551" s="10">
        <v>0.0399</v>
      </c>
    </row>
    <row r="2552" spans="1:10">
      <c r="A2552" s="7" t="s">
        <v>1476</v>
      </c>
      <c r="B2552" s="7" t="s">
        <v>4419</v>
      </c>
      <c r="C2552" s="8">
        <f>QS.CONTEXT.CREATE("market.2550",A2552,"USD","SOFR")</f>
        <v/>
      </c>
      <c r="D2552" s="8">
        <f>QS.CONTEXT.ADD.CURVE(C2552,"SOFR",$K$2:$K$7,$L$2:$L$7,,,"Actual360","LogLinear",TRUE)</f>
        <v/>
      </c>
      <c r="E2552" s="8">
        <f>QS.INSTRUMENT.SWAP("swap.2550",C2552,H2552,B2552,"USD","SOFR",I2552,J2552,0,"Actual360","Simple","Annual","Annual","Annual")</f>
        <v/>
      </c>
      <c r="F2552" s="8">
        <f>QS.TRADE.CREATE("trade.2550",C2552,E2552,A2552,"Receive")</f>
        <v/>
      </c>
      <c r="G2552" s="5"/>
      <c r="H2552" s="7" t="s">
        <v>1490</v>
      </c>
      <c r="I2552" s="9">
        <v>1255000</v>
      </c>
      <c r="J2552" s="10">
        <v>0.035</v>
      </c>
    </row>
    <row r="2553" spans="1:10">
      <c r="A2553" s="7" t="s">
        <v>1478</v>
      </c>
      <c r="B2553" s="7" t="s">
        <v>4420</v>
      </c>
      <c r="C2553" s="8">
        <f>QS.CONTEXT.CREATE("market.2551",A2553,"USD","SOFR")</f>
        <v/>
      </c>
      <c r="D2553" s="8">
        <f>QS.CONTEXT.ADD.CURVE(C2553,"SOFR",$K$2:$K$7,$L$2:$L$7,,,"Actual360","LogLinear",TRUE)</f>
        <v/>
      </c>
      <c r="E2553" s="8">
        <f>QS.INSTRUMENT.SWAP("swap.2551",C2553,H2553,B2553,"USD","SOFR",I2553,J2553,0,"Actual360","Simple","Annual","Annual","Annual")</f>
        <v/>
      </c>
      <c r="F2553" s="8">
        <f>QS.TRADE.CREATE("trade.2551",C2553,E2553,A2553,"Receive")</f>
        <v/>
      </c>
      <c r="G2553" s="5"/>
      <c r="H2553" s="7" t="s">
        <v>1492</v>
      </c>
      <c r="I2553" s="9">
        <v>1255100</v>
      </c>
      <c r="J2553" s="10">
        <v>0.03510000000000001</v>
      </c>
    </row>
    <row r="2554" spans="1:10">
      <c r="A2554" s="7" t="s">
        <v>1480</v>
      </c>
      <c r="B2554" s="7" t="s">
        <v>4421</v>
      </c>
      <c r="C2554" s="8">
        <f>QS.CONTEXT.CREATE("market.2552",A2554,"USD","SOFR")</f>
        <v/>
      </c>
      <c r="D2554" s="8">
        <f>QS.CONTEXT.ADD.CURVE(C2554,"SOFR",$K$2:$K$7,$L$2:$L$7,,,"Actual360","LogLinear",TRUE)</f>
        <v/>
      </c>
      <c r="E2554" s="8">
        <f>QS.INSTRUMENT.SWAP("swap.2552",C2554,H2554,B2554,"USD","SOFR",I2554,J2554,0,"Actual360","Simple","Annual","Annual","Annual")</f>
        <v/>
      </c>
      <c r="F2554" s="8">
        <f>QS.TRADE.CREATE("trade.2552",C2554,E2554,A2554,"Receive")</f>
        <v/>
      </c>
      <c r="G2554" s="5"/>
      <c r="H2554" s="7" t="s">
        <v>1494</v>
      </c>
      <c r="I2554" s="9">
        <v>1255200</v>
      </c>
      <c r="J2554" s="10">
        <v>0.0352</v>
      </c>
    </row>
    <row r="2555" spans="1:10">
      <c r="A2555" s="7" t="s">
        <v>1482</v>
      </c>
      <c r="B2555" s="7" t="s">
        <v>4422</v>
      </c>
      <c r="C2555" s="8">
        <f>QS.CONTEXT.CREATE("market.2553",A2555,"USD","SOFR")</f>
        <v/>
      </c>
      <c r="D2555" s="8">
        <f>QS.CONTEXT.ADD.CURVE(C2555,"SOFR",$K$2:$K$7,$L$2:$L$7,,,"Actual360","LogLinear",TRUE)</f>
        <v/>
      </c>
      <c r="E2555" s="8">
        <f>QS.INSTRUMENT.SWAP("swap.2553",C2555,H2555,B2555,"USD","SOFR",I2555,J2555,0,"Actual360","Simple","Annual","Annual","Annual")</f>
        <v/>
      </c>
      <c r="F2555" s="8">
        <f>QS.TRADE.CREATE("trade.2553",C2555,E2555,A2555,"Receive")</f>
        <v/>
      </c>
      <c r="G2555" s="5"/>
      <c r="H2555" s="7" t="s">
        <v>1496</v>
      </c>
      <c r="I2555" s="9">
        <v>1255300</v>
      </c>
      <c r="J2555" s="10">
        <v>0.0353</v>
      </c>
    </row>
    <row r="2556" spans="1:10">
      <c r="A2556" s="7" t="s">
        <v>1484</v>
      </c>
      <c r="B2556" s="7" t="s">
        <v>4423</v>
      </c>
      <c r="C2556" s="8">
        <f>QS.CONTEXT.CREATE("market.2554",A2556,"USD","SOFR")</f>
        <v/>
      </c>
      <c r="D2556" s="8">
        <f>QS.CONTEXT.ADD.CURVE(C2556,"SOFR",$K$2:$K$7,$L$2:$L$7,,,"Actual360","LogLinear",TRUE)</f>
        <v/>
      </c>
      <c r="E2556" s="8">
        <f>QS.INSTRUMENT.SWAP("swap.2554",C2556,H2556,B2556,"USD","SOFR",I2556,J2556,0,"Actual360","Simple","Annual","Annual","Annual")</f>
        <v/>
      </c>
      <c r="F2556" s="8">
        <f>QS.TRADE.CREATE("trade.2554",C2556,E2556,A2556,"Receive")</f>
        <v/>
      </c>
      <c r="G2556" s="5"/>
      <c r="H2556" s="7" t="s">
        <v>1498</v>
      </c>
      <c r="I2556" s="9">
        <v>1255400</v>
      </c>
      <c r="J2556" s="10">
        <v>0.0354</v>
      </c>
    </row>
    <row r="2557" spans="1:10">
      <c r="A2557" s="7" t="s">
        <v>1486</v>
      </c>
      <c r="B2557" s="7" t="s">
        <v>4424</v>
      </c>
      <c r="C2557" s="8">
        <f>QS.CONTEXT.CREATE("market.2555",A2557,"USD","SOFR")</f>
        <v/>
      </c>
      <c r="D2557" s="8">
        <f>QS.CONTEXT.ADD.CURVE(C2557,"SOFR",$K$2:$K$7,$L$2:$L$7,,,"Actual360","LogLinear",TRUE)</f>
        <v/>
      </c>
      <c r="E2557" s="8">
        <f>QS.INSTRUMENT.SWAP("swap.2555",C2557,H2557,B2557,"USD","SOFR",I2557,J2557,0,"Actual360","Simple","Annual","Annual","Annual")</f>
        <v/>
      </c>
      <c r="F2557" s="8">
        <f>QS.TRADE.CREATE("trade.2555",C2557,E2557,A2557,"Receive")</f>
        <v/>
      </c>
      <c r="G2557" s="5"/>
      <c r="H2557" s="7" t="s">
        <v>1500</v>
      </c>
      <c r="I2557" s="9">
        <v>1255500</v>
      </c>
      <c r="J2557" s="10">
        <v>0.0355</v>
      </c>
    </row>
    <row r="2558" spans="1:10">
      <c r="A2558" s="7" t="s">
        <v>1488</v>
      </c>
      <c r="B2558" s="7" t="s">
        <v>4425</v>
      </c>
      <c r="C2558" s="8">
        <f>QS.CONTEXT.CREATE("market.2556",A2558,"USD","SOFR")</f>
        <v/>
      </c>
      <c r="D2558" s="8">
        <f>QS.CONTEXT.ADD.CURVE(C2558,"SOFR",$K$2:$K$7,$L$2:$L$7,,,"Actual360","LogLinear",TRUE)</f>
        <v/>
      </c>
      <c r="E2558" s="8">
        <f>QS.INSTRUMENT.SWAP("swap.2556",C2558,H2558,B2558,"USD","SOFR",I2558,J2558,0,"Actual360","Simple","Annual","Annual","Annual")</f>
        <v/>
      </c>
      <c r="F2558" s="8">
        <f>QS.TRADE.CREATE("trade.2556",C2558,E2558,A2558,"Receive")</f>
        <v/>
      </c>
      <c r="G2558" s="5"/>
      <c r="H2558" s="7" t="s">
        <v>1502</v>
      </c>
      <c r="I2558" s="9">
        <v>1255600</v>
      </c>
      <c r="J2558" s="10">
        <v>0.03560000000000001</v>
      </c>
    </row>
    <row r="2559" spans="1:10">
      <c r="A2559" s="7" t="s">
        <v>1490</v>
      </c>
      <c r="B2559" s="7" t="s">
        <v>4426</v>
      </c>
      <c r="C2559" s="8">
        <f>QS.CONTEXT.CREATE("market.2557",A2559,"USD","SOFR")</f>
        <v/>
      </c>
      <c r="D2559" s="8">
        <f>QS.CONTEXT.ADD.CURVE(C2559,"SOFR",$K$2:$K$7,$L$2:$L$7,,,"Actual360","LogLinear",TRUE)</f>
        <v/>
      </c>
      <c r="E2559" s="8">
        <f>QS.INSTRUMENT.SWAP("swap.2557",C2559,H2559,B2559,"USD","SOFR",I2559,J2559,0,"Actual360","Simple","Annual","Annual","Annual")</f>
        <v/>
      </c>
      <c r="F2559" s="8">
        <f>QS.TRADE.CREATE("trade.2557",C2559,E2559,A2559,"Receive")</f>
        <v/>
      </c>
      <c r="G2559" s="5"/>
      <c r="H2559" s="7" t="s">
        <v>1504</v>
      </c>
      <c r="I2559" s="9">
        <v>1255700</v>
      </c>
      <c r="J2559" s="10">
        <v>0.0357</v>
      </c>
    </row>
    <row r="2560" spans="1:10">
      <c r="A2560" s="7" t="s">
        <v>1492</v>
      </c>
      <c r="B2560" s="7" t="s">
        <v>4427</v>
      </c>
      <c r="C2560" s="8">
        <f>QS.CONTEXT.CREATE("market.2558",A2560,"USD","SOFR")</f>
        <v/>
      </c>
      <c r="D2560" s="8">
        <f>QS.CONTEXT.ADD.CURVE(C2560,"SOFR",$K$2:$K$7,$L$2:$L$7,,,"Actual360","LogLinear",TRUE)</f>
        <v/>
      </c>
      <c r="E2560" s="8">
        <f>QS.INSTRUMENT.SWAP("swap.2558",C2560,H2560,B2560,"USD","SOFR",I2560,J2560,0,"Actual360","Simple","Annual","Annual","Annual")</f>
        <v/>
      </c>
      <c r="F2560" s="8">
        <f>QS.TRADE.CREATE("trade.2558",C2560,E2560,A2560,"Receive")</f>
        <v/>
      </c>
      <c r="G2560" s="5"/>
      <c r="H2560" s="7" t="s">
        <v>1506</v>
      </c>
      <c r="I2560" s="9">
        <v>1255800</v>
      </c>
      <c r="J2560" s="10">
        <v>0.03580000000000001</v>
      </c>
    </row>
    <row r="2561" spans="1:10">
      <c r="A2561" s="7" t="s">
        <v>1494</v>
      </c>
      <c r="B2561" s="7" t="s">
        <v>4428</v>
      </c>
      <c r="C2561" s="8">
        <f>QS.CONTEXT.CREATE("market.2559",A2561,"USD","SOFR")</f>
        <v/>
      </c>
      <c r="D2561" s="8">
        <f>QS.CONTEXT.ADD.CURVE(C2561,"SOFR",$K$2:$K$7,$L$2:$L$7,,,"Actual360","LogLinear",TRUE)</f>
        <v/>
      </c>
      <c r="E2561" s="8">
        <f>QS.INSTRUMENT.SWAP("swap.2559",C2561,H2561,B2561,"USD","SOFR",I2561,J2561,0,"Actual360","Simple","Annual","Annual","Annual")</f>
        <v/>
      </c>
      <c r="F2561" s="8">
        <f>QS.TRADE.CREATE("trade.2559",C2561,E2561,A2561,"Receive")</f>
        <v/>
      </c>
      <c r="G2561" s="5"/>
      <c r="H2561" s="7" t="s">
        <v>1508</v>
      </c>
      <c r="I2561" s="9">
        <v>1255900</v>
      </c>
      <c r="J2561" s="10">
        <v>0.0359</v>
      </c>
    </row>
    <row r="2562" spans="1:10">
      <c r="A2562" s="7" t="s">
        <v>1496</v>
      </c>
      <c r="B2562" s="7" t="s">
        <v>4429</v>
      </c>
      <c r="C2562" s="8">
        <f>QS.CONTEXT.CREATE("market.2560",A2562,"USD","SOFR")</f>
        <v/>
      </c>
      <c r="D2562" s="8">
        <f>QS.CONTEXT.ADD.CURVE(C2562,"SOFR",$K$2:$K$7,$L$2:$L$7,,,"Actual360","LogLinear",TRUE)</f>
        <v/>
      </c>
      <c r="E2562" s="8">
        <f>QS.INSTRUMENT.SWAP("swap.2560",C2562,H2562,B2562,"USD","SOFR",I2562,J2562,0,"Actual360","Simple","Annual","Annual","Annual")</f>
        <v/>
      </c>
      <c r="F2562" s="8">
        <f>QS.TRADE.CREATE("trade.2560",C2562,E2562,A2562,"Receive")</f>
        <v/>
      </c>
      <c r="G2562" s="5"/>
      <c r="H2562" s="7" t="s">
        <v>1510</v>
      </c>
      <c r="I2562" s="9">
        <v>1256000</v>
      </c>
      <c r="J2562" s="10">
        <v>0.036</v>
      </c>
    </row>
    <row r="2563" spans="1:10">
      <c r="A2563" s="7" t="s">
        <v>1498</v>
      </c>
      <c r="B2563" s="7" t="s">
        <v>4430</v>
      </c>
      <c r="C2563" s="8">
        <f>QS.CONTEXT.CREATE("market.2561",A2563,"USD","SOFR")</f>
        <v/>
      </c>
      <c r="D2563" s="8">
        <f>QS.CONTEXT.ADD.CURVE(C2563,"SOFR",$K$2:$K$7,$L$2:$L$7,,,"Actual360","LogLinear",TRUE)</f>
        <v/>
      </c>
      <c r="E2563" s="8">
        <f>QS.INSTRUMENT.SWAP("swap.2561",C2563,H2563,B2563,"USD","SOFR",I2563,J2563,0,"Actual360","Simple","Annual","Annual","Annual")</f>
        <v/>
      </c>
      <c r="F2563" s="8">
        <f>QS.TRADE.CREATE("trade.2561",C2563,E2563,A2563,"Receive")</f>
        <v/>
      </c>
      <c r="G2563" s="5"/>
      <c r="H2563" s="7" t="s">
        <v>1512</v>
      </c>
      <c r="I2563" s="9">
        <v>1256100</v>
      </c>
      <c r="J2563" s="10">
        <v>0.0361</v>
      </c>
    </row>
    <row r="2564" spans="1:10">
      <c r="A2564" s="7" t="s">
        <v>1500</v>
      </c>
      <c r="B2564" s="7" t="s">
        <v>4431</v>
      </c>
      <c r="C2564" s="8">
        <f>QS.CONTEXT.CREATE("market.2562",A2564,"USD","SOFR")</f>
        <v/>
      </c>
      <c r="D2564" s="8">
        <f>QS.CONTEXT.ADD.CURVE(C2564,"SOFR",$K$2:$K$7,$L$2:$L$7,,,"Actual360","LogLinear",TRUE)</f>
        <v/>
      </c>
      <c r="E2564" s="8">
        <f>QS.INSTRUMENT.SWAP("swap.2562",C2564,H2564,B2564,"USD","SOFR",I2564,J2564,0,"Actual360","Simple","Annual","Annual","Annual")</f>
        <v/>
      </c>
      <c r="F2564" s="8">
        <f>QS.TRADE.CREATE("trade.2562",C2564,E2564,A2564,"Receive")</f>
        <v/>
      </c>
      <c r="G2564" s="5"/>
      <c r="H2564" s="7" t="s">
        <v>1514</v>
      </c>
      <c r="I2564" s="9">
        <v>1256200</v>
      </c>
      <c r="J2564" s="10">
        <v>0.0362</v>
      </c>
    </row>
    <row r="2565" spans="1:10">
      <c r="A2565" s="7" t="s">
        <v>1502</v>
      </c>
      <c r="B2565" s="7" t="s">
        <v>4432</v>
      </c>
      <c r="C2565" s="8">
        <f>QS.CONTEXT.CREATE("market.2563",A2565,"USD","SOFR")</f>
        <v/>
      </c>
      <c r="D2565" s="8">
        <f>QS.CONTEXT.ADD.CURVE(C2565,"SOFR",$K$2:$K$7,$L$2:$L$7,,,"Actual360","LogLinear",TRUE)</f>
        <v/>
      </c>
      <c r="E2565" s="8">
        <f>QS.INSTRUMENT.SWAP("swap.2563",C2565,H2565,B2565,"USD","SOFR",I2565,J2565,0,"Actual360","Simple","Annual","Annual","Annual")</f>
        <v/>
      </c>
      <c r="F2565" s="8">
        <f>QS.TRADE.CREATE("trade.2563",C2565,E2565,A2565,"Receive")</f>
        <v/>
      </c>
      <c r="G2565" s="5"/>
      <c r="H2565" s="7" t="s">
        <v>1516</v>
      </c>
      <c r="I2565" s="9">
        <v>1256300</v>
      </c>
      <c r="J2565" s="10">
        <v>0.03630000000000001</v>
      </c>
    </row>
    <row r="2566" spans="1:10">
      <c r="A2566" s="7" t="s">
        <v>1504</v>
      </c>
      <c r="B2566" s="7" t="s">
        <v>4433</v>
      </c>
      <c r="C2566" s="8">
        <f>QS.CONTEXT.CREATE("market.2564",A2566,"USD","SOFR")</f>
        <v/>
      </c>
      <c r="D2566" s="8">
        <f>QS.CONTEXT.ADD.CURVE(C2566,"SOFR",$K$2:$K$7,$L$2:$L$7,,,"Actual360","LogLinear",TRUE)</f>
        <v/>
      </c>
      <c r="E2566" s="8">
        <f>QS.INSTRUMENT.SWAP("swap.2564",C2566,H2566,B2566,"USD","SOFR",I2566,J2566,0,"Actual360","Simple","Annual","Annual","Annual")</f>
        <v/>
      </c>
      <c r="F2566" s="8">
        <f>QS.TRADE.CREATE("trade.2564",C2566,E2566,A2566,"Receive")</f>
        <v/>
      </c>
      <c r="G2566" s="5"/>
      <c r="H2566" s="7" t="s">
        <v>1518</v>
      </c>
      <c r="I2566" s="9">
        <v>1256400</v>
      </c>
      <c r="J2566" s="10">
        <v>0.0364</v>
      </c>
    </row>
    <row r="2567" spans="1:10">
      <c r="A2567" s="7" t="s">
        <v>1506</v>
      </c>
      <c r="B2567" s="7" t="s">
        <v>4434</v>
      </c>
      <c r="C2567" s="8">
        <f>QS.CONTEXT.CREATE("market.2565",A2567,"USD","SOFR")</f>
        <v/>
      </c>
      <c r="D2567" s="8">
        <f>QS.CONTEXT.ADD.CURVE(C2567,"SOFR",$K$2:$K$7,$L$2:$L$7,,,"Actual360","LogLinear",TRUE)</f>
        <v/>
      </c>
      <c r="E2567" s="8">
        <f>QS.INSTRUMENT.SWAP("swap.2565",C2567,H2567,B2567,"USD","SOFR",I2567,J2567,0,"Actual360","Simple","Annual","Annual","Annual")</f>
        <v/>
      </c>
      <c r="F2567" s="8">
        <f>QS.TRADE.CREATE("trade.2565",C2567,E2567,A2567,"Receive")</f>
        <v/>
      </c>
      <c r="G2567" s="5"/>
      <c r="H2567" s="7" t="s">
        <v>1520</v>
      </c>
      <c r="I2567" s="9">
        <v>1256500</v>
      </c>
      <c r="J2567" s="10">
        <v>0.0365</v>
      </c>
    </row>
    <row r="2568" spans="1:10">
      <c r="A2568" s="7" t="s">
        <v>1508</v>
      </c>
      <c r="B2568" s="7" t="s">
        <v>4435</v>
      </c>
      <c r="C2568" s="8">
        <f>QS.CONTEXT.CREATE("market.2566",A2568,"USD","SOFR")</f>
        <v/>
      </c>
      <c r="D2568" s="8">
        <f>QS.CONTEXT.ADD.CURVE(C2568,"SOFR",$K$2:$K$7,$L$2:$L$7,,,"Actual360","LogLinear",TRUE)</f>
        <v/>
      </c>
      <c r="E2568" s="8">
        <f>QS.INSTRUMENT.SWAP("swap.2566",C2568,H2568,B2568,"USD","SOFR",I2568,J2568,0,"Actual360","Simple","Annual","Annual","Annual")</f>
        <v/>
      </c>
      <c r="F2568" s="8">
        <f>QS.TRADE.CREATE("trade.2566",C2568,E2568,A2568,"Receive")</f>
        <v/>
      </c>
      <c r="G2568" s="5"/>
      <c r="H2568" s="7" t="s">
        <v>1522</v>
      </c>
      <c r="I2568" s="9">
        <v>1256600</v>
      </c>
      <c r="J2568" s="10">
        <v>0.0366</v>
      </c>
    </row>
    <row r="2569" spans="1:10">
      <c r="A2569" s="7" t="s">
        <v>1510</v>
      </c>
      <c r="B2569" s="7" t="s">
        <v>4436</v>
      </c>
      <c r="C2569" s="8">
        <f>QS.CONTEXT.CREATE("market.2567",A2569,"USD","SOFR")</f>
        <v/>
      </c>
      <c r="D2569" s="8">
        <f>QS.CONTEXT.ADD.CURVE(C2569,"SOFR",$K$2:$K$7,$L$2:$L$7,,,"Actual360","LogLinear",TRUE)</f>
        <v/>
      </c>
      <c r="E2569" s="8">
        <f>QS.INSTRUMENT.SWAP("swap.2567",C2569,H2569,B2569,"USD","SOFR",I2569,J2569,0,"Actual360","Simple","Annual","Annual","Annual")</f>
        <v/>
      </c>
      <c r="F2569" s="8">
        <f>QS.TRADE.CREATE("trade.2567",C2569,E2569,A2569,"Receive")</f>
        <v/>
      </c>
      <c r="G2569" s="5"/>
      <c r="H2569" s="7" t="s">
        <v>1524</v>
      </c>
      <c r="I2569" s="9">
        <v>1256700</v>
      </c>
      <c r="J2569" s="10">
        <v>0.0367</v>
      </c>
    </row>
    <row r="2570" spans="1:10">
      <c r="A2570" s="7" t="s">
        <v>1512</v>
      </c>
      <c r="B2570" s="7" t="s">
        <v>4437</v>
      </c>
      <c r="C2570" s="8">
        <f>QS.CONTEXT.CREATE("market.2568",A2570,"USD","SOFR")</f>
        <v/>
      </c>
      <c r="D2570" s="8">
        <f>QS.CONTEXT.ADD.CURVE(C2570,"SOFR",$K$2:$K$7,$L$2:$L$7,,,"Actual360","LogLinear",TRUE)</f>
        <v/>
      </c>
      <c r="E2570" s="8">
        <f>QS.INSTRUMENT.SWAP("swap.2568",C2570,H2570,B2570,"USD","SOFR",I2570,J2570,0,"Actual360","Simple","Annual","Annual","Annual")</f>
        <v/>
      </c>
      <c r="F2570" s="8">
        <f>QS.TRADE.CREATE("trade.2568",C2570,E2570,A2570,"Receive")</f>
        <v/>
      </c>
      <c r="G2570" s="5"/>
      <c r="H2570" s="7" t="s">
        <v>1526</v>
      </c>
      <c r="I2570" s="9">
        <v>1256800</v>
      </c>
      <c r="J2570" s="10">
        <v>0.03680000000000001</v>
      </c>
    </row>
    <row r="2571" spans="1:10">
      <c r="A2571" s="7" t="s">
        <v>1514</v>
      </c>
      <c r="B2571" s="7" t="s">
        <v>4438</v>
      </c>
      <c r="C2571" s="8">
        <f>QS.CONTEXT.CREATE("market.2569",A2571,"USD","SOFR")</f>
        <v/>
      </c>
      <c r="D2571" s="8">
        <f>QS.CONTEXT.ADD.CURVE(C2571,"SOFR",$K$2:$K$7,$L$2:$L$7,,,"Actual360","LogLinear",TRUE)</f>
        <v/>
      </c>
      <c r="E2571" s="8">
        <f>QS.INSTRUMENT.SWAP("swap.2569",C2571,H2571,B2571,"USD","SOFR",I2571,J2571,0,"Actual360","Simple","Annual","Annual","Annual")</f>
        <v/>
      </c>
      <c r="F2571" s="8">
        <f>QS.TRADE.CREATE("trade.2569",C2571,E2571,A2571,"Receive")</f>
        <v/>
      </c>
      <c r="G2571" s="5"/>
      <c r="H2571" s="7" t="s">
        <v>1528</v>
      </c>
      <c r="I2571" s="9">
        <v>1256900</v>
      </c>
      <c r="J2571" s="10">
        <v>0.0369</v>
      </c>
    </row>
    <row r="2572" spans="1:10">
      <c r="A2572" s="7" t="s">
        <v>1516</v>
      </c>
      <c r="B2572" s="7" t="s">
        <v>4439</v>
      </c>
      <c r="C2572" s="8">
        <f>QS.CONTEXT.CREATE("market.2570",A2572,"USD","SOFR")</f>
        <v/>
      </c>
      <c r="D2572" s="8">
        <f>QS.CONTEXT.ADD.CURVE(C2572,"SOFR",$K$2:$K$7,$L$2:$L$7,,,"Actual360","LogLinear",TRUE)</f>
        <v/>
      </c>
      <c r="E2572" s="8">
        <f>QS.INSTRUMENT.SWAP("swap.2570",C2572,H2572,B2572,"USD","SOFR",I2572,J2572,0,"Actual360","Simple","Annual","Annual","Annual")</f>
        <v/>
      </c>
      <c r="F2572" s="8">
        <f>QS.TRADE.CREATE("trade.2570",C2572,E2572,A2572,"Receive")</f>
        <v/>
      </c>
      <c r="G2572" s="5"/>
      <c r="H2572" s="7" t="s">
        <v>1530</v>
      </c>
      <c r="I2572" s="9">
        <v>1257000</v>
      </c>
      <c r="J2572" s="10">
        <v>0.03700000000000001</v>
      </c>
    </row>
    <row r="2573" spans="1:10">
      <c r="A2573" s="7" t="s">
        <v>1518</v>
      </c>
      <c r="B2573" s="7" t="s">
        <v>4440</v>
      </c>
      <c r="C2573" s="8">
        <f>QS.CONTEXT.CREATE("market.2571",A2573,"USD","SOFR")</f>
        <v/>
      </c>
      <c r="D2573" s="8">
        <f>QS.CONTEXT.ADD.CURVE(C2573,"SOFR",$K$2:$K$7,$L$2:$L$7,,,"Actual360","LogLinear",TRUE)</f>
        <v/>
      </c>
      <c r="E2573" s="8">
        <f>QS.INSTRUMENT.SWAP("swap.2571",C2573,H2573,B2573,"USD","SOFR",I2573,J2573,0,"Actual360","Simple","Annual","Annual","Annual")</f>
        <v/>
      </c>
      <c r="F2573" s="8">
        <f>QS.TRADE.CREATE("trade.2571",C2573,E2573,A2573,"Receive")</f>
        <v/>
      </c>
      <c r="G2573" s="5"/>
      <c r="H2573" s="7" t="s">
        <v>1532</v>
      </c>
      <c r="I2573" s="9">
        <v>1257100</v>
      </c>
      <c r="J2573" s="10">
        <v>0.0371</v>
      </c>
    </row>
    <row r="2574" spans="1:10">
      <c r="A2574" s="7" t="s">
        <v>1520</v>
      </c>
      <c r="B2574" s="7" t="s">
        <v>4441</v>
      </c>
      <c r="C2574" s="8">
        <f>QS.CONTEXT.CREATE("market.2572",A2574,"USD","SOFR")</f>
        <v/>
      </c>
      <c r="D2574" s="8">
        <f>QS.CONTEXT.ADD.CURVE(C2574,"SOFR",$K$2:$K$7,$L$2:$L$7,,,"Actual360","LogLinear",TRUE)</f>
        <v/>
      </c>
      <c r="E2574" s="8">
        <f>QS.INSTRUMENT.SWAP("swap.2572",C2574,H2574,B2574,"USD","SOFR",I2574,J2574,0,"Actual360","Simple","Annual","Annual","Annual")</f>
        <v/>
      </c>
      <c r="F2574" s="8">
        <f>QS.TRADE.CREATE("trade.2572",C2574,E2574,A2574,"Receive")</f>
        <v/>
      </c>
      <c r="G2574" s="5"/>
      <c r="H2574" s="7" t="s">
        <v>1534</v>
      </c>
      <c r="I2574" s="9">
        <v>1257200</v>
      </c>
      <c r="J2574" s="10">
        <v>0.0372</v>
      </c>
    </row>
    <row r="2575" spans="1:10">
      <c r="A2575" s="7" t="s">
        <v>1522</v>
      </c>
      <c r="B2575" s="7" t="s">
        <v>4442</v>
      </c>
      <c r="C2575" s="8">
        <f>QS.CONTEXT.CREATE("market.2573",A2575,"USD","SOFR")</f>
        <v/>
      </c>
      <c r="D2575" s="8">
        <f>QS.CONTEXT.ADD.CURVE(C2575,"SOFR",$K$2:$K$7,$L$2:$L$7,,,"Actual360","LogLinear",TRUE)</f>
        <v/>
      </c>
      <c r="E2575" s="8">
        <f>QS.INSTRUMENT.SWAP("swap.2573",C2575,H2575,B2575,"USD","SOFR",I2575,J2575,0,"Actual360","Simple","Annual","Annual","Annual")</f>
        <v/>
      </c>
      <c r="F2575" s="8">
        <f>QS.TRADE.CREATE("trade.2573",C2575,E2575,A2575,"Receive")</f>
        <v/>
      </c>
      <c r="G2575" s="5"/>
      <c r="H2575" s="7" t="s">
        <v>1536</v>
      </c>
      <c r="I2575" s="9">
        <v>1257300</v>
      </c>
      <c r="J2575" s="10">
        <v>0.0373</v>
      </c>
    </row>
    <row r="2576" spans="1:10">
      <c r="A2576" s="7" t="s">
        <v>1524</v>
      </c>
      <c r="B2576" s="7" t="s">
        <v>4443</v>
      </c>
      <c r="C2576" s="8">
        <f>QS.CONTEXT.CREATE("market.2574",A2576,"USD","SOFR")</f>
        <v/>
      </c>
      <c r="D2576" s="8">
        <f>QS.CONTEXT.ADD.CURVE(C2576,"SOFR",$K$2:$K$7,$L$2:$L$7,,,"Actual360","LogLinear",TRUE)</f>
        <v/>
      </c>
      <c r="E2576" s="8">
        <f>QS.INSTRUMENT.SWAP("swap.2574",C2576,H2576,B2576,"USD","SOFR",I2576,J2576,0,"Actual360","Simple","Annual","Annual","Annual")</f>
        <v/>
      </c>
      <c r="F2576" s="8">
        <f>QS.TRADE.CREATE("trade.2574",C2576,E2576,A2576,"Receive")</f>
        <v/>
      </c>
      <c r="G2576" s="5"/>
      <c r="H2576" s="7" t="s">
        <v>1538</v>
      </c>
      <c r="I2576" s="9">
        <v>1257400</v>
      </c>
      <c r="J2576" s="10">
        <v>0.0374</v>
      </c>
    </row>
    <row r="2577" spans="1:10">
      <c r="A2577" s="7" t="s">
        <v>1526</v>
      </c>
      <c r="B2577" s="7" t="s">
        <v>4444</v>
      </c>
      <c r="C2577" s="8">
        <f>QS.CONTEXT.CREATE("market.2575",A2577,"USD","SOFR")</f>
        <v/>
      </c>
      <c r="D2577" s="8">
        <f>QS.CONTEXT.ADD.CURVE(C2577,"SOFR",$K$2:$K$7,$L$2:$L$7,,,"Actual360","LogLinear",TRUE)</f>
        <v/>
      </c>
      <c r="E2577" s="8">
        <f>QS.INSTRUMENT.SWAP("swap.2575",C2577,H2577,B2577,"USD","SOFR",I2577,J2577,0,"Actual360","Simple","Annual","Annual","Annual")</f>
        <v/>
      </c>
      <c r="F2577" s="8">
        <f>QS.TRADE.CREATE("trade.2575",C2577,E2577,A2577,"Receive")</f>
        <v/>
      </c>
      <c r="G2577" s="5"/>
      <c r="H2577" s="7" t="s">
        <v>1540</v>
      </c>
      <c r="I2577" s="9">
        <v>1257500</v>
      </c>
      <c r="J2577" s="10">
        <v>0.03750000000000001</v>
      </c>
    </row>
    <row r="2578" spans="1:10">
      <c r="A2578" s="7" t="s">
        <v>1528</v>
      </c>
      <c r="B2578" s="7" t="s">
        <v>4445</v>
      </c>
      <c r="C2578" s="8">
        <f>QS.CONTEXT.CREATE("market.2576",A2578,"USD","SOFR")</f>
        <v/>
      </c>
      <c r="D2578" s="8">
        <f>QS.CONTEXT.ADD.CURVE(C2578,"SOFR",$K$2:$K$7,$L$2:$L$7,,,"Actual360","LogLinear",TRUE)</f>
        <v/>
      </c>
      <c r="E2578" s="8">
        <f>QS.INSTRUMENT.SWAP("swap.2576",C2578,H2578,B2578,"USD","SOFR",I2578,J2578,0,"Actual360","Simple","Annual","Annual","Annual")</f>
        <v/>
      </c>
      <c r="F2578" s="8">
        <f>QS.TRADE.CREATE("trade.2576",C2578,E2578,A2578,"Receive")</f>
        <v/>
      </c>
      <c r="G2578" s="5"/>
      <c r="H2578" s="7" t="s">
        <v>1542</v>
      </c>
      <c r="I2578" s="9">
        <v>1257600</v>
      </c>
      <c r="J2578" s="10">
        <v>0.0376</v>
      </c>
    </row>
    <row r="2579" spans="1:10">
      <c r="A2579" s="7" t="s">
        <v>1530</v>
      </c>
      <c r="B2579" s="7" t="s">
        <v>4446</v>
      </c>
      <c r="C2579" s="8">
        <f>QS.CONTEXT.CREATE("market.2577",A2579,"USD","SOFR")</f>
        <v/>
      </c>
      <c r="D2579" s="8">
        <f>QS.CONTEXT.ADD.CURVE(C2579,"SOFR",$K$2:$K$7,$L$2:$L$7,,,"Actual360","LogLinear",TRUE)</f>
        <v/>
      </c>
      <c r="E2579" s="8">
        <f>QS.INSTRUMENT.SWAP("swap.2577",C2579,H2579,B2579,"USD","SOFR",I2579,J2579,0,"Actual360","Simple","Annual","Annual","Annual")</f>
        <v/>
      </c>
      <c r="F2579" s="8">
        <f>QS.TRADE.CREATE("trade.2577",C2579,E2579,A2579,"Receive")</f>
        <v/>
      </c>
      <c r="G2579" s="5"/>
      <c r="H2579" s="7" t="s">
        <v>1544</v>
      </c>
      <c r="I2579" s="9">
        <v>1257700</v>
      </c>
      <c r="J2579" s="10">
        <v>0.0377</v>
      </c>
    </row>
    <row r="2580" spans="1:10">
      <c r="A2580" s="7" t="s">
        <v>1532</v>
      </c>
      <c r="B2580" s="7" t="s">
        <v>4447</v>
      </c>
      <c r="C2580" s="8">
        <f>QS.CONTEXT.CREATE("market.2578",A2580,"USD","SOFR")</f>
        <v/>
      </c>
      <c r="D2580" s="8">
        <f>QS.CONTEXT.ADD.CURVE(C2580,"SOFR",$K$2:$K$7,$L$2:$L$7,,,"Actual360","LogLinear",TRUE)</f>
        <v/>
      </c>
      <c r="E2580" s="8">
        <f>QS.INSTRUMENT.SWAP("swap.2578",C2580,H2580,B2580,"USD","SOFR",I2580,J2580,0,"Actual360","Simple","Annual","Annual","Annual")</f>
        <v/>
      </c>
      <c r="F2580" s="8">
        <f>QS.TRADE.CREATE("trade.2578",C2580,E2580,A2580,"Receive")</f>
        <v/>
      </c>
      <c r="G2580" s="5"/>
      <c r="H2580" s="7" t="s">
        <v>1546</v>
      </c>
      <c r="I2580" s="9">
        <v>1257800</v>
      </c>
      <c r="J2580" s="10">
        <v>0.0378</v>
      </c>
    </row>
    <row r="2581" spans="1:10">
      <c r="A2581" s="7" t="s">
        <v>1534</v>
      </c>
      <c r="B2581" s="7" t="s">
        <v>4448</v>
      </c>
      <c r="C2581" s="8">
        <f>QS.CONTEXT.CREATE("market.2579",A2581,"USD","SOFR")</f>
        <v/>
      </c>
      <c r="D2581" s="8">
        <f>QS.CONTEXT.ADD.CURVE(C2581,"SOFR",$K$2:$K$7,$L$2:$L$7,,,"Actual360","LogLinear",TRUE)</f>
        <v/>
      </c>
      <c r="E2581" s="8">
        <f>QS.INSTRUMENT.SWAP("swap.2579",C2581,H2581,B2581,"USD","SOFR",I2581,J2581,0,"Actual360","Simple","Annual","Annual","Annual")</f>
        <v/>
      </c>
      <c r="F2581" s="8">
        <f>QS.TRADE.CREATE("trade.2579",C2581,E2581,A2581,"Receive")</f>
        <v/>
      </c>
      <c r="G2581" s="5"/>
      <c r="H2581" s="7" t="s">
        <v>1548</v>
      </c>
      <c r="I2581" s="9">
        <v>1257900</v>
      </c>
      <c r="J2581" s="10">
        <v>0.0379</v>
      </c>
    </row>
    <row r="2582" spans="1:10">
      <c r="A2582" s="7" t="s">
        <v>1536</v>
      </c>
      <c r="B2582" s="7" t="s">
        <v>4449</v>
      </c>
      <c r="C2582" s="8">
        <f>QS.CONTEXT.CREATE("market.2580",A2582,"USD","SOFR")</f>
        <v/>
      </c>
      <c r="D2582" s="8">
        <f>QS.CONTEXT.ADD.CURVE(C2582,"SOFR",$K$2:$K$7,$L$2:$L$7,,,"Actual360","LogLinear",TRUE)</f>
        <v/>
      </c>
      <c r="E2582" s="8">
        <f>QS.INSTRUMENT.SWAP("swap.2580",C2582,H2582,B2582,"USD","SOFR",I2582,J2582,0,"Actual360","Simple","Annual","Annual","Annual")</f>
        <v/>
      </c>
      <c r="F2582" s="8">
        <f>QS.TRADE.CREATE("trade.2580",C2582,E2582,A2582,"Receive")</f>
        <v/>
      </c>
      <c r="G2582" s="5"/>
      <c r="H2582" s="7" t="s">
        <v>1550</v>
      </c>
      <c r="I2582" s="9">
        <v>1258000</v>
      </c>
      <c r="J2582" s="10">
        <v>0.03800000000000001</v>
      </c>
    </row>
    <row r="2583" spans="1:10">
      <c r="A2583" s="7" t="s">
        <v>1538</v>
      </c>
      <c r="B2583" s="7" t="s">
        <v>4450</v>
      </c>
      <c r="C2583" s="8">
        <f>QS.CONTEXT.CREATE("market.2581",A2583,"USD","SOFR")</f>
        <v/>
      </c>
      <c r="D2583" s="8">
        <f>QS.CONTEXT.ADD.CURVE(C2583,"SOFR",$K$2:$K$7,$L$2:$L$7,,,"Actual360","LogLinear",TRUE)</f>
        <v/>
      </c>
      <c r="E2583" s="8">
        <f>QS.INSTRUMENT.SWAP("swap.2581",C2583,H2583,B2583,"USD","SOFR",I2583,J2583,0,"Actual360","Simple","Annual","Annual","Annual")</f>
        <v/>
      </c>
      <c r="F2583" s="8">
        <f>QS.TRADE.CREATE("trade.2581",C2583,E2583,A2583,"Receive")</f>
        <v/>
      </c>
      <c r="G2583" s="5"/>
      <c r="H2583" s="7" t="s">
        <v>1552</v>
      </c>
      <c r="I2583" s="9">
        <v>1258100</v>
      </c>
      <c r="J2583" s="10">
        <v>0.0381</v>
      </c>
    </row>
    <row r="2584" spans="1:10">
      <c r="A2584" s="7" t="s">
        <v>1540</v>
      </c>
      <c r="B2584" s="7" t="s">
        <v>4451</v>
      </c>
      <c r="C2584" s="8">
        <f>QS.CONTEXT.CREATE("market.2582",A2584,"USD","SOFR")</f>
        <v/>
      </c>
      <c r="D2584" s="8">
        <f>QS.CONTEXT.ADD.CURVE(C2584,"SOFR",$K$2:$K$7,$L$2:$L$7,,,"Actual360","LogLinear",TRUE)</f>
        <v/>
      </c>
      <c r="E2584" s="8">
        <f>QS.INSTRUMENT.SWAP("swap.2582",C2584,H2584,B2584,"USD","SOFR",I2584,J2584,0,"Actual360","Simple","Annual","Annual","Annual")</f>
        <v/>
      </c>
      <c r="F2584" s="8">
        <f>QS.TRADE.CREATE("trade.2582",C2584,E2584,A2584,"Receive")</f>
        <v/>
      </c>
      <c r="G2584" s="5"/>
      <c r="H2584" s="7" t="s">
        <v>1554</v>
      </c>
      <c r="I2584" s="9">
        <v>1258200</v>
      </c>
      <c r="J2584" s="10">
        <v>0.0382</v>
      </c>
    </row>
    <row r="2585" spans="1:10">
      <c r="A2585" s="7" t="s">
        <v>1542</v>
      </c>
      <c r="B2585" s="7" t="s">
        <v>4452</v>
      </c>
      <c r="C2585" s="8">
        <f>QS.CONTEXT.CREATE("market.2583",A2585,"USD","SOFR")</f>
        <v/>
      </c>
      <c r="D2585" s="8">
        <f>QS.CONTEXT.ADD.CURVE(C2585,"SOFR",$K$2:$K$7,$L$2:$L$7,,,"Actual360","LogLinear",TRUE)</f>
        <v/>
      </c>
      <c r="E2585" s="8">
        <f>QS.INSTRUMENT.SWAP("swap.2583",C2585,H2585,B2585,"USD","SOFR",I2585,J2585,0,"Actual360","Simple","Annual","Annual","Annual")</f>
        <v/>
      </c>
      <c r="F2585" s="8">
        <f>QS.TRADE.CREATE("trade.2583",C2585,E2585,A2585,"Receive")</f>
        <v/>
      </c>
      <c r="G2585" s="5"/>
      <c r="H2585" s="7" t="s">
        <v>1556</v>
      </c>
      <c r="I2585" s="9">
        <v>1258300</v>
      </c>
      <c r="J2585" s="10">
        <v>0.0383</v>
      </c>
    </row>
    <row r="2586" spans="1:10">
      <c r="A2586" s="7" t="s">
        <v>1544</v>
      </c>
      <c r="B2586" s="7" t="s">
        <v>4453</v>
      </c>
      <c r="C2586" s="8">
        <f>QS.CONTEXT.CREATE("market.2584",A2586,"USD","SOFR")</f>
        <v/>
      </c>
      <c r="D2586" s="8">
        <f>QS.CONTEXT.ADD.CURVE(C2586,"SOFR",$K$2:$K$7,$L$2:$L$7,,,"Actual360","LogLinear",TRUE)</f>
        <v/>
      </c>
      <c r="E2586" s="8">
        <f>QS.INSTRUMENT.SWAP("swap.2584",C2586,H2586,B2586,"USD","SOFR",I2586,J2586,0,"Actual360","Simple","Annual","Annual","Annual")</f>
        <v/>
      </c>
      <c r="F2586" s="8">
        <f>QS.TRADE.CREATE("trade.2584",C2586,E2586,A2586,"Receive")</f>
        <v/>
      </c>
      <c r="G2586" s="5"/>
      <c r="H2586" s="7" t="s">
        <v>1558</v>
      </c>
      <c r="I2586" s="9">
        <v>1258400</v>
      </c>
      <c r="J2586" s="10">
        <v>0.0384</v>
      </c>
    </row>
    <row r="2587" spans="1:10">
      <c r="A2587" s="7" t="s">
        <v>1546</v>
      </c>
      <c r="B2587" s="7" t="s">
        <v>4454</v>
      </c>
      <c r="C2587" s="8">
        <f>QS.CONTEXT.CREATE("market.2585",A2587,"USD","SOFR")</f>
        <v/>
      </c>
      <c r="D2587" s="8">
        <f>QS.CONTEXT.ADD.CURVE(C2587,"SOFR",$K$2:$K$7,$L$2:$L$7,,,"Actual360","LogLinear",TRUE)</f>
        <v/>
      </c>
      <c r="E2587" s="8">
        <f>QS.INSTRUMENT.SWAP("swap.2585",C2587,H2587,B2587,"USD","SOFR",I2587,J2587,0,"Actual360","Simple","Annual","Annual","Annual")</f>
        <v/>
      </c>
      <c r="F2587" s="8">
        <f>QS.TRADE.CREATE("trade.2585",C2587,E2587,A2587,"Receive")</f>
        <v/>
      </c>
      <c r="G2587" s="5"/>
      <c r="H2587" s="7" t="s">
        <v>1560</v>
      </c>
      <c r="I2587" s="9">
        <v>1258500</v>
      </c>
      <c r="J2587" s="10">
        <v>0.03850000000000001</v>
      </c>
    </row>
    <row r="2588" spans="1:10">
      <c r="A2588" s="7" t="s">
        <v>1548</v>
      </c>
      <c r="B2588" s="7" t="s">
        <v>4455</v>
      </c>
      <c r="C2588" s="8">
        <f>QS.CONTEXT.CREATE("market.2586",A2588,"USD","SOFR")</f>
        <v/>
      </c>
      <c r="D2588" s="8">
        <f>QS.CONTEXT.ADD.CURVE(C2588,"SOFR",$K$2:$K$7,$L$2:$L$7,,,"Actual360","LogLinear",TRUE)</f>
        <v/>
      </c>
      <c r="E2588" s="8">
        <f>QS.INSTRUMENT.SWAP("swap.2586",C2588,H2588,B2588,"USD","SOFR",I2588,J2588,0,"Actual360","Simple","Annual","Annual","Annual")</f>
        <v/>
      </c>
      <c r="F2588" s="8">
        <f>QS.TRADE.CREATE("trade.2586",C2588,E2588,A2588,"Receive")</f>
        <v/>
      </c>
      <c r="G2588" s="5"/>
      <c r="H2588" s="7" t="s">
        <v>1562</v>
      </c>
      <c r="I2588" s="9">
        <v>1258600</v>
      </c>
      <c r="J2588" s="10">
        <v>0.0386</v>
      </c>
    </row>
    <row r="2589" spans="1:10">
      <c r="A2589" s="7" t="s">
        <v>1550</v>
      </c>
      <c r="B2589" s="7" t="s">
        <v>4456</v>
      </c>
      <c r="C2589" s="8">
        <f>QS.CONTEXT.CREATE("market.2587",A2589,"USD","SOFR")</f>
        <v/>
      </c>
      <c r="D2589" s="8">
        <f>QS.CONTEXT.ADD.CURVE(C2589,"SOFR",$K$2:$K$7,$L$2:$L$7,,,"Actual360","LogLinear",TRUE)</f>
        <v/>
      </c>
      <c r="E2589" s="8">
        <f>QS.INSTRUMENT.SWAP("swap.2587",C2589,H2589,B2589,"USD","SOFR",I2589,J2589,0,"Actual360","Simple","Annual","Annual","Annual")</f>
        <v/>
      </c>
      <c r="F2589" s="8">
        <f>QS.TRADE.CREATE("trade.2587",C2589,E2589,A2589,"Receive")</f>
        <v/>
      </c>
      <c r="G2589" s="5"/>
      <c r="H2589" s="7" t="s">
        <v>1564</v>
      </c>
      <c r="I2589" s="9">
        <v>1258700</v>
      </c>
      <c r="J2589" s="10">
        <v>0.03870000000000001</v>
      </c>
    </row>
    <row r="2590" spans="1:10">
      <c r="A2590" s="7" t="s">
        <v>1552</v>
      </c>
      <c r="B2590" s="7" t="s">
        <v>4457</v>
      </c>
      <c r="C2590" s="8">
        <f>QS.CONTEXT.CREATE("market.2588",A2590,"USD","SOFR")</f>
        <v/>
      </c>
      <c r="D2590" s="8">
        <f>QS.CONTEXT.ADD.CURVE(C2590,"SOFR",$K$2:$K$7,$L$2:$L$7,,,"Actual360","LogLinear",TRUE)</f>
        <v/>
      </c>
      <c r="E2590" s="8">
        <f>QS.INSTRUMENT.SWAP("swap.2588",C2590,H2590,B2590,"USD","SOFR",I2590,J2590,0,"Actual360","Simple","Annual","Annual","Annual")</f>
        <v/>
      </c>
      <c r="F2590" s="8">
        <f>QS.TRADE.CREATE("trade.2588",C2590,E2590,A2590,"Receive")</f>
        <v/>
      </c>
      <c r="G2590" s="5"/>
      <c r="H2590" s="7" t="s">
        <v>1566</v>
      </c>
      <c r="I2590" s="9">
        <v>1258800</v>
      </c>
      <c r="J2590" s="10">
        <v>0.0388</v>
      </c>
    </row>
    <row r="2591" spans="1:10">
      <c r="A2591" s="7" t="s">
        <v>1554</v>
      </c>
      <c r="B2591" s="7" t="s">
        <v>4458</v>
      </c>
      <c r="C2591" s="8">
        <f>QS.CONTEXT.CREATE("market.2589",A2591,"USD","SOFR")</f>
        <v/>
      </c>
      <c r="D2591" s="8">
        <f>QS.CONTEXT.ADD.CURVE(C2591,"SOFR",$K$2:$K$7,$L$2:$L$7,,,"Actual360","LogLinear",TRUE)</f>
        <v/>
      </c>
      <c r="E2591" s="8">
        <f>QS.INSTRUMENT.SWAP("swap.2589",C2591,H2591,B2591,"USD","SOFR",I2591,J2591,0,"Actual360","Simple","Annual","Annual","Annual")</f>
        <v/>
      </c>
      <c r="F2591" s="8">
        <f>QS.TRADE.CREATE("trade.2589",C2591,E2591,A2591,"Receive")</f>
        <v/>
      </c>
      <c r="G2591" s="5"/>
      <c r="H2591" s="7" t="s">
        <v>1568</v>
      </c>
      <c r="I2591" s="9">
        <v>1258900</v>
      </c>
      <c r="J2591" s="10">
        <v>0.0389</v>
      </c>
    </row>
    <row r="2592" spans="1:10">
      <c r="A2592" s="7" t="s">
        <v>1556</v>
      </c>
      <c r="B2592" s="7" t="s">
        <v>4459</v>
      </c>
      <c r="C2592" s="8">
        <f>QS.CONTEXT.CREATE("market.2590",A2592,"USD","SOFR")</f>
        <v/>
      </c>
      <c r="D2592" s="8">
        <f>QS.CONTEXT.ADD.CURVE(C2592,"SOFR",$K$2:$K$7,$L$2:$L$7,,,"Actual360","LogLinear",TRUE)</f>
        <v/>
      </c>
      <c r="E2592" s="8">
        <f>QS.INSTRUMENT.SWAP("swap.2590",C2592,H2592,B2592,"USD","SOFR",I2592,J2592,0,"Actual360","Simple","Annual","Annual","Annual")</f>
        <v/>
      </c>
      <c r="F2592" s="8">
        <f>QS.TRADE.CREATE("trade.2590",C2592,E2592,A2592,"Receive")</f>
        <v/>
      </c>
      <c r="G2592" s="5"/>
      <c r="H2592" s="7" t="s">
        <v>1570</v>
      </c>
      <c r="I2592" s="9">
        <v>1259000</v>
      </c>
      <c r="J2592" s="10">
        <v>0.03900000000000001</v>
      </c>
    </row>
    <row r="2593" spans="1:10">
      <c r="A2593" s="7" t="s">
        <v>1558</v>
      </c>
      <c r="B2593" s="7" t="s">
        <v>4460</v>
      </c>
      <c r="C2593" s="8">
        <f>QS.CONTEXT.CREATE("market.2591",A2593,"USD","SOFR")</f>
        <v/>
      </c>
      <c r="D2593" s="8">
        <f>QS.CONTEXT.ADD.CURVE(C2593,"SOFR",$K$2:$K$7,$L$2:$L$7,,,"Actual360","LogLinear",TRUE)</f>
        <v/>
      </c>
      <c r="E2593" s="8">
        <f>QS.INSTRUMENT.SWAP("swap.2591",C2593,H2593,B2593,"USD","SOFR",I2593,J2593,0,"Actual360","Simple","Annual","Annual","Annual")</f>
        <v/>
      </c>
      <c r="F2593" s="8">
        <f>QS.TRADE.CREATE("trade.2591",C2593,E2593,A2593,"Receive")</f>
        <v/>
      </c>
      <c r="G2593" s="5"/>
      <c r="H2593" s="7" t="s">
        <v>1572</v>
      </c>
      <c r="I2593" s="9">
        <v>1259100</v>
      </c>
      <c r="J2593" s="10">
        <v>0.0391</v>
      </c>
    </row>
    <row r="2594" spans="1:10">
      <c r="A2594" s="7" t="s">
        <v>1560</v>
      </c>
      <c r="B2594" s="7" t="s">
        <v>4461</v>
      </c>
      <c r="C2594" s="8">
        <f>QS.CONTEXT.CREATE("market.2592",A2594,"USD","SOFR")</f>
        <v/>
      </c>
      <c r="D2594" s="8">
        <f>QS.CONTEXT.ADD.CURVE(C2594,"SOFR",$K$2:$K$7,$L$2:$L$7,,,"Actual360","LogLinear",TRUE)</f>
        <v/>
      </c>
      <c r="E2594" s="8">
        <f>QS.INSTRUMENT.SWAP("swap.2592",C2594,H2594,B2594,"USD","SOFR",I2594,J2594,0,"Actual360","Simple","Annual","Annual","Annual")</f>
        <v/>
      </c>
      <c r="F2594" s="8">
        <f>QS.TRADE.CREATE("trade.2592",C2594,E2594,A2594,"Receive")</f>
        <v/>
      </c>
      <c r="G2594" s="5"/>
      <c r="H2594" s="7" t="s">
        <v>1574</v>
      </c>
      <c r="I2594" s="9">
        <v>1259200</v>
      </c>
      <c r="J2594" s="10">
        <v>0.03920000000000001</v>
      </c>
    </row>
    <row r="2595" spans="1:10">
      <c r="A2595" s="7" t="s">
        <v>1562</v>
      </c>
      <c r="B2595" s="7" t="s">
        <v>4462</v>
      </c>
      <c r="C2595" s="8">
        <f>QS.CONTEXT.CREATE("market.2593",A2595,"USD","SOFR")</f>
        <v/>
      </c>
      <c r="D2595" s="8">
        <f>QS.CONTEXT.ADD.CURVE(C2595,"SOFR",$K$2:$K$7,$L$2:$L$7,,,"Actual360","LogLinear",TRUE)</f>
        <v/>
      </c>
      <c r="E2595" s="8">
        <f>QS.INSTRUMENT.SWAP("swap.2593",C2595,H2595,B2595,"USD","SOFR",I2595,J2595,0,"Actual360","Simple","Annual","Annual","Annual")</f>
        <v/>
      </c>
      <c r="F2595" s="8">
        <f>QS.TRADE.CREATE("trade.2593",C2595,E2595,A2595,"Receive")</f>
        <v/>
      </c>
      <c r="G2595" s="5"/>
      <c r="H2595" s="7" t="s">
        <v>1576</v>
      </c>
      <c r="I2595" s="9">
        <v>1259300</v>
      </c>
      <c r="J2595" s="10">
        <v>0.0393</v>
      </c>
    </row>
    <row r="2596" spans="1:10">
      <c r="A2596" s="7" t="s">
        <v>1564</v>
      </c>
      <c r="B2596" s="7" t="s">
        <v>4463</v>
      </c>
      <c r="C2596" s="8">
        <f>QS.CONTEXT.CREATE("market.2594",A2596,"USD","SOFR")</f>
        <v/>
      </c>
      <c r="D2596" s="8">
        <f>QS.CONTEXT.ADD.CURVE(C2596,"SOFR",$K$2:$K$7,$L$2:$L$7,,,"Actual360","LogLinear",TRUE)</f>
        <v/>
      </c>
      <c r="E2596" s="8">
        <f>QS.INSTRUMENT.SWAP("swap.2594",C2596,H2596,B2596,"USD","SOFR",I2596,J2596,0,"Actual360","Simple","Annual","Annual","Annual")</f>
        <v/>
      </c>
      <c r="F2596" s="8">
        <f>QS.TRADE.CREATE("trade.2594",C2596,E2596,A2596,"Receive")</f>
        <v/>
      </c>
      <c r="G2596" s="5"/>
      <c r="H2596" s="7" t="s">
        <v>1578</v>
      </c>
      <c r="I2596" s="9">
        <v>1259400</v>
      </c>
      <c r="J2596" s="10">
        <v>0.0394</v>
      </c>
    </row>
    <row r="2597" spans="1:10">
      <c r="A2597" s="7" t="s">
        <v>1566</v>
      </c>
      <c r="B2597" s="7" t="s">
        <v>4464</v>
      </c>
      <c r="C2597" s="8">
        <f>QS.CONTEXT.CREATE("market.2595",A2597,"USD","SOFR")</f>
        <v/>
      </c>
      <c r="D2597" s="8">
        <f>QS.CONTEXT.ADD.CURVE(C2597,"SOFR",$K$2:$K$7,$L$2:$L$7,,,"Actual360","LogLinear",TRUE)</f>
        <v/>
      </c>
      <c r="E2597" s="8">
        <f>QS.INSTRUMENT.SWAP("swap.2595",C2597,H2597,B2597,"USD","SOFR",I2597,J2597,0,"Actual360","Simple","Annual","Annual","Annual")</f>
        <v/>
      </c>
      <c r="F2597" s="8">
        <f>QS.TRADE.CREATE("trade.2595",C2597,E2597,A2597,"Receive")</f>
        <v/>
      </c>
      <c r="G2597" s="5"/>
      <c r="H2597" s="7" t="s">
        <v>1580</v>
      </c>
      <c r="I2597" s="9">
        <v>1259500</v>
      </c>
      <c r="J2597" s="10">
        <v>0.03950000000000001</v>
      </c>
    </row>
    <row r="2598" spans="1:10">
      <c r="A2598" s="7" t="s">
        <v>1568</v>
      </c>
      <c r="B2598" s="7" t="s">
        <v>4465</v>
      </c>
      <c r="C2598" s="8">
        <f>QS.CONTEXT.CREATE("market.2596",A2598,"USD","SOFR")</f>
        <v/>
      </c>
      <c r="D2598" s="8">
        <f>QS.CONTEXT.ADD.CURVE(C2598,"SOFR",$K$2:$K$7,$L$2:$L$7,,,"Actual360","LogLinear",TRUE)</f>
        <v/>
      </c>
      <c r="E2598" s="8">
        <f>QS.INSTRUMENT.SWAP("swap.2596",C2598,H2598,B2598,"USD","SOFR",I2598,J2598,0,"Actual360","Simple","Annual","Annual","Annual")</f>
        <v/>
      </c>
      <c r="F2598" s="8">
        <f>QS.TRADE.CREATE("trade.2596",C2598,E2598,A2598,"Receive")</f>
        <v/>
      </c>
      <c r="G2598" s="5"/>
      <c r="H2598" s="7" t="s">
        <v>1582</v>
      </c>
      <c r="I2598" s="9">
        <v>1259600</v>
      </c>
      <c r="J2598" s="10">
        <v>0.0396</v>
      </c>
    </row>
    <row r="2599" spans="1:10">
      <c r="A2599" s="7" t="s">
        <v>1570</v>
      </c>
      <c r="B2599" s="7" t="s">
        <v>4466</v>
      </c>
      <c r="C2599" s="8">
        <f>QS.CONTEXT.CREATE("market.2597",A2599,"USD","SOFR")</f>
        <v/>
      </c>
      <c r="D2599" s="8">
        <f>QS.CONTEXT.ADD.CURVE(C2599,"SOFR",$K$2:$K$7,$L$2:$L$7,,,"Actual360","LogLinear",TRUE)</f>
        <v/>
      </c>
      <c r="E2599" s="8">
        <f>QS.INSTRUMENT.SWAP("swap.2597",C2599,H2599,B2599,"USD","SOFR",I2599,J2599,0,"Actual360","Simple","Annual","Annual","Annual")</f>
        <v/>
      </c>
      <c r="F2599" s="8">
        <f>QS.TRADE.CREATE("trade.2597",C2599,E2599,A2599,"Receive")</f>
        <v/>
      </c>
      <c r="G2599" s="5"/>
      <c r="H2599" s="7" t="s">
        <v>1584</v>
      </c>
      <c r="I2599" s="9">
        <v>1259700</v>
      </c>
      <c r="J2599" s="10">
        <v>0.03970000000000001</v>
      </c>
    </row>
    <row r="2600" spans="1:10">
      <c r="A2600" s="7" t="s">
        <v>1572</v>
      </c>
      <c r="B2600" s="7" t="s">
        <v>4467</v>
      </c>
      <c r="C2600" s="8">
        <f>QS.CONTEXT.CREATE("market.2598",A2600,"USD","SOFR")</f>
        <v/>
      </c>
      <c r="D2600" s="8">
        <f>QS.CONTEXT.ADD.CURVE(C2600,"SOFR",$K$2:$K$7,$L$2:$L$7,,,"Actual360","LogLinear",TRUE)</f>
        <v/>
      </c>
      <c r="E2600" s="8">
        <f>QS.INSTRUMENT.SWAP("swap.2598",C2600,H2600,B2600,"USD","SOFR",I2600,J2600,0,"Actual360","Simple","Annual","Annual","Annual")</f>
        <v/>
      </c>
      <c r="F2600" s="8">
        <f>QS.TRADE.CREATE("trade.2598",C2600,E2600,A2600,"Receive")</f>
        <v/>
      </c>
      <c r="G2600" s="5"/>
      <c r="H2600" s="7" t="s">
        <v>1586</v>
      </c>
      <c r="I2600" s="9">
        <v>1259800</v>
      </c>
      <c r="J2600" s="10">
        <v>0.0398</v>
      </c>
    </row>
    <row r="2601" spans="1:10">
      <c r="A2601" s="7" t="s">
        <v>1574</v>
      </c>
      <c r="B2601" s="7" t="s">
        <v>4468</v>
      </c>
      <c r="C2601" s="8">
        <f>QS.CONTEXT.CREATE("market.2599",A2601,"USD","SOFR")</f>
        <v/>
      </c>
      <c r="D2601" s="8">
        <f>QS.CONTEXT.ADD.CURVE(C2601,"SOFR",$K$2:$K$7,$L$2:$L$7,,,"Actual360","LogLinear",TRUE)</f>
        <v/>
      </c>
      <c r="E2601" s="8">
        <f>QS.INSTRUMENT.SWAP("swap.2599",C2601,H2601,B2601,"USD","SOFR",I2601,J2601,0,"Actual360","Simple","Annual","Annual","Annual")</f>
        <v/>
      </c>
      <c r="F2601" s="8">
        <f>QS.TRADE.CREATE("trade.2599",C2601,E2601,A2601,"Receive")</f>
        <v/>
      </c>
      <c r="G2601" s="5"/>
      <c r="H2601" s="7" t="s">
        <v>1588</v>
      </c>
      <c r="I2601" s="9">
        <v>1259900</v>
      </c>
      <c r="J2601" s="10">
        <v>0.0399</v>
      </c>
    </row>
    <row r="2602" spans="1:10">
      <c r="A2602" s="7" t="s">
        <v>1576</v>
      </c>
      <c r="B2602" s="7" t="s">
        <v>4469</v>
      </c>
      <c r="C2602" s="8">
        <f>QS.CONTEXT.CREATE("market.2600",A2602,"USD","SOFR")</f>
        <v/>
      </c>
      <c r="D2602" s="8">
        <f>QS.CONTEXT.ADD.CURVE(C2602,"SOFR",$K$2:$K$7,$L$2:$L$7,,,"Actual360","LogLinear",TRUE)</f>
        <v/>
      </c>
      <c r="E2602" s="8">
        <f>QS.INSTRUMENT.SWAP("swap.2600",C2602,H2602,B2602,"USD","SOFR",I2602,J2602,0,"Actual360","Simple","Annual","Annual","Annual")</f>
        <v/>
      </c>
      <c r="F2602" s="8">
        <f>QS.TRADE.CREATE("trade.2600",C2602,E2602,A2602,"Receive")</f>
        <v/>
      </c>
      <c r="G2602" s="5"/>
      <c r="H2602" s="7" t="s">
        <v>1590</v>
      </c>
      <c r="I2602" s="9">
        <v>1260000</v>
      </c>
      <c r="J2602" s="10">
        <v>0.035</v>
      </c>
    </row>
    <row r="2603" spans="1:10">
      <c r="A2603" s="7" t="s">
        <v>1578</v>
      </c>
      <c r="B2603" s="7" t="s">
        <v>4470</v>
      </c>
      <c r="C2603" s="8">
        <f>QS.CONTEXT.CREATE("market.2601",A2603,"USD","SOFR")</f>
        <v/>
      </c>
      <c r="D2603" s="8">
        <f>QS.CONTEXT.ADD.CURVE(C2603,"SOFR",$K$2:$K$7,$L$2:$L$7,,,"Actual360","LogLinear",TRUE)</f>
        <v/>
      </c>
      <c r="E2603" s="8">
        <f>QS.INSTRUMENT.SWAP("swap.2601",C2603,H2603,B2603,"USD","SOFR",I2603,J2603,0,"Actual360","Simple","Annual","Annual","Annual")</f>
        <v/>
      </c>
      <c r="F2603" s="8">
        <f>QS.TRADE.CREATE("trade.2601",C2603,E2603,A2603,"Receive")</f>
        <v/>
      </c>
      <c r="G2603" s="5"/>
      <c r="H2603" s="7" t="s">
        <v>1592</v>
      </c>
      <c r="I2603" s="9">
        <v>1260100</v>
      </c>
      <c r="J2603" s="10">
        <v>0.03510000000000001</v>
      </c>
    </row>
    <row r="2604" spans="1:10">
      <c r="A2604" s="7" t="s">
        <v>1580</v>
      </c>
      <c r="B2604" s="7" t="s">
        <v>4471</v>
      </c>
      <c r="C2604" s="8">
        <f>QS.CONTEXT.CREATE("market.2602",A2604,"USD","SOFR")</f>
        <v/>
      </c>
      <c r="D2604" s="8">
        <f>QS.CONTEXT.ADD.CURVE(C2604,"SOFR",$K$2:$K$7,$L$2:$L$7,,,"Actual360","LogLinear",TRUE)</f>
        <v/>
      </c>
      <c r="E2604" s="8">
        <f>QS.INSTRUMENT.SWAP("swap.2602",C2604,H2604,B2604,"USD","SOFR",I2604,J2604,0,"Actual360","Simple","Annual","Annual","Annual")</f>
        <v/>
      </c>
      <c r="F2604" s="8">
        <f>QS.TRADE.CREATE("trade.2602",C2604,E2604,A2604,"Receive")</f>
        <v/>
      </c>
      <c r="G2604" s="5"/>
      <c r="H2604" s="7" t="s">
        <v>1594</v>
      </c>
      <c r="I2604" s="9">
        <v>1260200</v>
      </c>
      <c r="J2604" s="10">
        <v>0.0352</v>
      </c>
    </row>
    <row r="2605" spans="1:10">
      <c r="A2605" s="7" t="s">
        <v>1582</v>
      </c>
      <c r="B2605" s="7" t="s">
        <v>4472</v>
      </c>
      <c r="C2605" s="8">
        <f>QS.CONTEXT.CREATE("market.2603",A2605,"USD","SOFR")</f>
        <v/>
      </c>
      <c r="D2605" s="8">
        <f>QS.CONTEXT.ADD.CURVE(C2605,"SOFR",$K$2:$K$7,$L$2:$L$7,,,"Actual360","LogLinear",TRUE)</f>
        <v/>
      </c>
      <c r="E2605" s="8">
        <f>QS.INSTRUMENT.SWAP("swap.2603",C2605,H2605,B2605,"USD","SOFR",I2605,J2605,0,"Actual360","Simple","Annual","Annual","Annual")</f>
        <v/>
      </c>
      <c r="F2605" s="8">
        <f>QS.TRADE.CREATE("trade.2603",C2605,E2605,A2605,"Receive")</f>
        <v/>
      </c>
      <c r="G2605" s="5"/>
      <c r="H2605" s="7" t="s">
        <v>1596</v>
      </c>
      <c r="I2605" s="9">
        <v>1260300</v>
      </c>
      <c r="J2605" s="10">
        <v>0.0353</v>
      </c>
    </row>
    <row r="2606" spans="1:10">
      <c r="A2606" s="7" t="s">
        <v>1584</v>
      </c>
      <c r="B2606" s="7" t="s">
        <v>4473</v>
      </c>
      <c r="C2606" s="8">
        <f>QS.CONTEXT.CREATE("market.2604",A2606,"USD","SOFR")</f>
        <v/>
      </c>
      <c r="D2606" s="8">
        <f>QS.CONTEXT.ADD.CURVE(C2606,"SOFR",$K$2:$K$7,$L$2:$L$7,,,"Actual360","LogLinear",TRUE)</f>
        <v/>
      </c>
      <c r="E2606" s="8">
        <f>QS.INSTRUMENT.SWAP("swap.2604",C2606,H2606,B2606,"USD","SOFR",I2606,J2606,0,"Actual360","Simple","Annual","Annual","Annual")</f>
        <v/>
      </c>
      <c r="F2606" s="8">
        <f>QS.TRADE.CREATE("trade.2604",C2606,E2606,A2606,"Receive")</f>
        <v/>
      </c>
      <c r="G2606" s="5"/>
      <c r="H2606" s="7" t="s">
        <v>1598</v>
      </c>
      <c r="I2606" s="9">
        <v>1260400</v>
      </c>
      <c r="J2606" s="10">
        <v>0.0354</v>
      </c>
    </row>
    <row r="2607" spans="1:10">
      <c r="A2607" s="7" t="s">
        <v>1586</v>
      </c>
      <c r="B2607" s="7" t="s">
        <v>4474</v>
      </c>
      <c r="C2607" s="8">
        <f>QS.CONTEXT.CREATE("market.2605",A2607,"USD","SOFR")</f>
        <v/>
      </c>
      <c r="D2607" s="8">
        <f>QS.CONTEXT.ADD.CURVE(C2607,"SOFR",$K$2:$K$7,$L$2:$L$7,,,"Actual360","LogLinear",TRUE)</f>
        <v/>
      </c>
      <c r="E2607" s="8">
        <f>QS.INSTRUMENT.SWAP("swap.2605",C2607,H2607,B2607,"USD","SOFR",I2607,J2607,0,"Actual360","Simple","Annual","Annual","Annual")</f>
        <v/>
      </c>
      <c r="F2607" s="8">
        <f>QS.TRADE.CREATE("trade.2605",C2607,E2607,A2607,"Receive")</f>
        <v/>
      </c>
      <c r="G2607" s="5"/>
      <c r="H2607" s="7" t="s">
        <v>1600</v>
      </c>
      <c r="I2607" s="9">
        <v>1260500</v>
      </c>
      <c r="J2607" s="10">
        <v>0.0355</v>
      </c>
    </row>
    <row r="2608" spans="1:10">
      <c r="A2608" s="7" t="s">
        <v>1588</v>
      </c>
      <c r="B2608" s="7" t="s">
        <v>4475</v>
      </c>
      <c r="C2608" s="8">
        <f>QS.CONTEXT.CREATE("market.2606",A2608,"USD","SOFR")</f>
        <v/>
      </c>
      <c r="D2608" s="8">
        <f>QS.CONTEXT.ADD.CURVE(C2608,"SOFR",$K$2:$K$7,$L$2:$L$7,,,"Actual360","LogLinear",TRUE)</f>
        <v/>
      </c>
      <c r="E2608" s="8">
        <f>QS.INSTRUMENT.SWAP("swap.2606",C2608,H2608,B2608,"USD","SOFR",I2608,J2608,0,"Actual360","Simple","Annual","Annual","Annual")</f>
        <v/>
      </c>
      <c r="F2608" s="8">
        <f>QS.TRADE.CREATE("trade.2606",C2608,E2608,A2608,"Receive")</f>
        <v/>
      </c>
      <c r="G2608" s="5"/>
      <c r="H2608" s="7" t="s">
        <v>1602</v>
      </c>
      <c r="I2608" s="9">
        <v>1260600</v>
      </c>
      <c r="J2608" s="10">
        <v>0.03560000000000001</v>
      </c>
    </row>
    <row r="2609" spans="1:10">
      <c r="A2609" s="7" t="s">
        <v>1590</v>
      </c>
      <c r="B2609" s="7" t="s">
        <v>4476</v>
      </c>
      <c r="C2609" s="8">
        <f>QS.CONTEXT.CREATE("market.2607",A2609,"USD","SOFR")</f>
        <v/>
      </c>
      <c r="D2609" s="8">
        <f>QS.CONTEXT.ADD.CURVE(C2609,"SOFR",$K$2:$K$7,$L$2:$L$7,,,"Actual360","LogLinear",TRUE)</f>
        <v/>
      </c>
      <c r="E2609" s="8">
        <f>QS.INSTRUMENT.SWAP("swap.2607",C2609,H2609,B2609,"USD","SOFR",I2609,J2609,0,"Actual360","Simple","Annual","Annual","Annual")</f>
        <v/>
      </c>
      <c r="F2609" s="8">
        <f>QS.TRADE.CREATE("trade.2607",C2609,E2609,A2609,"Receive")</f>
        <v/>
      </c>
      <c r="G2609" s="5"/>
      <c r="H2609" s="7" t="s">
        <v>1604</v>
      </c>
      <c r="I2609" s="9">
        <v>1260700</v>
      </c>
      <c r="J2609" s="10">
        <v>0.0357</v>
      </c>
    </row>
    <row r="2610" spans="1:10">
      <c r="A2610" s="7" t="s">
        <v>1592</v>
      </c>
      <c r="B2610" s="7" t="s">
        <v>4477</v>
      </c>
      <c r="C2610" s="8">
        <f>QS.CONTEXT.CREATE("market.2608",A2610,"USD","SOFR")</f>
        <v/>
      </c>
      <c r="D2610" s="8">
        <f>QS.CONTEXT.ADD.CURVE(C2610,"SOFR",$K$2:$K$7,$L$2:$L$7,,,"Actual360","LogLinear",TRUE)</f>
        <v/>
      </c>
      <c r="E2610" s="8">
        <f>QS.INSTRUMENT.SWAP("swap.2608",C2610,H2610,B2610,"USD","SOFR",I2610,J2610,0,"Actual360","Simple","Annual","Annual","Annual")</f>
        <v/>
      </c>
      <c r="F2610" s="8">
        <f>QS.TRADE.CREATE("trade.2608",C2610,E2610,A2610,"Receive")</f>
        <v/>
      </c>
      <c r="G2610" s="5"/>
      <c r="H2610" s="7" t="s">
        <v>1606</v>
      </c>
      <c r="I2610" s="9">
        <v>1260800</v>
      </c>
      <c r="J2610" s="10">
        <v>0.03580000000000001</v>
      </c>
    </row>
    <row r="2611" spans="1:10">
      <c r="A2611" s="7" t="s">
        <v>1594</v>
      </c>
      <c r="B2611" s="7" t="s">
        <v>4478</v>
      </c>
      <c r="C2611" s="8">
        <f>QS.CONTEXT.CREATE("market.2609",A2611,"USD","SOFR")</f>
        <v/>
      </c>
      <c r="D2611" s="8">
        <f>QS.CONTEXT.ADD.CURVE(C2611,"SOFR",$K$2:$K$7,$L$2:$L$7,,,"Actual360","LogLinear",TRUE)</f>
        <v/>
      </c>
      <c r="E2611" s="8">
        <f>QS.INSTRUMENT.SWAP("swap.2609",C2611,H2611,B2611,"USD","SOFR",I2611,J2611,0,"Actual360","Simple","Annual","Annual","Annual")</f>
        <v/>
      </c>
      <c r="F2611" s="8">
        <f>QS.TRADE.CREATE("trade.2609",C2611,E2611,A2611,"Receive")</f>
        <v/>
      </c>
      <c r="G2611" s="5"/>
      <c r="H2611" s="7" t="s">
        <v>1609</v>
      </c>
      <c r="I2611" s="9">
        <v>1260900</v>
      </c>
      <c r="J2611" s="10">
        <v>0.0359</v>
      </c>
    </row>
    <row r="2612" spans="1:10">
      <c r="A2612" s="7" t="s">
        <v>1596</v>
      </c>
      <c r="B2612" s="7" t="s">
        <v>4479</v>
      </c>
      <c r="C2612" s="8">
        <f>QS.CONTEXT.CREATE("market.2610",A2612,"USD","SOFR")</f>
        <v/>
      </c>
      <c r="D2612" s="8">
        <f>QS.CONTEXT.ADD.CURVE(C2612,"SOFR",$K$2:$K$7,$L$2:$L$7,,,"Actual360","LogLinear",TRUE)</f>
        <v/>
      </c>
      <c r="E2612" s="8">
        <f>QS.INSTRUMENT.SWAP("swap.2610",C2612,H2612,B2612,"USD","SOFR",I2612,J2612,0,"Actual360","Simple","Annual","Annual","Annual")</f>
        <v/>
      </c>
      <c r="F2612" s="8">
        <f>QS.TRADE.CREATE("trade.2610",C2612,E2612,A2612,"Receive")</f>
        <v/>
      </c>
      <c r="G2612" s="5"/>
      <c r="H2612" s="7" t="s">
        <v>1611</v>
      </c>
      <c r="I2612" s="9">
        <v>1261000</v>
      </c>
      <c r="J2612" s="10">
        <v>0.036</v>
      </c>
    </row>
    <row r="2613" spans="1:10">
      <c r="A2613" s="7" t="s">
        <v>1598</v>
      </c>
      <c r="B2613" s="7" t="s">
        <v>4480</v>
      </c>
      <c r="C2613" s="8">
        <f>QS.CONTEXT.CREATE("market.2611",A2613,"USD","SOFR")</f>
        <v/>
      </c>
      <c r="D2613" s="8">
        <f>QS.CONTEXT.ADD.CURVE(C2613,"SOFR",$K$2:$K$7,$L$2:$L$7,,,"Actual360","LogLinear",TRUE)</f>
        <v/>
      </c>
      <c r="E2613" s="8">
        <f>QS.INSTRUMENT.SWAP("swap.2611",C2613,H2613,B2613,"USD","SOFR",I2613,J2613,0,"Actual360","Simple","Annual","Annual","Annual")</f>
        <v/>
      </c>
      <c r="F2613" s="8">
        <f>QS.TRADE.CREATE("trade.2611",C2613,E2613,A2613,"Receive")</f>
        <v/>
      </c>
      <c r="G2613" s="5"/>
      <c r="H2613" s="7" t="s">
        <v>1613</v>
      </c>
      <c r="I2613" s="9">
        <v>1261100</v>
      </c>
      <c r="J2613" s="10">
        <v>0.0361</v>
      </c>
    </row>
    <row r="2614" spans="1:10">
      <c r="A2614" s="7" t="s">
        <v>1600</v>
      </c>
      <c r="B2614" s="7" t="s">
        <v>4481</v>
      </c>
      <c r="C2614" s="8">
        <f>QS.CONTEXT.CREATE("market.2612",A2614,"USD","SOFR")</f>
        <v/>
      </c>
      <c r="D2614" s="8">
        <f>QS.CONTEXT.ADD.CURVE(C2614,"SOFR",$K$2:$K$7,$L$2:$L$7,,,"Actual360","LogLinear",TRUE)</f>
        <v/>
      </c>
      <c r="E2614" s="8">
        <f>QS.INSTRUMENT.SWAP("swap.2612",C2614,H2614,B2614,"USD","SOFR",I2614,J2614,0,"Actual360","Simple","Annual","Annual","Annual")</f>
        <v/>
      </c>
      <c r="F2614" s="8">
        <f>QS.TRADE.CREATE("trade.2612",C2614,E2614,A2614,"Receive")</f>
        <v/>
      </c>
      <c r="G2614" s="5"/>
      <c r="H2614" s="7" t="s">
        <v>1615</v>
      </c>
      <c r="I2614" s="9">
        <v>1261200</v>
      </c>
      <c r="J2614" s="10">
        <v>0.0362</v>
      </c>
    </row>
    <row r="2615" spans="1:10">
      <c r="A2615" s="7" t="s">
        <v>1602</v>
      </c>
      <c r="B2615" s="7" t="s">
        <v>4482</v>
      </c>
      <c r="C2615" s="8">
        <f>QS.CONTEXT.CREATE("market.2613",A2615,"USD","SOFR")</f>
        <v/>
      </c>
      <c r="D2615" s="8">
        <f>QS.CONTEXT.ADD.CURVE(C2615,"SOFR",$K$2:$K$7,$L$2:$L$7,,,"Actual360","LogLinear",TRUE)</f>
        <v/>
      </c>
      <c r="E2615" s="8">
        <f>QS.INSTRUMENT.SWAP("swap.2613",C2615,H2615,B2615,"USD","SOFR",I2615,J2615,0,"Actual360","Simple","Annual","Annual","Annual")</f>
        <v/>
      </c>
      <c r="F2615" s="8">
        <f>QS.TRADE.CREATE("trade.2613",C2615,E2615,A2615,"Receive")</f>
        <v/>
      </c>
      <c r="G2615" s="5"/>
      <c r="H2615" s="7" t="s">
        <v>1617</v>
      </c>
      <c r="I2615" s="9">
        <v>1261300</v>
      </c>
      <c r="J2615" s="10">
        <v>0.03630000000000001</v>
      </c>
    </row>
    <row r="2616" spans="1:10">
      <c r="A2616" s="7" t="s">
        <v>1604</v>
      </c>
      <c r="B2616" s="7" t="s">
        <v>4483</v>
      </c>
      <c r="C2616" s="8">
        <f>QS.CONTEXT.CREATE("market.2614",A2616,"USD","SOFR")</f>
        <v/>
      </c>
      <c r="D2616" s="8">
        <f>QS.CONTEXT.ADD.CURVE(C2616,"SOFR",$K$2:$K$7,$L$2:$L$7,,,"Actual360","LogLinear",TRUE)</f>
        <v/>
      </c>
      <c r="E2616" s="8">
        <f>QS.INSTRUMENT.SWAP("swap.2614",C2616,H2616,B2616,"USD","SOFR",I2616,J2616,0,"Actual360","Simple","Annual","Annual","Annual")</f>
        <v/>
      </c>
      <c r="F2616" s="8">
        <f>QS.TRADE.CREATE("trade.2614",C2616,E2616,A2616,"Receive")</f>
        <v/>
      </c>
      <c r="G2616" s="5"/>
      <c r="H2616" s="7" t="s">
        <v>1619</v>
      </c>
      <c r="I2616" s="9">
        <v>1261400</v>
      </c>
      <c r="J2616" s="10">
        <v>0.0364</v>
      </c>
    </row>
    <row r="2617" spans="1:10">
      <c r="A2617" s="7" t="s">
        <v>1606</v>
      </c>
      <c r="B2617" s="7" t="s">
        <v>4484</v>
      </c>
      <c r="C2617" s="8">
        <f>QS.CONTEXT.CREATE("market.2615",A2617,"USD","SOFR")</f>
        <v/>
      </c>
      <c r="D2617" s="8">
        <f>QS.CONTEXT.ADD.CURVE(C2617,"SOFR",$K$2:$K$7,$L$2:$L$7,,,"Actual360","LogLinear",TRUE)</f>
        <v/>
      </c>
      <c r="E2617" s="8">
        <f>QS.INSTRUMENT.SWAP("swap.2615",C2617,H2617,B2617,"USD","SOFR",I2617,J2617,0,"Actual360","Simple","Annual","Annual","Annual")</f>
        <v/>
      </c>
      <c r="F2617" s="8">
        <f>QS.TRADE.CREATE("trade.2615",C2617,E2617,A2617,"Receive")</f>
        <v/>
      </c>
      <c r="G2617" s="5"/>
      <c r="H2617" s="7" t="s">
        <v>1621</v>
      </c>
      <c r="I2617" s="9">
        <v>1261500</v>
      </c>
      <c r="J2617" s="10">
        <v>0.0365</v>
      </c>
    </row>
    <row r="2618" spans="1:10">
      <c r="A2618" s="7" t="s">
        <v>1609</v>
      </c>
      <c r="B2618" s="7" t="s">
        <v>4485</v>
      </c>
      <c r="C2618" s="8">
        <f>QS.CONTEXT.CREATE("market.2616",A2618,"USD","SOFR")</f>
        <v/>
      </c>
      <c r="D2618" s="8">
        <f>QS.CONTEXT.ADD.CURVE(C2618,"SOFR",$K$2:$K$7,$L$2:$L$7,,,"Actual360","LogLinear",TRUE)</f>
        <v/>
      </c>
      <c r="E2618" s="8">
        <f>QS.INSTRUMENT.SWAP("swap.2616",C2618,H2618,B2618,"USD","SOFR",I2618,J2618,0,"Actual360","Simple","Annual","Annual","Annual")</f>
        <v/>
      </c>
      <c r="F2618" s="8">
        <f>QS.TRADE.CREATE("trade.2616",C2618,E2618,A2618,"Receive")</f>
        <v/>
      </c>
      <c r="G2618" s="5"/>
      <c r="H2618" s="7" t="s">
        <v>1623</v>
      </c>
      <c r="I2618" s="9">
        <v>1261600</v>
      </c>
      <c r="J2618" s="10">
        <v>0.0366</v>
      </c>
    </row>
    <row r="2619" spans="1:10">
      <c r="A2619" s="7" t="s">
        <v>1611</v>
      </c>
      <c r="B2619" s="7" t="s">
        <v>4486</v>
      </c>
      <c r="C2619" s="8">
        <f>QS.CONTEXT.CREATE("market.2617",A2619,"USD","SOFR")</f>
        <v/>
      </c>
      <c r="D2619" s="8">
        <f>QS.CONTEXT.ADD.CURVE(C2619,"SOFR",$K$2:$K$7,$L$2:$L$7,,,"Actual360","LogLinear",TRUE)</f>
        <v/>
      </c>
      <c r="E2619" s="8">
        <f>QS.INSTRUMENT.SWAP("swap.2617",C2619,H2619,B2619,"USD","SOFR",I2619,J2619,0,"Actual360","Simple","Annual","Annual","Annual")</f>
        <v/>
      </c>
      <c r="F2619" s="8">
        <f>QS.TRADE.CREATE("trade.2617",C2619,E2619,A2619,"Receive")</f>
        <v/>
      </c>
      <c r="G2619" s="5"/>
      <c r="H2619" s="7" t="s">
        <v>1625</v>
      </c>
      <c r="I2619" s="9">
        <v>1261700</v>
      </c>
      <c r="J2619" s="10">
        <v>0.0367</v>
      </c>
    </row>
    <row r="2620" spans="1:10">
      <c r="A2620" s="7" t="s">
        <v>1613</v>
      </c>
      <c r="B2620" s="7" t="s">
        <v>4487</v>
      </c>
      <c r="C2620" s="8">
        <f>QS.CONTEXT.CREATE("market.2618",A2620,"USD","SOFR")</f>
        <v/>
      </c>
      <c r="D2620" s="8">
        <f>QS.CONTEXT.ADD.CURVE(C2620,"SOFR",$K$2:$K$7,$L$2:$L$7,,,"Actual360","LogLinear",TRUE)</f>
        <v/>
      </c>
      <c r="E2620" s="8">
        <f>QS.INSTRUMENT.SWAP("swap.2618",C2620,H2620,B2620,"USD","SOFR",I2620,J2620,0,"Actual360","Simple","Annual","Annual","Annual")</f>
        <v/>
      </c>
      <c r="F2620" s="8">
        <f>QS.TRADE.CREATE("trade.2618",C2620,E2620,A2620,"Receive")</f>
        <v/>
      </c>
      <c r="G2620" s="5"/>
      <c r="H2620" s="7" t="s">
        <v>1627</v>
      </c>
      <c r="I2620" s="9">
        <v>1261800</v>
      </c>
      <c r="J2620" s="10">
        <v>0.03680000000000001</v>
      </c>
    </row>
    <row r="2621" spans="1:10">
      <c r="A2621" s="7" t="s">
        <v>1615</v>
      </c>
      <c r="B2621" s="7" t="s">
        <v>4488</v>
      </c>
      <c r="C2621" s="8">
        <f>QS.CONTEXT.CREATE("market.2619",A2621,"USD","SOFR")</f>
        <v/>
      </c>
      <c r="D2621" s="8">
        <f>QS.CONTEXT.ADD.CURVE(C2621,"SOFR",$K$2:$K$7,$L$2:$L$7,,,"Actual360","LogLinear",TRUE)</f>
        <v/>
      </c>
      <c r="E2621" s="8">
        <f>QS.INSTRUMENT.SWAP("swap.2619",C2621,H2621,B2621,"USD","SOFR",I2621,J2621,0,"Actual360","Simple","Annual","Annual","Annual")</f>
        <v/>
      </c>
      <c r="F2621" s="8">
        <f>QS.TRADE.CREATE("trade.2619",C2621,E2621,A2621,"Receive")</f>
        <v/>
      </c>
      <c r="G2621" s="5"/>
      <c r="H2621" s="7" t="s">
        <v>1629</v>
      </c>
      <c r="I2621" s="9">
        <v>1261900</v>
      </c>
      <c r="J2621" s="10">
        <v>0.0369</v>
      </c>
    </row>
    <row r="2622" spans="1:10">
      <c r="A2622" s="7" t="s">
        <v>1617</v>
      </c>
      <c r="B2622" s="7" t="s">
        <v>4489</v>
      </c>
      <c r="C2622" s="8">
        <f>QS.CONTEXT.CREATE("market.2620",A2622,"USD","SOFR")</f>
        <v/>
      </c>
      <c r="D2622" s="8">
        <f>QS.CONTEXT.ADD.CURVE(C2622,"SOFR",$K$2:$K$7,$L$2:$L$7,,,"Actual360","LogLinear",TRUE)</f>
        <v/>
      </c>
      <c r="E2622" s="8">
        <f>QS.INSTRUMENT.SWAP("swap.2620",C2622,H2622,B2622,"USD","SOFR",I2622,J2622,0,"Actual360","Simple","Annual","Annual","Annual")</f>
        <v/>
      </c>
      <c r="F2622" s="8">
        <f>QS.TRADE.CREATE("trade.2620",C2622,E2622,A2622,"Receive")</f>
        <v/>
      </c>
      <c r="G2622" s="5"/>
      <c r="H2622" s="7" t="s">
        <v>1631</v>
      </c>
      <c r="I2622" s="9">
        <v>1262000</v>
      </c>
      <c r="J2622" s="10">
        <v>0.03700000000000001</v>
      </c>
    </row>
    <row r="2623" spans="1:10">
      <c r="A2623" s="7" t="s">
        <v>1619</v>
      </c>
      <c r="B2623" s="7" t="s">
        <v>4490</v>
      </c>
      <c r="C2623" s="8">
        <f>QS.CONTEXT.CREATE("market.2621",A2623,"USD","SOFR")</f>
        <v/>
      </c>
      <c r="D2623" s="8">
        <f>QS.CONTEXT.ADD.CURVE(C2623,"SOFR",$K$2:$K$7,$L$2:$L$7,,,"Actual360","LogLinear",TRUE)</f>
        <v/>
      </c>
      <c r="E2623" s="8">
        <f>QS.INSTRUMENT.SWAP("swap.2621",C2623,H2623,B2623,"USD","SOFR",I2623,J2623,0,"Actual360","Simple","Annual","Annual","Annual")</f>
        <v/>
      </c>
      <c r="F2623" s="8">
        <f>QS.TRADE.CREATE("trade.2621",C2623,E2623,A2623,"Receive")</f>
        <v/>
      </c>
      <c r="G2623" s="5"/>
      <c r="H2623" s="7" t="s">
        <v>1633</v>
      </c>
      <c r="I2623" s="9">
        <v>1262100</v>
      </c>
      <c r="J2623" s="10">
        <v>0.0371</v>
      </c>
    </row>
    <row r="2624" spans="1:10">
      <c r="A2624" s="7" t="s">
        <v>1621</v>
      </c>
      <c r="B2624" s="7" t="s">
        <v>4491</v>
      </c>
      <c r="C2624" s="8">
        <f>QS.CONTEXT.CREATE("market.2622",A2624,"USD","SOFR")</f>
        <v/>
      </c>
      <c r="D2624" s="8">
        <f>QS.CONTEXT.ADD.CURVE(C2624,"SOFR",$K$2:$K$7,$L$2:$L$7,,,"Actual360","LogLinear",TRUE)</f>
        <v/>
      </c>
      <c r="E2624" s="8">
        <f>QS.INSTRUMENT.SWAP("swap.2622",C2624,H2624,B2624,"USD","SOFR",I2624,J2624,0,"Actual360","Simple","Annual","Annual","Annual")</f>
        <v/>
      </c>
      <c r="F2624" s="8">
        <f>QS.TRADE.CREATE("trade.2622",C2624,E2624,A2624,"Receive")</f>
        <v/>
      </c>
      <c r="G2624" s="5"/>
      <c r="H2624" s="7" t="s">
        <v>1635</v>
      </c>
      <c r="I2624" s="9">
        <v>1262200</v>
      </c>
      <c r="J2624" s="10">
        <v>0.0372</v>
      </c>
    </row>
    <row r="2625" spans="1:10">
      <c r="A2625" s="7" t="s">
        <v>1623</v>
      </c>
      <c r="B2625" s="7" t="s">
        <v>4492</v>
      </c>
      <c r="C2625" s="8">
        <f>QS.CONTEXT.CREATE("market.2623",A2625,"USD","SOFR")</f>
        <v/>
      </c>
      <c r="D2625" s="8">
        <f>QS.CONTEXT.ADD.CURVE(C2625,"SOFR",$K$2:$K$7,$L$2:$L$7,,,"Actual360","LogLinear",TRUE)</f>
        <v/>
      </c>
      <c r="E2625" s="8">
        <f>QS.INSTRUMENT.SWAP("swap.2623",C2625,H2625,B2625,"USD","SOFR",I2625,J2625,0,"Actual360","Simple","Annual","Annual","Annual")</f>
        <v/>
      </c>
      <c r="F2625" s="8">
        <f>QS.TRADE.CREATE("trade.2623",C2625,E2625,A2625,"Receive")</f>
        <v/>
      </c>
      <c r="G2625" s="5"/>
      <c r="H2625" s="7" t="s">
        <v>1637</v>
      </c>
      <c r="I2625" s="9">
        <v>1262300</v>
      </c>
      <c r="J2625" s="10">
        <v>0.0373</v>
      </c>
    </row>
    <row r="2626" spans="1:10">
      <c r="A2626" s="7" t="s">
        <v>1625</v>
      </c>
      <c r="B2626" s="7" t="s">
        <v>4493</v>
      </c>
      <c r="C2626" s="8">
        <f>QS.CONTEXT.CREATE("market.2624",A2626,"USD","SOFR")</f>
        <v/>
      </c>
      <c r="D2626" s="8">
        <f>QS.CONTEXT.ADD.CURVE(C2626,"SOFR",$K$2:$K$7,$L$2:$L$7,,,"Actual360","LogLinear",TRUE)</f>
        <v/>
      </c>
      <c r="E2626" s="8">
        <f>QS.INSTRUMENT.SWAP("swap.2624",C2626,H2626,B2626,"USD","SOFR",I2626,J2626,0,"Actual360","Simple","Annual","Annual","Annual")</f>
        <v/>
      </c>
      <c r="F2626" s="8">
        <f>QS.TRADE.CREATE("trade.2624",C2626,E2626,A2626,"Receive")</f>
        <v/>
      </c>
      <c r="G2626" s="5"/>
      <c r="H2626" s="7" t="s">
        <v>1639</v>
      </c>
      <c r="I2626" s="9">
        <v>1262400</v>
      </c>
      <c r="J2626" s="10">
        <v>0.0374</v>
      </c>
    </row>
    <row r="2627" spans="1:10">
      <c r="A2627" s="7" t="s">
        <v>1627</v>
      </c>
      <c r="B2627" s="7" t="s">
        <v>4494</v>
      </c>
      <c r="C2627" s="8">
        <f>QS.CONTEXT.CREATE("market.2625",A2627,"USD","SOFR")</f>
        <v/>
      </c>
      <c r="D2627" s="8">
        <f>QS.CONTEXT.ADD.CURVE(C2627,"SOFR",$K$2:$K$7,$L$2:$L$7,,,"Actual360","LogLinear",TRUE)</f>
        <v/>
      </c>
      <c r="E2627" s="8">
        <f>QS.INSTRUMENT.SWAP("swap.2625",C2627,H2627,B2627,"USD","SOFR",I2627,J2627,0,"Actual360","Simple","Annual","Annual","Annual")</f>
        <v/>
      </c>
      <c r="F2627" s="8">
        <f>QS.TRADE.CREATE("trade.2625",C2627,E2627,A2627,"Receive")</f>
        <v/>
      </c>
      <c r="G2627" s="5"/>
      <c r="H2627" s="7" t="s">
        <v>1641</v>
      </c>
      <c r="I2627" s="9">
        <v>1262500</v>
      </c>
      <c r="J2627" s="10">
        <v>0.03750000000000001</v>
      </c>
    </row>
    <row r="2628" spans="1:10">
      <c r="A2628" s="7" t="s">
        <v>1629</v>
      </c>
      <c r="B2628" s="7" t="s">
        <v>4495</v>
      </c>
      <c r="C2628" s="8">
        <f>QS.CONTEXT.CREATE("market.2626",A2628,"USD","SOFR")</f>
        <v/>
      </c>
      <c r="D2628" s="8">
        <f>QS.CONTEXT.ADD.CURVE(C2628,"SOFR",$K$2:$K$7,$L$2:$L$7,,,"Actual360","LogLinear",TRUE)</f>
        <v/>
      </c>
      <c r="E2628" s="8">
        <f>QS.INSTRUMENT.SWAP("swap.2626",C2628,H2628,B2628,"USD","SOFR",I2628,J2628,0,"Actual360","Simple","Annual","Annual","Annual")</f>
        <v/>
      </c>
      <c r="F2628" s="8">
        <f>QS.TRADE.CREATE("trade.2626",C2628,E2628,A2628,"Receive")</f>
        <v/>
      </c>
      <c r="G2628" s="5"/>
      <c r="H2628" s="7" t="s">
        <v>1643</v>
      </c>
      <c r="I2628" s="9">
        <v>1262600</v>
      </c>
      <c r="J2628" s="10">
        <v>0.0376</v>
      </c>
    </row>
    <row r="2629" spans="1:10">
      <c r="A2629" s="7" t="s">
        <v>1631</v>
      </c>
      <c r="B2629" s="7" t="s">
        <v>4496</v>
      </c>
      <c r="C2629" s="8">
        <f>QS.CONTEXT.CREATE("market.2627",A2629,"USD","SOFR")</f>
        <v/>
      </c>
      <c r="D2629" s="8">
        <f>QS.CONTEXT.ADD.CURVE(C2629,"SOFR",$K$2:$K$7,$L$2:$L$7,,,"Actual360","LogLinear",TRUE)</f>
        <v/>
      </c>
      <c r="E2629" s="8">
        <f>QS.INSTRUMENT.SWAP("swap.2627",C2629,H2629,B2629,"USD","SOFR",I2629,J2629,0,"Actual360","Simple","Annual","Annual","Annual")</f>
        <v/>
      </c>
      <c r="F2629" s="8">
        <f>QS.TRADE.CREATE("trade.2627",C2629,E2629,A2629,"Receive")</f>
        <v/>
      </c>
      <c r="G2629" s="5"/>
      <c r="H2629" s="7" t="s">
        <v>1645</v>
      </c>
      <c r="I2629" s="9">
        <v>1262700</v>
      </c>
      <c r="J2629" s="10">
        <v>0.0377</v>
      </c>
    </row>
    <row r="2630" spans="1:10">
      <c r="A2630" s="7" t="s">
        <v>1633</v>
      </c>
      <c r="B2630" s="7" t="s">
        <v>4497</v>
      </c>
      <c r="C2630" s="8">
        <f>QS.CONTEXT.CREATE("market.2628",A2630,"USD","SOFR")</f>
        <v/>
      </c>
      <c r="D2630" s="8">
        <f>QS.CONTEXT.ADD.CURVE(C2630,"SOFR",$K$2:$K$7,$L$2:$L$7,,,"Actual360","LogLinear",TRUE)</f>
        <v/>
      </c>
      <c r="E2630" s="8">
        <f>QS.INSTRUMENT.SWAP("swap.2628",C2630,H2630,B2630,"USD","SOFR",I2630,J2630,0,"Actual360","Simple","Annual","Annual","Annual")</f>
        <v/>
      </c>
      <c r="F2630" s="8">
        <f>QS.TRADE.CREATE("trade.2628",C2630,E2630,A2630,"Receive")</f>
        <v/>
      </c>
      <c r="G2630" s="5"/>
      <c r="H2630" s="7" t="s">
        <v>1647</v>
      </c>
      <c r="I2630" s="9">
        <v>1262800</v>
      </c>
      <c r="J2630" s="10">
        <v>0.0378</v>
      </c>
    </row>
    <row r="2631" spans="1:10">
      <c r="A2631" s="7" t="s">
        <v>1635</v>
      </c>
      <c r="B2631" s="7" t="s">
        <v>4498</v>
      </c>
      <c r="C2631" s="8">
        <f>QS.CONTEXT.CREATE("market.2629",A2631,"USD","SOFR")</f>
        <v/>
      </c>
      <c r="D2631" s="8">
        <f>QS.CONTEXT.ADD.CURVE(C2631,"SOFR",$K$2:$K$7,$L$2:$L$7,,,"Actual360","LogLinear",TRUE)</f>
        <v/>
      </c>
      <c r="E2631" s="8">
        <f>QS.INSTRUMENT.SWAP("swap.2629",C2631,H2631,B2631,"USD","SOFR",I2631,J2631,0,"Actual360","Simple","Annual","Annual","Annual")</f>
        <v/>
      </c>
      <c r="F2631" s="8">
        <f>QS.TRADE.CREATE("trade.2629",C2631,E2631,A2631,"Receive")</f>
        <v/>
      </c>
      <c r="G2631" s="5"/>
      <c r="H2631" s="7" t="s">
        <v>1649</v>
      </c>
      <c r="I2631" s="9">
        <v>1262900</v>
      </c>
      <c r="J2631" s="10">
        <v>0.0379</v>
      </c>
    </row>
    <row r="2632" spans="1:10">
      <c r="A2632" s="7" t="s">
        <v>1637</v>
      </c>
      <c r="B2632" s="7" t="s">
        <v>4499</v>
      </c>
      <c r="C2632" s="8">
        <f>QS.CONTEXT.CREATE("market.2630",A2632,"USD","SOFR")</f>
        <v/>
      </c>
      <c r="D2632" s="8">
        <f>QS.CONTEXT.ADD.CURVE(C2632,"SOFR",$K$2:$K$7,$L$2:$L$7,,,"Actual360","LogLinear",TRUE)</f>
        <v/>
      </c>
      <c r="E2632" s="8">
        <f>QS.INSTRUMENT.SWAP("swap.2630",C2632,H2632,B2632,"USD","SOFR",I2632,J2632,0,"Actual360","Simple","Annual","Annual","Annual")</f>
        <v/>
      </c>
      <c r="F2632" s="8">
        <f>QS.TRADE.CREATE("trade.2630",C2632,E2632,A2632,"Receive")</f>
        <v/>
      </c>
      <c r="G2632" s="5"/>
      <c r="H2632" s="7" t="s">
        <v>1651</v>
      </c>
      <c r="I2632" s="9">
        <v>1263000</v>
      </c>
      <c r="J2632" s="10">
        <v>0.03800000000000001</v>
      </c>
    </row>
    <row r="2633" spans="1:10">
      <c r="A2633" s="7" t="s">
        <v>1639</v>
      </c>
      <c r="B2633" s="7" t="s">
        <v>4500</v>
      </c>
      <c r="C2633" s="8">
        <f>QS.CONTEXT.CREATE("market.2631",A2633,"USD","SOFR")</f>
        <v/>
      </c>
      <c r="D2633" s="8">
        <f>QS.CONTEXT.ADD.CURVE(C2633,"SOFR",$K$2:$K$7,$L$2:$L$7,,,"Actual360","LogLinear",TRUE)</f>
        <v/>
      </c>
      <c r="E2633" s="8">
        <f>QS.INSTRUMENT.SWAP("swap.2631",C2633,H2633,B2633,"USD","SOFR",I2633,J2633,0,"Actual360","Simple","Annual","Annual","Annual")</f>
        <v/>
      </c>
      <c r="F2633" s="8">
        <f>QS.TRADE.CREATE("trade.2631",C2633,E2633,A2633,"Receive")</f>
        <v/>
      </c>
      <c r="G2633" s="5"/>
      <c r="H2633" s="7" t="s">
        <v>1653</v>
      </c>
      <c r="I2633" s="9">
        <v>1263100</v>
      </c>
      <c r="J2633" s="10">
        <v>0.0381</v>
      </c>
    </row>
    <row r="2634" spans="1:10">
      <c r="A2634" s="7" t="s">
        <v>1641</v>
      </c>
      <c r="B2634" s="7" t="s">
        <v>4501</v>
      </c>
      <c r="C2634" s="8">
        <f>QS.CONTEXT.CREATE("market.2632",A2634,"USD","SOFR")</f>
        <v/>
      </c>
      <c r="D2634" s="8">
        <f>QS.CONTEXT.ADD.CURVE(C2634,"SOFR",$K$2:$K$7,$L$2:$L$7,,,"Actual360","LogLinear",TRUE)</f>
        <v/>
      </c>
      <c r="E2634" s="8">
        <f>QS.INSTRUMENT.SWAP("swap.2632",C2634,H2634,B2634,"USD","SOFR",I2634,J2634,0,"Actual360","Simple","Annual","Annual","Annual")</f>
        <v/>
      </c>
      <c r="F2634" s="8">
        <f>QS.TRADE.CREATE("trade.2632",C2634,E2634,A2634,"Receive")</f>
        <v/>
      </c>
      <c r="G2634" s="5"/>
      <c r="H2634" s="7" t="s">
        <v>1655</v>
      </c>
      <c r="I2634" s="9">
        <v>1263200</v>
      </c>
      <c r="J2634" s="10">
        <v>0.0382</v>
      </c>
    </row>
    <row r="2635" spans="1:10">
      <c r="A2635" s="7" t="s">
        <v>1643</v>
      </c>
      <c r="B2635" s="7" t="s">
        <v>4502</v>
      </c>
      <c r="C2635" s="8">
        <f>QS.CONTEXT.CREATE("market.2633",A2635,"USD","SOFR")</f>
        <v/>
      </c>
      <c r="D2635" s="8">
        <f>QS.CONTEXT.ADD.CURVE(C2635,"SOFR",$K$2:$K$7,$L$2:$L$7,,,"Actual360","LogLinear",TRUE)</f>
        <v/>
      </c>
      <c r="E2635" s="8">
        <f>QS.INSTRUMENT.SWAP("swap.2633",C2635,H2635,B2635,"USD","SOFR",I2635,J2635,0,"Actual360","Simple","Annual","Annual","Annual")</f>
        <v/>
      </c>
      <c r="F2635" s="8">
        <f>QS.TRADE.CREATE("trade.2633",C2635,E2635,A2635,"Receive")</f>
        <v/>
      </c>
      <c r="G2635" s="5"/>
      <c r="H2635" s="7" t="s">
        <v>1657</v>
      </c>
      <c r="I2635" s="9">
        <v>1263300</v>
      </c>
      <c r="J2635" s="10">
        <v>0.0383</v>
      </c>
    </row>
    <row r="2636" spans="1:10">
      <c r="A2636" s="7" t="s">
        <v>1645</v>
      </c>
      <c r="B2636" s="7" t="s">
        <v>4503</v>
      </c>
      <c r="C2636" s="8">
        <f>QS.CONTEXT.CREATE("market.2634",A2636,"USD","SOFR")</f>
        <v/>
      </c>
      <c r="D2636" s="8">
        <f>QS.CONTEXT.ADD.CURVE(C2636,"SOFR",$K$2:$K$7,$L$2:$L$7,,,"Actual360","LogLinear",TRUE)</f>
        <v/>
      </c>
      <c r="E2636" s="8">
        <f>QS.INSTRUMENT.SWAP("swap.2634",C2636,H2636,B2636,"USD","SOFR",I2636,J2636,0,"Actual360","Simple","Annual","Annual","Annual")</f>
        <v/>
      </c>
      <c r="F2636" s="8">
        <f>QS.TRADE.CREATE("trade.2634",C2636,E2636,A2636,"Receive")</f>
        <v/>
      </c>
      <c r="G2636" s="5"/>
      <c r="H2636" s="7" t="s">
        <v>1659</v>
      </c>
      <c r="I2636" s="9">
        <v>1263400</v>
      </c>
      <c r="J2636" s="10">
        <v>0.0384</v>
      </c>
    </row>
    <row r="2637" spans="1:10">
      <c r="A2637" s="7" t="s">
        <v>1647</v>
      </c>
      <c r="B2637" s="7" t="s">
        <v>4504</v>
      </c>
      <c r="C2637" s="8">
        <f>QS.CONTEXT.CREATE("market.2635",A2637,"USD","SOFR")</f>
        <v/>
      </c>
      <c r="D2637" s="8">
        <f>QS.CONTEXT.ADD.CURVE(C2637,"SOFR",$K$2:$K$7,$L$2:$L$7,,,"Actual360","LogLinear",TRUE)</f>
        <v/>
      </c>
      <c r="E2637" s="8">
        <f>QS.INSTRUMENT.SWAP("swap.2635",C2637,H2637,B2637,"USD","SOFR",I2637,J2637,0,"Actual360","Simple","Annual","Annual","Annual")</f>
        <v/>
      </c>
      <c r="F2637" s="8">
        <f>QS.TRADE.CREATE("trade.2635",C2637,E2637,A2637,"Receive")</f>
        <v/>
      </c>
      <c r="G2637" s="5"/>
      <c r="H2637" s="7" t="s">
        <v>1661</v>
      </c>
      <c r="I2637" s="9">
        <v>1263500</v>
      </c>
      <c r="J2637" s="10">
        <v>0.03850000000000001</v>
      </c>
    </row>
    <row r="2638" spans="1:10">
      <c r="A2638" s="7" t="s">
        <v>1649</v>
      </c>
      <c r="B2638" s="7" t="s">
        <v>4505</v>
      </c>
      <c r="C2638" s="8">
        <f>QS.CONTEXT.CREATE("market.2636",A2638,"USD","SOFR")</f>
        <v/>
      </c>
      <c r="D2638" s="8">
        <f>QS.CONTEXT.ADD.CURVE(C2638,"SOFR",$K$2:$K$7,$L$2:$L$7,,,"Actual360","LogLinear",TRUE)</f>
        <v/>
      </c>
      <c r="E2638" s="8">
        <f>QS.INSTRUMENT.SWAP("swap.2636",C2638,H2638,B2638,"USD","SOFR",I2638,J2638,0,"Actual360","Simple","Annual","Annual","Annual")</f>
        <v/>
      </c>
      <c r="F2638" s="8">
        <f>QS.TRADE.CREATE("trade.2636",C2638,E2638,A2638,"Receive")</f>
        <v/>
      </c>
      <c r="G2638" s="5"/>
      <c r="H2638" s="7" t="s">
        <v>1663</v>
      </c>
      <c r="I2638" s="9">
        <v>1263600</v>
      </c>
      <c r="J2638" s="10">
        <v>0.0386</v>
      </c>
    </row>
    <row r="2639" spans="1:10">
      <c r="A2639" s="7" t="s">
        <v>1651</v>
      </c>
      <c r="B2639" s="7" t="s">
        <v>4506</v>
      </c>
      <c r="C2639" s="8">
        <f>QS.CONTEXT.CREATE("market.2637",A2639,"USD","SOFR")</f>
        <v/>
      </c>
      <c r="D2639" s="8">
        <f>QS.CONTEXT.ADD.CURVE(C2639,"SOFR",$K$2:$K$7,$L$2:$L$7,,,"Actual360","LogLinear",TRUE)</f>
        <v/>
      </c>
      <c r="E2639" s="8">
        <f>QS.INSTRUMENT.SWAP("swap.2637",C2639,H2639,B2639,"USD","SOFR",I2639,J2639,0,"Actual360","Simple","Annual","Annual","Annual")</f>
        <v/>
      </c>
      <c r="F2639" s="8">
        <f>QS.TRADE.CREATE("trade.2637",C2639,E2639,A2639,"Receive")</f>
        <v/>
      </c>
      <c r="G2639" s="5"/>
      <c r="H2639" s="7" t="s">
        <v>1665</v>
      </c>
      <c r="I2639" s="9">
        <v>1263700</v>
      </c>
      <c r="J2639" s="10">
        <v>0.03870000000000001</v>
      </c>
    </row>
    <row r="2640" spans="1:10">
      <c r="A2640" s="7" t="s">
        <v>1653</v>
      </c>
      <c r="B2640" s="7" t="s">
        <v>4507</v>
      </c>
      <c r="C2640" s="8">
        <f>QS.CONTEXT.CREATE("market.2638",A2640,"USD","SOFR")</f>
        <v/>
      </c>
      <c r="D2640" s="8">
        <f>QS.CONTEXT.ADD.CURVE(C2640,"SOFR",$K$2:$K$7,$L$2:$L$7,,,"Actual360","LogLinear",TRUE)</f>
        <v/>
      </c>
      <c r="E2640" s="8">
        <f>QS.INSTRUMENT.SWAP("swap.2638",C2640,H2640,B2640,"USD","SOFR",I2640,J2640,0,"Actual360","Simple","Annual","Annual","Annual")</f>
        <v/>
      </c>
      <c r="F2640" s="8">
        <f>QS.TRADE.CREATE("trade.2638",C2640,E2640,A2640,"Receive")</f>
        <v/>
      </c>
      <c r="G2640" s="5"/>
      <c r="H2640" s="7" t="s">
        <v>1667</v>
      </c>
      <c r="I2640" s="9">
        <v>1263800</v>
      </c>
      <c r="J2640" s="10">
        <v>0.0388</v>
      </c>
    </row>
    <row r="2641" spans="1:10">
      <c r="A2641" s="7" t="s">
        <v>1655</v>
      </c>
      <c r="B2641" s="7" t="s">
        <v>4508</v>
      </c>
      <c r="C2641" s="8">
        <f>QS.CONTEXT.CREATE("market.2639",A2641,"USD","SOFR")</f>
        <v/>
      </c>
      <c r="D2641" s="8">
        <f>QS.CONTEXT.ADD.CURVE(C2641,"SOFR",$K$2:$K$7,$L$2:$L$7,,,"Actual360","LogLinear",TRUE)</f>
        <v/>
      </c>
      <c r="E2641" s="8">
        <f>QS.INSTRUMENT.SWAP("swap.2639",C2641,H2641,B2641,"USD","SOFR",I2641,J2641,0,"Actual360","Simple","Annual","Annual","Annual")</f>
        <v/>
      </c>
      <c r="F2641" s="8">
        <f>QS.TRADE.CREATE("trade.2639",C2641,E2641,A2641,"Receive")</f>
        <v/>
      </c>
      <c r="G2641" s="5"/>
      <c r="H2641" s="7" t="s">
        <v>1669</v>
      </c>
      <c r="I2641" s="9">
        <v>1263900</v>
      </c>
      <c r="J2641" s="10">
        <v>0.0389</v>
      </c>
    </row>
    <row r="2642" spans="1:10">
      <c r="A2642" s="7" t="s">
        <v>1657</v>
      </c>
      <c r="B2642" s="7" t="s">
        <v>4509</v>
      </c>
      <c r="C2642" s="8">
        <f>QS.CONTEXT.CREATE("market.2640",A2642,"USD","SOFR")</f>
        <v/>
      </c>
      <c r="D2642" s="8">
        <f>QS.CONTEXT.ADD.CURVE(C2642,"SOFR",$K$2:$K$7,$L$2:$L$7,,,"Actual360","LogLinear",TRUE)</f>
        <v/>
      </c>
      <c r="E2642" s="8">
        <f>QS.INSTRUMENT.SWAP("swap.2640",C2642,H2642,B2642,"USD","SOFR",I2642,J2642,0,"Actual360","Simple","Annual","Annual","Annual")</f>
        <v/>
      </c>
      <c r="F2642" s="8">
        <f>QS.TRADE.CREATE("trade.2640",C2642,E2642,A2642,"Receive")</f>
        <v/>
      </c>
      <c r="G2642" s="5"/>
      <c r="H2642" s="7" t="s">
        <v>1671</v>
      </c>
      <c r="I2642" s="9">
        <v>1264000</v>
      </c>
      <c r="J2642" s="10">
        <v>0.03900000000000001</v>
      </c>
    </row>
    <row r="2643" spans="1:10">
      <c r="A2643" s="7" t="s">
        <v>1659</v>
      </c>
      <c r="B2643" s="7" t="s">
        <v>4510</v>
      </c>
      <c r="C2643" s="8">
        <f>QS.CONTEXT.CREATE("market.2641",A2643,"USD","SOFR")</f>
        <v/>
      </c>
      <c r="D2643" s="8">
        <f>QS.CONTEXT.ADD.CURVE(C2643,"SOFR",$K$2:$K$7,$L$2:$L$7,,,"Actual360","LogLinear",TRUE)</f>
        <v/>
      </c>
      <c r="E2643" s="8">
        <f>QS.INSTRUMENT.SWAP("swap.2641",C2643,H2643,B2643,"USD","SOFR",I2643,J2643,0,"Actual360","Simple","Annual","Annual","Annual")</f>
        <v/>
      </c>
      <c r="F2643" s="8">
        <f>QS.TRADE.CREATE("trade.2641",C2643,E2643,A2643,"Receive")</f>
        <v/>
      </c>
      <c r="G2643" s="5"/>
      <c r="H2643" s="7" t="s">
        <v>1673</v>
      </c>
      <c r="I2643" s="9">
        <v>1264100</v>
      </c>
      <c r="J2643" s="10">
        <v>0.0391</v>
      </c>
    </row>
    <row r="2644" spans="1:10">
      <c r="A2644" s="7" t="s">
        <v>1661</v>
      </c>
      <c r="B2644" s="7" t="s">
        <v>4511</v>
      </c>
      <c r="C2644" s="8">
        <f>QS.CONTEXT.CREATE("market.2642",A2644,"USD","SOFR")</f>
        <v/>
      </c>
      <c r="D2644" s="8">
        <f>QS.CONTEXT.ADD.CURVE(C2644,"SOFR",$K$2:$K$7,$L$2:$L$7,,,"Actual360","LogLinear",TRUE)</f>
        <v/>
      </c>
      <c r="E2644" s="8">
        <f>QS.INSTRUMENT.SWAP("swap.2642",C2644,H2644,B2644,"USD","SOFR",I2644,J2644,0,"Actual360","Simple","Annual","Annual","Annual")</f>
        <v/>
      </c>
      <c r="F2644" s="8">
        <f>QS.TRADE.CREATE("trade.2642",C2644,E2644,A2644,"Receive")</f>
        <v/>
      </c>
      <c r="G2644" s="5"/>
      <c r="H2644" s="7" t="s">
        <v>1675</v>
      </c>
      <c r="I2644" s="9">
        <v>1264200</v>
      </c>
      <c r="J2644" s="10">
        <v>0.03920000000000001</v>
      </c>
    </row>
    <row r="2645" spans="1:10">
      <c r="A2645" s="7" t="s">
        <v>1663</v>
      </c>
      <c r="B2645" s="7" t="s">
        <v>4512</v>
      </c>
      <c r="C2645" s="8">
        <f>QS.CONTEXT.CREATE("market.2643",A2645,"USD","SOFR")</f>
        <v/>
      </c>
      <c r="D2645" s="8">
        <f>QS.CONTEXT.ADD.CURVE(C2645,"SOFR",$K$2:$K$7,$L$2:$L$7,,,"Actual360","LogLinear",TRUE)</f>
        <v/>
      </c>
      <c r="E2645" s="8">
        <f>QS.INSTRUMENT.SWAP("swap.2643",C2645,H2645,B2645,"USD","SOFR",I2645,J2645,0,"Actual360","Simple","Annual","Annual","Annual")</f>
        <v/>
      </c>
      <c r="F2645" s="8">
        <f>QS.TRADE.CREATE("trade.2643",C2645,E2645,A2645,"Receive")</f>
        <v/>
      </c>
      <c r="G2645" s="5"/>
      <c r="H2645" s="7" t="s">
        <v>1677</v>
      </c>
      <c r="I2645" s="9">
        <v>1264300</v>
      </c>
      <c r="J2645" s="10">
        <v>0.0393</v>
      </c>
    </row>
    <row r="2646" spans="1:10">
      <c r="A2646" s="7" t="s">
        <v>1665</v>
      </c>
      <c r="B2646" s="7" t="s">
        <v>4513</v>
      </c>
      <c r="C2646" s="8">
        <f>QS.CONTEXT.CREATE("market.2644",A2646,"USD","SOFR")</f>
        <v/>
      </c>
      <c r="D2646" s="8">
        <f>QS.CONTEXT.ADD.CURVE(C2646,"SOFR",$K$2:$K$7,$L$2:$L$7,,,"Actual360","LogLinear",TRUE)</f>
        <v/>
      </c>
      <c r="E2646" s="8">
        <f>QS.INSTRUMENT.SWAP("swap.2644",C2646,H2646,B2646,"USD","SOFR",I2646,J2646,0,"Actual360","Simple","Annual","Annual","Annual")</f>
        <v/>
      </c>
      <c r="F2646" s="8">
        <f>QS.TRADE.CREATE("trade.2644",C2646,E2646,A2646,"Receive")</f>
        <v/>
      </c>
      <c r="G2646" s="5"/>
      <c r="H2646" s="7" t="s">
        <v>1679</v>
      </c>
      <c r="I2646" s="9">
        <v>1264400</v>
      </c>
      <c r="J2646" s="10">
        <v>0.0394</v>
      </c>
    </row>
    <row r="2647" spans="1:10">
      <c r="A2647" s="7" t="s">
        <v>1667</v>
      </c>
      <c r="B2647" s="7" t="s">
        <v>4514</v>
      </c>
      <c r="C2647" s="8">
        <f>QS.CONTEXT.CREATE("market.2645",A2647,"USD","SOFR")</f>
        <v/>
      </c>
      <c r="D2647" s="8">
        <f>QS.CONTEXT.ADD.CURVE(C2647,"SOFR",$K$2:$K$7,$L$2:$L$7,,,"Actual360","LogLinear",TRUE)</f>
        <v/>
      </c>
      <c r="E2647" s="8">
        <f>QS.INSTRUMENT.SWAP("swap.2645",C2647,H2647,B2647,"USD","SOFR",I2647,J2647,0,"Actual360","Simple","Annual","Annual","Annual")</f>
        <v/>
      </c>
      <c r="F2647" s="8">
        <f>QS.TRADE.CREATE("trade.2645",C2647,E2647,A2647,"Receive")</f>
        <v/>
      </c>
      <c r="G2647" s="5"/>
      <c r="H2647" s="7" t="s">
        <v>1681</v>
      </c>
      <c r="I2647" s="9">
        <v>1264500</v>
      </c>
      <c r="J2647" s="10">
        <v>0.03950000000000001</v>
      </c>
    </row>
    <row r="2648" spans="1:10">
      <c r="A2648" s="7" t="s">
        <v>1669</v>
      </c>
      <c r="B2648" s="7" t="s">
        <v>4515</v>
      </c>
      <c r="C2648" s="8">
        <f>QS.CONTEXT.CREATE("market.2646",A2648,"USD","SOFR")</f>
        <v/>
      </c>
      <c r="D2648" s="8">
        <f>QS.CONTEXT.ADD.CURVE(C2648,"SOFR",$K$2:$K$7,$L$2:$L$7,,,"Actual360","LogLinear",TRUE)</f>
        <v/>
      </c>
      <c r="E2648" s="8">
        <f>QS.INSTRUMENT.SWAP("swap.2646",C2648,H2648,B2648,"USD","SOFR",I2648,J2648,0,"Actual360","Simple","Annual","Annual","Annual")</f>
        <v/>
      </c>
      <c r="F2648" s="8">
        <f>QS.TRADE.CREATE("trade.2646",C2648,E2648,A2648,"Receive")</f>
        <v/>
      </c>
      <c r="G2648" s="5"/>
      <c r="H2648" s="7" t="s">
        <v>1683</v>
      </c>
      <c r="I2648" s="9">
        <v>1264600</v>
      </c>
      <c r="J2648" s="10">
        <v>0.0396</v>
      </c>
    </row>
    <row r="2649" spans="1:10">
      <c r="A2649" s="7" t="s">
        <v>1671</v>
      </c>
      <c r="B2649" s="7" t="s">
        <v>4516</v>
      </c>
      <c r="C2649" s="8">
        <f>QS.CONTEXT.CREATE("market.2647",A2649,"USD","SOFR")</f>
        <v/>
      </c>
      <c r="D2649" s="8">
        <f>QS.CONTEXT.ADD.CURVE(C2649,"SOFR",$K$2:$K$7,$L$2:$L$7,,,"Actual360","LogLinear",TRUE)</f>
        <v/>
      </c>
      <c r="E2649" s="8">
        <f>QS.INSTRUMENT.SWAP("swap.2647",C2649,H2649,B2649,"USD","SOFR",I2649,J2649,0,"Actual360","Simple","Annual","Annual","Annual")</f>
        <v/>
      </c>
      <c r="F2649" s="8">
        <f>QS.TRADE.CREATE("trade.2647",C2649,E2649,A2649,"Receive")</f>
        <v/>
      </c>
      <c r="G2649" s="5"/>
      <c r="H2649" s="7" t="s">
        <v>1685</v>
      </c>
      <c r="I2649" s="9">
        <v>1264700</v>
      </c>
      <c r="J2649" s="10">
        <v>0.03970000000000001</v>
      </c>
    </row>
    <row r="2650" spans="1:10">
      <c r="A2650" s="7" t="s">
        <v>1673</v>
      </c>
      <c r="B2650" s="7" t="s">
        <v>4517</v>
      </c>
      <c r="C2650" s="8">
        <f>QS.CONTEXT.CREATE("market.2648",A2650,"USD","SOFR")</f>
        <v/>
      </c>
      <c r="D2650" s="8">
        <f>QS.CONTEXT.ADD.CURVE(C2650,"SOFR",$K$2:$K$7,$L$2:$L$7,,,"Actual360","LogLinear",TRUE)</f>
        <v/>
      </c>
      <c r="E2650" s="8">
        <f>QS.INSTRUMENT.SWAP("swap.2648",C2650,H2650,B2650,"USD","SOFR",I2650,J2650,0,"Actual360","Simple","Annual","Annual","Annual")</f>
        <v/>
      </c>
      <c r="F2650" s="8">
        <f>QS.TRADE.CREATE("trade.2648",C2650,E2650,A2650,"Receive")</f>
        <v/>
      </c>
      <c r="G2650" s="5"/>
      <c r="H2650" s="7" t="s">
        <v>1687</v>
      </c>
      <c r="I2650" s="9">
        <v>1264800</v>
      </c>
      <c r="J2650" s="10">
        <v>0.0398</v>
      </c>
    </row>
    <row r="2651" spans="1:10">
      <c r="A2651" s="7" t="s">
        <v>1675</v>
      </c>
      <c r="B2651" s="7" t="s">
        <v>4518</v>
      </c>
      <c r="C2651" s="8">
        <f>QS.CONTEXT.CREATE("market.2649",A2651,"USD","SOFR")</f>
        <v/>
      </c>
      <c r="D2651" s="8">
        <f>QS.CONTEXT.ADD.CURVE(C2651,"SOFR",$K$2:$K$7,$L$2:$L$7,,,"Actual360","LogLinear",TRUE)</f>
        <v/>
      </c>
      <c r="E2651" s="8">
        <f>QS.INSTRUMENT.SWAP("swap.2649",C2651,H2651,B2651,"USD","SOFR",I2651,J2651,0,"Actual360","Simple","Annual","Annual","Annual")</f>
        <v/>
      </c>
      <c r="F2651" s="8">
        <f>QS.TRADE.CREATE("trade.2649",C2651,E2651,A2651,"Receive")</f>
        <v/>
      </c>
      <c r="G2651" s="5"/>
      <c r="H2651" s="7" t="s">
        <v>1689</v>
      </c>
      <c r="I2651" s="9">
        <v>1264900</v>
      </c>
      <c r="J2651" s="10">
        <v>0.0399</v>
      </c>
    </row>
    <row r="2652" spans="1:10">
      <c r="A2652" s="7" t="s">
        <v>1677</v>
      </c>
      <c r="B2652" s="7" t="s">
        <v>4519</v>
      </c>
      <c r="C2652" s="8">
        <f>QS.CONTEXT.CREATE("market.2650",A2652,"USD","SOFR")</f>
        <v/>
      </c>
      <c r="D2652" s="8">
        <f>QS.CONTEXT.ADD.CURVE(C2652,"SOFR",$K$2:$K$7,$L$2:$L$7,,,"Actual360","LogLinear",TRUE)</f>
        <v/>
      </c>
      <c r="E2652" s="8">
        <f>QS.INSTRUMENT.SWAP("swap.2650",C2652,H2652,B2652,"USD","SOFR",I2652,J2652,0,"Actual360","Simple","Annual","Annual","Annual")</f>
        <v/>
      </c>
      <c r="F2652" s="8">
        <f>QS.TRADE.CREATE("trade.2650",C2652,E2652,A2652,"Receive")</f>
        <v/>
      </c>
      <c r="G2652" s="5"/>
      <c r="H2652" s="7" t="s">
        <v>1691</v>
      </c>
      <c r="I2652" s="9">
        <v>1265000</v>
      </c>
      <c r="J2652" s="10">
        <v>0.035</v>
      </c>
    </row>
    <row r="2653" spans="1:10">
      <c r="A2653" s="7" t="s">
        <v>1679</v>
      </c>
      <c r="B2653" s="7" t="s">
        <v>4520</v>
      </c>
      <c r="C2653" s="8">
        <f>QS.CONTEXT.CREATE("market.2651",A2653,"USD","SOFR")</f>
        <v/>
      </c>
      <c r="D2653" s="8">
        <f>QS.CONTEXT.ADD.CURVE(C2653,"SOFR",$K$2:$K$7,$L$2:$L$7,,,"Actual360","LogLinear",TRUE)</f>
        <v/>
      </c>
      <c r="E2653" s="8">
        <f>QS.INSTRUMENT.SWAP("swap.2651",C2653,H2653,B2653,"USD","SOFR",I2653,J2653,0,"Actual360","Simple","Annual","Annual","Annual")</f>
        <v/>
      </c>
      <c r="F2653" s="8">
        <f>QS.TRADE.CREATE("trade.2651",C2653,E2653,A2653,"Receive")</f>
        <v/>
      </c>
      <c r="G2653" s="5"/>
      <c r="H2653" s="7" t="s">
        <v>1693</v>
      </c>
      <c r="I2653" s="9">
        <v>1265100</v>
      </c>
      <c r="J2653" s="10">
        <v>0.03510000000000001</v>
      </c>
    </row>
    <row r="2654" spans="1:10">
      <c r="A2654" s="7" t="s">
        <v>1681</v>
      </c>
      <c r="B2654" s="7" t="s">
        <v>4521</v>
      </c>
      <c r="C2654" s="8">
        <f>QS.CONTEXT.CREATE("market.2652",A2654,"USD","SOFR")</f>
        <v/>
      </c>
      <c r="D2654" s="8">
        <f>QS.CONTEXT.ADD.CURVE(C2654,"SOFR",$K$2:$K$7,$L$2:$L$7,,,"Actual360","LogLinear",TRUE)</f>
        <v/>
      </c>
      <c r="E2654" s="8">
        <f>QS.INSTRUMENT.SWAP("swap.2652",C2654,H2654,B2654,"USD","SOFR",I2654,J2654,0,"Actual360","Simple","Annual","Annual","Annual")</f>
        <v/>
      </c>
      <c r="F2654" s="8">
        <f>QS.TRADE.CREATE("trade.2652",C2654,E2654,A2654,"Receive")</f>
        <v/>
      </c>
      <c r="G2654" s="5"/>
      <c r="H2654" s="7" t="s">
        <v>1695</v>
      </c>
      <c r="I2654" s="9">
        <v>1265200</v>
      </c>
      <c r="J2654" s="10">
        <v>0.0352</v>
      </c>
    </row>
    <row r="2655" spans="1:10">
      <c r="A2655" s="7" t="s">
        <v>1683</v>
      </c>
      <c r="B2655" s="7" t="s">
        <v>4522</v>
      </c>
      <c r="C2655" s="8">
        <f>QS.CONTEXT.CREATE("market.2653",A2655,"USD","SOFR")</f>
        <v/>
      </c>
      <c r="D2655" s="8">
        <f>QS.CONTEXT.ADD.CURVE(C2655,"SOFR",$K$2:$K$7,$L$2:$L$7,,,"Actual360","LogLinear",TRUE)</f>
        <v/>
      </c>
      <c r="E2655" s="8">
        <f>QS.INSTRUMENT.SWAP("swap.2653",C2655,H2655,B2655,"USD","SOFR",I2655,J2655,0,"Actual360","Simple","Annual","Annual","Annual")</f>
        <v/>
      </c>
      <c r="F2655" s="8">
        <f>QS.TRADE.CREATE("trade.2653",C2655,E2655,A2655,"Receive")</f>
        <v/>
      </c>
      <c r="G2655" s="5"/>
      <c r="H2655" s="7" t="s">
        <v>1697</v>
      </c>
      <c r="I2655" s="9">
        <v>1265300</v>
      </c>
      <c r="J2655" s="10">
        <v>0.0353</v>
      </c>
    </row>
    <row r="2656" spans="1:10">
      <c r="A2656" s="7" t="s">
        <v>1685</v>
      </c>
      <c r="B2656" s="7" t="s">
        <v>4523</v>
      </c>
      <c r="C2656" s="8">
        <f>QS.CONTEXT.CREATE("market.2654",A2656,"USD","SOFR")</f>
        <v/>
      </c>
      <c r="D2656" s="8">
        <f>QS.CONTEXT.ADD.CURVE(C2656,"SOFR",$K$2:$K$7,$L$2:$L$7,,,"Actual360","LogLinear",TRUE)</f>
        <v/>
      </c>
      <c r="E2656" s="8">
        <f>QS.INSTRUMENT.SWAP("swap.2654",C2656,H2656,B2656,"USD","SOFR",I2656,J2656,0,"Actual360","Simple","Annual","Annual","Annual")</f>
        <v/>
      </c>
      <c r="F2656" s="8">
        <f>QS.TRADE.CREATE("trade.2654",C2656,E2656,A2656,"Receive")</f>
        <v/>
      </c>
      <c r="G2656" s="5"/>
      <c r="H2656" s="7" t="s">
        <v>1699</v>
      </c>
      <c r="I2656" s="9">
        <v>1265400</v>
      </c>
      <c r="J2656" s="10">
        <v>0.0354</v>
      </c>
    </row>
    <row r="2657" spans="1:10">
      <c r="A2657" s="7" t="s">
        <v>1687</v>
      </c>
      <c r="B2657" s="7" t="s">
        <v>4524</v>
      </c>
      <c r="C2657" s="8">
        <f>QS.CONTEXT.CREATE("market.2655",A2657,"USD","SOFR")</f>
        <v/>
      </c>
      <c r="D2657" s="8">
        <f>QS.CONTEXT.ADD.CURVE(C2657,"SOFR",$K$2:$K$7,$L$2:$L$7,,,"Actual360","LogLinear",TRUE)</f>
        <v/>
      </c>
      <c r="E2657" s="8">
        <f>QS.INSTRUMENT.SWAP("swap.2655",C2657,H2657,B2657,"USD","SOFR",I2657,J2657,0,"Actual360","Simple","Annual","Annual","Annual")</f>
        <v/>
      </c>
      <c r="F2657" s="8">
        <f>QS.TRADE.CREATE("trade.2655",C2657,E2657,A2657,"Receive")</f>
        <v/>
      </c>
      <c r="G2657" s="5"/>
      <c r="H2657" s="7" t="s">
        <v>1701</v>
      </c>
      <c r="I2657" s="9">
        <v>1265500</v>
      </c>
      <c r="J2657" s="10">
        <v>0.0355</v>
      </c>
    </row>
    <row r="2658" spans="1:10">
      <c r="A2658" s="7" t="s">
        <v>1689</v>
      </c>
      <c r="B2658" s="7" t="s">
        <v>4525</v>
      </c>
      <c r="C2658" s="8">
        <f>QS.CONTEXT.CREATE("market.2656",A2658,"USD","SOFR")</f>
        <v/>
      </c>
      <c r="D2658" s="8">
        <f>QS.CONTEXT.ADD.CURVE(C2658,"SOFR",$K$2:$K$7,$L$2:$L$7,,,"Actual360","LogLinear",TRUE)</f>
        <v/>
      </c>
      <c r="E2658" s="8">
        <f>QS.INSTRUMENT.SWAP("swap.2656",C2658,H2658,B2658,"USD","SOFR",I2658,J2658,0,"Actual360","Simple","Annual","Annual","Annual")</f>
        <v/>
      </c>
      <c r="F2658" s="8">
        <f>QS.TRADE.CREATE("trade.2656",C2658,E2658,A2658,"Receive")</f>
        <v/>
      </c>
      <c r="G2658" s="5"/>
      <c r="H2658" s="7" t="s">
        <v>1703</v>
      </c>
      <c r="I2658" s="9">
        <v>1265600</v>
      </c>
      <c r="J2658" s="10">
        <v>0.03560000000000001</v>
      </c>
    </row>
    <row r="2659" spans="1:10">
      <c r="A2659" s="7" t="s">
        <v>1691</v>
      </c>
      <c r="B2659" s="7" t="s">
        <v>4526</v>
      </c>
      <c r="C2659" s="8">
        <f>QS.CONTEXT.CREATE("market.2657",A2659,"USD","SOFR")</f>
        <v/>
      </c>
      <c r="D2659" s="8">
        <f>QS.CONTEXT.ADD.CURVE(C2659,"SOFR",$K$2:$K$7,$L$2:$L$7,,,"Actual360","LogLinear",TRUE)</f>
        <v/>
      </c>
      <c r="E2659" s="8">
        <f>QS.INSTRUMENT.SWAP("swap.2657",C2659,H2659,B2659,"USD","SOFR",I2659,J2659,0,"Actual360","Simple","Annual","Annual","Annual")</f>
        <v/>
      </c>
      <c r="F2659" s="8">
        <f>QS.TRADE.CREATE("trade.2657",C2659,E2659,A2659,"Receive")</f>
        <v/>
      </c>
      <c r="G2659" s="5"/>
      <c r="H2659" s="7" t="s">
        <v>1705</v>
      </c>
      <c r="I2659" s="9">
        <v>1265700</v>
      </c>
      <c r="J2659" s="10">
        <v>0.0357</v>
      </c>
    </row>
    <row r="2660" spans="1:10">
      <c r="A2660" s="7" t="s">
        <v>1693</v>
      </c>
      <c r="B2660" s="7" t="s">
        <v>4527</v>
      </c>
      <c r="C2660" s="8">
        <f>QS.CONTEXT.CREATE("market.2658",A2660,"USD","SOFR")</f>
        <v/>
      </c>
      <c r="D2660" s="8">
        <f>QS.CONTEXT.ADD.CURVE(C2660,"SOFR",$K$2:$K$7,$L$2:$L$7,,,"Actual360","LogLinear",TRUE)</f>
        <v/>
      </c>
      <c r="E2660" s="8">
        <f>QS.INSTRUMENT.SWAP("swap.2658",C2660,H2660,B2660,"USD","SOFR",I2660,J2660,0,"Actual360","Simple","Annual","Annual","Annual")</f>
        <v/>
      </c>
      <c r="F2660" s="8">
        <f>QS.TRADE.CREATE("trade.2658",C2660,E2660,A2660,"Receive")</f>
        <v/>
      </c>
      <c r="G2660" s="5"/>
      <c r="H2660" s="7" t="s">
        <v>1707</v>
      </c>
      <c r="I2660" s="9">
        <v>1265800</v>
      </c>
      <c r="J2660" s="10">
        <v>0.03580000000000001</v>
      </c>
    </row>
    <row r="2661" spans="1:10">
      <c r="A2661" s="7" t="s">
        <v>1695</v>
      </c>
      <c r="B2661" s="7" t="s">
        <v>4528</v>
      </c>
      <c r="C2661" s="8">
        <f>QS.CONTEXT.CREATE("market.2659",A2661,"USD","SOFR")</f>
        <v/>
      </c>
      <c r="D2661" s="8">
        <f>QS.CONTEXT.ADD.CURVE(C2661,"SOFR",$K$2:$K$7,$L$2:$L$7,,,"Actual360","LogLinear",TRUE)</f>
        <v/>
      </c>
      <c r="E2661" s="8">
        <f>QS.INSTRUMENT.SWAP("swap.2659",C2661,H2661,B2661,"USD","SOFR",I2661,J2661,0,"Actual360","Simple","Annual","Annual","Annual")</f>
        <v/>
      </c>
      <c r="F2661" s="8">
        <f>QS.TRADE.CREATE("trade.2659",C2661,E2661,A2661,"Receive")</f>
        <v/>
      </c>
      <c r="G2661" s="5"/>
      <c r="H2661" s="7" t="s">
        <v>1709</v>
      </c>
      <c r="I2661" s="9">
        <v>1265900</v>
      </c>
      <c r="J2661" s="10">
        <v>0.0359</v>
      </c>
    </row>
    <row r="2662" spans="1:10">
      <c r="A2662" s="7" t="s">
        <v>1697</v>
      </c>
      <c r="B2662" s="7" t="s">
        <v>4529</v>
      </c>
      <c r="C2662" s="8">
        <f>QS.CONTEXT.CREATE("market.2660",A2662,"USD","SOFR")</f>
        <v/>
      </c>
      <c r="D2662" s="8">
        <f>QS.CONTEXT.ADD.CURVE(C2662,"SOFR",$K$2:$K$7,$L$2:$L$7,,,"Actual360","LogLinear",TRUE)</f>
        <v/>
      </c>
      <c r="E2662" s="8">
        <f>QS.INSTRUMENT.SWAP("swap.2660",C2662,H2662,B2662,"USD","SOFR",I2662,J2662,0,"Actual360","Simple","Annual","Annual","Annual")</f>
        <v/>
      </c>
      <c r="F2662" s="8">
        <f>QS.TRADE.CREATE("trade.2660",C2662,E2662,A2662,"Receive")</f>
        <v/>
      </c>
      <c r="G2662" s="5"/>
      <c r="H2662" s="7" t="s">
        <v>1711</v>
      </c>
      <c r="I2662" s="9">
        <v>1266000</v>
      </c>
      <c r="J2662" s="10">
        <v>0.036</v>
      </c>
    </row>
    <row r="2663" spans="1:10">
      <c r="A2663" s="7" t="s">
        <v>1699</v>
      </c>
      <c r="B2663" s="7" t="s">
        <v>4530</v>
      </c>
      <c r="C2663" s="8">
        <f>QS.CONTEXT.CREATE("market.2661",A2663,"USD","SOFR")</f>
        <v/>
      </c>
      <c r="D2663" s="8">
        <f>QS.CONTEXT.ADD.CURVE(C2663,"SOFR",$K$2:$K$7,$L$2:$L$7,,,"Actual360","LogLinear",TRUE)</f>
        <v/>
      </c>
      <c r="E2663" s="8">
        <f>QS.INSTRUMENT.SWAP("swap.2661",C2663,H2663,B2663,"USD","SOFR",I2663,J2663,0,"Actual360","Simple","Annual","Annual","Annual")</f>
        <v/>
      </c>
      <c r="F2663" s="8">
        <f>QS.TRADE.CREATE("trade.2661",C2663,E2663,A2663,"Receive")</f>
        <v/>
      </c>
      <c r="G2663" s="5"/>
      <c r="H2663" s="7" t="s">
        <v>1713</v>
      </c>
      <c r="I2663" s="9">
        <v>1266100</v>
      </c>
      <c r="J2663" s="10">
        <v>0.0361</v>
      </c>
    </row>
    <row r="2664" spans="1:10">
      <c r="A2664" s="7" t="s">
        <v>1701</v>
      </c>
      <c r="B2664" s="7" t="s">
        <v>4531</v>
      </c>
      <c r="C2664" s="8">
        <f>QS.CONTEXT.CREATE("market.2662",A2664,"USD","SOFR")</f>
        <v/>
      </c>
      <c r="D2664" s="8">
        <f>QS.CONTEXT.ADD.CURVE(C2664,"SOFR",$K$2:$K$7,$L$2:$L$7,,,"Actual360","LogLinear",TRUE)</f>
        <v/>
      </c>
      <c r="E2664" s="8">
        <f>QS.INSTRUMENT.SWAP("swap.2662",C2664,H2664,B2664,"USD","SOFR",I2664,J2664,0,"Actual360","Simple","Annual","Annual","Annual")</f>
        <v/>
      </c>
      <c r="F2664" s="8">
        <f>QS.TRADE.CREATE("trade.2662",C2664,E2664,A2664,"Receive")</f>
        <v/>
      </c>
      <c r="G2664" s="5"/>
      <c r="H2664" s="7" t="s">
        <v>1715</v>
      </c>
      <c r="I2664" s="9">
        <v>1266200</v>
      </c>
      <c r="J2664" s="10">
        <v>0.0362</v>
      </c>
    </row>
    <row r="2665" spans="1:10">
      <c r="A2665" s="7" t="s">
        <v>1703</v>
      </c>
      <c r="B2665" s="7" t="s">
        <v>4532</v>
      </c>
      <c r="C2665" s="8">
        <f>QS.CONTEXT.CREATE("market.2663",A2665,"USD","SOFR")</f>
        <v/>
      </c>
      <c r="D2665" s="8">
        <f>QS.CONTEXT.ADD.CURVE(C2665,"SOFR",$K$2:$K$7,$L$2:$L$7,,,"Actual360","LogLinear",TRUE)</f>
        <v/>
      </c>
      <c r="E2665" s="8">
        <f>QS.INSTRUMENT.SWAP("swap.2663",C2665,H2665,B2665,"USD","SOFR",I2665,J2665,0,"Actual360","Simple","Annual","Annual","Annual")</f>
        <v/>
      </c>
      <c r="F2665" s="8">
        <f>QS.TRADE.CREATE("trade.2663",C2665,E2665,A2665,"Receive")</f>
        <v/>
      </c>
      <c r="G2665" s="5"/>
      <c r="H2665" s="7" t="s">
        <v>1717</v>
      </c>
      <c r="I2665" s="9">
        <v>1266300</v>
      </c>
      <c r="J2665" s="10">
        <v>0.03630000000000001</v>
      </c>
    </row>
    <row r="2666" spans="1:10">
      <c r="A2666" s="7" t="s">
        <v>1705</v>
      </c>
      <c r="B2666" s="7" t="s">
        <v>4533</v>
      </c>
      <c r="C2666" s="8">
        <f>QS.CONTEXT.CREATE("market.2664",A2666,"USD","SOFR")</f>
        <v/>
      </c>
      <c r="D2666" s="8">
        <f>QS.CONTEXT.ADD.CURVE(C2666,"SOFR",$K$2:$K$7,$L$2:$L$7,,,"Actual360","LogLinear",TRUE)</f>
        <v/>
      </c>
      <c r="E2666" s="8">
        <f>QS.INSTRUMENT.SWAP("swap.2664",C2666,H2666,B2666,"USD","SOFR",I2666,J2666,0,"Actual360","Simple","Annual","Annual","Annual")</f>
        <v/>
      </c>
      <c r="F2666" s="8">
        <f>QS.TRADE.CREATE("trade.2664",C2666,E2666,A2666,"Receive")</f>
        <v/>
      </c>
      <c r="G2666" s="5"/>
      <c r="H2666" s="7" t="s">
        <v>1719</v>
      </c>
      <c r="I2666" s="9">
        <v>1266400</v>
      </c>
      <c r="J2666" s="10">
        <v>0.0364</v>
      </c>
    </row>
    <row r="2667" spans="1:10">
      <c r="A2667" s="7" t="s">
        <v>1707</v>
      </c>
      <c r="B2667" s="7" t="s">
        <v>4534</v>
      </c>
      <c r="C2667" s="8">
        <f>QS.CONTEXT.CREATE("market.2665",A2667,"USD","SOFR")</f>
        <v/>
      </c>
      <c r="D2667" s="8">
        <f>QS.CONTEXT.ADD.CURVE(C2667,"SOFR",$K$2:$K$7,$L$2:$L$7,,,"Actual360","LogLinear",TRUE)</f>
        <v/>
      </c>
      <c r="E2667" s="8">
        <f>QS.INSTRUMENT.SWAP("swap.2665",C2667,H2667,B2667,"USD","SOFR",I2667,J2667,0,"Actual360","Simple","Annual","Annual","Annual")</f>
        <v/>
      </c>
      <c r="F2667" s="8">
        <f>QS.TRADE.CREATE("trade.2665",C2667,E2667,A2667,"Receive")</f>
        <v/>
      </c>
      <c r="G2667" s="5"/>
      <c r="H2667" s="7" t="s">
        <v>1721</v>
      </c>
      <c r="I2667" s="9">
        <v>1266500</v>
      </c>
      <c r="J2667" s="10">
        <v>0.0365</v>
      </c>
    </row>
    <row r="2668" spans="1:10">
      <c r="A2668" s="7" t="s">
        <v>1709</v>
      </c>
      <c r="B2668" s="7" t="s">
        <v>4535</v>
      </c>
      <c r="C2668" s="8">
        <f>QS.CONTEXT.CREATE("market.2666",A2668,"USD","SOFR")</f>
        <v/>
      </c>
      <c r="D2668" s="8">
        <f>QS.CONTEXT.ADD.CURVE(C2668,"SOFR",$K$2:$K$7,$L$2:$L$7,,,"Actual360","LogLinear",TRUE)</f>
        <v/>
      </c>
      <c r="E2668" s="8">
        <f>QS.INSTRUMENT.SWAP("swap.2666",C2668,H2668,B2668,"USD","SOFR",I2668,J2668,0,"Actual360","Simple","Annual","Annual","Annual")</f>
        <v/>
      </c>
      <c r="F2668" s="8">
        <f>QS.TRADE.CREATE("trade.2666",C2668,E2668,A2668,"Receive")</f>
        <v/>
      </c>
      <c r="G2668" s="5"/>
      <c r="H2668" s="7" t="s">
        <v>1723</v>
      </c>
      <c r="I2668" s="9">
        <v>1266600</v>
      </c>
      <c r="J2668" s="10">
        <v>0.0366</v>
      </c>
    </row>
    <row r="2669" spans="1:10">
      <c r="A2669" s="7" t="s">
        <v>1711</v>
      </c>
      <c r="B2669" s="7" t="s">
        <v>4536</v>
      </c>
      <c r="C2669" s="8">
        <f>QS.CONTEXT.CREATE("market.2667",A2669,"USD","SOFR")</f>
        <v/>
      </c>
      <c r="D2669" s="8">
        <f>QS.CONTEXT.ADD.CURVE(C2669,"SOFR",$K$2:$K$7,$L$2:$L$7,,,"Actual360","LogLinear",TRUE)</f>
        <v/>
      </c>
      <c r="E2669" s="8">
        <f>QS.INSTRUMENT.SWAP("swap.2667",C2669,H2669,B2669,"USD","SOFR",I2669,J2669,0,"Actual360","Simple","Annual","Annual","Annual")</f>
        <v/>
      </c>
      <c r="F2669" s="8">
        <f>QS.TRADE.CREATE("trade.2667",C2669,E2669,A2669,"Receive")</f>
        <v/>
      </c>
      <c r="G2669" s="5"/>
      <c r="H2669" s="7" t="s">
        <v>1725</v>
      </c>
      <c r="I2669" s="9">
        <v>1266700</v>
      </c>
      <c r="J2669" s="10">
        <v>0.0367</v>
      </c>
    </row>
    <row r="2670" spans="1:10">
      <c r="A2670" s="7" t="s">
        <v>1713</v>
      </c>
      <c r="B2670" s="7" t="s">
        <v>4537</v>
      </c>
      <c r="C2670" s="8">
        <f>QS.CONTEXT.CREATE("market.2668",A2670,"USD","SOFR")</f>
        <v/>
      </c>
      <c r="D2670" s="8">
        <f>QS.CONTEXT.ADD.CURVE(C2670,"SOFR",$K$2:$K$7,$L$2:$L$7,,,"Actual360","LogLinear",TRUE)</f>
        <v/>
      </c>
      <c r="E2670" s="8">
        <f>QS.INSTRUMENT.SWAP("swap.2668",C2670,H2670,B2670,"USD","SOFR",I2670,J2670,0,"Actual360","Simple","Annual","Annual","Annual")</f>
        <v/>
      </c>
      <c r="F2670" s="8">
        <f>QS.TRADE.CREATE("trade.2668",C2670,E2670,A2670,"Receive")</f>
        <v/>
      </c>
      <c r="G2670" s="5"/>
      <c r="H2670" s="7" t="s">
        <v>1727</v>
      </c>
      <c r="I2670" s="9">
        <v>1266800</v>
      </c>
      <c r="J2670" s="10">
        <v>0.03680000000000001</v>
      </c>
    </row>
    <row r="2671" spans="1:10">
      <c r="A2671" s="7" t="s">
        <v>1715</v>
      </c>
      <c r="B2671" s="7" t="s">
        <v>4538</v>
      </c>
      <c r="C2671" s="8">
        <f>QS.CONTEXT.CREATE("market.2669",A2671,"USD","SOFR")</f>
        <v/>
      </c>
      <c r="D2671" s="8">
        <f>QS.CONTEXT.ADD.CURVE(C2671,"SOFR",$K$2:$K$7,$L$2:$L$7,,,"Actual360","LogLinear",TRUE)</f>
        <v/>
      </c>
      <c r="E2671" s="8">
        <f>QS.INSTRUMENT.SWAP("swap.2669",C2671,H2671,B2671,"USD","SOFR",I2671,J2671,0,"Actual360","Simple","Annual","Annual","Annual")</f>
        <v/>
      </c>
      <c r="F2671" s="8">
        <f>QS.TRADE.CREATE("trade.2669",C2671,E2671,A2671,"Receive")</f>
        <v/>
      </c>
      <c r="G2671" s="5"/>
      <c r="H2671" s="7" t="s">
        <v>1729</v>
      </c>
      <c r="I2671" s="9">
        <v>1266900</v>
      </c>
      <c r="J2671" s="10">
        <v>0.0369</v>
      </c>
    </row>
    <row r="2672" spans="1:10">
      <c r="A2672" s="7" t="s">
        <v>1717</v>
      </c>
      <c r="B2672" s="7" t="s">
        <v>4539</v>
      </c>
      <c r="C2672" s="8">
        <f>QS.CONTEXT.CREATE("market.2670",A2672,"USD","SOFR")</f>
        <v/>
      </c>
      <c r="D2672" s="8">
        <f>QS.CONTEXT.ADD.CURVE(C2672,"SOFR",$K$2:$K$7,$L$2:$L$7,,,"Actual360","LogLinear",TRUE)</f>
        <v/>
      </c>
      <c r="E2672" s="8">
        <f>QS.INSTRUMENT.SWAP("swap.2670",C2672,H2672,B2672,"USD","SOFR",I2672,J2672,0,"Actual360","Simple","Annual","Annual","Annual")</f>
        <v/>
      </c>
      <c r="F2672" s="8">
        <f>QS.TRADE.CREATE("trade.2670",C2672,E2672,A2672,"Receive")</f>
        <v/>
      </c>
      <c r="G2672" s="5"/>
      <c r="H2672" s="7" t="s">
        <v>1731</v>
      </c>
      <c r="I2672" s="9">
        <v>1267000</v>
      </c>
      <c r="J2672" s="10">
        <v>0.03700000000000001</v>
      </c>
    </row>
    <row r="2673" spans="1:10">
      <c r="A2673" s="7" t="s">
        <v>1719</v>
      </c>
      <c r="B2673" s="7" t="s">
        <v>4540</v>
      </c>
      <c r="C2673" s="8">
        <f>QS.CONTEXT.CREATE("market.2671",A2673,"USD","SOFR")</f>
        <v/>
      </c>
      <c r="D2673" s="8">
        <f>QS.CONTEXT.ADD.CURVE(C2673,"SOFR",$K$2:$K$7,$L$2:$L$7,,,"Actual360","LogLinear",TRUE)</f>
        <v/>
      </c>
      <c r="E2673" s="8">
        <f>QS.INSTRUMENT.SWAP("swap.2671",C2673,H2673,B2673,"USD","SOFR",I2673,J2673,0,"Actual360","Simple","Annual","Annual","Annual")</f>
        <v/>
      </c>
      <c r="F2673" s="8">
        <f>QS.TRADE.CREATE("trade.2671",C2673,E2673,A2673,"Receive")</f>
        <v/>
      </c>
      <c r="G2673" s="5"/>
      <c r="H2673" s="7" t="s">
        <v>1733</v>
      </c>
      <c r="I2673" s="9">
        <v>1267100</v>
      </c>
      <c r="J2673" s="10">
        <v>0.0371</v>
      </c>
    </row>
    <row r="2674" spans="1:10">
      <c r="A2674" s="7" t="s">
        <v>1721</v>
      </c>
      <c r="B2674" s="7" t="s">
        <v>4541</v>
      </c>
      <c r="C2674" s="8">
        <f>QS.CONTEXT.CREATE("market.2672",A2674,"USD","SOFR")</f>
        <v/>
      </c>
      <c r="D2674" s="8">
        <f>QS.CONTEXT.ADD.CURVE(C2674,"SOFR",$K$2:$K$7,$L$2:$L$7,,,"Actual360","LogLinear",TRUE)</f>
        <v/>
      </c>
      <c r="E2674" s="8">
        <f>QS.INSTRUMENT.SWAP("swap.2672",C2674,H2674,B2674,"USD","SOFR",I2674,J2674,0,"Actual360","Simple","Annual","Annual","Annual")</f>
        <v/>
      </c>
      <c r="F2674" s="8">
        <f>QS.TRADE.CREATE("trade.2672",C2674,E2674,A2674,"Receive")</f>
        <v/>
      </c>
      <c r="G2674" s="5"/>
      <c r="H2674" s="7" t="s">
        <v>1735</v>
      </c>
      <c r="I2674" s="9">
        <v>1267200</v>
      </c>
      <c r="J2674" s="10">
        <v>0.0372</v>
      </c>
    </row>
    <row r="2675" spans="1:10">
      <c r="A2675" s="7" t="s">
        <v>1723</v>
      </c>
      <c r="B2675" s="7" t="s">
        <v>4542</v>
      </c>
      <c r="C2675" s="8">
        <f>QS.CONTEXT.CREATE("market.2673",A2675,"USD","SOFR")</f>
        <v/>
      </c>
      <c r="D2675" s="8">
        <f>QS.CONTEXT.ADD.CURVE(C2675,"SOFR",$K$2:$K$7,$L$2:$L$7,,,"Actual360","LogLinear",TRUE)</f>
        <v/>
      </c>
      <c r="E2675" s="8">
        <f>QS.INSTRUMENT.SWAP("swap.2673",C2675,H2675,B2675,"USD","SOFR",I2675,J2675,0,"Actual360","Simple","Annual","Annual","Annual")</f>
        <v/>
      </c>
      <c r="F2675" s="8">
        <f>QS.TRADE.CREATE("trade.2673",C2675,E2675,A2675,"Receive")</f>
        <v/>
      </c>
      <c r="G2675" s="5"/>
      <c r="H2675" s="7" t="s">
        <v>1737</v>
      </c>
      <c r="I2675" s="9">
        <v>1267300</v>
      </c>
      <c r="J2675" s="10">
        <v>0.0373</v>
      </c>
    </row>
    <row r="2676" spans="1:10">
      <c r="A2676" s="7" t="s">
        <v>1725</v>
      </c>
      <c r="B2676" s="7" t="s">
        <v>4543</v>
      </c>
      <c r="C2676" s="8">
        <f>QS.CONTEXT.CREATE("market.2674",A2676,"USD","SOFR")</f>
        <v/>
      </c>
      <c r="D2676" s="8">
        <f>QS.CONTEXT.ADD.CURVE(C2676,"SOFR",$K$2:$K$7,$L$2:$L$7,,,"Actual360","LogLinear",TRUE)</f>
        <v/>
      </c>
      <c r="E2676" s="8">
        <f>QS.INSTRUMENT.SWAP("swap.2674",C2676,H2676,B2676,"USD","SOFR",I2676,J2676,0,"Actual360","Simple","Annual","Annual","Annual")</f>
        <v/>
      </c>
      <c r="F2676" s="8">
        <f>QS.TRADE.CREATE("trade.2674",C2676,E2676,A2676,"Receive")</f>
        <v/>
      </c>
      <c r="G2676" s="5"/>
      <c r="H2676" s="7" t="s">
        <v>1739</v>
      </c>
      <c r="I2676" s="9">
        <v>1267400</v>
      </c>
      <c r="J2676" s="10">
        <v>0.0374</v>
      </c>
    </row>
    <row r="2677" spans="1:10">
      <c r="A2677" s="7" t="s">
        <v>1727</v>
      </c>
      <c r="B2677" s="7" t="s">
        <v>4544</v>
      </c>
      <c r="C2677" s="8">
        <f>QS.CONTEXT.CREATE("market.2675",A2677,"USD","SOFR")</f>
        <v/>
      </c>
      <c r="D2677" s="8">
        <f>QS.CONTEXT.ADD.CURVE(C2677,"SOFR",$K$2:$K$7,$L$2:$L$7,,,"Actual360","LogLinear",TRUE)</f>
        <v/>
      </c>
      <c r="E2677" s="8">
        <f>QS.INSTRUMENT.SWAP("swap.2675",C2677,H2677,B2677,"USD","SOFR",I2677,J2677,0,"Actual360","Simple","Annual","Annual","Annual")</f>
        <v/>
      </c>
      <c r="F2677" s="8">
        <f>QS.TRADE.CREATE("trade.2675",C2677,E2677,A2677,"Receive")</f>
        <v/>
      </c>
      <c r="G2677" s="5"/>
      <c r="H2677" s="7" t="s">
        <v>1741</v>
      </c>
      <c r="I2677" s="9">
        <v>1267500</v>
      </c>
      <c r="J2677" s="10">
        <v>0.03750000000000001</v>
      </c>
    </row>
    <row r="2678" spans="1:10">
      <c r="A2678" s="7" t="s">
        <v>1729</v>
      </c>
      <c r="B2678" s="7" t="s">
        <v>4545</v>
      </c>
      <c r="C2678" s="8">
        <f>QS.CONTEXT.CREATE("market.2676",A2678,"USD","SOFR")</f>
        <v/>
      </c>
      <c r="D2678" s="8">
        <f>QS.CONTEXT.ADD.CURVE(C2678,"SOFR",$K$2:$K$7,$L$2:$L$7,,,"Actual360","LogLinear",TRUE)</f>
        <v/>
      </c>
      <c r="E2678" s="8">
        <f>QS.INSTRUMENT.SWAP("swap.2676",C2678,H2678,B2678,"USD","SOFR",I2678,J2678,0,"Actual360","Simple","Annual","Annual","Annual")</f>
        <v/>
      </c>
      <c r="F2678" s="8">
        <f>QS.TRADE.CREATE("trade.2676",C2678,E2678,A2678,"Receive")</f>
        <v/>
      </c>
      <c r="G2678" s="5"/>
      <c r="H2678" s="7" t="s">
        <v>1743</v>
      </c>
      <c r="I2678" s="9">
        <v>1267600</v>
      </c>
      <c r="J2678" s="10">
        <v>0.0376</v>
      </c>
    </row>
    <row r="2679" spans="1:10">
      <c r="A2679" s="7" t="s">
        <v>1731</v>
      </c>
      <c r="B2679" s="7" t="s">
        <v>4546</v>
      </c>
      <c r="C2679" s="8">
        <f>QS.CONTEXT.CREATE("market.2677",A2679,"USD","SOFR")</f>
        <v/>
      </c>
      <c r="D2679" s="8">
        <f>QS.CONTEXT.ADD.CURVE(C2679,"SOFR",$K$2:$K$7,$L$2:$L$7,,,"Actual360","LogLinear",TRUE)</f>
        <v/>
      </c>
      <c r="E2679" s="8">
        <f>QS.INSTRUMENT.SWAP("swap.2677",C2679,H2679,B2679,"USD","SOFR",I2679,J2679,0,"Actual360","Simple","Annual","Annual","Annual")</f>
        <v/>
      </c>
      <c r="F2679" s="8">
        <f>QS.TRADE.CREATE("trade.2677",C2679,E2679,A2679,"Receive")</f>
        <v/>
      </c>
      <c r="G2679" s="5"/>
      <c r="H2679" s="7" t="s">
        <v>1745</v>
      </c>
      <c r="I2679" s="9">
        <v>1267700</v>
      </c>
      <c r="J2679" s="10">
        <v>0.0377</v>
      </c>
    </row>
    <row r="2680" spans="1:10">
      <c r="A2680" s="7" t="s">
        <v>1733</v>
      </c>
      <c r="B2680" s="7" t="s">
        <v>4547</v>
      </c>
      <c r="C2680" s="8">
        <f>QS.CONTEXT.CREATE("market.2678",A2680,"USD","SOFR")</f>
        <v/>
      </c>
      <c r="D2680" s="8">
        <f>QS.CONTEXT.ADD.CURVE(C2680,"SOFR",$K$2:$K$7,$L$2:$L$7,,,"Actual360","LogLinear",TRUE)</f>
        <v/>
      </c>
      <c r="E2680" s="8">
        <f>QS.INSTRUMENT.SWAP("swap.2678",C2680,H2680,B2680,"USD","SOFR",I2680,J2680,0,"Actual360","Simple","Annual","Annual","Annual")</f>
        <v/>
      </c>
      <c r="F2680" s="8">
        <f>QS.TRADE.CREATE("trade.2678",C2680,E2680,A2680,"Receive")</f>
        <v/>
      </c>
      <c r="G2680" s="5"/>
      <c r="H2680" s="7" t="s">
        <v>1747</v>
      </c>
      <c r="I2680" s="9">
        <v>1267800</v>
      </c>
      <c r="J2680" s="10">
        <v>0.0378</v>
      </c>
    </row>
    <row r="2681" spans="1:10">
      <c r="A2681" s="7" t="s">
        <v>1735</v>
      </c>
      <c r="B2681" s="7" t="s">
        <v>4548</v>
      </c>
      <c r="C2681" s="8">
        <f>QS.CONTEXT.CREATE("market.2679",A2681,"USD","SOFR")</f>
        <v/>
      </c>
      <c r="D2681" s="8">
        <f>QS.CONTEXT.ADD.CURVE(C2681,"SOFR",$K$2:$K$7,$L$2:$L$7,,,"Actual360","LogLinear",TRUE)</f>
        <v/>
      </c>
      <c r="E2681" s="8">
        <f>QS.INSTRUMENT.SWAP("swap.2679",C2681,H2681,B2681,"USD","SOFR",I2681,J2681,0,"Actual360","Simple","Annual","Annual","Annual")</f>
        <v/>
      </c>
      <c r="F2681" s="8">
        <f>QS.TRADE.CREATE("trade.2679",C2681,E2681,A2681,"Receive")</f>
        <v/>
      </c>
      <c r="G2681" s="5"/>
      <c r="H2681" s="7" t="s">
        <v>1749</v>
      </c>
      <c r="I2681" s="9">
        <v>1267900</v>
      </c>
      <c r="J2681" s="10">
        <v>0.0379</v>
      </c>
    </row>
    <row r="2682" spans="1:10">
      <c r="A2682" s="7" t="s">
        <v>1737</v>
      </c>
      <c r="B2682" s="7" t="s">
        <v>4549</v>
      </c>
      <c r="C2682" s="8">
        <f>QS.CONTEXT.CREATE("market.2680",A2682,"USD","SOFR")</f>
        <v/>
      </c>
      <c r="D2682" s="8">
        <f>QS.CONTEXT.ADD.CURVE(C2682,"SOFR",$K$2:$K$7,$L$2:$L$7,,,"Actual360","LogLinear",TRUE)</f>
        <v/>
      </c>
      <c r="E2682" s="8">
        <f>QS.INSTRUMENT.SWAP("swap.2680",C2682,H2682,B2682,"USD","SOFR",I2682,J2682,0,"Actual360","Simple","Annual","Annual","Annual")</f>
        <v/>
      </c>
      <c r="F2682" s="8">
        <f>QS.TRADE.CREATE("trade.2680",C2682,E2682,A2682,"Receive")</f>
        <v/>
      </c>
      <c r="G2682" s="5"/>
      <c r="H2682" s="7" t="s">
        <v>1751</v>
      </c>
      <c r="I2682" s="9">
        <v>1268000</v>
      </c>
      <c r="J2682" s="10">
        <v>0.03800000000000001</v>
      </c>
    </row>
    <row r="2683" spans="1:10">
      <c r="A2683" s="7" t="s">
        <v>1739</v>
      </c>
      <c r="B2683" s="7" t="s">
        <v>4550</v>
      </c>
      <c r="C2683" s="8">
        <f>QS.CONTEXT.CREATE("market.2681",A2683,"USD","SOFR")</f>
        <v/>
      </c>
      <c r="D2683" s="8">
        <f>QS.CONTEXT.ADD.CURVE(C2683,"SOFR",$K$2:$K$7,$L$2:$L$7,,,"Actual360","LogLinear",TRUE)</f>
        <v/>
      </c>
      <c r="E2683" s="8">
        <f>QS.INSTRUMENT.SWAP("swap.2681",C2683,H2683,B2683,"USD","SOFR",I2683,J2683,0,"Actual360","Simple","Annual","Annual","Annual")</f>
        <v/>
      </c>
      <c r="F2683" s="8">
        <f>QS.TRADE.CREATE("trade.2681",C2683,E2683,A2683,"Receive")</f>
        <v/>
      </c>
      <c r="G2683" s="5"/>
      <c r="H2683" s="7" t="s">
        <v>1753</v>
      </c>
      <c r="I2683" s="9">
        <v>1268100</v>
      </c>
      <c r="J2683" s="10">
        <v>0.0381</v>
      </c>
    </row>
    <row r="2684" spans="1:10">
      <c r="A2684" s="7" t="s">
        <v>1741</v>
      </c>
      <c r="B2684" s="7" t="s">
        <v>4551</v>
      </c>
      <c r="C2684" s="8">
        <f>QS.CONTEXT.CREATE("market.2682",A2684,"USD","SOFR")</f>
        <v/>
      </c>
      <c r="D2684" s="8">
        <f>QS.CONTEXT.ADD.CURVE(C2684,"SOFR",$K$2:$K$7,$L$2:$L$7,,,"Actual360","LogLinear",TRUE)</f>
        <v/>
      </c>
      <c r="E2684" s="8">
        <f>QS.INSTRUMENT.SWAP("swap.2682",C2684,H2684,B2684,"USD","SOFR",I2684,J2684,0,"Actual360","Simple","Annual","Annual","Annual")</f>
        <v/>
      </c>
      <c r="F2684" s="8">
        <f>QS.TRADE.CREATE("trade.2682",C2684,E2684,A2684,"Receive")</f>
        <v/>
      </c>
      <c r="G2684" s="5"/>
      <c r="H2684" s="7" t="s">
        <v>1755</v>
      </c>
      <c r="I2684" s="9">
        <v>1268200</v>
      </c>
      <c r="J2684" s="10">
        <v>0.0382</v>
      </c>
    </row>
    <row r="2685" spans="1:10">
      <c r="A2685" s="7" t="s">
        <v>1743</v>
      </c>
      <c r="B2685" s="7" t="s">
        <v>4552</v>
      </c>
      <c r="C2685" s="8">
        <f>QS.CONTEXT.CREATE("market.2683",A2685,"USD","SOFR")</f>
        <v/>
      </c>
      <c r="D2685" s="8">
        <f>QS.CONTEXT.ADD.CURVE(C2685,"SOFR",$K$2:$K$7,$L$2:$L$7,,,"Actual360","LogLinear",TRUE)</f>
        <v/>
      </c>
      <c r="E2685" s="8">
        <f>QS.INSTRUMENT.SWAP("swap.2683",C2685,H2685,B2685,"USD","SOFR",I2685,J2685,0,"Actual360","Simple","Annual","Annual","Annual")</f>
        <v/>
      </c>
      <c r="F2685" s="8">
        <f>QS.TRADE.CREATE("trade.2683",C2685,E2685,A2685,"Receive")</f>
        <v/>
      </c>
      <c r="G2685" s="5"/>
      <c r="H2685" s="7" t="s">
        <v>1757</v>
      </c>
      <c r="I2685" s="9">
        <v>1268300</v>
      </c>
      <c r="J2685" s="10">
        <v>0.0383</v>
      </c>
    </row>
    <row r="2686" spans="1:10">
      <c r="A2686" s="7" t="s">
        <v>1745</v>
      </c>
      <c r="B2686" s="7" t="s">
        <v>4553</v>
      </c>
      <c r="C2686" s="8">
        <f>QS.CONTEXT.CREATE("market.2684",A2686,"USD","SOFR")</f>
        <v/>
      </c>
      <c r="D2686" s="8">
        <f>QS.CONTEXT.ADD.CURVE(C2686,"SOFR",$K$2:$K$7,$L$2:$L$7,,,"Actual360","LogLinear",TRUE)</f>
        <v/>
      </c>
      <c r="E2686" s="8">
        <f>QS.INSTRUMENT.SWAP("swap.2684",C2686,H2686,B2686,"USD","SOFR",I2686,J2686,0,"Actual360","Simple","Annual","Annual","Annual")</f>
        <v/>
      </c>
      <c r="F2686" s="8">
        <f>QS.TRADE.CREATE("trade.2684",C2686,E2686,A2686,"Receive")</f>
        <v/>
      </c>
      <c r="G2686" s="5"/>
      <c r="H2686" s="7" t="s">
        <v>1759</v>
      </c>
      <c r="I2686" s="9">
        <v>1268400</v>
      </c>
      <c r="J2686" s="10">
        <v>0.0384</v>
      </c>
    </row>
    <row r="2687" spans="1:10">
      <c r="A2687" s="7" t="s">
        <v>1747</v>
      </c>
      <c r="B2687" s="7" t="s">
        <v>4554</v>
      </c>
      <c r="C2687" s="8">
        <f>QS.CONTEXT.CREATE("market.2685",A2687,"USD","SOFR")</f>
        <v/>
      </c>
      <c r="D2687" s="8">
        <f>QS.CONTEXT.ADD.CURVE(C2687,"SOFR",$K$2:$K$7,$L$2:$L$7,,,"Actual360","LogLinear",TRUE)</f>
        <v/>
      </c>
      <c r="E2687" s="8">
        <f>QS.INSTRUMENT.SWAP("swap.2685",C2687,H2687,B2687,"USD","SOFR",I2687,J2687,0,"Actual360","Simple","Annual","Annual","Annual")</f>
        <v/>
      </c>
      <c r="F2687" s="8">
        <f>QS.TRADE.CREATE("trade.2685",C2687,E2687,A2687,"Receive")</f>
        <v/>
      </c>
      <c r="G2687" s="5"/>
      <c r="H2687" s="7" t="s">
        <v>1761</v>
      </c>
      <c r="I2687" s="9">
        <v>1268500</v>
      </c>
      <c r="J2687" s="10">
        <v>0.03850000000000001</v>
      </c>
    </row>
    <row r="2688" spans="1:10">
      <c r="A2688" s="7" t="s">
        <v>1749</v>
      </c>
      <c r="B2688" s="7" t="s">
        <v>4555</v>
      </c>
      <c r="C2688" s="8">
        <f>QS.CONTEXT.CREATE("market.2686",A2688,"USD","SOFR")</f>
        <v/>
      </c>
      <c r="D2688" s="8">
        <f>QS.CONTEXT.ADD.CURVE(C2688,"SOFR",$K$2:$K$7,$L$2:$L$7,,,"Actual360","LogLinear",TRUE)</f>
        <v/>
      </c>
      <c r="E2688" s="8">
        <f>QS.INSTRUMENT.SWAP("swap.2686",C2688,H2688,B2688,"USD","SOFR",I2688,J2688,0,"Actual360","Simple","Annual","Annual","Annual")</f>
        <v/>
      </c>
      <c r="F2688" s="8">
        <f>QS.TRADE.CREATE("trade.2686",C2688,E2688,A2688,"Receive")</f>
        <v/>
      </c>
      <c r="G2688" s="5"/>
      <c r="H2688" s="7" t="s">
        <v>1763</v>
      </c>
      <c r="I2688" s="9">
        <v>1268600</v>
      </c>
      <c r="J2688" s="10">
        <v>0.0386</v>
      </c>
    </row>
    <row r="2689" spans="1:10">
      <c r="A2689" s="7" t="s">
        <v>1751</v>
      </c>
      <c r="B2689" s="7" t="s">
        <v>4556</v>
      </c>
      <c r="C2689" s="8">
        <f>QS.CONTEXT.CREATE("market.2687",A2689,"USD","SOFR")</f>
        <v/>
      </c>
      <c r="D2689" s="8">
        <f>QS.CONTEXT.ADD.CURVE(C2689,"SOFR",$K$2:$K$7,$L$2:$L$7,,,"Actual360","LogLinear",TRUE)</f>
        <v/>
      </c>
      <c r="E2689" s="8">
        <f>QS.INSTRUMENT.SWAP("swap.2687",C2689,H2689,B2689,"USD","SOFR",I2689,J2689,0,"Actual360","Simple","Annual","Annual","Annual")</f>
        <v/>
      </c>
      <c r="F2689" s="8">
        <f>QS.TRADE.CREATE("trade.2687",C2689,E2689,A2689,"Receive")</f>
        <v/>
      </c>
      <c r="G2689" s="5"/>
      <c r="H2689" s="7" t="s">
        <v>1765</v>
      </c>
      <c r="I2689" s="9">
        <v>1268700</v>
      </c>
      <c r="J2689" s="10">
        <v>0.03870000000000001</v>
      </c>
    </row>
    <row r="2690" spans="1:10">
      <c r="A2690" s="7" t="s">
        <v>1753</v>
      </c>
      <c r="B2690" s="7" t="s">
        <v>4557</v>
      </c>
      <c r="C2690" s="8">
        <f>QS.CONTEXT.CREATE("market.2688",A2690,"USD","SOFR")</f>
        <v/>
      </c>
      <c r="D2690" s="8">
        <f>QS.CONTEXT.ADD.CURVE(C2690,"SOFR",$K$2:$K$7,$L$2:$L$7,,,"Actual360","LogLinear",TRUE)</f>
        <v/>
      </c>
      <c r="E2690" s="8">
        <f>QS.INSTRUMENT.SWAP("swap.2688",C2690,H2690,B2690,"USD","SOFR",I2690,J2690,0,"Actual360","Simple","Annual","Annual","Annual")</f>
        <v/>
      </c>
      <c r="F2690" s="8">
        <f>QS.TRADE.CREATE("trade.2688",C2690,E2690,A2690,"Receive")</f>
        <v/>
      </c>
      <c r="G2690" s="5"/>
      <c r="H2690" s="7" t="s">
        <v>1767</v>
      </c>
      <c r="I2690" s="9">
        <v>1268800</v>
      </c>
      <c r="J2690" s="10">
        <v>0.0388</v>
      </c>
    </row>
    <row r="2691" spans="1:10">
      <c r="A2691" s="7" t="s">
        <v>1755</v>
      </c>
      <c r="B2691" s="7" t="s">
        <v>4558</v>
      </c>
      <c r="C2691" s="8">
        <f>QS.CONTEXT.CREATE("market.2689",A2691,"USD","SOFR")</f>
        <v/>
      </c>
      <c r="D2691" s="8">
        <f>QS.CONTEXT.ADD.CURVE(C2691,"SOFR",$K$2:$K$7,$L$2:$L$7,,,"Actual360","LogLinear",TRUE)</f>
        <v/>
      </c>
      <c r="E2691" s="8">
        <f>QS.INSTRUMENT.SWAP("swap.2689",C2691,H2691,B2691,"USD","SOFR",I2691,J2691,0,"Actual360","Simple","Annual","Annual","Annual")</f>
        <v/>
      </c>
      <c r="F2691" s="8">
        <f>QS.TRADE.CREATE("trade.2689",C2691,E2691,A2691,"Receive")</f>
        <v/>
      </c>
      <c r="G2691" s="5"/>
      <c r="H2691" s="7" t="s">
        <v>1769</v>
      </c>
      <c r="I2691" s="9">
        <v>1268900</v>
      </c>
      <c r="J2691" s="10">
        <v>0.0389</v>
      </c>
    </row>
    <row r="2692" spans="1:10">
      <c r="A2692" s="7" t="s">
        <v>1757</v>
      </c>
      <c r="B2692" s="7" t="s">
        <v>4559</v>
      </c>
      <c r="C2692" s="8">
        <f>QS.CONTEXT.CREATE("market.2690",A2692,"USD","SOFR")</f>
        <v/>
      </c>
      <c r="D2692" s="8">
        <f>QS.CONTEXT.ADD.CURVE(C2692,"SOFR",$K$2:$K$7,$L$2:$L$7,,,"Actual360","LogLinear",TRUE)</f>
        <v/>
      </c>
      <c r="E2692" s="8">
        <f>QS.INSTRUMENT.SWAP("swap.2690",C2692,H2692,B2692,"USD","SOFR",I2692,J2692,0,"Actual360","Simple","Annual","Annual","Annual")</f>
        <v/>
      </c>
      <c r="F2692" s="8">
        <f>QS.TRADE.CREATE("trade.2690",C2692,E2692,A2692,"Receive")</f>
        <v/>
      </c>
      <c r="G2692" s="5"/>
      <c r="H2692" s="7" t="s">
        <v>1771</v>
      </c>
      <c r="I2692" s="9">
        <v>1269000</v>
      </c>
      <c r="J2692" s="10">
        <v>0.03900000000000001</v>
      </c>
    </row>
    <row r="2693" spans="1:10">
      <c r="A2693" s="7" t="s">
        <v>1759</v>
      </c>
      <c r="B2693" s="7" t="s">
        <v>4560</v>
      </c>
      <c r="C2693" s="8">
        <f>QS.CONTEXT.CREATE("market.2691",A2693,"USD","SOFR")</f>
        <v/>
      </c>
      <c r="D2693" s="8">
        <f>QS.CONTEXT.ADD.CURVE(C2693,"SOFR",$K$2:$K$7,$L$2:$L$7,,,"Actual360","LogLinear",TRUE)</f>
        <v/>
      </c>
      <c r="E2693" s="8">
        <f>QS.INSTRUMENT.SWAP("swap.2691",C2693,H2693,B2693,"USD","SOFR",I2693,J2693,0,"Actual360","Simple","Annual","Annual","Annual")</f>
        <v/>
      </c>
      <c r="F2693" s="8">
        <f>QS.TRADE.CREATE("trade.2691",C2693,E2693,A2693,"Receive")</f>
        <v/>
      </c>
      <c r="G2693" s="5"/>
      <c r="H2693" s="7" t="s">
        <v>1773</v>
      </c>
      <c r="I2693" s="9">
        <v>1269100</v>
      </c>
      <c r="J2693" s="10">
        <v>0.0391</v>
      </c>
    </row>
    <row r="2694" spans="1:10">
      <c r="A2694" s="7" t="s">
        <v>1761</v>
      </c>
      <c r="B2694" s="7" t="s">
        <v>4561</v>
      </c>
      <c r="C2694" s="8">
        <f>QS.CONTEXT.CREATE("market.2692",A2694,"USD","SOFR")</f>
        <v/>
      </c>
      <c r="D2694" s="8">
        <f>QS.CONTEXT.ADD.CURVE(C2694,"SOFR",$K$2:$K$7,$L$2:$L$7,,,"Actual360","LogLinear",TRUE)</f>
        <v/>
      </c>
      <c r="E2694" s="8">
        <f>QS.INSTRUMENT.SWAP("swap.2692",C2694,H2694,B2694,"USD","SOFR",I2694,J2694,0,"Actual360","Simple","Annual","Annual","Annual")</f>
        <v/>
      </c>
      <c r="F2694" s="8">
        <f>QS.TRADE.CREATE("trade.2692",C2694,E2694,A2694,"Receive")</f>
        <v/>
      </c>
      <c r="G2694" s="5"/>
      <c r="H2694" s="7" t="s">
        <v>1775</v>
      </c>
      <c r="I2694" s="9">
        <v>1269200</v>
      </c>
      <c r="J2694" s="10">
        <v>0.03920000000000001</v>
      </c>
    </row>
    <row r="2695" spans="1:10">
      <c r="A2695" s="7" t="s">
        <v>1763</v>
      </c>
      <c r="B2695" s="7" t="s">
        <v>4562</v>
      </c>
      <c r="C2695" s="8">
        <f>QS.CONTEXT.CREATE("market.2693",A2695,"USD","SOFR")</f>
        <v/>
      </c>
      <c r="D2695" s="8">
        <f>QS.CONTEXT.ADD.CURVE(C2695,"SOFR",$K$2:$K$7,$L$2:$L$7,,,"Actual360","LogLinear",TRUE)</f>
        <v/>
      </c>
      <c r="E2695" s="8">
        <f>QS.INSTRUMENT.SWAP("swap.2693",C2695,H2695,B2695,"USD","SOFR",I2695,J2695,0,"Actual360","Simple","Annual","Annual","Annual")</f>
        <v/>
      </c>
      <c r="F2695" s="8">
        <f>QS.TRADE.CREATE("trade.2693",C2695,E2695,A2695,"Receive")</f>
        <v/>
      </c>
      <c r="G2695" s="5"/>
      <c r="H2695" s="7" t="s">
        <v>1777</v>
      </c>
      <c r="I2695" s="9">
        <v>1269300</v>
      </c>
      <c r="J2695" s="10">
        <v>0.0393</v>
      </c>
    </row>
    <row r="2696" spans="1:10">
      <c r="A2696" s="7" t="s">
        <v>1765</v>
      </c>
      <c r="B2696" s="7" t="s">
        <v>4563</v>
      </c>
      <c r="C2696" s="8">
        <f>QS.CONTEXT.CREATE("market.2694",A2696,"USD","SOFR")</f>
        <v/>
      </c>
      <c r="D2696" s="8">
        <f>QS.CONTEXT.ADD.CURVE(C2696,"SOFR",$K$2:$K$7,$L$2:$L$7,,,"Actual360","LogLinear",TRUE)</f>
        <v/>
      </c>
      <c r="E2696" s="8">
        <f>QS.INSTRUMENT.SWAP("swap.2694",C2696,H2696,B2696,"USD","SOFR",I2696,J2696,0,"Actual360","Simple","Annual","Annual","Annual")</f>
        <v/>
      </c>
      <c r="F2696" s="8">
        <f>QS.TRADE.CREATE("trade.2694",C2696,E2696,A2696,"Receive")</f>
        <v/>
      </c>
      <c r="G2696" s="5"/>
      <c r="H2696" s="7" t="s">
        <v>1779</v>
      </c>
      <c r="I2696" s="9">
        <v>1269400</v>
      </c>
      <c r="J2696" s="10">
        <v>0.0394</v>
      </c>
    </row>
    <row r="2697" spans="1:10">
      <c r="A2697" s="7" t="s">
        <v>1767</v>
      </c>
      <c r="B2697" s="7" t="s">
        <v>4564</v>
      </c>
      <c r="C2697" s="8">
        <f>QS.CONTEXT.CREATE("market.2695",A2697,"USD","SOFR")</f>
        <v/>
      </c>
      <c r="D2697" s="8">
        <f>QS.CONTEXT.ADD.CURVE(C2697,"SOFR",$K$2:$K$7,$L$2:$L$7,,,"Actual360","LogLinear",TRUE)</f>
        <v/>
      </c>
      <c r="E2697" s="8">
        <f>QS.INSTRUMENT.SWAP("swap.2695",C2697,H2697,B2697,"USD","SOFR",I2697,J2697,0,"Actual360","Simple","Annual","Annual","Annual")</f>
        <v/>
      </c>
      <c r="F2697" s="8">
        <f>QS.TRADE.CREATE("trade.2695",C2697,E2697,A2697,"Receive")</f>
        <v/>
      </c>
      <c r="G2697" s="5"/>
      <c r="H2697" s="7" t="s">
        <v>1781</v>
      </c>
      <c r="I2697" s="9">
        <v>1269500</v>
      </c>
      <c r="J2697" s="10">
        <v>0.03950000000000001</v>
      </c>
    </row>
    <row r="2698" spans="1:10">
      <c r="A2698" s="7" t="s">
        <v>1769</v>
      </c>
      <c r="B2698" s="7" t="s">
        <v>4565</v>
      </c>
      <c r="C2698" s="8">
        <f>QS.CONTEXT.CREATE("market.2696",A2698,"USD","SOFR")</f>
        <v/>
      </c>
      <c r="D2698" s="8">
        <f>QS.CONTEXT.ADD.CURVE(C2698,"SOFR",$K$2:$K$7,$L$2:$L$7,,,"Actual360","LogLinear",TRUE)</f>
        <v/>
      </c>
      <c r="E2698" s="8">
        <f>QS.INSTRUMENT.SWAP("swap.2696",C2698,H2698,B2698,"USD","SOFR",I2698,J2698,0,"Actual360","Simple","Annual","Annual","Annual")</f>
        <v/>
      </c>
      <c r="F2698" s="8">
        <f>QS.TRADE.CREATE("trade.2696",C2698,E2698,A2698,"Receive")</f>
        <v/>
      </c>
      <c r="G2698" s="5"/>
      <c r="H2698" s="7" t="s">
        <v>1783</v>
      </c>
      <c r="I2698" s="9">
        <v>1269600</v>
      </c>
      <c r="J2698" s="10">
        <v>0.0396</v>
      </c>
    </row>
    <row r="2699" spans="1:10">
      <c r="A2699" s="7" t="s">
        <v>1771</v>
      </c>
      <c r="B2699" s="7" t="s">
        <v>4566</v>
      </c>
      <c r="C2699" s="8">
        <f>QS.CONTEXT.CREATE("market.2697",A2699,"USD","SOFR")</f>
        <v/>
      </c>
      <c r="D2699" s="8">
        <f>QS.CONTEXT.ADD.CURVE(C2699,"SOFR",$K$2:$K$7,$L$2:$L$7,,,"Actual360","LogLinear",TRUE)</f>
        <v/>
      </c>
      <c r="E2699" s="8">
        <f>QS.INSTRUMENT.SWAP("swap.2697",C2699,H2699,B2699,"USD","SOFR",I2699,J2699,0,"Actual360","Simple","Annual","Annual","Annual")</f>
        <v/>
      </c>
      <c r="F2699" s="8">
        <f>QS.TRADE.CREATE("trade.2697",C2699,E2699,A2699,"Receive")</f>
        <v/>
      </c>
      <c r="G2699" s="5"/>
      <c r="H2699" s="7" t="s">
        <v>1785</v>
      </c>
      <c r="I2699" s="9">
        <v>1269700</v>
      </c>
      <c r="J2699" s="10">
        <v>0.03970000000000001</v>
      </c>
    </row>
    <row r="2700" spans="1:10">
      <c r="A2700" s="7" t="s">
        <v>1773</v>
      </c>
      <c r="B2700" s="7" t="s">
        <v>4567</v>
      </c>
      <c r="C2700" s="8">
        <f>QS.CONTEXT.CREATE("market.2698",A2700,"USD","SOFR")</f>
        <v/>
      </c>
      <c r="D2700" s="8">
        <f>QS.CONTEXT.ADD.CURVE(C2700,"SOFR",$K$2:$K$7,$L$2:$L$7,,,"Actual360","LogLinear",TRUE)</f>
        <v/>
      </c>
      <c r="E2700" s="8">
        <f>QS.INSTRUMENT.SWAP("swap.2698",C2700,H2700,B2700,"USD","SOFR",I2700,J2700,0,"Actual360","Simple","Annual","Annual","Annual")</f>
        <v/>
      </c>
      <c r="F2700" s="8">
        <f>QS.TRADE.CREATE("trade.2698",C2700,E2700,A2700,"Receive")</f>
        <v/>
      </c>
      <c r="G2700" s="5"/>
      <c r="H2700" s="7" t="s">
        <v>1787</v>
      </c>
      <c r="I2700" s="9">
        <v>1269800</v>
      </c>
      <c r="J2700" s="10">
        <v>0.0398</v>
      </c>
    </row>
    <row r="2701" spans="1:10">
      <c r="A2701" s="7" t="s">
        <v>1775</v>
      </c>
      <c r="B2701" s="7" t="s">
        <v>4568</v>
      </c>
      <c r="C2701" s="8">
        <f>QS.CONTEXT.CREATE("market.2699",A2701,"USD","SOFR")</f>
        <v/>
      </c>
      <c r="D2701" s="8">
        <f>QS.CONTEXT.ADD.CURVE(C2701,"SOFR",$K$2:$K$7,$L$2:$L$7,,,"Actual360","LogLinear",TRUE)</f>
        <v/>
      </c>
      <c r="E2701" s="8">
        <f>QS.INSTRUMENT.SWAP("swap.2699",C2701,H2701,B2701,"USD","SOFR",I2701,J2701,0,"Actual360","Simple","Annual","Annual","Annual")</f>
        <v/>
      </c>
      <c r="F2701" s="8">
        <f>QS.TRADE.CREATE("trade.2699",C2701,E2701,A2701,"Receive")</f>
        <v/>
      </c>
      <c r="G2701" s="5"/>
      <c r="H2701" s="7" t="s">
        <v>1789</v>
      </c>
      <c r="I2701" s="9">
        <v>1269900</v>
      </c>
      <c r="J2701" s="10">
        <v>0.0399</v>
      </c>
    </row>
    <row r="2702" spans="1:10">
      <c r="A2702" s="7" t="s">
        <v>1777</v>
      </c>
      <c r="B2702" s="7" t="s">
        <v>4569</v>
      </c>
      <c r="C2702" s="8">
        <f>QS.CONTEXT.CREATE("market.2700",A2702,"USD","SOFR")</f>
        <v/>
      </c>
      <c r="D2702" s="8">
        <f>QS.CONTEXT.ADD.CURVE(C2702,"SOFR",$K$2:$K$7,$L$2:$L$7,,,"Actual360","LogLinear",TRUE)</f>
        <v/>
      </c>
      <c r="E2702" s="8">
        <f>QS.INSTRUMENT.SWAP("swap.2700",C2702,H2702,B2702,"USD","SOFR",I2702,J2702,0,"Actual360","Simple","Annual","Annual","Annual")</f>
        <v/>
      </c>
      <c r="F2702" s="8">
        <f>QS.TRADE.CREATE("trade.2700",C2702,E2702,A2702,"Receive")</f>
        <v/>
      </c>
      <c r="G2702" s="5"/>
      <c r="H2702" s="7" t="s">
        <v>1791</v>
      </c>
      <c r="I2702" s="9">
        <v>1270000</v>
      </c>
      <c r="J2702" s="10">
        <v>0.035</v>
      </c>
    </row>
    <row r="2703" spans="1:10">
      <c r="A2703" s="7" t="s">
        <v>1779</v>
      </c>
      <c r="B2703" s="7" t="s">
        <v>4570</v>
      </c>
      <c r="C2703" s="8">
        <f>QS.CONTEXT.CREATE("market.2701",A2703,"USD","SOFR")</f>
        <v/>
      </c>
      <c r="D2703" s="8">
        <f>QS.CONTEXT.ADD.CURVE(C2703,"SOFR",$K$2:$K$7,$L$2:$L$7,,,"Actual360","LogLinear",TRUE)</f>
        <v/>
      </c>
      <c r="E2703" s="8">
        <f>QS.INSTRUMENT.SWAP("swap.2701",C2703,H2703,B2703,"USD","SOFR",I2703,J2703,0,"Actual360","Simple","Annual","Annual","Annual")</f>
        <v/>
      </c>
      <c r="F2703" s="8">
        <f>QS.TRADE.CREATE("trade.2701",C2703,E2703,A2703,"Receive")</f>
        <v/>
      </c>
      <c r="G2703" s="5"/>
      <c r="H2703" s="7" t="s">
        <v>1793</v>
      </c>
      <c r="I2703" s="9">
        <v>1270100</v>
      </c>
      <c r="J2703" s="10">
        <v>0.03510000000000001</v>
      </c>
    </row>
    <row r="2704" spans="1:10">
      <c r="A2704" s="7" t="s">
        <v>1781</v>
      </c>
      <c r="B2704" s="7" t="s">
        <v>4571</v>
      </c>
      <c r="C2704" s="8">
        <f>QS.CONTEXT.CREATE("market.2702",A2704,"USD","SOFR")</f>
        <v/>
      </c>
      <c r="D2704" s="8">
        <f>QS.CONTEXT.ADD.CURVE(C2704,"SOFR",$K$2:$K$7,$L$2:$L$7,,,"Actual360","LogLinear",TRUE)</f>
        <v/>
      </c>
      <c r="E2704" s="8">
        <f>QS.INSTRUMENT.SWAP("swap.2702",C2704,H2704,B2704,"USD","SOFR",I2704,J2704,0,"Actual360","Simple","Annual","Annual","Annual")</f>
        <v/>
      </c>
      <c r="F2704" s="8">
        <f>QS.TRADE.CREATE("trade.2702",C2704,E2704,A2704,"Receive")</f>
        <v/>
      </c>
      <c r="G2704" s="5"/>
      <c r="H2704" s="7" t="s">
        <v>1795</v>
      </c>
      <c r="I2704" s="9">
        <v>1270200</v>
      </c>
      <c r="J2704" s="10">
        <v>0.0352</v>
      </c>
    </row>
    <row r="2705" spans="1:10">
      <c r="A2705" s="7" t="s">
        <v>1783</v>
      </c>
      <c r="B2705" s="7" t="s">
        <v>4572</v>
      </c>
      <c r="C2705" s="8">
        <f>QS.CONTEXT.CREATE("market.2703",A2705,"USD","SOFR")</f>
        <v/>
      </c>
      <c r="D2705" s="8">
        <f>QS.CONTEXT.ADD.CURVE(C2705,"SOFR",$K$2:$K$7,$L$2:$L$7,,,"Actual360","LogLinear",TRUE)</f>
        <v/>
      </c>
      <c r="E2705" s="8">
        <f>QS.INSTRUMENT.SWAP("swap.2703",C2705,H2705,B2705,"USD","SOFR",I2705,J2705,0,"Actual360","Simple","Annual","Annual","Annual")</f>
        <v/>
      </c>
      <c r="F2705" s="8">
        <f>QS.TRADE.CREATE("trade.2703",C2705,E2705,A2705,"Receive")</f>
        <v/>
      </c>
      <c r="G2705" s="5"/>
      <c r="H2705" s="7" t="s">
        <v>1797</v>
      </c>
      <c r="I2705" s="9">
        <v>1270300</v>
      </c>
      <c r="J2705" s="10">
        <v>0.0353</v>
      </c>
    </row>
    <row r="2706" spans="1:10">
      <c r="A2706" s="7" t="s">
        <v>1785</v>
      </c>
      <c r="B2706" s="7" t="s">
        <v>4573</v>
      </c>
      <c r="C2706" s="8">
        <f>QS.CONTEXT.CREATE("market.2704",A2706,"USD","SOFR")</f>
        <v/>
      </c>
      <c r="D2706" s="8">
        <f>QS.CONTEXT.ADD.CURVE(C2706,"SOFR",$K$2:$K$7,$L$2:$L$7,,,"Actual360","LogLinear",TRUE)</f>
        <v/>
      </c>
      <c r="E2706" s="8">
        <f>QS.INSTRUMENT.SWAP("swap.2704",C2706,H2706,B2706,"USD","SOFR",I2706,J2706,0,"Actual360","Simple","Annual","Annual","Annual")</f>
        <v/>
      </c>
      <c r="F2706" s="8">
        <f>QS.TRADE.CREATE("trade.2704",C2706,E2706,A2706,"Receive")</f>
        <v/>
      </c>
      <c r="G2706" s="5"/>
      <c r="H2706" s="7" t="s">
        <v>1799</v>
      </c>
      <c r="I2706" s="9">
        <v>1270400</v>
      </c>
      <c r="J2706" s="10">
        <v>0.0354</v>
      </c>
    </row>
    <row r="2707" spans="1:10">
      <c r="A2707" s="7" t="s">
        <v>1787</v>
      </c>
      <c r="B2707" s="7" t="s">
        <v>4574</v>
      </c>
      <c r="C2707" s="8">
        <f>QS.CONTEXT.CREATE("market.2705",A2707,"USD","SOFR")</f>
        <v/>
      </c>
      <c r="D2707" s="8">
        <f>QS.CONTEXT.ADD.CURVE(C2707,"SOFR",$K$2:$K$7,$L$2:$L$7,,,"Actual360","LogLinear",TRUE)</f>
        <v/>
      </c>
      <c r="E2707" s="8">
        <f>QS.INSTRUMENT.SWAP("swap.2705",C2707,H2707,B2707,"USD","SOFR",I2707,J2707,0,"Actual360","Simple","Annual","Annual","Annual")</f>
        <v/>
      </c>
      <c r="F2707" s="8">
        <f>QS.TRADE.CREATE("trade.2705",C2707,E2707,A2707,"Receive")</f>
        <v/>
      </c>
      <c r="G2707" s="5"/>
      <c r="H2707" s="7" t="s">
        <v>1801</v>
      </c>
      <c r="I2707" s="9">
        <v>1270500</v>
      </c>
      <c r="J2707" s="10">
        <v>0.0355</v>
      </c>
    </row>
    <row r="2708" spans="1:10">
      <c r="A2708" s="7" t="s">
        <v>1789</v>
      </c>
      <c r="B2708" s="7" t="s">
        <v>4575</v>
      </c>
      <c r="C2708" s="8">
        <f>QS.CONTEXT.CREATE("market.2706",A2708,"USD","SOFR")</f>
        <v/>
      </c>
      <c r="D2708" s="8">
        <f>QS.CONTEXT.ADD.CURVE(C2708,"SOFR",$K$2:$K$7,$L$2:$L$7,,,"Actual360","LogLinear",TRUE)</f>
        <v/>
      </c>
      <c r="E2708" s="8">
        <f>QS.INSTRUMENT.SWAP("swap.2706",C2708,H2708,B2708,"USD","SOFR",I2708,J2708,0,"Actual360","Simple","Annual","Annual","Annual")</f>
        <v/>
      </c>
      <c r="F2708" s="8">
        <f>QS.TRADE.CREATE("trade.2706",C2708,E2708,A2708,"Receive")</f>
        <v/>
      </c>
      <c r="G2708" s="5"/>
      <c r="H2708" s="7" t="s">
        <v>1803</v>
      </c>
      <c r="I2708" s="9">
        <v>1270600</v>
      </c>
      <c r="J2708" s="10">
        <v>0.03560000000000001</v>
      </c>
    </row>
    <row r="2709" spans="1:10">
      <c r="A2709" s="7" t="s">
        <v>1791</v>
      </c>
      <c r="B2709" s="7" t="s">
        <v>4576</v>
      </c>
      <c r="C2709" s="8">
        <f>QS.CONTEXT.CREATE("market.2707",A2709,"USD","SOFR")</f>
        <v/>
      </c>
      <c r="D2709" s="8">
        <f>QS.CONTEXT.ADD.CURVE(C2709,"SOFR",$K$2:$K$7,$L$2:$L$7,,,"Actual360","LogLinear",TRUE)</f>
        <v/>
      </c>
      <c r="E2709" s="8">
        <f>QS.INSTRUMENT.SWAP("swap.2707",C2709,H2709,B2709,"USD","SOFR",I2709,J2709,0,"Actual360","Simple","Annual","Annual","Annual")</f>
        <v/>
      </c>
      <c r="F2709" s="8">
        <f>QS.TRADE.CREATE("trade.2707",C2709,E2709,A2709,"Receive")</f>
        <v/>
      </c>
      <c r="G2709" s="5"/>
      <c r="H2709" s="7" t="s">
        <v>1805</v>
      </c>
      <c r="I2709" s="9">
        <v>1270700</v>
      </c>
      <c r="J2709" s="10">
        <v>0.0357</v>
      </c>
    </row>
    <row r="2710" spans="1:10">
      <c r="A2710" s="7" t="s">
        <v>1793</v>
      </c>
      <c r="B2710" s="7" t="s">
        <v>4577</v>
      </c>
      <c r="C2710" s="8">
        <f>QS.CONTEXT.CREATE("market.2708",A2710,"USD","SOFR")</f>
        <v/>
      </c>
      <c r="D2710" s="8">
        <f>QS.CONTEXT.ADD.CURVE(C2710,"SOFR",$K$2:$K$7,$L$2:$L$7,,,"Actual360","LogLinear",TRUE)</f>
        <v/>
      </c>
      <c r="E2710" s="8">
        <f>QS.INSTRUMENT.SWAP("swap.2708",C2710,H2710,B2710,"USD","SOFR",I2710,J2710,0,"Actual360","Simple","Annual","Annual","Annual")</f>
        <v/>
      </c>
      <c r="F2710" s="8">
        <f>QS.TRADE.CREATE("trade.2708",C2710,E2710,A2710,"Receive")</f>
        <v/>
      </c>
      <c r="G2710" s="5"/>
      <c r="H2710" s="7" t="s">
        <v>1807</v>
      </c>
      <c r="I2710" s="9">
        <v>1270800</v>
      </c>
      <c r="J2710" s="10">
        <v>0.03580000000000001</v>
      </c>
    </row>
    <row r="2711" spans="1:10">
      <c r="A2711" s="7" t="s">
        <v>1795</v>
      </c>
      <c r="B2711" s="7" t="s">
        <v>4578</v>
      </c>
      <c r="C2711" s="8">
        <f>QS.CONTEXT.CREATE("market.2709",A2711,"USD","SOFR")</f>
        <v/>
      </c>
      <c r="D2711" s="8">
        <f>QS.CONTEXT.ADD.CURVE(C2711,"SOFR",$K$2:$K$7,$L$2:$L$7,,,"Actual360","LogLinear",TRUE)</f>
        <v/>
      </c>
      <c r="E2711" s="8">
        <f>QS.INSTRUMENT.SWAP("swap.2709",C2711,H2711,B2711,"USD","SOFR",I2711,J2711,0,"Actual360","Simple","Annual","Annual","Annual")</f>
        <v/>
      </c>
      <c r="F2711" s="8">
        <f>QS.TRADE.CREATE("trade.2709",C2711,E2711,A2711,"Receive")</f>
        <v/>
      </c>
      <c r="G2711" s="5"/>
      <c r="H2711" s="7" t="s">
        <v>1809</v>
      </c>
      <c r="I2711" s="9">
        <v>1270900</v>
      </c>
      <c r="J2711" s="10">
        <v>0.0359</v>
      </c>
    </row>
    <row r="2712" spans="1:10">
      <c r="A2712" s="7" t="s">
        <v>1797</v>
      </c>
      <c r="B2712" s="7" t="s">
        <v>4579</v>
      </c>
      <c r="C2712" s="8">
        <f>QS.CONTEXT.CREATE("market.2710",A2712,"USD","SOFR")</f>
        <v/>
      </c>
      <c r="D2712" s="8">
        <f>QS.CONTEXT.ADD.CURVE(C2712,"SOFR",$K$2:$K$7,$L$2:$L$7,,,"Actual360","LogLinear",TRUE)</f>
        <v/>
      </c>
      <c r="E2712" s="8">
        <f>QS.INSTRUMENT.SWAP("swap.2710",C2712,H2712,B2712,"USD","SOFR",I2712,J2712,0,"Actual360","Simple","Annual","Annual","Annual")</f>
        <v/>
      </c>
      <c r="F2712" s="8">
        <f>QS.TRADE.CREATE("trade.2710",C2712,E2712,A2712,"Receive")</f>
        <v/>
      </c>
      <c r="G2712" s="5"/>
      <c r="H2712" s="7" t="s">
        <v>1811</v>
      </c>
      <c r="I2712" s="9">
        <v>1271000</v>
      </c>
      <c r="J2712" s="10">
        <v>0.036</v>
      </c>
    </row>
    <row r="2713" spans="1:10">
      <c r="A2713" s="7" t="s">
        <v>1799</v>
      </c>
      <c r="B2713" s="7" t="s">
        <v>4580</v>
      </c>
      <c r="C2713" s="8">
        <f>QS.CONTEXT.CREATE("market.2711",A2713,"USD","SOFR")</f>
        <v/>
      </c>
      <c r="D2713" s="8">
        <f>QS.CONTEXT.ADD.CURVE(C2713,"SOFR",$K$2:$K$7,$L$2:$L$7,,,"Actual360","LogLinear",TRUE)</f>
        <v/>
      </c>
      <c r="E2713" s="8">
        <f>QS.INSTRUMENT.SWAP("swap.2711",C2713,H2713,B2713,"USD","SOFR",I2713,J2713,0,"Actual360","Simple","Annual","Annual","Annual")</f>
        <v/>
      </c>
      <c r="F2713" s="8">
        <f>QS.TRADE.CREATE("trade.2711",C2713,E2713,A2713,"Receive")</f>
        <v/>
      </c>
      <c r="G2713" s="5"/>
      <c r="H2713" s="7" t="s">
        <v>1813</v>
      </c>
      <c r="I2713" s="9">
        <v>1271100</v>
      </c>
      <c r="J2713" s="10">
        <v>0.0361</v>
      </c>
    </row>
    <row r="2714" spans="1:10">
      <c r="A2714" s="7" t="s">
        <v>1801</v>
      </c>
      <c r="B2714" s="7" t="s">
        <v>4581</v>
      </c>
      <c r="C2714" s="8">
        <f>QS.CONTEXT.CREATE("market.2712",A2714,"USD","SOFR")</f>
        <v/>
      </c>
      <c r="D2714" s="8">
        <f>QS.CONTEXT.ADD.CURVE(C2714,"SOFR",$K$2:$K$7,$L$2:$L$7,,,"Actual360","LogLinear",TRUE)</f>
        <v/>
      </c>
      <c r="E2714" s="8">
        <f>QS.INSTRUMENT.SWAP("swap.2712",C2714,H2714,B2714,"USD","SOFR",I2714,J2714,0,"Actual360","Simple","Annual","Annual","Annual")</f>
        <v/>
      </c>
      <c r="F2714" s="8">
        <f>QS.TRADE.CREATE("trade.2712",C2714,E2714,A2714,"Receive")</f>
        <v/>
      </c>
      <c r="G2714" s="5"/>
      <c r="H2714" s="7" t="s">
        <v>1815</v>
      </c>
      <c r="I2714" s="9">
        <v>1271200</v>
      </c>
      <c r="J2714" s="10">
        <v>0.0362</v>
      </c>
    </row>
    <row r="2715" spans="1:10">
      <c r="A2715" s="7" t="s">
        <v>1803</v>
      </c>
      <c r="B2715" s="7" t="s">
        <v>4582</v>
      </c>
      <c r="C2715" s="8">
        <f>QS.CONTEXT.CREATE("market.2713",A2715,"USD","SOFR")</f>
        <v/>
      </c>
      <c r="D2715" s="8">
        <f>QS.CONTEXT.ADD.CURVE(C2715,"SOFR",$K$2:$K$7,$L$2:$L$7,,,"Actual360","LogLinear",TRUE)</f>
        <v/>
      </c>
      <c r="E2715" s="8">
        <f>QS.INSTRUMENT.SWAP("swap.2713",C2715,H2715,B2715,"USD","SOFR",I2715,J2715,0,"Actual360","Simple","Annual","Annual","Annual")</f>
        <v/>
      </c>
      <c r="F2715" s="8">
        <f>QS.TRADE.CREATE("trade.2713",C2715,E2715,A2715,"Receive")</f>
        <v/>
      </c>
      <c r="G2715" s="5"/>
      <c r="H2715" s="7" t="s">
        <v>1817</v>
      </c>
      <c r="I2715" s="9">
        <v>1271300</v>
      </c>
      <c r="J2715" s="10">
        <v>0.03630000000000001</v>
      </c>
    </row>
    <row r="2716" spans="1:10">
      <c r="A2716" s="7" t="s">
        <v>1805</v>
      </c>
      <c r="B2716" s="7" t="s">
        <v>4583</v>
      </c>
      <c r="C2716" s="8">
        <f>QS.CONTEXT.CREATE("market.2714",A2716,"USD","SOFR")</f>
        <v/>
      </c>
      <c r="D2716" s="8">
        <f>QS.CONTEXT.ADD.CURVE(C2716,"SOFR",$K$2:$K$7,$L$2:$L$7,,,"Actual360","LogLinear",TRUE)</f>
        <v/>
      </c>
      <c r="E2716" s="8">
        <f>QS.INSTRUMENT.SWAP("swap.2714",C2716,H2716,B2716,"USD","SOFR",I2716,J2716,0,"Actual360","Simple","Annual","Annual","Annual")</f>
        <v/>
      </c>
      <c r="F2716" s="8">
        <f>QS.TRADE.CREATE("trade.2714",C2716,E2716,A2716,"Receive")</f>
        <v/>
      </c>
      <c r="G2716" s="5"/>
      <c r="H2716" s="7" t="s">
        <v>1819</v>
      </c>
      <c r="I2716" s="9">
        <v>1271400</v>
      </c>
      <c r="J2716" s="10">
        <v>0.0364</v>
      </c>
    </row>
    <row r="2717" spans="1:10">
      <c r="A2717" s="7" t="s">
        <v>1807</v>
      </c>
      <c r="B2717" s="7" t="s">
        <v>4584</v>
      </c>
      <c r="C2717" s="8">
        <f>QS.CONTEXT.CREATE("market.2715",A2717,"USD","SOFR")</f>
        <v/>
      </c>
      <c r="D2717" s="8">
        <f>QS.CONTEXT.ADD.CURVE(C2717,"SOFR",$K$2:$K$7,$L$2:$L$7,,,"Actual360","LogLinear",TRUE)</f>
        <v/>
      </c>
      <c r="E2717" s="8">
        <f>QS.INSTRUMENT.SWAP("swap.2715",C2717,H2717,B2717,"USD","SOFR",I2717,J2717,0,"Actual360","Simple","Annual","Annual","Annual")</f>
        <v/>
      </c>
      <c r="F2717" s="8">
        <f>QS.TRADE.CREATE("trade.2715",C2717,E2717,A2717,"Receive")</f>
        <v/>
      </c>
      <c r="G2717" s="5"/>
      <c r="H2717" s="7" t="s">
        <v>1821</v>
      </c>
      <c r="I2717" s="9">
        <v>1271500</v>
      </c>
      <c r="J2717" s="10">
        <v>0.0365</v>
      </c>
    </row>
    <row r="2718" spans="1:10">
      <c r="A2718" s="7" t="s">
        <v>1809</v>
      </c>
      <c r="B2718" s="7" t="s">
        <v>4585</v>
      </c>
      <c r="C2718" s="8">
        <f>QS.CONTEXT.CREATE("market.2716",A2718,"USD","SOFR")</f>
        <v/>
      </c>
      <c r="D2718" s="8">
        <f>QS.CONTEXT.ADD.CURVE(C2718,"SOFR",$K$2:$K$7,$L$2:$L$7,,,"Actual360","LogLinear",TRUE)</f>
        <v/>
      </c>
      <c r="E2718" s="8">
        <f>QS.INSTRUMENT.SWAP("swap.2716",C2718,H2718,B2718,"USD","SOFR",I2718,J2718,0,"Actual360","Simple","Annual","Annual","Annual")</f>
        <v/>
      </c>
      <c r="F2718" s="8">
        <f>QS.TRADE.CREATE("trade.2716",C2718,E2718,A2718,"Receive")</f>
        <v/>
      </c>
      <c r="G2718" s="5"/>
      <c r="H2718" s="7" t="s">
        <v>1823</v>
      </c>
      <c r="I2718" s="9">
        <v>1271600</v>
      </c>
      <c r="J2718" s="10">
        <v>0.0366</v>
      </c>
    </row>
    <row r="2719" spans="1:10">
      <c r="A2719" s="7" t="s">
        <v>1811</v>
      </c>
      <c r="B2719" s="7" t="s">
        <v>4586</v>
      </c>
      <c r="C2719" s="8">
        <f>QS.CONTEXT.CREATE("market.2717",A2719,"USD","SOFR")</f>
        <v/>
      </c>
      <c r="D2719" s="8">
        <f>QS.CONTEXT.ADD.CURVE(C2719,"SOFR",$K$2:$K$7,$L$2:$L$7,,,"Actual360","LogLinear",TRUE)</f>
        <v/>
      </c>
      <c r="E2719" s="8">
        <f>QS.INSTRUMENT.SWAP("swap.2717",C2719,H2719,B2719,"USD","SOFR",I2719,J2719,0,"Actual360","Simple","Annual","Annual","Annual")</f>
        <v/>
      </c>
      <c r="F2719" s="8">
        <f>QS.TRADE.CREATE("trade.2717",C2719,E2719,A2719,"Receive")</f>
        <v/>
      </c>
      <c r="G2719" s="5"/>
      <c r="H2719" s="7" t="s">
        <v>1825</v>
      </c>
      <c r="I2719" s="9">
        <v>1271700</v>
      </c>
      <c r="J2719" s="10">
        <v>0.0367</v>
      </c>
    </row>
    <row r="2720" spans="1:10">
      <c r="A2720" s="7" t="s">
        <v>1813</v>
      </c>
      <c r="B2720" s="7" t="s">
        <v>4587</v>
      </c>
      <c r="C2720" s="8">
        <f>QS.CONTEXT.CREATE("market.2718",A2720,"USD","SOFR")</f>
        <v/>
      </c>
      <c r="D2720" s="8">
        <f>QS.CONTEXT.ADD.CURVE(C2720,"SOFR",$K$2:$K$7,$L$2:$L$7,,,"Actual360","LogLinear",TRUE)</f>
        <v/>
      </c>
      <c r="E2720" s="8">
        <f>QS.INSTRUMENT.SWAP("swap.2718",C2720,H2720,B2720,"USD","SOFR",I2720,J2720,0,"Actual360","Simple","Annual","Annual","Annual")</f>
        <v/>
      </c>
      <c r="F2720" s="8">
        <f>QS.TRADE.CREATE("trade.2718",C2720,E2720,A2720,"Receive")</f>
        <v/>
      </c>
      <c r="G2720" s="5"/>
      <c r="H2720" s="7" t="s">
        <v>1827</v>
      </c>
      <c r="I2720" s="9">
        <v>1271800</v>
      </c>
      <c r="J2720" s="10">
        <v>0.03680000000000001</v>
      </c>
    </row>
    <row r="2721" spans="1:10">
      <c r="A2721" s="7" t="s">
        <v>1815</v>
      </c>
      <c r="B2721" s="7" t="s">
        <v>4588</v>
      </c>
      <c r="C2721" s="8">
        <f>QS.CONTEXT.CREATE("market.2719",A2721,"USD","SOFR")</f>
        <v/>
      </c>
      <c r="D2721" s="8">
        <f>QS.CONTEXT.ADD.CURVE(C2721,"SOFR",$K$2:$K$7,$L$2:$L$7,,,"Actual360","LogLinear",TRUE)</f>
        <v/>
      </c>
      <c r="E2721" s="8">
        <f>QS.INSTRUMENT.SWAP("swap.2719",C2721,H2721,B2721,"USD","SOFR",I2721,J2721,0,"Actual360","Simple","Annual","Annual","Annual")</f>
        <v/>
      </c>
      <c r="F2721" s="8">
        <f>QS.TRADE.CREATE("trade.2719",C2721,E2721,A2721,"Receive")</f>
        <v/>
      </c>
      <c r="G2721" s="5"/>
      <c r="H2721" s="7" t="s">
        <v>1829</v>
      </c>
      <c r="I2721" s="9">
        <v>1271900</v>
      </c>
      <c r="J2721" s="10">
        <v>0.0369</v>
      </c>
    </row>
    <row r="2722" spans="1:10">
      <c r="A2722" s="7" t="s">
        <v>1817</v>
      </c>
      <c r="B2722" s="7" t="s">
        <v>4589</v>
      </c>
      <c r="C2722" s="8">
        <f>QS.CONTEXT.CREATE("market.2720",A2722,"USD","SOFR")</f>
        <v/>
      </c>
      <c r="D2722" s="8">
        <f>QS.CONTEXT.ADD.CURVE(C2722,"SOFR",$K$2:$K$7,$L$2:$L$7,,,"Actual360","LogLinear",TRUE)</f>
        <v/>
      </c>
      <c r="E2722" s="8">
        <f>QS.INSTRUMENT.SWAP("swap.2720",C2722,H2722,B2722,"USD","SOFR",I2722,J2722,0,"Actual360","Simple","Annual","Annual","Annual")</f>
        <v/>
      </c>
      <c r="F2722" s="8">
        <f>QS.TRADE.CREATE("trade.2720",C2722,E2722,A2722,"Receive")</f>
        <v/>
      </c>
      <c r="G2722" s="5"/>
      <c r="H2722" s="7" t="s">
        <v>1831</v>
      </c>
      <c r="I2722" s="9">
        <v>1272000</v>
      </c>
      <c r="J2722" s="10">
        <v>0.03700000000000001</v>
      </c>
    </row>
    <row r="2723" spans="1:10">
      <c r="A2723" s="7" t="s">
        <v>1819</v>
      </c>
      <c r="B2723" s="7" t="s">
        <v>4590</v>
      </c>
      <c r="C2723" s="8">
        <f>QS.CONTEXT.CREATE("market.2721",A2723,"USD","SOFR")</f>
        <v/>
      </c>
      <c r="D2723" s="8">
        <f>QS.CONTEXT.ADD.CURVE(C2723,"SOFR",$K$2:$K$7,$L$2:$L$7,,,"Actual360","LogLinear",TRUE)</f>
        <v/>
      </c>
      <c r="E2723" s="8">
        <f>QS.INSTRUMENT.SWAP("swap.2721",C2723,H2723,B2723,"USD","SOFR",I2723,J2723,0,"Actual360","Simple","Annual","Annual","Annual")</f>
        <v/>
      </c>
      <c r="F2723" s="8">
        <f>QS.TRADE.CREATE("trade.2721",C2723,E2723,A2723,"Receive")</f>
        <v/>
      </c>
      <c r="G2723" s="5"/>
      <c r="H2723" s="7" t="s">
        <v>1833</v>
      </c>
      <c r="I2723" s="9">
        <v>1272100</v>
      </c>
      <c r="J2723" s="10">
        <v>0.0371</v>
      </c>
    </row>
    <row r="2724" spans="1:10">
      <c r="A2724" s="7" t="s">
        <v>1821</v>
      </c>
      <c r="B2724" s="7" t="s">
        <v>4591</v>
      </c>
      <c r="C2724" s="8">
        <f>QS.CONTEXT.CREATE("market.2722",A2724,"USD","SOFR")</f>
        <v/>
      </c>
      <c r="D2724" s="8">
        <f>QS.CONTEXT.ADD.CURVE(C2724,"SOFR",$K$2:$K$7,$L$2:$L$7,,,"Actual360","LogLinear",TRUE)</f>
        <v/>
      </c>
      <c r="E2724" s="8">
        <f>QS.INSTRUMENT.SWAP("swap.2722",C2724,H2724,B2724,"USD","SOFR",I2724,J2724,0,"Actual360","Simple","Annual","Annual","Annual")</f>
        <v/>
      </c>
      <c r="F2724" s="8">
        <f>QS.TRADE.CREATE("trade.2722",C2724,E2724,A2724,"Receive")</f>
        <v/>
      </c>
      <c r="G2724" s="5"/>
      <c r="H2724" s="7" t="s">
        <v>1835</v>
      </c>
      <c r="I2724" s="9">
        <v>1272200</v>
      </c>
      <c r="J2724" s="10">
        <v>0.0372</v>
      </c>
    </row>
    <row r="2725" spans="1:10">
      <c r="A2725" s="7" t="s">
        <v>1823</v>
      </c>
      <c r="B2725" s="7" t="s">
        <v>4592</v>
      </c>
      <c r="C2725" s="8">
        <f>QS.CONTEXT.CREATE("market.2723",A2725,"USD","SOFR")</f>
        <v/>
      </c>
      <c r="D2725" s="8">
        <f>QS.CONTEXT.ADD.CURVE(C2725,"SOFR",$K$2:$K$7,$L$2:$L$7,,,"Actual360","LogLinear",TRUE)</f>
        <v/>
      </c>
      <c r="E2725" s="8">
        <f>QS.INSTRUMENT.SWAP("swap.2723",C2725,H2725,B2725,"USD","SOFR",I2725,J2725,0,"Actual360","Simple","Annual","Annual","Annual")</f>
        <v/>
      </c>
      <c r="F2725" s="8">
        <f>QS.TRADE.CREATE("trade.2723",C2725,E2725,A2725,"Receive")</f>
        <v/>
      </c>
      <c r="G2725" s="5"/>
      <c r="H2725" s="7" t="s">
        <v>1837</v>
      </c>
      <c r="I2725" s="9">
        <v>1272300</v>
      </c>
      <c r="J2725" s="10">
        <v>0.0373</v>
      </c>
    </row>
    <row r="2726" spans="1:10">
      <c r="A2726" s="7" t="s">
        <v>1825</v>
      </c>
      <c r="B2726" s="7" t="s">
        <v>4593</v>
      </c>
      <c r="C2726" s="8">
        <f>QS.CONTEXT.CREATE("market.2724",A2726,"USD","SOFR")</f>
        <v/>
      </c>
      <c r="D2726" s="8">
        <f>QS.CONTEXT.ADD.CURVE(C2726,"SOFR",$K$2:$K$7,$L$2:$L$7,,,"Actual360","LogLinear",TRUE)</f>
        <v/>
      </c>
      <c r="E2726" s="8">
        <f>QS.INSTRUMENT.SWAP("swap.2724",C2726,H2726,B2726,"USD","SOFR",I2726,J2726,0,"Actual360","Simple","Annual","Annual","Annual")</f>
        <v/>
      </c>
      <c r="F2726" s="8">
        <f>QS.TRADE.CREATE("trade.2724",C2726,E2726,A2726,"Receive")</f>
        <v/>
      </c>
      <c r="G2726" s="5"/>
      <c r="H2726" s="7" t="s">
        <v>1839</v>
      </c>
      <c r="I2726" s="9">
        <v>1272400</v>
      </c>
      <c r="J2726" s="10">
        <v>0.0374</v>
      </c>
    </row>
    <row r="2727" spans="1:10">
      <c r="A2727" s="7" t="s">
        <v>1827</v>
      </c>
      <c r="B2727" s="7" t="s">
        <v>4594</v>
      </c>
      <c r="C2727" s="8">
        <f>QS.CONTEXT.CREATE("market.2725",A2727,"USD","SOFR")</f>
        <v/>
      </c>
      <c r="D2727" s="8">
        <f>QS.CONTEXT.ADD.CURVE(C2727,"SOFR",$K$2:$K$7,$L$2:$L$7,,,"Actual360","LogLinear",TRUE)</f>
        <v/>
      </c>
      <c r="E2727" s="8">
        <f>QS.INSTRUMENT.SWAP("swap.2725",C2727,H2727,B2727,"USD","SOFR",I2727,J2727,0,"Actual360","Simple","Annual","Annual","Annual")</f>
        <v/>
      </c>
      <c r="F2727" s="8">
        <f>QS.TRADE.CREATE("trade.2725",C2727,E2727,A2727,"Receive")</f>
        <v/>
      </c>
      <c r="G2727" s="5"/>
      <c r="H2727" s="7" t="s">
        <v>1841</v>
      </c>
      <c r="I2727" s="9">
        <v>1272500</v>
      </c>
      <c r="J2727" s="10">
        <v>0.03750000000000001</v>
      </c>
    </row>
    <row r="2728" spans="1:10">
      <c r="A2728" s="7" t="s">
        <v>1829</v>
      </c>
      <c r="B2728" s="7" t="s">
        <v>4595</v>
      </c>
      <c r="C2728" s="8">
        <f>QS.CONTEXT.CREATE("market.2726",A2728,"USD","SOFR")</f>
        <v/>
      </c>
      <c r="D2728" s="8">
        <f>QS.CONTEXT.ADD.CURVE(C2728,"SOFR",$K$2:$K$7,$L$2:$L$7,,,"Actual360","LogLinear",TRUE)</f>
        <v/>
      </c>
      <c r="E2728" s="8">
        <f>QS.INSTRUMENT.SWAP("swap.2726",C2728,H2728,B2728,"USD","SOFR",I2728,J2728,0,"Actual360","Simple","Annual","Annual","Annual")</f>
        <v/>
      </c>
      <c r="F2728" s="8">
        <f>QS.TRADE.CREATE("trade.2726",C2728,E2728,A2728,"Receive")</f>
        <v/>
      </c>
      <c r="G2728" s="5"/>
      <c r="H2728" s="7" t="s">
        <v>1843</v>
      </c>
      <c r="I2728" s="9">
        <v>1272600</v>
      </c>
      <c r="J2728" s="10">
        <v>0.0376</v>
      </c>
    </row>
    <row r="2729" spans="1:10">
      <c r="A2729" s="7" t="s">
        <v>1831</v>
      </c>
      <c r="B2729" s="7" t="s">
        <v>4596</v>
      </c>
      <c r="C2729" s="8">
        <f>QS.CONTEXT.CREATE("market.2727",A2729,"USD","SOFR")</f>
        <v/>
      </c>
      <c r="D2729" s="8">
        <f>QS.CONTEXT.ADD.CURVE(C2729,"SOFR",$K$2:$K$7,$L$2:$L$7,,,"Actual360","LogLinear",TRUE)</f>
        <v/>
      </c>
      <c r="E2729" s="8">
        <f>QS.INSTRUMENT.SWAP("swap.2727",C2729,H2729,B2729,"USD","SOFR",I2729,J2729,0,"Actual360","Simple","Annual","Annual","Annual")</f>
        <v/>
      </c>
      <c r="F2729" s="8">
        <f>QS.TRADE.CREATE("trade.2727",C2729,E2729,A2729,"Receive")</f>
        <v/>
      </c>
      <c r="G2729" s="5"/>
      <c r="H2729" s="7" t="s">
        <v>1845</v>
      </c>
      <c r="I2729" s="9">
        <v>1272700</v>
      </c>
      <c r="J2729" s="10">
        <v>0.0377</v>
      </c>
    </row>
    <row r="2730" spans="1:10">
      <c r="A2730" s="7" t="s">
        <v>1833</v>
      </c>
      <c r="B2730" s="7" t="s">
        <v>4597</v>
      </c>
      <c r="C2730" s="8">
        <f>QS.CONTEXT.CREATE("market.2728",A2730,"USD","SOFR")</f>
        <v/>
      </c>
      <c r="D2730" s="8">
        <f>QS.CONTEXT.ADD.CURVE(C2730,"SOFR",$K$2:$K$7,$L$2:$L$7,,,"Actual360","LogLinear",TRUE)</f>
        <v/>
      </c>
      <c r="E2730" s="8">
        <f>QS.INSTRUMENT.SWAP("swap.2728",C2730,H2730,B2730,"USD","SOFR",I2730,J2730,0,"Actual360","Simple","Annual","Annual","Annual")</f>
        <v/>
      </c>
      <c r="F2730" s="8">
        <f>QS.TRADE.CREATE("trade.2728",C2730,E2730,A2730,"Receive")</f>
        <v/>
      </c>
      <c r="G2730" s="5"/>
      <c r="H2730" s="7" t="s">
        <v>1847</v>
      </c>
      <c r="I2730" s="9">
        <v>1272800</v>
      </c>
      <c r="J2730" s="10">
        <v>0.0378</v>
      </c>
    </row>
    <row r="2731" spans="1:10">
      <c r="A2731" s="7" t="s">
        <v>1835</v>
      </c>
      <c r="B2731" s="7" t="s">
        <v>4598</v>
      </c>
      <c r="C2731" s="8">
        <f>QS.CONTEXT.CREATE("market.2729",A2731,"USD","SOFR")</f>
        <v/>
      </c>
      <c r="D2731" s="8">
        <f>QS.CONTEXT.ADD.CURVE(C2731,"SOFR",$K$2:$K$7,$L$2:$L$7,,,"Actual360","LogLinear",TRUE)</f>
        <v/>
      </c>
      <c r="E2731" s="8">
        <f>QS.INSTRUMENT.SWAP("swap.2729",C2731,H2731,B2731,"USD","SOFR",I2731,J2731,0,"Actual360","Simple","Annual","Annual","Annual")</f>
        <v/>
      </c>
      <c r="F2731" s="8">
        <f>QS.TRADE.CREATE("trade.2729",C2731,E2731,A2731,"Receive")</f>
        <v/>
      </c>
      <c r="G2731" s="5"/>
      <c r="H2731" s="7" t="s">
        <v>1849</v>
      </c>
      <c r="I2731" s="9">
        <v>1272900</v>
      </c>
      <c r="J2731" s="10">
        <v>0.0379</v>
      </c>
    </row>
    <row r="2732" spans="1:10">
      <c r="A2732" s="7" t="s">
        <v>1837</v>
      </c>
      <c r="B2732" s="7" t="s">
        <v>4599</v>
      </c>
      <c r="C2732" s="8">
        <f>QS.CONTEXT.CREATE("market.2730",A2732,"USD","SOFR")</f>
        <v/>
      </c>
      <c r="D2732" s="8">
        <f>QS.CONTEXT.ADD.CURVE(C2732,"SOFR",$K$2:$K$7,$L$2:$L$7,,,"Actual360","LogLinear",TRUE)</f>
        <v/>
      </c>
      <c r="E2732" s="8">
        <f>QS.INSTRUMENT.SWAP("swap.2730",C2732,H2732,B2732,"USD","SOFR",I2732,J2732,0,"Actual360","Simple","Annual","Annual","Annual")</f>
        <v/>
      </c>
      <c r="F2732" s="8">
        <f>QS.TRADE.CREATE("trade.2730",C2732,E2732,A2732,"Receive")</f>
        <v/>
      </c>
      <c r="G2732" s="5"/>
      <c r="H2732" s="7" t="s">
        <v>1851</v>
      </c>
      <c r="I2732" s="9">
        <v>1273000</v>
      </c>
      <c r="J2732" s="10">
        <v>0.03800000000000001</v>
      </c>
    </row>
    <row r="2733" spans="1:10">
      <c r="A2733" s="7" t="s">
        <v>1839</v>
      </c>
      <c r="B2733" s="7" t="s">
        <v>4600</v>
      </c>
      <c r="C2733" s="8">
        <f>QS.CONTEXT.CREATE("market.2731",A2733,"USD","SOFR")</f>
        <v/>
      </c>
      <c r="D2733" s="8">
        <f>QS.CONTEXT.ADD.CURVE(C2733,"SOFR",$K$2:$K$7,$L$2:$L$7,,,"Actual360","LogLinear",TRUE)</f>
        <v/>
      </c>
      <c r="E2733" s="8">
        <f>QS.INSTRUMENT.SWAP("swap.2731",C2733,H2733,B2733,"USD","SOFR",I2733,J2733,0,"Actual360","Simple","Annual","Annual","Annual")</f>
        <v/>
      </c>
      <c r="F2733" s="8">
        <f>QS.TRADE.CREATE("trade.2731",C2733,E2733,A2733,"Receive")</f>
        <v/>
      </c>
      <c r="G2733" s="5"/>
      <c r="H2733" s="7" t="s">
        <v>1853</v>
      </c>
      <c r="I2733" s="9">
        <v>1273100</v>
      </c>
      <c r="J2733" s="10">
        <v>0.0381</v>
      </c>
    </row>
    <row r="2734" spans="1:10">
      <c r="A2734" s="7" t="s">
        <v>1841</v>
      </c>
      <c r="B2734" s="7" t="s">
        <v>4601</v>
      </c>
      <c r="C2734" s="8">
        <f>QS.CONTEXT.CREATE("market.2732",A2734,"USD","SOFR")</f>
        <v/>
      </c>
      <c r="D2734" s="8">
        <f>QS.CONTEXT.ADD.CURVE(C2734,"SOFR",$K$2:$K$7,$L$2:$L$7,,,"Actual360","LogLinear",TRUE)</f>
        <v/>
      </c>
      <c r="E2734" s="8">
        <f>QS.INSTRUMENT.SWAP("swap.2732",C2734,H2734,B2734,"USD","SOFR",I2734,J2734,0,"Actual360","Simple","Annual","Annual","Annual")</f>
        <v/>
      </c>
      <c r="F2734" s="8">
        <f>QS.TRADE.CREATE("trade.2732",C2734,E2734,A2734,"Receive")</f>
        <v/>
      </c>
      <c r="G2734" s="5"/>
      <c r="H2734" s="7" t="s">
        <v>1855</v>
      </c>
      <c r="I2734" s="9">
        <v>1273200</v>
      </c>
      <c r="J2734" s="10">
        <v>0.0382</v>
      </c>
    </row>
    <row r="2735" spans="1:10">
      <c r="A2735" s="7" t="s">
        <v>1843</v>
      </c>
      <c r="B2735" s="7" t="s">
        <v>4602</v>
      </c>
      <c r="C2735" s="8">
        <f>QS.CONTEXT.CREATE("market.2733",A2735,"USD","SOFR")</f>
        <v/>
      </c>
      <c r="D2735" s="8">
        <f>QS.CONTEXT.ADD.CURVE(C2735,"SOFR",$K$2:$K$7,$L$2:$L$7,,,"Actual360","LogLinear",TRUE)</f>
        <v/>
      </c>
      <c r="E2735" s="8">
        <f>QS.INSTRUMENT.SWAP("swap.2733",C2735,H2735,B2735,"USD","SOFR",I2735,J2735,0,"Actual360","Simple","Annual","Annual","Annual")</f>
        <v/>
      </c>
      <c r="F2735" s="8">
        <f>QS.TRADE.CREATE("trade.2733",C2735,E2735,A2735,"Receive")</f>
        <v/>
      </c>
      <c r="G2735" s="5"/>
      <c r="H2735" s="7" t="s">
        <v>1857</v>
      </c>
      <c r="I2735" s="9">
        <v>1273300</v>
      </c>
      <c r="J2735" s="10">
        <v>0.0383</v>
      </c>
    </row>
    <row r="2736" spans="1:10">
      <c r="A2736" s="7" t="s">
        <v>1845</v>
      </c>
      <c r="B2736" s="7" t="s">
        <v>4603</v>
      </c>
      <c r="C2736" s="8">
        <f>QS.CONTEXT.CREATE("market.2734",A2736,"USD","SOFR")</f>
        <v/>
      </c>
      <c r="D2736" s="8">
        <f>QS.CONTEXT.ADD.CURVE(C2736,"SOFR",$K$2:$K$7,$L$2:$L$7,,,"Actual360","LogLinear",TRUE)</f>
        <v/>
      </c>
      <c r="E2736" s="8">
        <f>QS.INSTRUMENT.SWAP("swap.2734",C2736,H2736,B2736,"USD","SOFR",I2736,J2736,0,"Actual360","Simple","Annual","Annual","Annual")</f>
        <v/>
      </c>
      <c r="F2736" s="8">
        <f>QS.TRADE.CREATE("trade.2734",C2736,E2736,A2736,"Receive")</f>
        <v/>
      </c>
      <c r="G2736" s="5"/>
      <c r="H2736" s="7" t="s">
        <v>1859</v>
      </c>
      <c r="I2736" s="9">
        <v>1273400</v>
      </c>
      <c r="J2736" s="10">
        <v>0.0384</v>
      </c>
    </row>
    <row r="2737" spans="1:10">
      <c r="A2737" s="7" t="s">
        <v>1847</v>
      </c>
      <c r="B2737" s="7" t="s">
        <v>4604</v>
      </c>
      <c r="C2737" s="8">
        <f>QS.CONTEXT.CREATE("market.2735",A2737,"USD","SOFR")</f>
        <v/>
      </c>
      <c r="D2737" s="8">
        <f>QS.CONTEXT.ADD.CURVE(C2737,"SOFR",$K$2:$K$7,$L$2:$L$7,,,"Actual360","LogLinear",TRUE)</f>
        <v/>
      </c>
      <c r="E2737" s="8">
        <f>QS.INSTRUMENT.SWAP("swap.2735",C2737,H2737,B2737,"USD","SOFR",I2737,J2737,0,"Actual360","Simple","Annual","Annual","Annual")</f>
        <v/>
      </c>
      <c r="F2737" s="8">
        <f>QS.TRADE.CREATE("trade.2735",C2737,E2737,A2737,"Receive")</f>
        <v/>
      </c>
      <c r="G2737" s="5"/>
      <c r="H2737" s="7" t="s">
        <v>1861</v>
      </c>
      <c r="I2737" s="9">
        <v>1273500</v>
      </c>
      <c r="J2737" s="10">
        <v>0.03850000000000001</v>
      </c>
    </row>
    <row r="2738" spans="1:10">
      <c r="A2738" s="7" t="s">
        <v>1849</v>
      </c>
      <c r="B2738" s="7" t="s">
        <v>4605</v>
      </c>
      <c r="C2738" s="8">
        <f>QS.CONTEXT.CREATE("market.2736",A2738,"USD","SOFR")</f>
        <v/>
      </c>
      <c r="D2738" s="8">
        <f>QS.CONTEXT.ADD.CURVE(C2738,"SOFR",$K$2:$K$7,$L$2:$L$7,,,"Actual360","LogLinear",TRUE)</f>
        <v/>
      </c>
      <c r="E2738" s="8">
        <f>QS.INSTRUMENT.SWAP("swap.2736",C2738,H2738,B2738,"USD","SOFR",I2738,J2738,0,"Actual360","Simple","Annual","Annual","Annual")</f>
        <v/>
      </c>
      <c r="F2738" s="8">
        <f>QS.TRADE.CREATE("trade.2736",C2738,E2738,A2738,"Receive")</f>
        <v/>
      </c>
      <c r="G2738" s="5"/>
      <c r="H2738" s="7" t="s">
        <v>1863</v>
      </c>
      <c r="I2738" s="9">
        <v>1273600</v>
      </c>
      <c r="J2738" s="10">
        <v>0.0386</v>
      </c>
    </row>
    <row r="2739" spans="1:10">
      <c r="A2739" s="7" t="s">
        <v>1851</v>
      </c>
      <c r="B2739" s="7" t="s">
        <v>4606</v>
      </c>
      <c r="C2739" s="8">
        <f>QS.CONTEXT.CREATE("market.2737",A2739,"USD","SOFR")</f>
        <v/>
      </c>
      <c r="D2739" s="8">
        <f>QS.CONTEXT.ADD.CURVE(C2739,"SOFR",$K$2:$K$7,$L$2:$L$7,,,"Actual360","LogLinear",TRUE)</f>
        <v/>
      </c>
      <c r="E2739" s="8">
        <f>QS.INSTRUMENT.SWAP("swap.2737",C2739,H2739,B2739,"USD","SOFR",I2739,J2739,0,"Actual360","Simple","Annual","Annual","Annual")</f>
        <v/>
      </c>
      <c r="F2739" s="8">
        <f>QS.TRADE.CREATE("trade.2737",C2739,E2739,A2739,"Receive")</f>
        <v/>
      </c>
      <c r="G2739" s="5"/>
      <c r="H2739" s="7" t="s">
        <v>1865</v>
      </c>
      <c r="I2739" s="9">
        <v>1273700</v>
      </c>
      <c r="J2739" s="10">
        <v>0.03870000000000001</v>
      </c>
    </row>
    <row r="2740" spans="1:10">
      <c r="A2740" s="7" t="s">
        <v>1853</v>
      </c>
      <c r="B2740" s="7" t="s">
        <v>4607</v>
      </c>
      <c r="C2740" s="8">
        <f>QS.CONTEXT.CREATE("market.2738",A2740,"USD","SOFR")</f>
        <v/>
      </c>
      <c r="D2740" s="8">
        <f>QS.CONTEXT.ADD.CURVE(C2740,"SOFR",$K$2:$K$7,$L$2:$L$7,,,"Actual360","LogLinear",TRUE)</f>
        <v/>
      </c>
      <c r="E2740" s="8">
        <f>QS.INSTRUMENT.SWAP("swap.2738",C2740,H2740,B2740,"USD","SOFR",I2740,J2740,0,"Actual360","Simple","Annual","Annual","Annual")</f>
        <v/>
      </c>
      <c r="F2740" s="8">
        <f>QS.TRADE.CREATE("trade.2738",C2740,E2740,A2740,"Receive")</f>
        <v/>
      </c>
      <c r="G2740" s="5"/>
      <c r="H2740" s="7" t="s">
        <v>1867</v>
      </c>
      <c r="I2740" s="9">
        <v>1273800</v>
      </c>
      <c r="J2740" s="10">
        <v>0.0388</v>
      </c>
    </row>
    <row r="2741" spans="1:10">
      <c r="A2741" s="7" t="s">
        <v>1855</v>
      </c>
      <c r="B2741" s="7" t="s">
        <v>4608</v>
      </c>
      <c r="C2741" s="8">
        <f>QS.CONTEXT.CREATE("market.2739",A2741,"USD","SOFR")</f>
        <v/>
      </c>
      <c r="D2741" s="8">
        <f>QS.CONTEXT.ADD.CURVE(C2741,"SOFR",$K$2:$K$7,$L$2:$L$7,,,"Actual360","LogLinear",TRUE)</f>
        <v/>
      </c>
      <c r="E2741" s="8">
        <f>QS.INSTRUMENT.SWAP("swap.2739",C2741,H2741,B2741,"USD","SOFR",I2741,J2741,0,"Actual360","Simple","Annual","Annual","Annual")</f>
        <v/>
      </c>
      <c r="F2741" s="8">
        <f>QS.TRADE.CREATE("trade.2739",C2741,E2741,A2741,"Receive")</f>
        <v/>
      </c>
      <c r="G2741" s="5"/>
      <c r="H2741" s="7" t="s">
        <v>1869</v>
      </c>
      <c r="I2741" s="9">
        <v>1273900</v>
      </c>
      <c r="J2741" s="10">
        <v>0.0389</v>
      </c>
    </row>
    <row r="2742" spans="1:10">
      <c r="A2742" s="7" t="s">
        <v>1857</v>
      </c>
      <c r="B2742" s="7" t="s">
        <v>4609</v>
      </c>
      <c r="C2742" s="8">
        <f>QS.CONTEXT.CREATE("market.2740",A2742,"USD","SOFR")</f>
        <v/>
      </c>
      <c r="D2742" s="8">
        <f>QS.CONTEXT.ADD.CURVE(C2742,"SOFR",$K$2:$K$7,$L$2:$L$7,,,"Actual360","LogLinear",TRUE)</f>
        <v/>
      </c>
      <c r="E2742" s="8">
        <f>QS.INSTRUMENT.SWAP("swap.2740",C2742,H2742,B2742,"USD","SOFR",I2742,J2742,0,"Actual360","Simple","Annual","Annual","Annual")</f>
        <v/>
      </c>
      <c r="F2742" s="8">
        <f>QS.TRADE.CREATE("trade.2740",C2742,E2742,A2742,"Receive")</f>
        <v/>
      </c>
      <c r="G2742" s="5"/>
      <c r="H2742" s="7" t="s">
        <v>1871</v>
      </c>
      <c r="I2742" s="9">
        <v>1274000</v>
      </c>
      <c r="J2742" s="10">
        <v>0.03900000000000001</v>
      </c>
    </row>
    <row r="2743" spans="1:10">
      <c r="A2743" s="7" t="s">
        <v>1859</v>
      </c>
      <c r="B2743" s="7" t="s">
        <v>4610</v>
      </c>
      <c r="C2743" s="8">
        <f>QS.CONTEXT.CREATE("market.2741",A2743,"USD","SOFR")</f>
        <v/>
      </c>
      <c r="D2743" s="8">
        <f>QS.CONTEXT.ADD.CURVE(C2743,"SOFR",$K$2:$K$7,$L$2:$L$7,,,"Actual360","LogLinear",TRUE)</f>
        <v/>
      </c>
      <c r="E2743" s="8">
        <f>QS.INSTRUMENT.SWAP("swap.2741",C2743,H2743,B2743,"USD","SOFR",I2743,J2743,0,"Actual360","Simple","Annual","Annual","Annual")</f>
        <v/>
      </c>
      <c r="F2743" s="8">
        <f>QS.TRADE.CREATE("trade.2741",C2743,E2743,A2743,"Receive")</f>
        <v/>
      </c>
      <c r="G2743" s="5"/>
      <c r="H2743" s="7" t="s">
        <v>1873</v>
      </c>
      <c r="I2743" s="9">
        <v>1274100</v>
      </c>
      <c r="J2743" s="10">
        <v>0.0391</v>
      </c>
    </row>
    <row r="2744" spans="1:10">
      <c r="A2744" s="7" t="s">
        <v>1861</v>
      </c>
      <c r="B2744" s="7" t="s">
        <v>4611</v>
      </c>
      <c r="C2744" s="8">
        <f>QS.CONTEXT.CREATE("market.2742",A2744,"USD","SOFR")</f>
        <v/>
      </c>
      <c r="D2744" s="8">
        <f>QS.CONTEXT.ADD.CURVE(C2744,"SOFR",$K$2:$K$7,$L$2:$L$7,,,"Actual360","LogLinear",TRUE)</f>
        <v/>
      </c>
      <c r="E2744" s="8">
        <f>QS.INSTRUMENT.SWAP("swap.2742",C2744,H2744,B2744,"USD","SOFR",I2744,J2744,0,"Actual360","Simple","Annual","Annual","Annual")</f>
        <v/>
      </c>
      <c r="F2744" s="8">
        <f>QS.TRADE.CREATE("trade.2742",C2744,E2744,A2744,"Receive")</f>
        <v/>
      </c>
      <c r="G2744" s="5"/>
      <c r="H2744" s="7" t="s">
        <v>1875</v>
      </c>
      <c r="I2744" s="9">
        <v>1274200</v>
      </c>
      <c r="J2744" s="10">
        <v>0.03920000000000001</v>
      </c>
    </row>
    <row r="2745" spans="1:10">
      <c r="A2745" s="7" t="s">
        <v>1863</v>
      </c>
      <c r="B2745" s="7" t="s">
        <v>4612</v>
      </c>
      <c r="C2745" s="8">
        <f>QS.CONTEXT.CREATE("market.2743",A2745,"USD","SOFR")</f>
        <v/>
      </c>
      <c r="D2745" s="8">
        <f>QS.CONTEXT.ADD.CURVE(C2745,"SOFR",$K$2:$K$7,$L$2:$L$7,,,"Actual360","LogLinear",TRUE)</f>
        <v/>
      </c>
      <c r="E2745" s="8">
        <f>QS.INSTRUMENT.SWAP("swap.2743",C2745,H2745,B2745,"USD","SOFR",I2745,J2745,0,"Actual360","Simple","Annual","Annual","Annual")</f>
        <v/>
      </c>
      <c r="F2745" s="8">
        <f>QS.TRADE.CREATE("trade.2743",C2745,E2745,A2745,"Receive")</f>
        <v/>
      </c>
      <c r="G2745" s="5"/>
      <c r="H2745" s="7" t="s">
        <v>1877</v>
      </c>
      <c r="I2745" s="9">
        <v>1274300</v>
      </c>
      <c r="J2745" s="10">
        <v>0.0393</v>
      </c>
    </row>
    <row r="2746" spans="1:10">
      <c r="A2746" s="7" t="s">
        <v>1865</v>
      </c>
      <c r="B2746" s="7" t="s">
        <v>4613</v>
      </c>
      <c r="C2746" s="8">
        <f>QS.CONTEXT.CREATE("market.2744",A2746,"USD","SOFR")</f>
        <v/>
      </c>
      <c r="D2746" s="8">
        <f>QS.CONTEXT.ADD.CURVE(C2746,"SOFR",$K$2:$K$7,$L$2:$L$7,,,"Actual360","LogLinear",TRUE)</f>
        <v/>
      </c>
      <c r="E2746" s="8">
        <f>QS.INSTRUMENT.SWAP("swap.2744",C2746,H2746,B2746,"USD","SOFR",I2746,J2746,0,"Actual360","Simple","Annual","Annual","Annual")</f>
        <v/>
      </c>
      <c r="F2746" s="8">
        <f>QS.TRADE.CREATE("trade.2744",C2746,E2746,A2746,"Receive")</f>
        <v/>
      </c>
      <c r="G2746" s="5"/>
      <c r="H2746" s="7" t="s">
        <v>1879</v>
      </c>
      <c r="I2746" s="9">
        <v>1274400</v>
      </c>
      <c r="J2746" s="10">
        <v>0.0394</v>
      </c>
    </row>
    <row r="2747" spans="1:10">
      <c r="A2747" s="7" t="s">
        <v>1867</v>
      </c>
      <c r="B2747" s="7" t="s">
        <v>4614</v>
      </c>
      <c r="C2747" s="8">
        <f>QS.CONTEXT.CREATE("market.2745",A2747,"USD","SOFR")</f>
        <v/>
      </c>
      <c r="D2747" s="8">
        <f>QS.CONTEXT.ADD.CURVE(C2747,"SOFR",$K$2:$K$7,$L$2:$L$7,,,"Actual360","LogLinear",TRUE)</f>
        <v/>
      </c>
      <c r="E2747" s="8">
        <f>QS.INSTRUMENT.SWAP("swap.2745",C2747,H2747,B2747,"USD","SOFR",I2747,J2747,0,"Actual360","Simple","Annual","Annual","Annual")</f>
        <v/>
      </c>
      <c r="F2747" s="8">
        <f>QS.TRADE.CREATE("trade.2745",C2747,E2747,A2747,"Receive")</f>
        <v/>
      </c>
      <c r="G2747" s="5"/>
      <c r="H2747" s="7" t="s">
        <v>1881</v>
      </c>
      <c r="I2747" s="9">
        <v>1274500</v>
      </c>
      <c r="J2747" s="10">
        <v>0.03950000000000001</v>
      </c>
    </row>
    <row r="2748" spans="1:10">
      <c r="A2748" s="7" t="s">
        <v>1869</v>
      </c>
      <c r="B2748" s="7" t="s">
        <v>4615</v>
      </c>
      <c r="C2748" s="8">
        <f>QS.CONTEXT.CREATE("market.2746",A2748,"USD","SOFR")</f>
        <v/>
      </c>
      <c r="D2748" s="8">
        <f>QS.CONTEXT.ADD.CURVE(C2748,"SOFR",$K$2:$K$7,$L$2:$L$7,,,"Actual360","LogLinear",TRUE)</f>
        <v/>
      </c>
      <c r="E2748" s="8">
        <f>QS.INSTRUMENT.SWAP("swap.2746",C2748,H2748,B2748,"USD","SOFR",I2748,J2748,0,"Actual360","Simple","Annual","Annual","Annual")</f>
        <v/>
      </c>
      <c r="F2748" s="8">
        <f>QS.TRADE.CREATE("trade.2746",C2748,E2748,A2748,"Receive")</f>
        <v/>
      </c>
      <c r="G2748" s="5"/>
      <c r="H2748" s="7" t="s">
        <v>1883</v>
      </c>
      <c r="I2748" s="9">
        <v>1274600</v>
      </c>
      <c r="J2748" s="10">
        <v>0.0396</v>
      </c>
    </row>
    <row r="2749" spans="1:10">
      <c r="A2749" s="7" t="s">
        <v>1871</v>
      </c>
      <c r="B2749" s="7" t="s">
        <v>4616</v>
      </c>
      <c r="C2749" s="8">
        <f>QS.CONTEXT.CREATE("market.2747",A2749,"USD","SOFR")</f>
        <v/>
      </c>
      <c r="D2749" s="8">
        <f>QS.CONTEXT.ADD.CURVE(C2749,"SOFR",$K$2:$K$7,$L$2:$L$7,,,"Actual360","LogLinear",TRUE)</f>
        <v/>
      </c>
      <c r="E2749" s="8">
        <f>QS.INSTRUMENT.SWAP("swap.2747",C2749,H2749,B2749,"USD","SOFR",I2749,J2749,0,"Actual360","Simple","Annual","Annual","Annual")</f>
        <v/>
      </c>
      <c r="F2749" s="8">
        <f>QS.TRADE.CREATE("trade.2747",C2749,E2749,A2749,"Receive")</f>
        <v/>
      </c>
      <c r="G2749" s="5"/>
      <c r="H2749" s="7" t="s">
        <v>1885</v>
      </c>
      <c r="I2749" s="9">
        <v>1274700</v>
      </c>
      <c r="J2749" s="10">
        <v>0.03970000000000001</v>
      </c>
    </row>
    <row r="2750" spans="1:10">
      <c r="A2750" s="7" t="s">
        <v>1873</v>
      </c>
      <c r="B2750" s="7" t="s">
        <v>4617</v>
      </c>
      <c r="C2750" s="8">
        <f>QS.CONTEXT.CREATE("market.2748",A2750,"USD","SOFR")</f>
        <v/>
      </c>
      <c r="D2750" s="8">
        <f>QS.CONTEXT.ADD.CURVE(C2750,"SOFR",$K$2:$K$7,$L$2:$L$7,,,"Actual360","LogLinear",TRUE)</f>
        <v/>
      </c>
      <c r="E2750" s="8">
        <f>QS.INSTRUMENT.SWAP("swap.2748",C2750,H2750,B2750,"USD","SOFR",I2750,J2750,0,"Actual360","Simple","Annual","Annual","Annual")</f>
        <v/>
      </c>
      <c r="F2750" s="8">
        <f>QS.TRADE.CREATE("trade.2748",C2750,E2750,A2750,"Receive")</f>
        <v/>
      </c>
      <c r="G2750" s="5"/>
      <c r="H2750" s="7" t="s">
        <v>1887</v>
      </c>
      <c r="I2750" s="9">
        <v>1274800</v>
      </c>
      <c r="J2750" s="10">
        <v>0.0398</v>
      </c>
    </row>
    <row r="2751" spans="1:10">
      <c r="A2751" s="7" t="s">
        <v>1875</v>
      </c>
      <c r="B2751" s="7" t="s">
        <v>4618</v>
      </c>
      <c r="C2751" s="8">
        <f>QS.CONTEXT.CREATE("market.2749",A2751,"USD","SOFR")</f>
        <v/>
      </c>
      <c r="D2751" s="8">
        <f>QS.CONTEXT.ADD.CURVE(C2751,"SOFR",$K$2:$K$7,$L$2:$L$7,,,"Actual360","LogLinear",TRUE)</f>
        <v/>
      </c>
      <c r="E2751" s="8">
        <f>QS.INSTRUMENT.SWAP("swap.2749",C2751,H2751,B2751,"USD","SOFR",I2751,J2751,0,"Actual360","Simple","Annual","Annual","Annual")</f>
        <v/>
      </c>
      <c r="F2751" s="8">
        <f>QS.TRADE.CREATE("trade.2749",C2751,E2751,A2751,"Receive")</f>
        <v/>
      </c>
      <c r="G2751" s="5"/>
      <c r="H2751" s="7" t="s">
        <v>1889</v>
      </c>
      <c r="I2751" s="9">
        <v>1274900</v>
      </c>
      <c r="J2751" s="10">
        <v>0.0399</v>
      </c>
    </row>
    <row r="2752" spans="1:10">
      <c r="A2752" s="7" t="s">
        <v>1877</v>
      </c>
      <c r="B2752" s="7" t="s">
        <v>4619</v>
      </c>
      <c r="C2752" s="8">
        <f>QS.CONTEXT.CREATE("market.2750",A2752,"USD","SOFR")</f>
        <v/>
      </c>
      <c r="D2752" s="8">
        <f>QS.CONTEXT.ADD.CURVE(C2752,"SOFR",$K$2:$K$7,$L$2:$L$7,,,"Actual360","LogLinear",TRUE)</f>
        <v/>
      </c>
      <c r="E2752" s="8">
        <f>QS.INSTRUMENT.SWAP("swap.2750",C2752,H2752,B2752,"USD","SOFR",I2752,J2752,0,"Actual360","Simple","Annual","Annual","Annual")</f>
        <v/>
      </c>
      <c r="F2752" s="8">
        <f>QS.TRADE.CREATE("trade.2750",C2752,E2752,A2752,"Receive")</f>
        <v/>
      </c>
      <c r="G2752" s="5"/>
      <c r="H2752" s="7" t="s">
        <v>1891</v>
      </c>
      <c r="I2752" s="9">
        <v>1275000</v>
      </c>
      <c r="J2752" s="10">
        <v>0.035</v>
      </c>
    </row>
    <row r="2753" spans="1:10">
      <c r="A2753" s="7" t="s">
        <v>1879</v>
      </c>
      <c r="B2753" s="7" t="s">
        <v>4620</v>
      </c>
      <c r="C2753" s="8">
        <f>QS.CONTEXT.CREATE("market.2751",A2753,"USD","SOFR")</f>
        <v/>
      </c>
      <c r="D2753" s="8">
        <f>QS.CONTEXT.ADD.CURVE(C2753,"SOFR",$K$2:$K$7,$L$2:$L$7,,,"Actual360","LogLinear",TRUE)</f>
        <v/>
      </c>
      <c r="E2753" s="8">
        <f>QS.INSTRUMENT.SWAP("swap.2751",C2753,H2753,B2753,"USD","SOFR",I2753,J2753,0,"Actual360","Simple","Annual","Annual","Annual")</f>
        <v/>
      </c>
      <c r="F2753" s="8">
        <f>QS.TRADE.CREATE("trade.2751",C2753,E2753,A2753,"Receive")</f>
        <v/>
      </c>
      <c r="G2753" s="5"/>
      <c r="H2753" s="7" t="s">
        <v>1893</v>
      </c>
      <c r="I2753" s="9">
        <v>1275100</v>
      </c>
      <c r="J2753" s="10">
        <v>0.03510000000000001</v>
      </c>
    </row>
    <row r="2754" spans="1:10">
      <c r="A2754" s="7" t="s">
        <v>1881</v>
      </c>
      <c r="B2754" s="7" t="s">
        <v>4621</v>
      </c>
      <c r="C2754" s="8">
        <f>QS.CONTEXT.CREATE("market.2752",A2754,"USD","SOFR")</f>
        <v/>
      </c>
      <c r="D2754" s="8">
        <f>QS.CONTEXT.ADD.CURVE(C2754,"SOFR",$K$2:$K$7,$L$2:$L$7,,,"Actual360","LogLinear",TRUE)</f>
        <v/>
      </c>
      <c r="E2754" s="8">
        <f>QS.INSTRUMENT.SWAP("swap.2752",C2754,H2754,B2754,"USD","SOFR",I2754,J2754,0,"Actual360","Simple","Annual","Annual","Annual")</f>
        <v/>
      </c>
      <c r="F2754" s="8">
        <f>QS.TRADE.CREATE("trade.2752",C2754,E2754,A2754,"Receive")</f>
        <v/>
      </c>
      <c r="G2754" s="5"/>
      <c r="H2754" s="7" t="s">
        <v>1895</v>
      </c>
      <c r="I2754" s="9">
        <v>1275200</v>
      </c>
      <c r="J2754" s="10">
        <v>0.0352</v>
      </c>
    </row>
    <row r="2755" spans="1:10">
      <c r="A2755" s="7" t="s">
        <v>1883</v>
      </c>
      <c r="B2755" s="7" t="s">
        <v>4622</v>
      </c>
      <c r="C2755" s="8">
        <f>QS.CONTEXT.CREATE("market.2753",A2755,"USD","SOFR")</f>
        <v/>
      </c>
      <c r="D2755" s="8">
        <f>QS.CONTEXT.ADD.CURVE(C2755,"SOFR",$K$2:$K$7,$L$2:$L$7,,,"Actual360","LogLinear",TRUE)</f>
        <v/>
      </c>
      <c r="E2755" s="8">
        <f>QS.INSTRUMENT.SWAP("swap.2753",C2755,H2755,B2755,"USD","SOFR",I2755,J2755,0,"Actual360","Simple","Annual","Annual","Annual")</f>
        <v/>
      </c>
      <c r="F2755" s="8">
        <f>QS.TRADE.CREATE("trade.2753",C2755,E2755,A2755,"Receive")</f>
        <v/>
      </c>
      <c r="G2755" s="5"/>
      <c r="H2755" s="7" t="s">
        <v>1897</v>
      </c>
      <c r="I2755" s="9">
        <v>1275300</v>
      </c>
      <c r="J2755" s="10">
        <v>0.0353</v>
      </c>
    </row>
    <row r="2756" spans="1:10">
      <c r="A2756" s="7" t="s">
        <v>1885</v>
      </c>
      <c r="B2756" s="7" t="s">
        <v>4623</v>
      </c>
      <c r="C2756" s="8">
        <f>QS.CONTEXT.CREATE("market.2754",A2756,"USD","SOFR")</f>
        <v/>
      </c>
      <c r="D2756" s="8">
        <f>QS.CONTEXT.ADD.CURVE(C2756,"SOFR",$K$2:$K$7,$L$2:$L$7,,,"Actual360","LogLinear",TRUE)</f>
        <v/>
      </c>
      <c r="E2756" s="8">
        <f>QS.INSTRUMENT.SWAP("swap.2754",C2756,H2756,B2756,"USD","SOFR",I2756,J2756,0,"Actual360","Simple","Annual","Annual","Annual")</f>
        <v/>
      </c>
      <c r="F2756" s="8">
        <f>QS.TRADE.CREATE("trade.2754",C2756,E2756,A2756,"Receive")</f>
        <v/>
      </c>
      <c r="G2756" s="5"/>
      <c r="H2756" s="7" t="s">
        <v>1899</v>
      </c>
      <c r="I2756" s="9">
        <v>1275400</v>
      </c>
      <c r="J2756" s="10">
        <v>0.0354</v>
      </c>
    </row>
    <row r="2757" spans="1:10">
      <c r="A2757" s="7" t="s">
        <v>1887</v>
      </c>
      <c r="B2757" s="7" t="s">
        <v>4624</v>
      </c>
      <c r="C2757" s="8">
        <f>QS.CONTEXT.CREATE("market.2755",A2757,"USD","SOFR")</f>
        <v/>
      </c>
      <c r="D2757" s="8">
        <f>QS.CONTEXT.ADD.CURVE(C2757,"SOFR",$K$2:$K$7,$L$2:$L$7,,,"Actual360","LogLinear",TRUE)</f>
        <v/>
      </c>
      <c r="E2757" s="8">
        <f>QS.INSTRUMENT.SWAP("swap.2755",C2757,H2757,B2757,"USD","SOFR",I2757,J2757,0,"Actual360","Simple","Annual","Annual","Annual")</f>
        <v/>
      </c>
      <c r="F2757" s="8">
        <f>QS.TRADE.CREATE("trade.2755",C2757,E2757,A2757,"Receive")</f>
        <v/>
      </c>
      <c r="G2757" s="5"/>
      <c r="H2757" s="7" t="s">
        <v>1901</v>
      </c>
      <c r="I2757" s="9">
        <v>1275500</v>
      </c>
      <c r="J2757" s="10">
        <v>0.0355</v>
      </c>
    </row>
    <row r="2758" spans="1:10">
      <c r="A2758" s="7" t="s">
        <v>1889</v>
      </c>
      <c r="B2758" s="7" t="s">
        <v>4625</v>
      </c>
      <c r="C2758" s="8">
        <f>QS.CONTEXT.CREATE("market.2756",A2758,"USD","SOFR")</f>
        <v/>
      </c>
      <c r="D2758" s="8">
        <f>QS.CONTEXT.ADD.CURVE(C2758,"SOFR",$K$2:$K$7,$L$2:$L$7,,,"Actual360","LogLinear",TRUE)</f>
        <v/>
      </c>
      <c r="E2758" s="8">
        <f>QS.INSTRUMENT.SWAP("swap.2756",C2758,H2758,B2758,"USD","SOFR",I2758,J2758,0,"Actual360","Simple","Annual","Annual","Annual")</f>
        <v/>
      </c>
      <c r="F2758" s="8">
        <f>QS.TRADE.CREATE("trade.2756",C2758,E2758,A2758,"Receive")</f>
        <v/>
      </c>
      <c r="G2758" s="5"/>
      <c r="H2758" s="7" t="s">
        <v>1903</v>
      </c>
      <c r="I2758" s="9">
        <v>1275600</v>
      </c>
      <c r="J2758" s="10">
        <v>0.03560000000000001</v>
      </c>
    </row>
    <row r="2759" spans="1:10">
      <c r="A2759" s="7" t="s">
        <v>1891</v>
      </c>
      <c r="B2759" s="7" t="s">
        <v>4626</v>
      </c>
      <c r="C2759" s="8">
        <f>QS.CONTEXT.CREATE("market.2757",A2759,"USD","SOFR")</f>
        <v/>
      </c>
      <c r="D2759" s="8">
        <f>QS.CONTEXT.ADD.CURVE(C2759,"SOFR",$K$2:$K$7,$L$2:$L$7,,,"Actual360","LogLinear",TRUE)</f>
        <v/>
      </c>
      <c r="E2759" s="8">
        <f>QS.INSTRUMENT.SWAP("swap.2757",C2759,H2759,B2759,"USD","SOFR",I2759,J2759,0,"Actual360","Simple","Annual","Annual","Annual")</f>
        <v/>
      </c>
      <c r="F2759" s="8">
        <f>QS.TRADE.CREATE("trade.2757",C2759,E2759,A2759,"Receive")</f>
        <v/>
      </c>
      <c r="G2759" s="5"/>
      <c r="H2759" s="7" t="s">
        <v>1905</v>
      </c>
      <c r="I2759" s="9">
        <v>1275700</v>
      </c>
      <c r="J2759" s="10">
        <v>0.0357</v>
      </c>
    </row>
    <row r="2760" spans="1:10">
      <c r="A2760" s="7" t="s">
        <v>1893</v>
      </c>
      <c r="B2760" s="7" t="s">
        <v>4627</v>
      </c>
      <c r="C2760" s="8">
        <f>QS.CONTEXT.CREATE("market.2758",A2760,"USD","SOFR")</f>
        <v/>
      </c>
      <c r="D2760" s="8">
        <f>QS.CONTEXT.ADD.CURVE(C2760,"SOFR",$K$2:$K$7,$L$2:$L$7,,,"Actual360","LogLinear",TRUE)</f>
        <v/>
      </c>
      <c r="E2760" s="8">
        <f>QS.INSTRUMENT.SWAP("swap.2758",C2760,H2760,B2760,"USD","SOFR",I2760,J2760,0,"Actual360","Simple","Annual","Annual","Annual")</f>
        <v/>
      </c>
      <c r="F2760" s="8">
        <f>QS.TRADE.CREATE("trade.2758",C2760,E2760,A2760,"Receive")</f>
        <v/>
      </c>
      <c r="G2760" s="5"/>
      <c r="H2760" s="7" t="s">
        <v>1907</v>
      </c>
      <c r="I2760" s="9">
        <v>1275800</v>
      </c>
      <c r="J2760" s="10">
        <v>0.03580000000000001</v>
      </c>
    </row>
    <row r="2761" spans="1:10">
      <c r="A2761" s="7" t="s">
        <v>1895</v>
      </c>
      <c r="B2761" s="7" t="s">
        <v>4628</v>
      </c>
      <c r="C2761" s="8">
        <f>QS.CONTEXT.CREATE("market.2759",A2761,"USD","SOFR")</f>
        <v/>
      </c>
      <c r="D2761" s="8">
        <f>QS.CONTEXT.ADD.CURVE(C2761,"SOFR",$K$2:$K$7,$L$2:$L$7,,,"Actual360","LogLinear",TRUE)</f>
        <v/>
      </c>
      <c r="E2761" s="8">
        <f>QS.INSTRUMENT.SWAP("swap.2759",C2761,H2761,B2761,"USD","SOFR",I2761,J2761,0,"Actual360","Simple","Annual","Annual","Annual")</f>
        <v/>
      </c>
      <c r="F2761" s="8">
        <f>QS.TRADE.CREATE("trade.2759",C2761,E2761,A2761,"Receive")</f>
        <v/>
      </c>
      <c r="G2761" s="5"/>
      <c r="H2761" s="7" t="s">
        <v>1909</v>
      </c>
      <c r="I2761" s="9">
        <v>1275900</v>
      </c>
      <c r="J2761" s="10">
        <v>0.0359</v>
      </c>
    </row>
    <row r="2762" spans="1:10">
      <c r="A2762" s="7" t="s">
        <v>1897</v>
      </c>
      <c r="B2762" s="7" t="s">
        <v>4629</v>
      </c>
      <c r="C2762" s="8">
        <f>QS.CONTEXT.CREATE("market.2760",A2762,"USD","SOFR")</f>
        <v/>
      </c>
      <c r="D2762" s="8">
        <f>QS.CONTEXT.ADD.CURVE(C2762,"SOFR",$K$2:$K$7,$L$2:$L$7,,,"Actual360","LogLinear",TRUE)</f>
        <v/>
      </c>
      <c r="E2762" s="8">
        <f>QS.INSTRUMENT.SWAP("swap.2760",C2762,H2762,B2762,"USD","SOFR",I2762,J2762,0,"Actual360","Simple","Annual","Annual","Annual")</f>
        <v/>
      </c>
      <c r="F2762" s="8">
        <f>QS.TRADE.CREATE("trade.2760",C2762,E2762,A2762,"Receive")</f>
        <v/>
      </c>
      <c r="G2762" s="5"/>
      <c r="H2762" s="7" t="s">
        <v>1911</v>
      </c>
      <c r="I2762" s="9">
        <v>1276000</v>
      </c>
      <c r="J2762" s="10">
        <v>0.036</v>
      </c>
    </row>
    <row r="2763" spans="1:10">
      <c r="A2763" s="7" t="s">
        <v>1899</v>
      </c>
      <c r="B2763" s="7" t="s">
        <v>4630</v>
      </c>
      <c r="C2763" s="8">
        <f>QS.CONTEXT.CREATE("market.2761",A2763,"USD","SOFR")</f>
        <v/>
      </c>
      <c r="D2763" s="8">
        <f>QS.CONTEXT.ADD.CURVE(C2763,"SOFR",$K$2:$K$7,$L$2:$L$7,,,"Actual360","LogLinear",TRUE)</f>
        <v/>
      </c>
      <c r="E2763" s="8">
        <f>QS.INSTRUMENT.SWAP("swap.2761",C2763,H2763,B2763,"USD","SOFR",I2763,J2763,0,"Actual360","Simple","Annual","Annual","Annual")</f>
        <v/>
      </c>
      <c r="F2763" s="8">
        <f>QS.TRADE.CREATE("trade.2761",C2763,E2763,A2763,"Receive")</f>
        <v/>
      </c>
      <c r="G2763" s="5"/>
      <c r="H2763" s="7" t="s">
        <v>1913</v>
      </c>
      <c r="I2763" s="9">
        <v>1276100</v>
      </c>
      <c r="J2763" s="10">
        <v>0.0361</v>
      </c>
    </row>
    <row r="2764" spans="1:10">
      <c r="A2764" s="7" t="s">
        <v>1901</v>
      </c>
      <c r="B2764" s="7" t="s">
        <v>4631</v>
      </c>
      <c r="C2764" s="8">
        <f>QS.CONTEXT.CREATE("market.2762",A2764,"USD","SOFR")</f>
        <v/>
      </c>
      <c r="D2764" s="8">
        <f>QS.CONTEXT.ADD.CURVE(C2764,"SOFR",$K$2:$K$7,$L$2:$L$7,,,"Actual360","LogLinear",TRUE)</f>
        <v/>
      </c>
      <c r="E2764" s="8">
        <f>QS.INSTRUMENT.SWAP("swap.2762",C2764,H2764,B2764,"USD","SOFR",I2764,J2764,0,"Actual360","Simple","Annual","Annual","Annual")</f>
        <v/>
      </c>
      <c r="F2764" s="8">
        <f>QS.TRADE.CREATE("trade.2762",C2764,E2764,A2764,"Receive")</f>
        <v/>
      </c>
      <c r="G2764" s="5"/>
      <c r="H2764" s="7" t="s">
        <v>1915</v>
      </c>
      <c r="I2764" s="9">
        <v>1276200</v>
      </c>
      <c r="J2764" s="10">
        <v>0.0362</v>
      </c>
    </row>
    <row r="2765" spans="1:10">
      <c r="A2765" s="7" t="s">
        <v>1903</v>
      </c>
      <c r="B2765" s="7" t="s">
        <v>4632</v>
      </c>
      <c r="C2765" s="8">
        <f>QS.CONTEXT.CREATE("market.2763",A2765,"USD","SOFR")</f>
        <v/>
      </c>
      <c r="D2765" s="8">
        <f>QS.CONTEXT.ADD.CURVE(C2765,"SOFR",$K$2:$K$7,$L$2:$L$7,,,"Actual360","LogLinear",TRUE)</f>
        <v/>
      </c>
      <c r="E2765" s="8">
        <f>QS.INSTRUMENT.SWAP("swap.2763",C2765,H2765,B2765,"USD","SOFR",I2765,J2765,0,"Actual360","Simple","Annual","Annual","Annual")</f>
        <v/>
      </c>
      <c r="F2765" s="8">
        <f>QS.TRADE.CREATE("trade.2763",C2765,E2765,A2765,"Receive")</f>
        <v/>
      </c>
      <c r="G2765" s="5"/>
      <c r="H2765" s="7" t="s">
        <v>1917</v>
      </c>
      <c r="I2765" s="9">
        <v>1276300</v>
      </c>
      <c r="J2765" s="10">
        <v>0.03630000000000001</v>
      </c>
    </row>
    <row r="2766" spans="1:10">
      <c r="A2766" s="7" t="s">
        <v>1905</v>
      </c>
      <c r="B2766" s="7" t="s">
        <v>4633</v>
      </c>
      <c r="C2766" s="8">
        <f>QS.CONTEXT.CREATE("market.2764",A2766,"USD","SOFR")</f>
        <v/>
      </c>
      <c r="D2766" s="8">
        <f>QS.CONTEXT.ADD.CURVE(C2766,"SOFR",$K$2:$K$7,$L$2:$L$7,,,"Actual360","LogLinear",TRUE)</f>
        <v/>
      </c>
      <c r="E2766" s="8">
        <f>QS.INSTRUMENT.SWAP("swap.2764",C2766,H2766,B2766,"USD","SOFR",I2766,J2766,0,"Actual360","Simple","Annual","Annual","Annual")</f>
        <v/>
      </c>
      <c r="F2766" s="8">
        <f>QS.TRADE.CREATE("trade.2764",C2766,E2766,A2766,"Receive")</f>
        <v/>
      </c>
      <c r="G2766" s="5"/>
      <c r="H2766" s="7" t="s">
        <v>1919</v>
      </c>
      <c r="I2766" s="9">
        <v>1276400</v>
      </c>
      <c r="J2766" s="10">
        <v>0.0364</v>
      </c>
    </row>
    <row r="2767" spans="1:10">
      <c r="A2767" s="7" t="s">
        <v>1907</v>
      </c>
      <c r="B2767" s="7" t="s">
        <v>4634</v>
      </c>
      <c r="C2767" s="8">
        <f>QS.CONTEXT.CREATE("market.2765",A2767,"USD","SOFR")</f>
        <v/>
      </c>
      <c r="D2767" s="8">
        <f>QS.CONTEXT.ADD.CURVE(C2767,"SOFR",$K$2:$K$7,$L$2:$L$7,,,"Actual360","LogLinear",TRUE)</f>
        <v/>
      </c>
      <c r="E2767" s="8">
        <f>QS.INSTRUMENT.SWAP("swap.2765",C2767,H2767,B2767,"USD","SOFR",I2767,J2767,0,"Actual360","Simple","Annual","Annual","Annual")</f>
        <v/>
      </c>
      <c r="F2767" s="8">
        <f>QS.TRADE.CREATE("trade.2765",C2767,E2767,A2767,"Receive")</f>
        <v/>
      </c>
      <c r="G2767" s="5"/>
      <c r="H2767" s="7" t="s">
        <v>1921</v>
      </c>
      <c r="I2767" s="9">
        <v>1276500</v>
      </c>
      <c r="J2767" s="10">
        <v>0.0365</v>
      </c>
    </row>
    <row r="2768" spans="1:10">
      <c r="A2768" s="7" t="s">
        <v>1909</v>
      </c>
      <c r="B2768" s="7" t="s">
        <v>4635</v>
      </c>
      <c r="C2768" s="8">
        <f>QS.CONTEXT.CREATE("market.2766",A2768,"USD","SOFR")</f>
        <v/>
      </c>
      <c r="D2768" s="8">
        <f>QS.CONTEXT.ADD.CURVE(C2768,"SOFR",$K$2:$K$7,$L$2:$L$7,,,"Actual360","LogLinear",TRUE)</f>
        <v/>
      </c>
      <c r="E2768" s="8">
        <f>QS.INSTRUMENT.SWAP("swap.2766",C2768,H2768,B2768,"USD","SOFR",I2768,J2768,0,"Actual360","Simple","Annual","Annual","Annual")</f>
        <v/>
      </c>
      <c r="F2768" s="8">
        <f>QS.TRADE.CREATE("trade.2766",C2768,E2768,A2768,"Receive")</f>
        <v/>
      </c>
      <c r="G2768" s="5"/>
      <c r="H2768" s="7" t="s">
        <v>1923</v>
      </c>
      <c r="I2768" s="9">
        <v>1276600</v>
      </c>
      <c r="J2768" s="10">
        <v>0.0366</v>
      </c>
    </row>
    <row r="2769" spans="1:10">
      <c r="A2769" s="7" t="s">
        <v>1911</v>
      </c>
      <c r="B2769" s="7" t="s">
        <v>4636</v>
      </c>
      <c r="C2769" s="8">
        <f>QS.CONTEXT.CREATE("market.2767",A2769,"USD","SOFR")</f>
        <v/>
      </c>
      <c r="D2769" s="8">
        <f>QS.CONTEXT.ADD.CURVE(C2769,"SOFR",$K$2:$K$7,$L$2:$L$7,,,"Actual360","LogLinear",TRUE)</f>
        <v/>
      </c>
      <c r="E2769" s="8">
        <f>QS.INSTRUMENT.SWAP("swap.2767",C2769,H2769,B2769,"USD","SOFR",I2769,J2769,0,"Actual360","Simple","Annual","Annual","Annual")</f>
        <v/>
      </c>
      <c r="F2769" s="8">
        <f>QS.TRADE.CREATE("trade.2767",C2769,E2769,A2769,"Receive")</f>
        <v/>
      </c>
      <c r="G2769" s="5"/>
      <c r="H2769" s="7" t="s">
        <v>1925</v>
      </c>
      <c r="I2769" s="9">
        <v>1276700</v>
      </c>
      <c r="J2769" s="10">
        <v>0.0367</v>
      </c>
    </row>
    <row r="2770" spans="1:10">
      <c r="A2770" s="7" t="s">
        <v>1913</v>
      </c>
      <c r="B2770" s="7" t="s">
        <v>4637</v>
      </c>
      <c r="C2770" s="8">
        <f>QS.CONTEXT.CREATE("market.2768",A2770,"USD","SOFR")</f>
        <v/>
      </c>
      <c r="D2770" s="8">
        <f>QS.CONTEXT.ADD.CURVE(C2770,"SOFR",$K$2:$K$7,$L$2:$L$7,,,"Actual360","LogLinear",TRUE)</f>
        <v/>
      </c>
      <c r="E2770" s="8">
        <f>QS.INSTRUMENT.SWAP("swap.2768",C2770,H2770,B2770,"USD","SOFR",I2770,J2770,0,"Actual360","Simple","Annual","Annual","Annual")</f>
        <v/>
      </c>
      <c r="F2770" s="8">
        <f>QS.TRADE.CREATE("trade.2768",C2770,E2770,A2770,"Receive")</f>
        <v/>
      </c>
      <c r="G2770" s="5"/>
      <c r="H2770" s="7" t="s">
        <v>1927</v>
      </c>
      <c r="I2770" s="9">
        <v>1276800</v>
      </c>
      <c r="J2770" s="10">
        <v>0.03680000000000001</v>
      </c>
    </row>
    <row r="2771" spans="1:10">
      <c r="A2771" s="7" t="s">
        <v>1915</v>
      </c>
      <c r="B2771" s="7" t="s">
        <v>4638</v>
      </c>
      <c r="C2771" s="8">
        <f>QS.CONTEXT.CREATE("market.2769",A2771,"USD","SOFR")</f>
        <v/>
      </c>
      <c r="D2771" s="8">
        <f>QS.CONTEXT.ADD.CURVE(C2771,"SOFR",$K$2:$K$7,$L$2:$L$7,,,"Actual360","LogLinear",TRUE)</f>
        <v/>
      </c>
      <c r="E2771" s="8">
        <f>QS.INSTRUMENT.SWAP("swap.2769",C2771,H2771,B2771,"USD","SOFR",I2771,J2771,0,"Actual360","Simple","Annual","Annual","Annual")</f>
        <v/>
      </c>
      <c r="F2771" s="8">
        <f>QS.TRADE.CREATE("trade.2769",C2771,E2771,A2771,"Receive")</f>
        <v/>
      </c>
      <c r="G2771" s="5"/>
      <c r="H2771" s="7" t="s">
        <v>1929</v>
      </c>
      <c r="I2771" s="9">
        <v>1276900</v>
      </c>
      <c r="J2771" s="10">
        <v>0.0369</v>
      </c>
    </row>
    <row r="2772" spans="1:10">
      <c r="A2772" s="7" t="s">
        <v>1917</v>
      </c>
      <c r="B2772" s="7" t="s">
        <v>4639</v>
      </c>
      <c r="C2772" s="8">
        <f>QS.CONTEXT.CREATE("market.2770",A2772,"USD","SOFR")</f>
        <v/>
      </c>
      <c r="D2772" s="8">
        <f>QS.CONTEXT.ADD.CURVE(C2772,"SOFR",$K$2:$K$7,$L$2:$L$7,,,"Actual360","LogLinear",TRUE)</f>
        <v/>
      </c>
      <c r="E2772" s="8">
        <f>QS.INSTRUMENT.SWAP("swap.2770",C2772,H2772,B2772,"USD","SOFR",I2772,J2772,0,"Actual360","Simple","Annual","Annual","Annual")</f>
        <v/>
      </c>
      <c r="F2772" s="8">
        <f>QS.TRADE.CREATE("trade.2770",C2772,E2772,A2772,"Receive")</f>
        <v/>
      </c>
      <c r="G2772" s="5"/>
      <c r="H2772" s="7" t="s">
        <v>1931</v>
      </c>
      <c r="I2772" s="9">
        <v>1277000</v>
      </c>
      <c r="J2772" s="10">
        <v>0.03700000000000001</v>
      </c>
    </row>
    <row r="2773" spans="1:10">
      <c r="A2773" s="7" t="s">
        <v>1919</v>
      </c>
      <c r="B2773" s="7" t="s">
        <v>4640</v>
      </c>
      <c r="C2773" s="8">
        <f>QS.CONTEXT.CREATE("market.2771",A2773,"USD","SOFR")</f>
        <v/>
      </c>
      <c r="D2773" s="8">
        <f>QS.CONTEXT.ADD.CURVE(C2773,"SOFR",$K$2:$K$7,$L$2:$L$7,,,"Actual360","LogLinear",TRUE)</f>
        <v/>
      </c>
      <c r="E2773" s="8">
        <f>QS.INSTRUMENT.SWAP("swap.2771",C2773,H2773,B2773,"USD","SOFR",I2773,J2773,0,"Actual360","Simple","Annual","Annual","Annual")</f>
        <v/>
      </c>
      <c r="F2773" s="8">
        <f>QS.TRADE.CREATE("trade.2771",C2773,E2773,A2773,"Receive")</f>
        <v/>
      </c>
      <c r="G2773" s="5"/>
      <c r="H2773" s="7" t="s">
        <v>1933</v>
      </c>
      <c r="I2773" s="9">
        <v>1277100</v>
      </c>
      <c r="J2773" s="10">
        <v>0.0371</v>
      </c>
    </row>
    <row r="2774" spans="1:10">
      <c r="A2774" s="7" t="s">
        <v>1921</v>
      </c>
      <c r="B2774" s="7" t="s">
        <v>4641</v>
      </c>
      <c r="C2774" s="8">
        <f>QS.CONTEXT.CREATE("market.2772",A2774,"USD","SOFR")</f>
        <v/>
      </c>
      <c r="D2774" s="8">
        <f>QS.CONTEXT.ADD.CURVE(C2774,"SOFR",$K$2:$K$7,$L$2:$L$7,,,"Actual360","LogLinear",TRUE)</f>
        <v/>
      </c>
      <c r="E2774" s="8">
        <f>QS.INSTRUMENT.SWAP("swap.2772",C2774,H2774,B2774,"USD","SOFR",I2774,J2774,0,"Actual360","Simple","Annual","Annual","Annual")</f>
        <v/>
      </c>
      <c r="F2774" s="8">
        <f>QS.TRADE.CREATE("trade.2772",C2774,E2774,A2774,"Receive")</f>
        <v/>
      </c>
      <c r="G2774" s="5"/>
      <c r="H2774" s="7" t="s">
        <v>1935</v>
      </c>
      <c r="I2774" s="9">
        <v>1277200</v>
      </c>
      <c r="J2774" s="10">
        <v>0.0372</v>
      </c>
    </row>
    <row r="2775" spans="1:10">
      <c r="A2775" s="7" t="s">
        <v>1923</v>
      </c>
      <c r="B2775" s="7" t="s">
        <v>4642</v>
      </c>
      <c r="C2775" s="8">
        <f>QS.CONTEXT.CREATE("market.2773",A2775,"USD","SOFR")</f>
        <v/>
      </c>
      <c r="D2775" s="8">
        <f>QS.CONTEXT.ADD.CURVE(C2775,"SOFR",$K$2:$K$7,$L$2:$L$7,,,"Actual360","LogLinear",TRUE)</f>
        <v/>
      </c>
      <c r="E2775" s="8">
        <f>QS.INSTRUMENT.SWAP("swap.2773",C2775,H2775,B2775,"USD","SOFR",I2775,J2775,0,"Actual360","Simple","Annual","Annual","Annual")</f>
        <v/>
      </c>
      <c r="F2775" s="8">
        <f>QS.TRADE.CREATE("trade.2773",C2775,E2775,A2775,"Receive")</f>
        <v/>
      </c>
      <c r="G2775" s="5"/>
      <c r="H2775" s="7" t="s">
        <v>1937</v>
      </c>
      <c r="I2775" s="9">
        <v>1277300</v>
      </c>
      <c r="J2775" s="10">
        <v>0.0373</v>
      </c>
    </row>
    <row r="2776" spans="1:10">
      <c r="A2776" s="7" t="s">
        <v>1925</v>
      </c>
      <c r="B2776" s="7" t="s">
        <v>4643</v>
      </c>
      <c r="C2776" s="8">
        <f>QS.CONTEXT.CREATE("market.2774",A2776,"USD","SOFR")</f>
        <v/>
      </c>
      <c r="D2776" s="8">
        <f>QS.CONTEXT.ADD.CURVE(C2776,"SOFR",$K$2:$K$7,$L$2:$L$7,,,"Actual360","LogLinear",TRUE)</f>
        <v/>
      </c>
      <c r="E2776" s="8">
        <f>QS.INSTRUMENT.SWAP("swap.2774",C2776,H2776,B2776,"USD","SOFR",I2776,J2776,0,"Actual360","Simple","Annual","Annual","Annual")</f>
        <v/>
      </c>
      <c r="F2776" s="8">
        <f>QS.TRADE.CREATE("trade.2774",C2776,E2776,A2776,"Receive")</f>
        <v/>
      </c>
      <c r="G2776" s="5"/>
      <c r="H2776" s="7" t="s">
        <v>1939</v>
      </c>
      <c r="I2776" s="9">
        <v>1277400</v>
      </c>
      <c r="J2776" s="10">
        <v>0.0374</v>
      </c>
    </row>
    <row r="2777" spans="1:10">
      <c r="A2777" s="7" t="s">
        <v>1927</v>
      </c>
      <c r="B2777" s="7" t="s">
        <v>4644</v>
      </c>
      <c r="C2777" s="8">
        <f>QS.CONTEXT.CREATE("market.2775",A2777,"USD","SOFR")</f>
        <v/>
      </c>
      <c r="D2777" s="8">
        <f>QS.CONTEXT.ADD.CURVE(C2777,"SOFR",$K$2:$K$7,$L$2:$L$7,,,"Actual360","LogLinear",TRUE)</f>
        <v/>
      </c>
      <c r="E2777" s="8">
        <f>QS.INSTRUMENT.SWAP("swap.2775",C2777,H2777,B2777,"USD","SOFR",I2777,J2777,0,"Actual360","Simple","Annual","Annual","Annual")</f>
        <v/>
      </c>
      <c r="F2777" s="8">
        <f>QS.TRADE.CREATE("trade.2775",C2777,E2777,A2777,"Receive")</f>
        <v/>
      </c>
      <c r="G2777" s="5"/>
      <c r="H2777" s="7" t="s">
        <v>1941</v>
      </c>
      <c r="I2777" s="9">
        <v>1277500</v>
      </c>
      <c r="J2777" s="10">
        <v>0.03750000000000001</v>
      </c>
    </row>
    <row r="2778" spans="1:10">
      <c r="A2778" s="7" t="s">
        <v>1929</v>
      </c>
      <c r="B2778" s="7" t="s">
        <v>4645</v>
      </c>
      <c r="C2778" s="8">
        <f>QS.CONTEXT.CREATE("market.2776",A2778,"USD","SOFR")</f>
        <v/>
      </c>
      <c r="D2778" s="8">
        <f>QS.CONTEXT.ADD.CURVE(C2778,"SOFR",$K$2:$K$7,$L$2:$L$7,,,"Actual360","LogLinear",TRUE)</f>
        <v/>
      </c>
      <c r="E2778" s="8">
        <f>QS.INSTRUMENT.SWAP("swap.2776",C2778,H2778,B2778,"USD","SOFR",I2778,J2778,0,"Actual360","Simple","Annual","Annual","Annual")</f>
        <v/>
      </c>
      <c r="F2778" s="8">
        <f>QS.TRADE.CREATE("trade.2776",C2778,E2778,A2778,"Receive")</f>
        <v/>
      </c>
      <c r="G2778" s="5"/>
      <c r="H2778" s="7" t="s">
        <v>1943</v>
      </c>
      <c r="I2778" s="9">
        <v>1277600</v>
      </c>
      <c r="J2778" s="10">
        <v>0.0376</v>
      </c>
    </row>
    <row r="2779" spans="1:10">
      <c r="A2779" s="7" t="s">
        <v>1931</v>
      </c>
      <c r="B2779" s="7" t="s">
        <v>4646</v>
      </c>
      <c r="C2779" s="8">
        <f>QS.CONTEXT.CREATE("market.2777",A2779,"USD","SOFR")</f>
        <v/>
      </c>
      <c r="D2779" s="8">
        <f>QS.CONTEXT.ADD.CURVE(C2779,"SOFR",$K$2:$K$7,$L$2:$L$7,,,"Actual360","LogLinear",TRUE)</f>
        <v/>
      </c>
      <c r="E2779" s="8">
        <f>QS.INSTRUMENT.SWAP("swap.2777",C2779,H2779,B2779,"USD","SOFR",I2779,J2779,0,"Actual360","Simple","Annual","Annual","Annual")</f>
        <v/>
      </c>
      <c r="F2779" s="8">
        <f>QS.TRADE.CREATE("trade.2777",C2779,E2779,A2779,"Receive")</f>
        <v/>
      </c>
      <c r="G2779" s="5"/>
      <c r="H2779" s="7" t="s">
        <v>1945</v>
      </c>
      <c r="I2779" s="9">
        <v>1277700</v>
      </c>
      <c r="J2779" s="10">
        <v>0.0377</v>
      </c>
    </row>
    <row r="2780" spans="1:10">
      <c r="A2780" s="7" t="s">
        <v>1933</v>
      </c>
      <c r="B2780" s="7" t="s">
        <v>4647</v>
      </c>
      <c r="C2780" s="8">
        <f>QS.CONTEXT.CREATE("market.2778",A2780,"USD","SOFR")</f>
        <v/>
      </c>
      <c r="D2780" s="8">
        <f>QS.CONTEXT.ADD.CURVE(C2780,"SOFR",$K$2:$K$7,$L$2:$L$7,,,"Actual360","LogLinear",TRUE)</f>
        <v/>
      </c>
      <c r="E2780" s="8">
        <f>QS.INSTRUMENT.SWAP("swap.2778",C2780,H2780,B2780,"USD","SOFR",I2780,J2780,0,"Actual360","Simple","Annual","Annual","Annual")</f>
        <v/>
      </c>
      <c r="F2780" s="8">
        <f>QS.TRADE.CREATE("trade.2778",C2780,E2780,A2780,"Receive")</f>
        <v/>
      </c>
      <c r="G2780" s="5"/>
      <c r="H2780" s="7" t="s">
        <v>1947</v>
      </c>
      <c r="I2780" s="9">
        <v>1277800</v>
      </c>
      <c r="J2780" s="10">
        <v>0.0378</v>
      </c>
    </row>
    <row r="2781" spans="1:10">
      <c r="A2781" s="7" t="s">
        <v>1935</v>
      </c>
      <c r="B2781" s="7" t="s">
        <v>4648</v>
      </c>
      <c r="C2781" s="8">
        <f>QS.CONTEXT.CREATE("market.2779",A2781,"USD","SOFR")</f>
        <v/>
      </c>
      <c r="D2781" s="8">
        <f>QS.CONTEXT.ADD.CURVE(C2781,"SOFR",$K$2:$K$7,$L$2:$L$7,,,"Actual360","LogLinear",TRUE)</f>
        <v/>
      </c>
      <c r="E2781" s="8">
        <f>QS.INSTRUMENT.SWAP("swap.2779",C2781,H2781,B2781,"USD","SOFR",I2781,J2781,0,"Actual360","Simple","Annual","Annual","Annual")</f>
        <v/>
      </c>
      <c r="F2781" s="8">
        <f>QS.TRADE.CREATE("trade.2779",C2781,E2781,A2781,"Receive")</f>
        <v/>
      </c>
      <c r="G2781" s="5"/>
      <c r="H2781" s="7" t="s">
        <v>1949</v>
      </c>
      <c r="I2781" s="9">
        <v>1277900</v>
      </c>
      <c r="J2781" s="10">
        <v>0.0379</v>
      </c>
    </row>
    <row r="2782" spans="1:10">
      <c r="A2782" s="7" t="s">
        <v>1937</v>
      </c>
      <c r="B2782" s="7" t="s">
        <v>4649</v>
      </c>
      <c r="C2782" s="8">
        <f>QS.CONTEXT.CREATE("market.2780",A2782,"USD","SOFR")</f>
        <v/>
      </c>
      <c r="D2782" s="8">
        <f>QS.CONTEXT.ADD.CURVE(C2782,"SOFR",$K$2:$K$7,$L$2:$L$7,,,"Actual360","LogLinear",TRUE)</f>
        <v/>
      </c>
      <c r="E2782" s="8">
        <f>QS.INSTRUMENT.SWAP("swap.2780",C2782,H2782,B2782,"USD","SOFR",I2782,J2782,0,"Actual360","Simple","Annual","Annual","Annual")</f>
        <v/>
      </c>
      <c r="F2782" s="8">
        <f>QS.TRADE.CREATE("trade.2780",C2782,E2782,A2782,"Receive")</f>
        <v/>
      </c>
      <c r="G2782" s="5"/>
      <c r="H2782" s="7" t="s">
        <v>1951</v>
      </c>
      <c r="I2782" s="9">
        <v>1278000</v>
      </c>
      <c r="J2782" s="10">
        <v>0.03800000000000001</v>
      </c>
    </row>
    <row r="2783" spans="1:10">
      <c r="A2783" s="7" t="s">
        <v>1939</v>
      </c>
      <c r="B2783" s="7" t="s">
        <v>4650</v>
      </c>
      <c r="C2783" s="8">
        <f>QS.CONTEXT.CREATE("market.2781",A2783,"USD","SOFR")</f>
        <v/>
      </c>
      <c r="D2783" s="8">
        <f>QS.CONTEXT.ADD.CURVE(C2783,"SOFR",$K$2:$K$7,$L$2:$L$7,,,"Actual360","LogLinear",TRUE)</f>
        <v/>
      </c>
      <c r="E2783" s="8">
        <f>QS.INSTRUMENT.SWAP("swap.2781",C2783,H2783,B2783,"USD","SOFR",I2783,J2783,0,"Actual360","Simple","Annual","Annual","Annual")</f>
        <v/>
      </c>
      <c r="F2783" s="8">
        <f>QS.TRADE.CREATE("trade.2781",C2783,E2783,A2783,"Receive")</f>
        <v/>
      </c>
      <c r="G2783" s="5"/>
      <c r="H2783" s="7" t="s">
        <v>1953</v>
      </c>
      <c r="I2783" s="9">
        <v>1278100</v>
      </c>
      <c r="J2783" s="10">
        <v>0.0381</v>
      </c>
    </row>
    <row r="2784" spans="1:10">
      <c r="A2784" s="7" t="s">
        <v>1941</v>
      </c>
      <c r="B2784" s="7" t="s">
        <v>4651</v>
      </c>
      <c r="C2784" s="8">
        <f>QS.CONTEXT.CREATE("market.2782",A2784,"USD","SOFR")</f>
        <v/>
      </c>
      <c r="D2784" s="8">
        <f>QS.CONTEXT.ADD.CURVE(C2784,"SOFR",$K$2:$K$7,$L$2:$L$7,,,"Actual360","LogLinear",TRUE)</f>
        <v/>
      </c>
      <c r="E2784" s="8">
        <f>QS.INSTRUMENT.SWAP("swap.2782",C2784,H2784,B2784,"USD","SOFR",I2784,J2784,0,"Actual360","Simple","Annual","Annual","Annual")</f>
        <v/>
      </c>
      <c r="F2784" s="8">
        <f>QS.TRADE.CREATE("trade.2782",C2784,E2784,A2784,"Receive")</f>
        <v/>
      </c>
      <c r="G2784" s="5"/>
      <c r="H2784" s="7" t="s">
        <v>1955</v>
      </c>
      <c r="I2784" s="9">
        <v>1278200</v>
      </c>
      <c r="J2784" s="10">
        <v>0.0382</v>
      </c>
    </row>
    <row r="2785" spans="1:10">
      <c r="A2785" s="7" t="s">
        <v>1943</v>
      </c>
      <c r="B2785" s="7" t="s">
        <v>4652</v>
      </c>
      <c r="C2785" s="8">
        <f>QS.CONTEXT.CREATE("market.2783",A2785,"USD","SOFR")</f>
        <v/>
      </c>
      <c r="D2785" s="8">
        <f>QS.CONTEXT.ADD.CURVE(C2785,"SOFR",$K$2:$K$7,$L$2:$L$7,,,"Actual360","LogLinear",TRUE)</f>
        <v/>
      </c>
      <c r="E2785" s="8">
        <f>QS.INSTRUMENT.SWAP("swap.2783",C2785,H2785,B2785,"USD","SOFR",I2785,J2785,0,"Actual360","Simple","Annual","Annual","Annual")</f>
        <v/>
      </c>
      <c r="F2785" s="8">
        <f>QS.TRADE.CREATE("trade.2783",C2785,E2785,A2785,"Receive")</f>
        <v/>
      </c>
      <c r="G2785" s="5"/>
      <c r="H2785" s="7" t="s">
        <v>1957</v>
      </c>
      <c r="I2785" s="9">
        <v>1278300</v>
      </c>
      <c r="J2785" s="10">
        <v>0.0383</v>
      </c>
    </row>
    <row r="2786" spans="1:10">
      <c r="A2786" s="7" t="s">
        <v>1945</v>
      </c>
      <c r="B2786" s="7" t="s">
        <v>4653</v>
      </c>
      <c r="C2786" s="8">
        <f>QS.CONTEXT.CREATE("market.2784",A2786,"USD","SOFR")</f>
        <v/>
      </c>
      <c r="D2786" s="8">
        <f>QS.CONTEXT.ADD.CURVE(C2786,"SOFR",$K$2:$K$7,$L$2:$L$7,,,"Actual360","LogLinear",TRUE)</f>
        <v/>
      </c>
      <c r="E2786" s="8">
        <f>QS.INSTRUMENT.SWAP("swap.2784",C2786,H2786,B2786,"USD","SOFR",I2786,J2786,0,"Actual360","Simple","Annual","Annual","Annual")</f>
        <v/>
      </c>
      <c r="F2786" s="8">
        <f>QS.TRADE.CREATE("trade.2784",C2786,E2786,A2786,"Receive")</f>
        <v/>
      </c>
      <c r="G2786" s="5"/>
      <c r="H2786" s="7" t="s">
        <v>1959</v>
      </c>
      <c r="I2786" s="9">
        <v>1278400</v>
      </c>
      <c r="J2786" s="10">
        <v>0.0384</v>
      </c>
    </row>
    <row r="2787" spans="1:10">
      <c r="A2787" s="7" t="s">
        <v>1947</v>
      </c>
      <c r="B2787" s="7" t="s">
        <v>4654</v>
      </c>
      <c r="C2787" s="8">
        <f>QS.CONTEXT.CREATE("market.2785",A2787,"USD","SOFR")</f>
        <v/>
      </c>
      <c r="D2787" s="8">
        <f>QS.CONTEXT.ADD.CURVE(C2787,"SOFR",$K$2:$K$7,$L$2:$L$7,,,"Actual360","LogLinear",TRUE)</f>
        <v/>
      </c>
      <c r="E2787" s="8">
        <f>QS.INSTRUMENT.SWAP("swap.2785",C2787,H2787,B2787,"USD","SOFR",I2787,J2787,0,"Actual360","Simple","Annual","Annual","Annual")</f>
        <v/>
      </c>
      <c r="F2787" s="8">
        <f>QS.TRADE.CREATE("trade.2785",C2787,E2787,A2787,"Receive")</f>
        <v/>
      </c>
      <c r="G2787" s="5"/>
      <c r="H2787" s="7" t="s">
        <v>1961</v>
      </c>
      <c r="I2787" s="9">
        <v>1278500</v>
      </c>
      <c r="J2787" s="10">
        <v>0.03850000000000001</v>
      </c>
    </row>
    <row r="2788" spans="1:10">
      <c r="A2788" s="7" t="s">
        <v>1949</v>
      </c>
      <c r="B2788" s="7" t="s">
        <v>4655</v>
      </c>
      <c r="C2788" s="8">
        <f>QS.CONTEXT.CREATE("market.2786",A2788,"USD","SOFR")</f>
        <v/>
      </c>
      <c r="D2788" s="8">
        <f>QS.CONTEXT.ADD.CURVE(C2788,"SOFR",$K$2:$K$7,$L$2:$L$7,,,"Actual360","LogLinear",TRUE)</f>
        <v/>
      </c>
      <c r="E2788" s="8">
        <f>QS.INSTRUMENT.SWAP("swap.2786",C2788,H2788,B2788,"USD","SOFR",I2788,J2788,0,"Actual360","Simple","Annual","Annual","Annual")</f>
        <v/>
      </c>
      <c r="F2788" s="8">
        <f>QS.TRADE.CREATE("trade.2786",C2788,E2788,A2788,"Receive")</f>
        <v/>
      </c>
      <c r="G2788" s="5"/>
      <c r="H2788" s="7" t="s">
        <v>1963</v>
      </c>
      <c r="I2788" s="9">
        <v>1278600</v>
      </c>
      <c r="J2788" s="10">
        <v>0.0386</v>
      </c>
    </row>
    <row r="2789" spans="1:10">
      <c r="A2789" s="7" t="s">
        <v>1951</v>
      </c>
      <c r="B2789" s="7" t="s">
        <v>4656</v>
      </c>
      <c r="C2789" s="8">
        <f>QS.CONTEXT.CREATE("market.2787",A2789,"USD","SOFR")</f>
        <v/>
      </c>
      <c r="D2789" s="8">
        <f>QS.CONTEXT.ADD.CURVE(C2789,"SOFR",$K$2:$K$7,$L$2:$L$7,,,"Actual360","LogLinear",TRUE)</f>
        <v/>
      </c>
      <c r="E2789" s="8">
        <f>QS.INSTRUMENT.SWAP("swap.2787",C2789,H2789,B2789,"USD","SOFR",I2789,J2789,0,"Actual360","Simple","Annual","Annual","Annual")</f>
        <v/>
      </c>
      <c r="F2789" s="8">
        <f>QS.TRADE.CREATE("trade.2787",C2789,E2789,A2789,"Receive")</f>
        <v/>
      </c>
      <c r="G2789" s="5"/>
      <c r="H2789" s="7" t="s">
        <v>1965</v>
      </c>
      <c r="I2789" s="9">
        <v>1278700</v>
      </c>
      <c r="J2789" s="10">
        <v>0.03870000000000001</v>
      </c>
    </row>
    <row r="2790" spans="1:10">
      <c r="A2790" s="7" t="s">
        <v>1953</v>
      </c>
      <c r="B2790" s="7" t="s">
        <v>4657</v>
      </c>
      <c r="C2790" s="8">
        <f>QS.CONTEXT.CREATE("market.2788",A2790,"USD","SOFR")</f>
        <v/>
      </c>
      <c r="D2790" s="8">
        <f>QS.CONTEXT.ADD.CURVE(C2790,"SOFR",$K$2:$K$7,$L$2:$L$7,,,"Actual360","LogLinear",TRUE)</f>
        <v/>
      </c>
      <c r="E2790" s="8">
        <f>QS.INSTRUMENT.SWAP("swap.2788",C2790,H2790,B2790,"USD","SOFR",I2790,J2790,0,"Actual360","Simple","Annual","Annual","Annual")</f>
        <v/>
      </c>
      <c r="F2790" s="8">
        <f>QS.TRADE.CREATE("trade.2788",C2790,E2790,A2790,"Receive")</f>
        <v/>
      </c>
      <c r="G2790" s="5"/>
      <c r="H2790" s="7" t="s">
        <v>1967</v>
      </c>
      <c r="I2790" s="9">
        <v>1278800</v>
      </c>
      <c r="J2790" s="10">
        <v>0.0388</v>
      </c>
    </row>
    <row r="2791" spans="1:10">
      <c r="A2791" s="7" t="s">
        <v>1955</v>
      </c>
      <c r="B2791" s="7" t="s">
        <v>4658</v>
      </c>
      <c r="C2791" s="8">
        <f>QS.CONTEXT.CREATE("market.2789",A2791,"USD","SOFR")</f>
        <v/>
      </c>
      <c r="D2791" s="8">
        <f>QS.CONTEXT.ADD.CURVE(C2791,"SOFR",$K$2:$K$7,$L$2:$L$7,,,"Actual360","LogLinear",TRUE)</f>
        <v/>
      </c>
      <c r="E2791" s="8">
        <f>QS.INSTRUMENT.SWAP("swap.2789",C2791,H2791,B2791,"USD","SOFR",I2791,J2791,0,"Actual360","Simple","Annual","Annual","Annual")</f>
        <v/>
      </c>
      <c r="F2791" s="8">
        <f>QS.TRADE.CREATE("trade.2789",C2791,E2791,A2791,"Receive")</f>
        <v/>
      </c>
      <c r="G2791" s="5"/>
      <c r="H2791" s="7" t="s">
        <v>1969</v>
      </c>
      <c r="I2791" s="9">
        <v>1278900</v>
      </c>
      <c r="J2791" s="10">
        <v>0.0389</v>
      </c>
    </row>
    <row r="2792" spans="1:10">
      <c r="A2792" s="7" t="s">
        <v>1957</v>
      </c>
      <c r="B2792" s="7" t="s">
        <v>4659</v>
      </c>
      <c r="C2792" s="8">
        <f>QS.CONTEXT.CREATE("market.2790",A2792,"USD","SOFR")</f>
        <v/>
      </c>
      <c r="D2792" s="8">
        <f>QS.CONTEXT.ADD.CURVE(C2792,"SOFR",$K$2:$K$7,$L$2:$L$7,,,"Actual360","LogLinear",TRUE)</f>
        <v/>
      </c>
      <c r="E2792" s="8">
        <f>QS.INSTRUMENT.SWAP("swap.2790",C2792,H2792,B2792,"USD","SOFR",I2792,J2792,0,"Actual360","Simple","Annual","Annual","Annual")</f>
        <v/>
      </c>
      <c r="F2792" s="8">
        <f>QS.TRADE.CREATE("trade.2790",C2792,E2792,A2792,"Receive")</f>
        <v/>
      </c>
      <c r="G2792" s="5"/>
      <c r="H2792" s="7" t="s">
        <v>1971</v>
      </c>
      <c r="I2792" s="9">
        <v>1279000</v>
      </c>
      <c r="J2792" s="10">
        <v>0.03900000000000001</v>
      </c>
    </row>
    <row r="2793" spans="1:10">
      <c r="A2793" s="7" t="s">
        <v>1959</v>
      </c>
      <c r="B2793" s="7" t="s">
        <v>4660</v>
      </c>
      <c r="C2793" s="8">
        <f>QS.CONTEXT.CREATE("market.2791",A2793,"USD","SOFR")</f>
        <v/>
      </c>
      <c r="D2793" s="8">
        <f>QS.CONTEXT.ADD.CURVE(C2793,"SOFR",$K$2:$K$7,$L$2:$L$7,,,"Actual360","LogLinear",TRUE)</f>
        <v/>
      </c>
      <c r="E2793" s="8">
        <f>QS.INSTRUMENT.SWAP("swap.2791",C2793,H2793,B2793,"USD","SOFR",I2793,J2793,0,"Actual360","Simple","Annual","Annual","Annual")</f>
        <v/>
      </c>
      <c r="F2793" s="8">
        <f>QS.TRADE.CREATE("trade.2791",C2793,E2793,A2793,"Receive")</f>
        <v/>
      </c>
      <c r="G2793" s="5"/>
      <c r="H2793" s="7" t="s">
        <v>1973</v>
      </c>
      <c r="I2793" s="9">
        <v>1279100</v>
      </c>
      <c r="J2793" s="10">
        <v>0.0391</v>
      </c>
    </row>
    <row r="2794" spans="1:10">
      <c r="A2794" s="7" t="s">
        <v>1961</v>
      </c>
      <c r="B2794" s="7" t="s">
        <v>4661</v>
      </c>
      <c r="C2794" s="8">
        <f>QS.CONTEXT.CREATE("market.2792",A2794,"USD","SOFR")</f>
        <v/>
      </c>
      <c r="D2794" s="8">
        <f>QS.CONTEXT.ADD.CURVE(C2794,"SOFR",$K$2:$K$7,$L$2:$L$7,,,"Actual360","LogLinear",TRUE)</f>
        <v/>
      </c>
      <c r="E2794" s="8">
        <f>QS.INSTRUMENT.SWAP("swap.2792",C2794,H2794,B2794,"USD","SOFR",I2794,J2794,0,"Actual360","Simple","Annual","Annual","Annual")</f>
        <v/>
      </c>
      <c r="F2794" s="8">
        <f>QS.TRADE.CREATE("trade.2792",C2794,E2794,A2794,"Receive")</f>
        <v/>
      </c>
      <c r="G2794" s="5"/>
      <c r="H2794" s="7" t="s">
        <v>1975</v>
      </c>
      <c r="I2794" s="9">
        <v>1279200</v>
      </c>
      <c r="J2794" s="10">
        <v>0.03920000000000001</v>
      </c>
    </row>
    <row r="2795" spans="1:10">
      <c r="A2795" s="7" t="s">
        <v>1963</v>
      </c>
      <c r="B2795" s="7" t="s">
        <v>4662</v>
      </c>
      <c r="C2795" s="8">
        <f>QS.CONTEXT.CREATE("market.2793",A2795,"USD","SOFR")</f>
        <v/>
      </c>
      <c r="D2795" s="8">
        <f>QS.CONTEXT.ADD.CURVE(C2795,"SOFR",$K$2:$K$7,$L$2:$L$7,,,"Actual360","LogLinear",TRUE)</f>
        <v/>
      </c>
      <c r="E2795" s="8">
        <f>QS.INSTRUMENT.SWAP("swap.2793",C2795,H2795,B2795,"USD","SOFR",I2795,J2795,0,"Actual360","Simple","Annual","Annual","Annual")</f>
        <v/>
      </c>
      <c r="F2795" s="8">
        <f>QS.TRADE.CREATE("trade.2793",C2795,E2795,A2795,"Receive")</f>
        <v/>
      </c>
      <c r="G2795" s="5"/>
      <c r="H2795" s="7" t="s">
        <v>1977</v>
      </c>
      <c r="I2795" s="9">
        <v>1279300</v>
      </c>
      <c r="J2795" s="10">
        <v>0.0393</v>
      </c>
    </row>
    <row r="2796" spans="1:10">
      <c r="A2796" s="7" t="s">
        <v>1965</v>
      </c>
      <c r="B2796" s="7" t="s">
        <v>4663</v>
      </c>
      <c r="C2796" s="8">
        <f>QS.CONTEXT.CREATE("market.2794",A2796,"USD","SOFR")</f>
        <v/>
      </c>
      <c r="D2796" s="8">
        <f>QS.CONTEXT.ADD.CURVE(C2796,"SOFR",$K$2:$K$7,$L$2:$L$7,,,"Actual360","LogLinear",TRUE)</f>
        <v/>
      </c>
      <c r="E2796" s="8">
        <f>QS.INSTRUMENT.SWAP("swap.2794",C2796,H2796,B2796,"USD","SOFR",I2796,J2796,0,"Actual360","Simple","Annual","Annual","Annual")</f>
        <v/>
      </c>
      <c r="F2796" s="8">
        <f>QS.TRADE.CREATE("trade.2794",C2796,E2796,A2796,"Receive")</f>
        <v/>
      </c>
      <c r="G2796" s="5"/>
      <c r="H2796" s="7" t="s">
        <v>1979</v>
      </c>
      <c r="I2796" s="9">
        <v>1279400</v>
      </c>
      <c r="J2796" s="10">
        <v>0.0394</v>
      </c>
    </row>
    <row r="2797" spans="1:10">
      <c r="A2797" s="7" t="s">
        <v>1967</v>
      </c>
      <c r="B2797" s="7" t="s">
        <v>4664</v>
      </c>
      <c r="C2797" s="8">
        <f>QS.CONTEXT.CREATE("market.2795",A2797,"USD","SOFR")</f>
        <v/>
      </c>
      <c r="D2797" s="8">
        <f>QS.CONTEXT.ADD.CURVE(C2797,"SOFR",$K$2:$K$7,$L$2:$L$7,,,"Actual360","LogLinear",TRUE)</f>
        <v/>
      </c>
      <c r="E2797" s="8">
        <f>QS.INSTRUMENT.SWAP("swap.2795",C2797,H2797,B2797,"USD","SOFR",I2797,J2797,0,"Actual360","Simple","Annual","Annual","Annual")</f>
        <v/>
      </c>
      <c r="F2797" s="8">
        <f>QS.TRADE.CREATE("trade.2795",C2797,E2797,A2797,"Receive")</f>
        <v/>
      </c>
      <c r="G2797" s="5"/>
      <c r="H2797" s="7" t="s">
        <v>1981</v>
      </c>
      <c r="I2797" s="9">
        <v>1279500</v>
      </c>
      <c r="J2797" s="10">
        <v>0.03950000000000001</v>
      </c>
    </row>
    <row r="2798" spans="1:10">
      <c r="A2798" s="7" t="s">
        <v>1969</v>
      </c>
      <c r="B2798" s="7" t="s">
        <v>4665</v>
      </c>
      <c r="C2798" s="8">
        <f>QS.CONTEXT.CREATE("market.2796",A2798,"USD","SOFR")</f>
        <v/>
      </c>
      <c r="D2798" s="8">
        <f>QS.CONTEXT.ADD.CURVE(C2798,"SOFR",$K$2:$K$7,$L$2:$L$7,,,"Actual360","LogLinear",TRUE)</f>
        <v/>
      </c>
      <c r="E2798" s="8">
        <f>QS.INSTRUMENT.SWAP("swap.2796",C2798,H2798,B2798,"USD","SOFR",I2798,J2798,0,"Actual360","Simple","Annual","Annual","Annual")</f>
        <v/>
      </c>
      <c r="F2798" s="8">
        <f>QS.TRADE.CREATE("trade.2796",C2798,E2798,A2798,"Receive")</f>
        <v/>
      </c>
      <c r="G2798" s="5"/>
      <c r="H2798" s="7" t="s">
        <v>1983</v>
      </c>
      <c r="I2798" s="9">
        <v>1279600</v>
      </c>
      <c r="J2798" s="10">
        <v>0.0396</v>
      </c>
    </row>
    <row r="2799" spans="1:10">
      <c r="A2799" s="7" t="s">
        <v>1971</v>
      </c>
      <c r="B2799" s="7" t="s">
        <v>4666</v>
      </c>
      <c r="C2799" s="8">
        <f>QS.CONTEXT.CREATE("market.2797",A2799,"USD","SOFR")</f>
        <v/>
      </c>
      <c r="D2799" s="8">
        <f>QS.CONTEXT.ADD.CURVE(C2799,"SOFR",$K$2:$K$7,$L$2:$L$7,,,"Actual360","LogLinear",TRUE)</f>
        <v/>
      </c>
      <c r="E2799" s="8">
        <f>QS.INSTRUMENT.SWAP("swap.2797",C2799,H2799,B2799,"USD","SOFR",I2799,J2799,0,"Actual360","Simple","Annual","Annual","Annual")</f>
        <v/>
      </c>
      <c r="F2799" s="8">
        <f>QS.TRADE.CREATE("trade.2797",C2799,E2799,A2799,"Receive")</f>
        <v/>
      </c>
      <c r="G2799" s="5"/>
      <c r="H2799" s="7" t="s">
        <v>1985</v>
      </c>
      <c r="I2799" s="9">
        <v>1279700</v>
      </c>
      <c r="J2799" s="10">
        <v>0.03970000000000001</v>
      </c>
    </row>
    <row r="2800" spans="1:10">
      <c r="A2800" s="7" t="s">
        <v>1973</v>
      </c>
      <c r="B2800" s="7" t="s">
        <v>4667</v>
      </c>
      <c r="C2800" s="8">
        <f>QS.CONTEXT.CREATE("market.2798",A2800,"USD","SOFR")</f>
        <v/>
      </c>
      <c r="D2800" s="8">
        <f>QS.CONTEXT.ADD.CURVE(C2800,"SOFR",$K$2:$K$7,$L$2:$L$7,,,"Actual360","LogLinear",TRUE)</f>
        <v/>
      </c>
      <c r="E2800" s="8">
        <f>QS.INSTRUMENT.SWAP("swap.2798",C2800,H2800,B2800,"USD","SOFR",I2800,J2800,0,"Actual360","Simple","Annual","Annual","Annual")</f>
        <v/>
      </c>
      <c r="F2800" s="8">
        <f>QS.TRADE.CREATE("trade.2798",C2800,E2800,A2800,"Receive")</f>
        <v/>
      </c>
      <c r="G2800" s="5"/>
      <c r="H2800" s="7" t="s">
        <v>1987</v>
      </c>
      <c r="I2800" s="9">
        <v>1279800</v>
      </c>
      <c r="J2800" s="10">
        <v>0.0398</v>
      </c>
    </row>
    <row r="2801" spans="1:10">
      <c r="A2801" s="7" t="s">
        <v>1975</v>
      </c>
      <c r="B2801" s="7" t="s">
        <v>4668</v>
      </c>
      <c r="C2801" s="8">
        <f>QS.CONTEXT.CREATE("market.2799",A2801,"USD","SOFR")</f>
        <v/>
      </c>
      <c r="D2801" s="8">
        <f>QS.CONTEXT.ADD.CURVE(C2801,"SOFR",$K$2:$K$7,$L$2:$L$7,,,"Actual360","LogLinear",TRUE)</f>
        <v/>
      </c>
      <c r="E2801" s="8">
        <f>QS.INSTRUMENT.SWAP("swap.2799",C2801,H2801,B2801,"USD","SOFR",I2801,J2801,0,"Actual360","Simple","Annual","Annual","Annual")</f>
        <v/>
      </c>
      <c r="F2801" s="8">
        <f>QS.TRADE.CREATE("trade.2799",C2801,E2801,A2801,"Receive")</f>
        <v/>
      </c>
      <c r="G2801" s="5"/>
      <c r="H2801" s="7" t="s">
        <v>1989</v>
      </c>
      <c r="I2801" s="9">
        <v>1279900</v>
      </c>
      <c r="J2801" s="10">
        <v>0.0399</v>
      </c>
    </row>
    <row r="2802" spans="1:10">
      <c r="A2802" s="7" t="s">
        <v>1977</v>
      </c>
      <c r="B2802" s="7" t="s">
        <v>4669</v>
      </c>
      <c r="C2802" s="8">
        <f>QS.CONTEXT.CREATE("market.2800",A2802,"USD","SOFR")</f>
        <v/>
      </c>
      <c r="D2802" s="8">
        <f>QS.CONTEXT.ADD.CURVE(C2802,"SOFR",$K$2:$K$7,$L$2:$L$7,,,"Actual360","LogLinear",TRUE)</f>
        <v/>
      </c>
      <c r="E2802" s="8">
        <f>QS.INSTRUMENT.SWAP("swap.2800",C2802,H2802,B2802,"USD","SOFR",I2802,J2802,0,"Actual360","Simple","Annual","Annual","Annual")</f>
        <v/>
      </c>
      <c r="F2802" s="8">
        <f>QS.TRADE.CREATE("trade.2800",C2802,E2802,A2802,"Receive")</f>
        <v/>
      </c>
      <c r="G2802" s="5"/>
      <c r="H2802" s="7" t="s">
        <v>1991</v>
      </c>
      <c r="I2802" s="9">
        <v>1280000</v>
      </c>
      <c r="J2802" s="10">
        <v>0.035</v>
      </c>
    </row>
    <row r="2803" spans="1:10">
      <c r="A2803" s="7" t="s">
        <v>1979</v>
      </c>
      <c r="B2803" s="7" t="s">
        <v>4670</v>
      </c>
      <c r="C2803" s="8">
        <f>QS.CONTEXT.CREATE("market.2801",A2803,"USD","SOFR")</f>
        <v/>
      </c>
      <c r="D2803" s="8">
        <f>QS.CONTEXT.ADD.CURVE(C2803,"SOFR",$K$2:$K$7,$L$2:$L$7,,,"Actual360","LogLinear",TRUE)</f>
        <v/>
      </c>
      <c r="E2803" s="8">
        <f>QS.INSTRUMENT.SWAP("swap.2801",C2803,H2803,B2803,"USD","SOFR",I2803,J2803,0,"Actual360","Simple","Annual","Annual","Annual")</f>
        <v/>
      </c>
      <c r="F2803" s="8">
        <f>QS.TRADE.CREATE("trade.2801",C2803,E2803,A2803,"Receive")</f>
        <v/>
      </c>
      <c r="G2803" s="5"/>
      <c r="H2803" s="7" t="s">
        <v>1993</v>
      </c>
      <c r="I2803" s="9">
        <v>1280100</v>
      </c>
      <c r="J2803" s="10">
        <v>0.03510000000000001</v>
      </c>
    </row>
    <row r="2804" spans="1:10">
      <c r="A2804" s="7" t="s">
        <v>1981</v>
      </c>
      <c r="B2804" s="7" t="s">
        <v>4671</v>
      </c>
      <c r="C2804" s="8">
        <f>QS.CONTEXT.CREATE("market.2802",A2804,"USD","SOFR")</f>
        <v/>
      </c>
      <c r="D2804" s="8">
        <f>QS.CONTEXT.ADD.CURVE(C2804,"SOFR",$K$2:$K$7,$L$2:$L$7,,,"Actual360","LogLinear",TRUE)</f>
        <v/>
      </c>
      <c r="E2804" s="8">
        <f>QS.INSTRUMENT.SWAP("swap.2802",C2804,H2804,B2804,"USD","SOFR",I2804,J2804,0,"Actual360","Simple","Annual","Annual","Annual")</f>
        <v/>
      </c>
      <c r="F2804" s="8">
        <f>QS.TRADE.CREATE("trade.2802",C2804,E2804,A2804,"Receive")</f>
        <v/>
      </c>
      <c r="G2804" s="5"/>
      <c r="H2804" s="7" t="s">
        <v>1995</v>
      </c>
      <c r="I2804" s="9">
        <v>1280200</v>
      </c>
      <c r="J2804" s="10">
        <v>0.0352</v>
      </c>
    </row>
    <row r="2805" spans="1:10">
      <c r="A2805" s="7" t="s">
        <v>1983</v>
      </c>
      <c r="B2805" s="7" t="s">
        <v>4672</v>
      </c>
      <c r="C2805" s="8">
        <f>QS.CONTEXT.CREATE("market.2803",A2805,"USD","SOFR")</f>
        <v/>
      </c>
      <c r="D2805" s="8">
        <f>QS.CONTEXT.ADD.CURVE(C2805,"SOFR",$K$2:$K$7,$L$2:$L$7,,,"Actual360","LogLinear",TRUE)</f>
        <v/>
      </c>
      <c r="E2805" s="8">
        <f>QS.INSTRUMENT.SWAP("swap.2803",C2805,H2805,B2805,"USD","SOFR",I2805,J2805,0,"Actual360","Simple","Annual","Annual","Annual")</f>
        <v/>
      </c>
      <c r="F2805" s="8">
        <f>QS.TRADE.CREATE("trade.2803",C2805,E2805,A2805,"Receive")</f>
        <v/>
      </c>
      <c r="G2805" s="5"/>
      <c r="H2805" s="7" t="s">
        <v>1997</v>
      </c>
      <c r="I2805" s="9">
        <v>1280300</v>
      </c>
      <c r="J2805" s="10">
        <v>0.0353</v>
      </c>
    </row>
    <row r="2806" spans="1:10">
      <c r="A2806" s="7" t="s">
        <v>1985</v>
      </c>
      <c r="B2806" s="7" t="s">
        <v>4673</v>
      </c>
      <c r="C2806" s="8">
        <f>QS.CONTEXT.CREATE("market.2804",A2806,"USD","SOFR")</f>
        <v/>
      </c>
      <c r="D2806" s="8">
        <f>QS.CONTEXT.ADD.CURVE(C2806,"SOFR",$K$2:$K$7,$L$2:$L$7,,,"Actual360","LogLinear",TRUE)</f>
        <v/>
      </c>
      <c r="E2806" s="8">
        <f>QS.INSTRUMENT.SWAP("swap.2804",C2806,H2806,B2806,"USD","SOFR",I2806,J2806,0,"Actual360","Simple","Annual","Annual","Annual")</f>
        <v/>
      </c>
      <c r="F2806" s="8">
        <f>QS.TRADE.CREATE("trade.2804",C2806,E2806,A2806,"Receive")</f>
        <v/>
      </c>
      <c r="G2806" s="5"/>
      <c r="H2806" s="7" t="s">
        <v>1999</v>
      </c>
      <c r="I2806" s="9">
        <v>1280400</v>
      </c>
      <c r="J2806" s="10">
        <v>0.0354</v>
      </c>
    </row>
    <row r="2807" spans="1:10">
      <c r="A2807" s="7" t="s">
        <v>1987</v>
      </c>
      <c r="B2807" s="7" t="s">
        <v>4674</v>
      </c>
      <c r="C2807" s="8">
        <f>QS.CONTEXT.CREATE("market.2805",A2807,"USD","SOFR")</f>
        <v/>
      </c>
      <c r="D2807" s="8">
        <f>QS.CONTEXT.ADD.CURVE(C2807,"SOFR",$K$2:$K$7,$L$2:$L$7,,,"Actual360","LogLinear",TRUE)</f>
        <v/>
      </c>
      <c r="E2807" s="8">
        <f>QS.INSTRUMENT.SWAP("swap.2805",C2807,H2807,B2807,"USD","SOFR",I2807,J2807,0,"Actual360","Simple","Annual","Annual","Annual")</f>
        <v/>
      </c>
      <c r="F2807" s="8">
        <f>QS.TRADE.CREATE("trade.2805",C2807,E2807,A2807,"Receive")</f>
        <v/>
      </c>
      <c r="G2807" s="5"/>
      <c r="H2807" s="7" t="s">
        <v>2001</v>
      </c>
      <c r="I2807" s="9">
        <v>1280500</v>
      </c>
      <c r="J2807" s="10">
        <v>0.0355</v>
      </c>
    </row>
    <row r="2808" spans="1:10">
      <c r="A2808" s="7" t="s">
        <v>1989</v>
      </c>
      <c r="B2808" s="7" t="s">
        <v>4675</v>
      </c>
      <c r="C2808" s="8">
        <f>QS.CONTEXT.CREATE("market.2806",A2808,"USD","SOFR")</f>
        <v/>
      </c>
      <c r="D2808" s="8">
        <f>QS.CONTEXT.ADD.CURVE(C2808,"SOFR",$K$2:$K$7,$L$2:$L$7,,,"Actual360","LogLinear",TRUE)</f>
        <v/>
      </c>
      <c r="E2808" s="8">
        <f>QS.INSTRUMENT.SWAP("swap.2806",C2808,H2808,B2808,"USD","SOFR",I2808,J2808,0,"Actual360","Simple","Annual","Annual","Annual")</f>
        <v/>
      </c>
      <c r="F2808" s="8">
        <f>QS.TRADE.CREATE("trade.2806",C2808,E2808,A2808,"Receive")</f>
        <v/>
      </c>
      <c r="G2808" s="5"/>
      <c r="H2808" s="7" t="s">
        <v>2003</v>
      </c>
      <c r="I2808" s="9">
        <v>1280600</v>
      </c>
      <c r="J2808" s="10">
        <v>0.03560000000000001</v>
      </c>
    </row>
    <row r="2809" spans="1:10">
      <c r="A2809" s="7" t="s">
        <v>1991</v>
      </c>
      <c r="B2809" s="7" t="s">
        <v>4676</v>
      </c>
      <c r="C2809" s="8">
        <f>QS.CONTEXT.CREATE("market.2807",A2809,"USD","SOFR")</f>
        <v/>
      </c>
      <c r="D2809" s="8">
        <f>QS.CONTEXT.ADD.CURVE(C2809,"SOFR",$K$2:$K$7,$L$2:$L$7,,,"Actual360","LogLinear",TRUE)</f>
        <v/>
      </c>
      <c r="E2809" s="8">
        <f>QS.INSTRUMENT.SWAP("swap.2807",C2809,H2809,B2809,"USD","SOFR",I2809,J2809,0,"Actual360","Simple","Annual","Annual","Annual")</f>
        <v/>
      </c>
      <c r="F2809" s="8">
        <f>QS.TRADE.CREATE("trade.2807",C2809,E2809,A2809,"Receive")</f>
        <v/>
      </c>
      <c r="G2809" s="5"/>
      <c r="H2809" s="7" t="s">
        <v>2005</v>
      </c>
      <c r="I2809" s="9">
        <v>1280700</v>
      </c>
      <c r="J2809" s="10">
        <v>0.0357</v>
      </c>
    </row>
    <row r="2810" spans="1:10">
      <c r="A2810" s="7" t="s">
        <v>1993</v>
      </c>
      <c r="B2810" s="7" t="s">
        <v>4677</v>
      </c>
      <c r="C2810" s="8">
        <f>QS.CONTEXT.CREATE("market.2808",A2810,"USD","SOFR")</f>
        <v/>
      </c>
      <c r="D2810" s="8">
        <f>QS.CONTEXT.ADD.CURVE(C2810,"SOFR",$K$2:$K$7,$L$2:$L$7,,,"Actual360","LogLinear",TRUE)</f>
        <v/>
      </c>
      <c r="E2810" s="8">
        <f>QS.INSTRUMENT.SWAP("swap.2808",C2810,H2810,B2810,"USD","SOFR",I2810,J2810,0,"Actual360","Simple","Annual","Annual","Annual")</f>
        <v/>
      </c>
      <c r="F2810" s="8">
        <f>QS.TRADE.CREATE("trade.2808",C2810,E2810,A2810,"Receive")</f>
        <v/>
      </c>
      <c r="G2810" s="5"/>
      <c r="H2810" s="7" t="s">
        <v>2007</v>
      </c>
      <c r="I2810" s="9">
        <v>1280800</v>
      </c>
      <c r="J2810" s="10">
        <v>0.03580000000000001</v>
      </c>
    </row>
    <row r="2811" spans="1:10">
      <c r="A2811" s="7" t="s">
        <v>1995</v>
      </c>
      <c r="B2811" s="7" t="s">
        <v>4678</v>
      </c>
      <c r="C2811" s="8">
        <f>QS.CONTEXT.CREATE("market.2809",A2811,"USD","SOFR")</f>
        <v/>
      </c>
      <c r="D2811" s="8">
        <f>QS.CONTEXT.ADD.CURVE(C2811,"SOFR",$K$2:$K$7,$L$2:$L$7,,,"Actual360","LogLinear",TRUE)</f>
        <v/>
      </c>
      <c r="E2811" s="8">
        <f>QS.INSTRUMENT.SWAP("swap.2809",C2811,H2811,B2811,"USD","SOFR",I2811,J2811,0,"Actual360","Simple","Annual","Annual","Annual")</f>
        <v/>
      </c>
      <c r="F2811" s="8">
        <f>QS.TRADE.CREATE("trade.2809",C2811,E2811,A2811,"Receive")</f>
        <v/>
      </c>
      <c r="G2811" s="5"/>
      <c r="H2811" s="7" t="s">
        <v>2009</v>
      </c>
      <c r="I2811" s="9">
        <v>1280900</v>
      </c>
      <c r="J2811" s="10">
        <v>0.0359</v>
      </c>
    </row>
    <row r="2812" spans="1:10">
      <c r="A2812" s="7" t="s">
        <v>1997</v>
      </c>
      <c r="B2812" s="7" t="s">
        <v>4679</v>
      </c>
      <c r="C2812" s="8">
        <f>QS.CONTEXT.CREATE("market.2810",A2812,"USD","SOFR")</f>
        <v/>
      </c>
      <c r="D2812" s="8">
        <f>QS.CONTEXT.ADD.CURVE(C2812,"SOFR",$K$2:$K$7,$L$2:$L$7,,,"Actual360","LogLinear",TRUE)</f>
        <v/>
      </c>
      <c r="E2812" s="8">
        <f>QS.INSTRUMENT.SWAP("swap.2810",C2812,H2812,B2812,"USD","SOFR",I2812,J2812,0,"Actual360","Simple","Annual","Annual","Annual")</f>
        <v/>
      </c>
      <c r="F2812" s="8">
        <f>QS.TRADE.CREATE("trade.2810",C2812,E2812,A2812,"Receive")</f>
        <v/>
      </c>
      <c r="G2812" s="5"/>
      <c r="H2812" s="7" t="s">
        <v>2011</v>
      </c>
      <c r="I2812" s="9">
        <v>1281000</v>
      </c>
      <c r="J2812" s="10">
        <v>0.036</v>
      </c>
    </row>
    <row r="2813" spans="1:10">
      <c r="A2813" s="7" t="s">
        <v>1999</v>
      </c>
      <c r="B2813" s="7" t="s">
        <v>4680</v>
      </c>
      <c r="C2813" s="8">
        <f>QS.CONTEXT.CREATE("market.2811",A2813,"USD","SOFR")</f>
        <v/>
      </c>
      <c r="D2813" s="8">
        <f>QS.CONTEXT.ADD.CURVE(C2813,"SOFR",$K$2:$K$7,$L$2:$L$7,,,"Actual360","LogLinear",TRUE)</f>
        <v/>
      </c>
      <c r="E2813" s="8">
        <f>QS.INSTRUMENT.SWAP("swap.2811",C2813,H2813,B2813,"USD","SOFR",I2813,J2813,0,"Actual360","Simple","Annual","Annual","Annual")</f>
        <v/>
      </c>
      <c r="F2813" s="8">
        <f>QS.TRADE.CREATE("trade.2811",C2813,E2813,A2813,"Receive")</f>
        <v/>
      </c>
      <c r="G2813" s="5"/>
      <c r="H2813" s="7" t="s">
        <v>2013</v>
      </c>
      <c r="I2813" s="9">
        <v>1281100</v>
      </c>
      <c r="J2813" s="10">
        <v>0.0361</v>
      </c>
    </row>
    <row r="2814" spans="1:10">
      <c r="A2814" s="7" t="s">
        <v>2001</v>
      </c>
      <c r="B2814" s="7" t="s">
        <v>4681</v>
      </c>
      <c r="C2814" s="8">
        <f>QS.CONTEXT.CREATE("market.2812",A2814,"USD","SOFR")</f>
        <v/>
      </c>
      <c r="D2814" s="8">
        <f>QS.CONTEXT.ADD.CURVE(C2814,"SOFR",$K$2:$K$7,$L$2:$L$7,,,"Actual360","LogLinear",TRUE)</f>
        <v/>
      </c>
      <c r="E2814" s="8">
        <f>QS.INSTRUMENT.SWAP("swap.2812",C2814,H2814,B2814,"USD","SOFR",I2814,J2814,0,"Actual360","Simple","Annual","Annual","Annual")</f>
        <v/>
      </c>
      <c r="F2814" s="8">
        <f>QS.TRADE.CREATE("trade.2812",C2814,E2814,A2814,"Receive")</f>
        <v/>
      </c>
      <c r="G2814" s="5"/>
      <c r="H2814" s="7" t="s">
        <v>2015</v>
      </c>
      <c r="I2814" s="9">
        <v>1281200</v>
      </c>
      <c r="J2814" s="10">
        <v>0.0362</v>
      </c>
    </row>
    <row r="2815" spans="1:10">
      <c r="A2815" s="7" t="s">
        <v>2003</v>
      </c>
      <c r="B2815" s="7" t="s">
        <v>4682</v>
      </c>
      <c r="C2815" s="8">
        <f>QS.CONTEXT.CREATE("market.2813",A2815,"USD","SOFR")</f>
        <v/>
      </c>
      <c r="D2815" s="8">
        <f>QS.CONTEXT.ADD.CURVE(C2815,"SOFR",$K$2:$K$7,$L$2:$L$7,,,"Actual360","LogLinear",TRUE)</f>
        <v/>
      </c>
      <c r="E2815" s="8">
        <f>QS.INSTRUMENT.SWAP("swap.2813",C2815,H2815,B2815,"USD","SOFR",I2815,J2815,0,"Actual360","Simple","Annual","Annual","Annual")</f>
        <v/>
      </c>
      <c r="F2815" s="8">
        <f>QS.TRADE.CREATE("trade.2813",C2815,E2815,A2815,"Receive")</f>
        <v/>
      </c>
      <c r="G2815" s="5"/>
      <c r="H2815" s="7" t="s">
        <v>2017</v>
      </c>
      <c r="I2815" s="9">
        <v>1281300</v>
      </c>
      <c r="J2815" s="10">
        <v>0.03630000000000001</v>
      </c>
    </row>
    <row r="2816" spans="1:10">
      <c r="A2816" s="7" t="s">
        <v>2005</v>
      </c>
      <c r="B2816" s="7" t="s">
        <v>4683</v>
      </c>
      <c r="C2816" s="8">
        <f>QS.CONTEXT.CREATE("market.2814",A2816,"USD","SOFR")</f>
        <v/>
      </c>
      <c r="D2816" s="8">
        <f>QS.CONTEXT.ADD.CURVE(C2816,"SOFR",$K$2:$K$7,$L$2:$L$7,,,"Actual360","LogLinear",TRUE)</f>
        <v/>
      </c>
      <c r="E2816" s="8">
        <f>QS.INSTRUMENT.SWAP("swap.2814",C2816,H2816,B2816,"USD","SOFR",I2816,J2816,0,"Actual360","Simple","Annual","Annual","Annual")</f>
        <v/>
      </c>
      <c r="F2816" s="8">
        <f>QS.TRADE.CREATE("trade.2814",C2816,E2816,A2816,"Receive")</f>
        <v/>
      </c>
      <c r="G2816" s="5"/>
      <c r="H2816" s="7" t="s">
        <v>2019</v>
      </c>
      <c r="I2816" s="9">
        <v>1281400</v>
      </c>
      <c r="J2816" s="10">
        <v>0.0364</v>
      </c>
    </row>
    <row r="2817" spans="1:10">
      <c r="A2817" s="7" t="s">
        <v>2007</v>
      </c>
      <c r="B2817" s="7" t="s">
        <v>4684</v>
      </c>
      <c r="C2817" s="8">
        <f>QS.CONTEXT.CREATE("market.2815",A2817,"USD","SOFR")</f>
        <v/>
      </c>
      <c r="D2817" s="8">
        <f>QS.CONTEXT.ADD.CURVE(C2817,"SOFR",$K$2:$K$7,$L$2:$L$7,,,"Actual360","LogLinear",TRUE)</f>
        <v/>
      </c>
      <c r="E2817" s="8">
        <f>QS.INSTRUMENT.SWAP("swap.2815",C2817,H2817,B2817,"USD","SOFR",I2817,J2817,0,"Actual360","Simple","Annual","Annual","Annual")</f>
        <v/>
      </c>
      <c r="F2817" s="8">
        <f>QS.TRADE.CREATE("trade.2815",C2817,E2817,A2817,"Receive")</f>
        <v/>
      </c>
      <c r="G2817" s="5"/>
      <c r="H2817" s="7" t="s">
        <v>2021</v>
      </c>
      <c r="I2817" s="9">
        <v>1281500</v>
      </c>
      <c r="J2817" s="10">
        <v>0.0365</v>
      </c>
    </row>
    <row r="2818" spans="1:10">
      <c r="A2818" s="7" t="s">
        <v>2009</v>
      </c>
      <c r="B2818" s="7" t="s">
        <v>4685</v>
      </c>
      <c r="C2818" s="8">
        <f>QS.CONTEXT.CREATE("market.2816",A2818,"USD","SOFR")</f>
        <v/>
      </c>
      <c r="D2818" s="8">
        <f>QS.CONTEXT.ADD.CURVE(C2818,"SOFR",$K$2:$K$7,$L$2:$L$7,,,"Actual360","LogLinear",TRUE)</f>
        <v/>
      </c>
      <c r="E2818" s="8">
        <f>QS.INSTRUMENT.SWAP("swap.2816",C2818,H2818,B2818,"USD","SOFR",I2818,J2818,0,"Actual360","Simple","Annual","Annual","Annual")</f>
        <v/>
      </c>
      <c r="F2818" s="8">
        <f>QS.TRADE.CREATE("trade.2816",C2818,E2818,A2818,"Receive")</f>
        <v/>
      </c>
      <c r="G2818" s="5"/>
      <c r="H2818" s="7" t="s">
        <v>2023</v>
      </c>
      <c r="I2818" s="9">
        <v>1281600</v>
      </c>
      <c r="J2818" s="10">
        <v>0.0366</v>
      </c>
    </row>
    <row r="2819" spans="1:10">
      <c r="A2819" s="7" t="s">
        <v>2011</v>
      </c>
      <c r="B2819" s="7" t="s">
        <v>4686</v>
      </c>
      <c r="C2819" s="8">
        <f>QS.CONTEXT.CREATE("market.2817",A2819,"USD","SOFR")</f>
        <v/>
      </c>
      <c r="D2819" s="8">
        <f>QS.CONTEXT.ADD.CURVE(C2819,"SOFR",$K$2:$K$7,$L$2:$L$7,,,"Actual360","LogLinear",TRUE)</f>
        <v/>
      </c>
      <c r="E2819" s="8">
        <f>QS.INSTRUMENT.SWAP("swap.2817",C2819,H2819,B2819,"USD","SOFR",I2819,J2819,0,"Actual360","Simple","Annual","Annual","Annual")</f>
        <v/>
      </c>
      <c r="F2819" s="8">
        <f>QS.TRADE.CREATE("trade.2817",C2819,E2819,A2819,"Receive")</f>
        <v/>
      </c>
      <c r="G2819" s="5"/>
      <c r="H2819" s="7" t="s">
        <v>2025</v>
      </c>
      <c r="I2819" s="9">
        <v>1281700</v>
      </c>
      <c r="J2819" s="10">
        <v>0.0367</v>
      </c>
    </row>
    <row r="2820" spans="1:10">
      <c r="A2820" s="7" t="s">
        <v>2013</v>
      </c>
      <c r="B2820" s="7" t="s">
        <v>4687</v>
      </c>
      <c r="C2820" s="8">
        <f>QS.CONTEXT.CREATE("market.2818",A2820,"USD","SOFR")</f>
        <v/>
      </c>
      <c r="D2820" s="8">
        <f>QS.CONTEXT.ADD.CURVE(C2820,"SOFR",$K$2:$K$7,$L$2:$L$7,,,"Actual360","LogLinear",TRUE)</f>
        <v/>
      </c>
      <c r="E2820" s="8">
        <f>QS.INSTRUMENT.SWAP("swap.2818",C2820,H2820,B2820,"USD","SOFR",I2820,J2820,0,"Actual360","Simple","Annual","Annual","Annual")</f>
        <v/>
      </c>
      <c r="F2820" s="8">
        <f>QS.TRADE.CREATE("trade.2818",C2820,E2820,A2820,"Receive")</f>
        <v/>
      </c>
      <c r="G2820" s="5"/>
      <c r="H2820" s="7" t="s">
        <v>2027</v>
      </c>
      <c r="I2820" s="9">
        <v>1281800</v>
      </c>
      <c r="J2820" s="10">
        <v>0.03680000000000001</v>
      </c>
    </row>
    <row r="2821" spans="1:10">
      <c r="A2821" s="7" t="s">
        <v>2015</v>
      </c>
      <c r="B2821" s="7" t="s">
        <v>4688</v>
      </c>
      <c r="C2821" s="8">
        <f>QS.CONTEXT.CREATE("market.2819",A2821,"USD","SOFR")</f>
        <v/>
      </c>
      <c r="D2821" s="8">
        <f>QS.CONTEXT.ADD.CURVE(C2821,"SOFR",$K$2:$K$7,$L$2:$L$7,,,"Actual360","LogLinear",TRUE)</f>
        <v/>
      </c>
      <c r="E2821" s="8">
        <f>QS.INSTRUMENT.SWAP("swap.2819",C2821,H2821,B2821,"USD","SOFR",I2821,J2821,0,"Actual360","Simple","Annual","Annual","Annual")</f>
        <v/>
      </c>
      <c r="F2821" s="8">
        <f>QS.TRADE.CREATE("trade.2819",C2821,E2821,A2821,"Receive")</f>
        <v/>
      </c>
      <c r="G2821" s="5"/>
      <c r="H2821" s="7" t="s">
        <v>2029</v>
      </c>
      <c r="I2821" s="9">
        <v>1281900</v>
      </c>
      <c r="J2821" s="10">
        <v>0.0369</v>
      </c>
    </row>
    <row r="2822" spans="1:10">
      <c r="A2822" s="7" t="s">
        <v>2017</v>
      </c>
      <c r="B2822" s="7" t="s">
        <v>4689</v>
      </c>
      <c r="C2822" s="8">
        <f>QS.CONTEXT.CREATE("market.2820",A2822,"USD","SOFR")</f>
        <v/>
      </c>
      <c r="D2822" s="8">
        <f>QS.CONTEXT.ADD.CURVE(C2822,"SOFR",$K$2:$K$7,$L$2:$L$7,,,"Actual360","LogLinear",TRUE)</f>
        <v/>
      </c>
      <c r="E2822" s="8">
        <f>QS.INSTRUMENT.SWAP("swap.2820",C2822,H2822,B2822,"USD","SOFR",I2822,J2822,0,"Actual360","Simple","Annual","Annual","Annual")</f>
        <v/>
      </c>
      <c r="F2822" s="8">
        <f>QS.TRADE.CREATE("trade.2820",C2822,E2822,A2822,"Receive")</f>
        <v/>
      </c>
      <c r="G2822" s="5"/>
      <c r="H2822" s="7" t="s">
        <v>2031</v>
      </c>
      <c r="I2822" s="9">
        <v>1282000</v>
      </c>
      <c r="J2822" s="10">
        <v>0.03700000000000001</v>
      </c>
    </row>
    <row r="2823" spans="1:10">
      <c r="A2823" s="7" t="s">
        <v>2019</v>
      </c>
      <c r="B2823" s="7" t="s">
        <v>4690</v>
      </c>
      <c r="C2823" s="8">
        <f>QS.CONTEXT.CREATE("market.2821",A2823,"USD","SOFR")</f>
        <v/>
      </c>
      <c r="D2823" s="8">
        <f>QS.CONTEXT.ADD.CURVE(C2823,"SOFR",$K$2:$K$7,$L$2:$L$7,,,"Actual360","LogLinear",TRUE)</f>
        <v/>
      </c>
      <c r="E2823" s="8">
        <f>QS.INSTRUMENT.SWAP("swap.2821",C2823,H2823,B2823,"USD","SOFR",I2823,J2823,0,"Actual360","Simple","Annual","Annual","Annual")</f>
        <v/>
      </c>
      <c r="F2823" s="8">
        <f>QS.TRADE.CREATE("trade.2821",C2823,E2823,A2823,"Receive")</f>
        <v/>
      </c>
      <c r="G2823" s="5"/>
      <c r="H2823" s="7" t="s">
        <v>2033</v>
      </c>
      <c r="I2823" s="9">
        <v>1282100</v>
      </c>
      <c r="J2823" s="10">
        <v>0.0371</v>
      </c>
    </row>
    <row r="2824" spans="1:10">
      <c r="A2824" s="7" t="s">
        <v>2021</v>
      </c>
      <c r="B2824" s="7" t="s">
        <v>4691</v>
      </c>
      <c r="C2824" s="8">
        <f>QS.CONTEXT.CREATE("market.2822",A2824,"USD","SOFR")</f>
        <v/>
      </c>
      <c r="D2824" s="8">
        <f>QS.CONTEXT.ADD.CURVE(C2824,"SOFR",$K$2:$K$7,$L$2:$L$7,,,"Actual360","LogLinear",TRUE)</f>
        <v/>
      </c>
      <c r="E2824" s="8">
        <f>QS.INSTRUMENT.SWAP("swap.2822",C2824,H2824,B2824,"USD","SOFR",I2824,J2824,0,"Actual360","Simple","Annual","Annual","Annual")</f>
        <v/>
      </c>
      <c r="F2824" s="8">
        <f>QS.TRADE.CREATE("trade.2822",C2824,E2824,A2824,"Receive")</f>
        <v/>
      </c>
      <c r="G2824" s="5"/>
      <c r="H2824" s="7" t="s">
        <v>2035</v>
      </c>
      <c r="I2824" s="9">
        <v>1282200</v>
      </c>
      <c r="J2824" s="10">
        <v>0.0372</v>
      </c>
    </row>
    <row r="2825" spans="1:10">
      <c r="A2825" s="7" t="s">
        <v>2023</v>
      </c>
      <c r="B2825" s="7" t="s">
        <v>4692</v>
      </c>
      <c r="C2825" s="8">
        <f>QS.CONTEXT.CREATE("market.2823",A2825,"USD","SOFR")</f>
        <v/>
      </c>
      <c r="D2825" s="8">
        <f>QS.CONTEXT.ADD.CURVE(C2825,"SOFR",$K$2:$K$7,$L$2:$L$7,,,"Actual360","LogLinear",TRUE)</f>
        <v/>
      </c>
      <c r="E2825" s="8">
        <f>QS.INSTRUMENT.SWAP("swap.2823",C2825,H2825,B2825,"USD","SOFR",I2825,J2825,0,"Actual360","Simple","Annual","Annual","Annual")</f>
        <v/>
      </c>
      <c r="F2825" s="8">
        <f>QS.TRADE.CREATE("trade.2823",C2825,E2825,A2825,"Receive")</f>
        <v/>
      </c>
      <c r="G2825" s="5"/>
      <c r="H2825" s="7" t="s">
        <v>2037</v>
      </c>
      <c r="I2825" s="9">
        <v>1282300</v>
      </c>
      <c r="J2825" s="10">
        <v>0.0373</v>
      </c>
    </row>
    <row r="2826" spans="1:10">
      <c r="A2826" s="7" t="s">
        <v>2025</v>
      </c>
      <c r="B2826" s="7" t="s">
        <v>4693</v>
      </c>
      <c r="C2826" s="8">
        <f>QS.CONTEXT.CREATE("market.2824",A2826,"USD","SOFR")</f>
        <v/>
      </c>
      <c r="D2826" s="8">
        <f>QS.CONTEXT.ADD.CURVE(C2826,"SOFR",$K$2:$K$7,$L$2:$L$7,,,"Actual360","LogLinear",TRUE)</f>
        <v/>
      </c>
      <c r="E2826" s="8">
        <f>QS.INSTRUMENT.SWAP("swap.2824",C2826,H2826,B2826,"USD","SOFR",I2826,J2826,0,"Actual360","Simple","Annual","Annual","Annual")</f>
        <v/>
      </c>
      <c r="F2826" s="8">
        <f>QS.TRADE.CREATE("trade.2824",C2826,E2826,A2826,"Receive")</f>
        <v/>
      </c>
      <c r="G2826" s="5"/>
      <c r="H2826" s="7" t="s">
        <v>2039</v>
      </c>
      <c r="I2826" s="9">
        <v>1282400</v>
      </c>
      <c r="J2826" s="10">
        <v>0.0374</v>
      </c>
    </row>
    <row r="2827" spans="1:10">
      <c r="A2827" s="7" t="s">
        <v>2027</v>
      </c>
      <c r="B2827" s="7" t="s">
        <v>4694</v>
      </c>
      <c r="C2827" s="8">
        <f>QS.CONTEXT.CREATE("market.2825",A2827,"USD","SOFR")</f>
        <v/>
      </c>
      <c r="D2827" s="8">
        <f>QS.CONTEXT.ADD.CURVE(C2827,"SOFR",$K$2:$K$7,$L$2:$L$7,,,"Actual360","LogLinear",TRUE)</f>
        <v/>
      </c>
      <c r="E2827" s="8">
        <f>QS.INSTRUMENT.SWAP("swap.2825",C2827,H2827,B2827,"USD","SOFR",I2827,J2827,0,"Actual360","Simple","Annual","Annual","Annual")</f>
        <v/>
      </c>
      <c r="F2827" s="8">
        <f>QS.TRADE.CREATE("trade.2825",C2827,E2827,A2827,"Receive")</f>
        <v/>
      </c>
      <c r="G2827" s="5"/>
      <c r="H2827" s="7" t="s">
        <v>2041</v>
      </c>
      <c r="I2827" s="9">
        <v>1282500</v>
      </c>
      <c r="J2827" s="10">
        <v>0.03750000000000001</v>
      </c>
    </row>
    <row r="2828" spans="1:10">
      <c r="A2828" s="7" t="s">
        <v>2029</v>
      </c>
      <c r="B2828" s="7" t="s">
        <v>4695</v>
      </c>
      <c r="C2828" s="8">
        <f>QS.CONTEXT.CREATE("market.2826",A2828,"USD","SOFR")</f>
        <v/>
      </c>
      <c r="D2828" s="8">
        <f>QS.CONTEXT.ADD.CURVE(C2828,"SOFR",$K$2:$K$7,$L$2:$L$7,,,"Actual360","LogLinear",TRUE)</f>
        <v/>
      </c>
      <c r="E2828" s="8">
        <f>QS.INSTRUMENT.SWAP("swap.2826",C2828,H2828,B2828,"USD","SOFR",I2828,J2828,0,"Actual360","Simple","Annual","Annual","Annual")</f>
        <v/>
      </c>
      <c r="F2828" s="8">
        <f>QS.TRADE.CREATE("trade.2826",C2828,E2828,A2828,"Receive")</f>
        <v/>
      </c>
      <c r="G2828" s="5"/>
      <c r="H2828" s="7" t="s">
        <v>2043</v>
      </c>
      <c r="I2828" s="9">
        <v>1282600</v>
      </c>
      <c r="J2828" s="10">
        <v>0.0376</v>
      </c>
    </row>
    <row r="2829" spans="1:10">
      <c r="A2829" s="7" t="s">
        <v>2031</v>
      </c>
      <c r="B2829" s="7" t="s">
        <v>4696</v>
      </c>
      <c r="C2829" s="8">
        <f>QS.CONTEXT.CREATE("market.2827",A2829,"USD","SOFR")</f>
        <v/>
      </c>
      <c r="D2829" s="8">
        <f>QS.CONTEXT.ADD.CURVE(C2829,"SOFR",$K$2:$K$7,$L$2:$L$7,,,"Actual360","LogLinear",TRUE)</f>
        <v/>
      </c>
      <c r="E2829" s="8">
        <f>QS.INSTRUMENT.SWAP("swap.2827",C2829,H2829,B2829,"USD","SOFR",I2829,J2829,0,"Actual360","Simple","Annual","Annual","Annual")</f>
        <v/>
      </c>
      <c r="F2829" s="8">
        <f>QS.TRADE.CREATE("trade.2827",C2829,E2829,A2829,"Receive")</f>
        <v/>
      </c>
      <c r="G2829" s="5"/>
      <c r="H2829" s="7" t="s">
        <v>2045</v>
      </c>
      <c r="I2829" s="9">
        <v>1282700</v>
      </c>
      <c r="J2829" s="10">
        <v>0.0377</v>
      </c>
    </row>
    <row r="2830" spans="1:10">
      <c r="A2830" s="7" t="s">
        <v>2033</v>
      </c>
      <c r="B2830" s="7" t="s">
        <v>4697</v>
      </c>
      <c r="C2830" s="8">
        <f>QS.CONTEXT.CREATE("market.2828",A2830,"USD","SOFR")</f>
        <v/>
      </c>
      <c r="D2830" s="8">
        <f>QS.CONTEXT.ADD.CURVE(C2830,"SOFR",$K$2:$K$7,$L$2:$L$7,,,"Actual360","LogLinear",TRUE)</f>
        <v/>
      </c>
      <c r="E2830" s="8">
        <f>QS.INSTRUMENT.SWAP("swap.2828",C2830,H2830,B2830,"USD","SOFR",I2830,J2830,0,"Actual360","Simple","Annual","Annual","Annual")</f>
        <v/>
      </c>
      <c r="F2830" s="8">
        <f>QS.TRADE.CREATE("trade.2828",C2830,E2830,A2830,"Receive")</f>
        <v/>
      </c>
      <c r="G2830" s="5"/>
      <c r="H2830" s="7" t="s">
        <v>2047</v>
      </c>
      <c r="I2830" s="9">
        <v>1282800</v>
      </c>
      <c r="J2830" s="10">
        <v>0.0378</v>
      </c>
    </row>
    <row r="2831" spans="1:10">
      <c r="A2831" s="7" t="s">
        <v>2035</v>
      </c>
      <c r="B2831" s="7" t="s">
        <v>4698</v>
      </c>
      <c r="C2831" s="8">
        <f>QS.CONTEXT.CREATE("market.2829",A2831,"USD","SOFR")</f>
        <v/>
      </c>
      <c r="D2831" s="8">
        <f>QS.CONTEXT.ADD.CURVE(C2831,"SOFR",$K$2:$K$7,$L$2:$L$7,,,"Actual360","LogLinear",TRUE)</f>
        <v/>
      </c>
      <c r="E2831" s="8">
        <f>QS.INSTRUMENT.SWAP("swap.2829",C2831,H2831,B2831,"USD","SOFR",I2831,J2831,0,"Actual360","Simple","Annual","Annual","Annual")</f>
        <v/>
      </c>
      <c r="F2831" s="8">
        <f>QS.TRADE.CREATE("trade.2829",C2831,E2831,A2831,"Receive")</f>
        <v/>
      </c>
      <c r="G2831" s="5"/>
      <c r="H2831" s="7" t="s">
        <v>2049</v>
      </c>
      <c r="I2831" s="9">
        <v>1282900</v>
      </c>
      <c r="J2831" s="10">
        <v>0.0379</v>
      </c>
    </row>
    <row r="2832" spans="1:10">
      <c r="A2832" s="7" t="s">
        <v>2037</v>
      </c>
      <c r="B2832" s="7" t="s">
        <v>4699</v>
      </c>
      <c r="C2832" s="8">
        <f>QS.CONTEXT.CREATE("market.2830",A2832,"USD","SOFR")</f>
        <v/>
      </c>
      <c r="D2832" s="8">
        <f>QS.CONTEXT.ADD.CURVE(C2832,"SOFR",$K$2:$K$7,$L$2:$L$7,,,"Actual360","LogLinear",TRUE)</f>
        <v/>
      </c>
      <c r="E2832" s="8">
        <f>QS.INSTRUMENT.SWAP("swap.2830",C2832,H2832,B2832,"USD","SOFR",I2832,J2832,0,"Actual360","Simple","Annual","Annual","Annual")</f>
        <v/>
      </c>
      <c r="F2832" s="8">
        <f>QS.TRADE.CREATE("trade.2830",C2832,E2832,A2832,"Receive")</f>
        <v/>
      </c>
      <c r="G2832" s="5"/>
      <c r="H2832" s="7" t="s">
        <v>2051</v>
      </c>
      <c r="I2832" s="9">
        <v>1283000</v>
      </c>
      <c r="J2832" s="10">
        <v>0.03800000000000001</v>
      </c>
    </row>
    <row r="2833" spans="1:10">
      <c r="A2833" s="7" t="s">
        <v>2039</v>
      </c>
      <c r="B2833" s="7" t="s">
        <v>4700</v>
      </c>
      <c r="C2833" s="8">
        <f>QS.CONTEXT.CREATE("market.2831",A2833,"USD","SOFR")</f>
        <v/>
      </c>
      <c r="D2833" s="8">
        <f>QS.CONTEXT.ADD.CURVE(C2833,"SOFR",$K$2:$K$7,$L$2:$L$7,,,"Actual360","LogLinear",TRUE)</f>
        <v/>
      </c>
      <c r="E2833" s="8">
        <f>QS.INSTRUMENT.SWAP("swap.2831",C2833,H2833,B2833,"USD","SOFR",I2833,J2833,0,"Actual360","Simple","Annual","Annual","Annual")</f>
        <v/>
      </c>
      <c r="F2833" s="8">
        <f>QS.TRADE.CREATE("trade.2831",C2833,E2833,A2833,"Receive")</f>
        <v/>
      </c>
      <c r="G2833" s="5"/>
      <c r="H2833" s="7" t="s">
        <v>2053</v>
      </c>
      <c r="I2833" s="9">
        <v>1283100</v>
      </c>
      <c r="J2833" s="10">
        <v>0.0381</v>
      </c>
    </row>
    <row r="2834" spans="1:10">
      <c r="A2834" s="7" t="s">
        <v>2041</v>
      </c>
      <c r="B2834" s="7" t="s">
        <v>4701</v>
      </c>
      <c r="C2834" s="8">
        <f>QS.CONTEXT.CREATE("market.2832",A2834,"USD","SOFR")</f>
        <v/>
      </c>
      <c r="D2834" s="8">
        <f>QS.CONTEXT.ADD.CURVE(C2834,"SOFR",$K$2:$K$7,$L$2:$L$7,,,"Actual360","LogLinear",TRUE)</f>
        <v/>
      </c>
      <c r="E2834" s="8">
        <f>QS.INSTRUMENT.SWAP("swap.2832",C2834,H2834,B2834,"USD","SOFR",I2834,J2834,0,"Actual360","Simple","Annual","Annual","Annual")</f>
        <v/>
      </c>
      <c r="F2834" s="8">
        <f>QS.TRADE.CREATE("trade.2832",C2834,E2834,A2834,"Receive")</f>
        <v/>
      </c>
      <c r="G2834" s="5"/>
      <c r="H2834" s="7" t="s">
        <v>2055</v>
      </c>
      <c r="I2834" s="9">
        <v>1283200</v>
      </c>
      <c r="J2834" s="10">
        <v>0.0382</v>
      </c>
    </row>
    <row r="2835" spans="1:10">
      <c r="A2835" s="7" t="s">
        <v>2043</v>
      </c>
      <c r="B2835" s="7" t="s">
        <v>4702</v>
      </c>
      <c r="C2835" s="8">
        <f>QS.CONTEXT.CREATE("market.2833",A2835,"USD","SOFR")</f>
        <v/>
      </c>
      <c r="D2835" s="8">
        <f>QS.CONTEXT.ADD.CURVE(C2835,"SOFR",$K$2:$K$7,$L$2:$L$7,,,"Actual360","LogLinear",TRUE)</f>
        <v/>
      </c>
      <c r="E2835" s="8">
        <f>QS.INSTRUMENT.SWAP("swap.2833",C2835,H2835,B2835,"USD","SOFR",I2835,J2835,0,"Actual360","Simple","Annual","Annual","Annual")</f>
        <v/>
      </c>
      <c r="F2835" s="8">
        <f>QS.TRADE.CREATE("trade.2833",C2835,E2835,A2835,"Receive")</f>
        <v/>
      </c>
      <c r="G2835" s="5"/>
      <c r="H2835" s="7" t="s">
        <v>2057</v>
      </c>
      <c r="I2835" s="9">
        <v>1283300</v>
      </c>
      <c r="J2835" s="10">
        <v>0.0383</v>
      </c>
    </row>
    <row r="2836" spans="1:10">
      <c r="A2836" s="7" t="s">
        <v>2045</v>
      </c>
      <c r="B2836" s="7" t="s">
        <v>4703</v>
      </c>
      <c r="C2836" s="8">
        <f>QS.CONTEXT.CREATE("market.2834",A2836,"USD","SOFR")</f>
        <v/>
      </c>
      <c r="D2836" s="8">
        <f>QS.CONTEXT.ADD.CURVE(C2836,"SOFR",$K$2:$K$7,$L$2:$L$7,,,"Actual360","LogLinear",TRUE)</f>
        <v/>
      </c>
      <c r="E2836" s="8">
        <f>QS.INSTRUMENT.SWAP("swap.2834",C2836,H2836,B2836,"USD","SOFR",I2836,J2836,0,"Actual360","Simple","Annual","Annual","Annual")</f>
        <v/>
      </c>
      <c r="F2836" s="8">
        <f>QS.TRADE.CREATE("trade.2834",C2836,E2836,A2836,"Receive")</f>
        <v/>
      </c>
      <c r="G2836" s="5"/>
      <c r="H2836" s="7" t="s">
        <v>2059</v>
      </c>
      <c r="I2836" s="9">
        <v>1283400</v>
      </c>
      <c r="J2836" s="10">
        <v>0.0384</v>
      </c>
    </row>
    <row r="2837" spans="1:10">
      <c r="A2837" s="7" t="s">
        <v>2047</v>
      </c>
      <c r="B2837" s="7" t="s">
        <v>4704</v>
      </c>
      <c r="C2837" s="8">
        <f>QS.CONTEXT.CREATE("market.2835",A2837,"USD","SOFR")</f>
        <v/>
      </c>
      <c r="D2837" s="8">
        <f>QS.CONTEXT.ADD.CURVE(C2837,"SOFR",$K$2:$K$7,$L$2:$L$7,,,"Actual360","LogLinear",TRUE)</f>
        <v/>
      </c>
      <c r="E2837" s="8">
        <f>QS.INSTRUMENT.SWAP("swap.2835",C2837,H2837,B2837,"USD","SOFR",I2837,J2837,0,"Actual360","Simple","Annual","Annual","Annual")</f>
        <v/>
      </c>
      <c r="F2837" s="8">
        <f>QS.TRADE.CREATE("trade.2835",C2837,E2837,A2837,"Receive")</f>
        <v/>
      </c>
      <c r="G2837" s="5"/>
      <c r="H2837" s="7" t="s">
        <v>2061</v>
      </c>
      <c r="I2837" s="9">
        <v>1283500</v>
      </c>
      <c r="J2837" s="10">
        <v>0.03850000000000001</v>
      </c>
    </row>
    <row r="2838" spans="1:10">
      <c r="A2838" s="7" t="s">
        <v>2049</v>
      </c>
      <c r="B2838" s="7" t="s">
        <v>4705</v>
      </c>
      <c r="C2838" s="8">
        <f>QS.CONTEXT.CREATE("market.2836",A2838,"USD","SOFR")</f>
        <v/>
      </c>
      <c r="D2838" s="8">
        <f>QS.CONTEXT.ADD.CURVE(C2838,"SOFR",$K$2:$K$7,$L$2:$L$7,,,"Actual360","LogLinear",TRUE)</f>
        <v/>
      </c>
      <c r="E2838" s="8">
        <f>QS.INSTRUMENT.SWAP("swap.2836",C2838,H2838,B2838,"USD","SOFR",I2838,J2838,0,"Actual360","Simple","Annual","Annual","Annual")</f>
        <v/>
      </c>
      <c r="F2838" s="8">
        <f>QS.TRADE.CREATE("trade.2836",C2838,E2838,A2838,"Receive")</f>
        <v/>
      </c>
      <c r="G2838" s="5"/>
      <c r="H2838" s="7" t="s">
        <v>2063</v>
      </c>
      <c r="I2838" s="9">
        <v>1283600</v>
      </c>
      <c r="J2838" s="10">
        <v>0.0386</v>
      </c>
    </row>
    <row r="2839" spans="1:10">
      <c r="A2839" s="7" t="s">
        <v>2051</v>
      </c>
      <c r="B2839" s="7" t="s">
        <v>4706</v>
      </c>
      <c r="C2839" s="8">
        <f>QS.CONTEXT.CREATE("market.2837",A2839,"USD","SOFR")</f>
        <v/>
      </c>
      <c r="D2839" s="8">
        <f>QS.CONTEXT.ADD.CURVE(C2839,"SOFR",$K$2:$K$7,$L$2:$L$7,,,"Actual360","LogLinear",TRUE)</f>
        <v/>
      </c>
      <c r="E2839" s="8">
        <f>QS.INSTRUMENT.SWAP("swap.2837",C2839,H2839,B2839,"USD","SOFR",I2839,J2839,0,"Actual360","Simple","Annual","Annual","Annual")</f>
        <v/>
      </c>
      <c r="F2839" s="8">
        <f>QS.TRADE.CREATE("trade.2837",C2839,E2839,A2839,"Receive")</f>
        <v/>
      </c>
      <c r="G2839" s="5"/>
      <c r="H2839" s="7" t="s">
        <v>2065</v>
      </c>
      <c r="I2839" s="9">
        <v>1283700</v>
      </c>
      <c r="J2839" s="10">
        <v>0.03870000000000001</v>
      </c>
    </row>
    <row r="2840" spans="1:10">
      <c r="A2840" s="7" t="s">
        <v>2053</v>
      </c>
      <c r="B2840" s="7" t="s">
        <v>4707</v>
      </c>
      <c r="C2840" s="8">
        <f>QS.CONTEXT.CREATE("market.2838",A2840,"USD","SOFR")</f>
        <v/>
      </c>
      <c r="D2840" s="8">
        <f>QS.CONTEXT.ADD.CURVE(C2840,"SOFR",$K$2:$K$7,$L$2:$L$7,,,"Actual360","LogLinear",TRUE)</f>
        <v/>
      </c>
      <c r="E2840" s="8">
        <f>QS.INSTRUMENT.SWAP("swap.2838",C2840,H2840,B2840,"USD","SOFR",I2840,J2840,0,"Actual360","Simple","Annual","Annual","Annual")</f>
        <v/>
      </c>
      <c r="F2840" s="8">
        <f>QS.TRADE.CREATE("trade.2838",C2840,E2840,A2840,"Receive")</f>
        <v/>
      </c>
      <c r="G2840" s="5"/>
      <c r="H2840" s="7" t="s">
        <v>2067</v>
      </c>
      <c r="I2840" s="9">
        <v>1283800</v>
      </c>
      <c r="J2840" s="10">
        <v>0.0388</v>
      </c>
    </row>
    <row r="2841" spans="1:10">
      <c r="A2841" s="7" t="s">
        <v>2055</v>
      </c>
      <c r="B2841" s="7" t="s">
        <v>4708</v>
      </c>
      <c r="C2841" s="8">
        <f>QS.CONTEXT.CREATE("market.2839",A2841,"USD","SOFR")</f>
        <v/>
      </c>
      <c r="D2841" s="8">
        <f>QS.CONTEXT.ADD.CURVE(C2841,"SOFR",$K$2:$K$7,$L$2:$L$7,,,"Actual360","LogLinear",TRUE)</f>
        <v/>
      </c>
      <c r="E2841" s="8">
        <f>QS.INSTRUMENT.SWAP("swap.2839",C2841,H2841,B2841,"USD","SOFR",I2841,J2841,0,"Actual360","Simple","Annual","Annual","Annual")</f>
        <v/>
      </c>
      <c r="F2841" s="8">
        <f>QS.TRADE.CREATE("trade.2839",C2841,E2841,A2841,"Receive")</f>
        <v/>
      </c>
      <c r="G2841" s="5"/>
      <c r="H2841" s="7" t="s">
        <v>2069</v>
      </c>
      <c r="I2841" s="9">
        <v>1283900</v>
      </c>
      <c r="J2841" s="10">
        <v>0.0389</v>
      </c>
    </row>
    <row r="2842" spans="1:10">
      <c r="A2842" s="7" t="s">
        <v>2057</v>
      </c>
      <c r="B2842" s="7" t="s">
        <v>4709</v>
      </c>
      <c r="C2842" s="8">
        <f>QS.CONTEXT.CREATE("market.2840",A2842,"USD","SOFR")</f>
        <v/>
      </c>
      <c r="D2842" s="8">
        <f>QS.CONTEXT.ADD.CURVE(C2842,"SOFR",$K$2:$K$7,$L$2:$L$7,,,"Actual360","LogLinear",TRUE)</f>
        <v/>
      </c>
      <c r="E2842" s="8">
        <f>QS.INSTRUMENT.SWAP("swap.2840",C2842,H2842,B2842,"USD","SOFR",I2842,J2842,0,"Actual360","Simple","Annual","Annual","Annual")</f>
        <v/>
      </c>
      <c r="F2842" s="8">
        <f>QS.TRADE.CREATE("trade.2840",C2842,E2842,A2842,"Receive")</f>
        <v/>
      </c>
      <c r="G2842" s="5"/>
      <c r="H2842" s="7" t="s">
        <v>2071</v>
      </c>
      <c r="I2842" s="9">
        <v>1284000</v>
      </c>
      <c r="J2842" s="10">
        <v>0.03900000000000001</v>
      </c>
    </row>
    <row r="2843" spans="1:10">
      <c r="A2843" s="7" t="s">
        <v>2059</v>
      </c>
      <c r="B2843" s="7" t="s">
        <v>4710</v>
      </c>
      <c r="C2843" s="8">
        <f>QS.CONTEXT.CREATE("market.2841",A2843,"USD","SOFR")</f>
        <v/>
      </c>
      <c r="D2843" s="8">
        <f>QS.CONTEXT.ADD.CURVE(C2843,"SOFR",$K$2:$K$7,$L$2:$L$7,,,"Actual360","LogLinear",TRUE)</f>
        <v/>
      </c>
      <c r="E2843" s="8">
        <f>QS.INSTRUMENT.SWAP("swap.2841",C2843,H2843,B2843,"USD","SOFR",I2843,J2843,0,"Actual360","Simple","Annual","Annual","Annual")</f>
        <v/>
      </c>
      <c r="F2843" s="8">
        <f>QS.TRADE.CREATE("trade.2841",C2843,E2843,A2843,"Receive")</f>
        <v/>
      </c>
      <c r="G2843" s="5"/>
      <c r="H2843" s="7" t="s">
        <v>2073</v>
      </c>
      <c r="I2843" s="9">
        <v>1284100</v>
      </c>
      <c r="J2843" s="10">
        <v>0.0391</v>
      </c>
    </row>
    <row r="2844" spans="1:10">
      <c r="A2844" s="7" t="s">
        <v>2061</v>
      </c>
      <c r="B2844" s="7" t="s">
        <v>4711</v>
      </c>
      <c r="C2844" s="8">
        <f>QS.CONTEXT.CREATE("market.2842",A2844,"USD","SOFR")</f>
        <v/>
      </c>
      <c r="D2844" s="8">
        <f>QS.CONTEXT.ADD.CURVE(C2844,"SOFR",$K$2:$K$7,$L$2:$L$7,,,"Actual360","LogLinear",TRUE)</f>
        <v/>
      </c>
      <c r="E2844" s="8">
        <f>QS.INSTRUMENT.SWAP("swap.2842",C2844,H2844,B2844,"USD","SOFR",I2844,J2844,0,"Actual360","Simple","Annual","Annual","Annual")</f>
        <v/>
      </c>
      <c r="F2844" s="8">
        <f>QS.TRADE.CREATE("trade.2842",C2844,E2844,A2844,"Receive")</f>
        <v/>
      </c>
      <c r="G2844" s="5"/>
      <c r="H2844" s="7" t="s">
        <v>2075</v>
      </c>
      <c r="I2844" s="9">
        <v>1284200</v>
      </c>
      <c r="J2844" s="10">
        <v>0.03920000000000001</v>
      </c>
    </row>
    <row r="2845" spans="1:10">
      <c r="A2845" s="7" t="s">
        <v>2063</v>
      </c>
      <c r="B2845" s="7" t="s">
        <v>4712</v>
      </c>
      <c r="C2845" s="8">
        <f>QS.CONTEXT.CREATE("market.2843",A2845,"USD","SOFR")</f>
        <v/>
      </c>
      <c r="D2845" s="8">
        <f>QS.CONTEXT.ADD.CURVE(C2845,"SOFR",$K$2:$K$7,$L$2:$L$7,,,"Actual360","LogLinear",TRUE)</f>
        <v/>
      </c>
      <c r="E2845" s="8">
        <f>QS.INSTRUMENT.SWAP("swap.2843",C2845,H2845,B2845,"USD","SOFR",I2845,J2845,0,"Actual360","Simple","Annual","Annual","Annual")</f>
        <v/>
      </c>
      <c r="F2845" s="8">
        <f>QS.TRADE.CREATE("trade.2843",C2845,E2845,A2845,"Receive")</f>
        <v/>
      </c>
      <c r="G2845" s="5"/>
      <c r="H2845" s="7" t="s">
        <v>2077</v>
      </c>
      <c r="I2845" s="9">
        <v>1284300</v>
      </c>
      <c r="J2845" s="10">
        <v>0.0393</v>
      </c>
    </row>
    <row r="2846" spans="1:10">
      <c r="A2846" s="7" t="s">
        <v>2065</v>
      </c>
      <c r="B2846" s="7" t="s">
        <v>4713</v>
      </c>
      <c r="C2846" s="8">
        <f>QS.CONTEXT.CREATE("market.2844",A2846,"USD","SOFR")</f>
        <v/>
      </c>
      <c r="D2846" s="8">
        <f>QS.CONTEXT.ADD.CURVE(C2846,"SOFR",$K$2:$K$7,$L$2:$L$7,,,"Actual360","LogLinear",TRUE)</f>
        <v/>
      </c>
      <c r="E2846" s="8">
        <f>QS.INSTRUMENT.SWAP("swap.2844",C2846,H2846,B2846,"USD","SOFR",I2846,J2846,0,"Actual360","Simple","Annual","Annual","Annual")</f>
        <v/>
      </c>
      <c r="F2846" s="8">
        <f>QS.TRADE.CREATE("trade.2844",C2846,E2846,A2846,"Receive")</f>
        <v/>
      </c>
      <c r="G2846" s="5"/>
      <c r="H2846" s="7" t="s">
        <v>2079</v>
      </c>
      <c r="I2846" s="9">
        <v>1284400</v>
      </c>
      <c r="J2846" s="10">
        <v>0.0394</v>
      </c>
    </row>
    <row r="2847" spans="1:10">
      <c r="A2847" s="7" t="s">
        <v>2067</v>
      </c>
      <c r="B2847" s="7" t="s">
        <v>4714</v>
      </c>
      <c r="C2847" s="8">
        <f>QS.CONTEXT.CREATE("market.2845",A2847,"USD","SOFR")</f>
        <v/>
      </c>
      <c r="D2847" s="8">
        <f>QS.CONTEXT.ADD.CURVE(C2847,"SOFR",$K$2:$K$7,$L$2:$L$7,,,"Actual360","LogLinear",TRUE)</f>
        <v/>
      </c>
      <c r="E2847" s="8">
        <f>QS.INSTRUMENT.SWAP("swap.2845",C2847,H2847,B2847,"USD","SOFR",I2847,J2847,0,"Actual360","Simple","Annual","Annual","Annual")</f>
        <v/>
      </c>
      <c r="F2847" s="8">
        <f>QS.TRADE.CREATE("trade.2845",C2847,E2847,A2847,"Receive")</f>
        <v/>
      </c>
      <c r="G2847" s="5"/>
      <c r="H2847" s="7" t="s">
        <v>2081</v>
      </c>
      <c r="I2847" s="9">
        <v>1284500</v>
      </c>
      <c r="J2847" s="10">
        <v>0.03950000000000001</v>
      </c>
    </row>
    <row r="2848" spans="1:10">
      <c r="A2848" s="7" t="s">
        <v>2069</v>
      </c>
      <c r="B2848" s="7" t="s">
        <v>4715</v>
      </c>
      <c r="C2848" s="8">
        <f>QS.CONTEXT.CREATE("market.2846",A2848,"USD","SOFR")</f>
        <v/>
      </c>
      <c r="D2848" s="8">
        <f>QS.CONTEXT.ADD.CURVE(C2848,"SOFR",$K$2:$K$7,$L$2:$L$7,,,"Actual360","LogLinear",TRUE)</f>
        <v/>
      </c>
      <c r="E2848" s="8">
        <f>QS.INSTRUMENT.SWAP("swap.2846",C2848,H2848,B2848,"USD","SOFR",I2848,J2848,0,"Actual360","Simple","Annual","Annual","Annual")</f>
        <v/>
      </c>
      <c r="F2848" s="8">
        <f>QS.TRADE.CREATE("trade.2846",C2848,E2848,A2848,"Receive")</f>
        <v/>
      </c>
      <c r="G2848" s="5"/>
      <c r="H2848" s="7" t="s">
        <v>2083</v>
      </c>
      <c r="I2848" s="9">
        <v>1284600</v>
      </c>
      <c r="J2848" s="10">
        <v>0.0396</v>
      </c>
    </row>
    <row r="2849" spans="1:10">
      <c r="A2849" s="7" t="s">
        <v>2071</v>
      </c>
      <c r="B2849" s="7" t="s">
        <v>4716</v>
      </c>
      <c r="C2849" s="8">
        <f>QS.CONTEXT.CREATE("market.2847",A2849,"USD","SOFR")</f>
        <v/>
      </c>
      <c r="D2849" s="8">
        <f>QS.CONTEXT.ADD.CURVE(C2849,"SOFR",$K$2:$K$7,$L$2:$L$7,,,"Actual360","LogLinear",TRUE)</f>
        <v/>
      </c>
      <c r="E2849" s="8">
        <f>QS.INSTRUMENT.SWAP("swap.2847",C2849,H2849,B2849,"USD","SOFR",I2849,J2849,0,"Actual360","Simple","Annual","Annual","Annual")</f>
        <v/>
      </c>
      <c r="F2849" s="8">
        <f>QS.TRADE.CREATE("trade.2847",C2849,E2849,A2849,"Receive")</f>
        <v/>
      </c>
      <c r="G2849" s="5"/>
      <c r="H2849" s="7" t="s">
        <v>2085</v>
      </c>
      <c r="I2849" s="9">
        <v>1284700</v>
      </c>
      <c r="J2849" s="10">
        <v>0.03970000000000001</v>
      </c>
    </row>
    <row r="2850" spans="1:10">
      <c r="A2850" s="7" t="s">
        <v>2073</v>
      </c>
      <c r="B2850" s="7" t="s">
        <v>4717</v>
      </c>
      <c r="C2850" s="8">
        <f>QS.CONTEXT.CREATE("market.2848",A2850,"USD","SOFR")</f>
        <v/>
      </c>
      <c r="D2850" s="8">
        <f>QS.CONTEXT.ADD.CURVE(C2850,"SOFR",$K$2:$K$7,$L$2:$L$7,,,"Actual360","LogLinear",TRUE)</f>
        <v/>
      </c>
      <c r="E2850" s="8">
        <f>QS.INSTRUMENT.SWAP("swap.2848",C2850,H2850,B2850,"USD","SOFR",I2850,J2850,0,"Actual360","Simple","Annual","Annual","Annual")</f>
        <v/>
      </c>
      <c r="F2850" s="8">
        <f>QS.TRADE.CREATE("trade.2848",C2850,E2850,A2850,"Receive")</f>
        <v/>
      </c>
      <c r="G2850" s="5"/>
      <c r="H2850" s="7" t="s">
        <v>2087</v>
      </c>
      <c r="I2850" s="9">
        <v>1284800</v>
      </c>
      <c r="J2850" s="10">
        <v>0.0398</v>
      </c>
    </row>
    <row r="2851" spans="1:10">
      <c r="A2851" s="7" t="s">
        <v>2075</v>
      </c>
      <c r="B2851" s="7" t="s">
        <v>4718</v>
      </c>
      <c r="C2851" s="8">
        <f>QS.CONTEXT.CREATE("market.2849",A2851,"USD","SOFR")</f>
        <v/>
      </c>
      <c r="D2851" s="8">
        <f>QS.CONTEXT.ADD.CURVE(C2851,"SOFR",$K$2:$K$7,$L$2:$L$7,,,"Actual360","LogLinear",TRUE)</f>
        <v/>
      </c>
      <c r="E2851" s="8">
        <f>QS.INSTRUMENT.SWAP("swap.2849",C2851,H2851,B2851,"USD","SOFR",I2851,J2851,0,"Actual360","Simple","Annual","Annual","Annual")</f>
        <v/>
      </c>
      <c r="F2851" s="8">
        <f>QS.TRADE.CREATE("trade.2849",C2851,E2851,A2851,"Receive")</f>
        <v/>
      </c>
      <c r="G2851" s="5"/>
      <c r="H2851" s="7" t="s">
        <v>2089</v>
      </c>
      <c r="I2851" s="9">
        <v>1284900</v>
      </c>
      <c r="J2851" s="10">
        <v>0.0399</v>
      </c>
    </row>
    <row r="2852" spans="1:10">
      <c r="A2852" s="7" t="s">
        <v>2077</v>
      </c>
      <c r="B2852" s="7" t="s">
        <v>4719</v>
      </c>
      <c r="C2852" s="8">
        <f>QS.CONTEXT.CREATE("market.2850",A2852,"USD","SOFR")</f>
        <v/>
      </c>
      <c r="D2852" s="8">
        <f>QS.CONTEXT.ADD.CURVE(C2852,"SOFR",$K$2:$K$7,$L$2:$L$7,,,"Actual360","LogLinear",TRUE)</f>
        <v/>
      </c>
      <c r="E2852" s="8">
        <f>QS.INSTRUMENT.SWAP("swap.2850",C2852,H2852,B2852,"USD","SOFR",I2852,J2852,0,"Actual360","Simple","Annual","Annual","Annual")</f>
        <v/>
      </c>
      <c r="F2852" s="8">
        <f>QS.TRADE.CREATE("trade.2850",C2852,E2852,A2852,"Receive")</f>
        <v/>
      </c>
      <c r="G2852" s="5"/>
      <c r="H2852" s="7" t="s">
        <v>2091</v>
      </c>
      <c r="I2852" s="9">
        <v>1285000</v>
      </c>
      <c r="J2852" s="10">
        <v>0.035</v>
      </c>
    </row>
    <row r="2853" spans="1:10">
      <c r="A2853" s="7" t="s">
        <v>2079</v>
      </c>
      <c r="B2853" s="7" t="s">
        <v>4720</v>
      </c>
      <c r="C2853" s="8">
        <f>QS.CONTEXT.CREATE("market.2851",A2853,"USD","SOFR")</f>
        <v/>
      </c>
      <c r="D2853" s="8">
        <f>QS.CONTEXT.ADD.CURVE(C2853,"SOFR",$K$2:$K$7,$L$2:$L$7,,,"Actual360","LogLinear",TRUE)</f>
        <v/>
      </c>
      <c r="E2853" s="8">
        <f>QS.INSTRUMENT.SWAP("swap.2851",C2853,H2853,B2853,"USD","SOFR",I2853,J2853,0,"Actual360","Simple","Annual","Annual","Annual")</f>
        <v/>
      </c>
      <c r="F2853" s="8">
        <f>QS.TRADE.CREATE("trade.2851",C2853,E2853,A2853,"Receive")</f>
        <v/>
      </c>
      <c r="G2853" s="5"/>
      <c r="H2853" s="7" t="s">
        <v>2093</v>
      </c>
      <c r="I2853" s="9">
        <v>1285100</v>
      </c>
      <c r="J2853" s="10">
        <v>0.03510000000000001</v>
      </c>
    </row>
    <row r="2854" spans="1:10">
      <c r="A2854" s="7" t="s">
        <v>2081</v>
      </c>
      <c r="B2854" s="7" t="s">
        <v>4721</v>
      </c>
      <c r="C2854" s="8">
        <f>QS.CONTEXT.CREATE("market.2852",A2854,"USD","SOFR")</f>
        <v/>
      </c>
      <c r="D2854" s="8">
        <f>QS.CONTEXT.ADD.CURVE(C2854,"SOFR",$K$2:$K$7,$L$2:$L$7,,,"Actual360","LogLinear",TRUE)</f>
        <v/>
      </c>
      <c r="E2854" s="8">
        <f>QS.INSTRUMENT.SWAP("swap.2852",C2854,H2854,B2854,"USD","SOFR",I2854,J2854,0,"Actual360","Simple","Annual","Annual","Annual")</f>
        <v/>
      </c>
      <c r="F2854" s="8">
        <f>QS.TRADE.CREATE("trade.2852",C2854,E2854,A2854,"Receive")</f>
        <v/>
      </c>
      <c r="G2854" s="5"/>
      <c r="H2854" s="7" t="s">
        <v>2095</v>
      </c>
      <c r="I2854" s="9">
        <v>1285200</v>
      </c>
      <c r="J2854" s="10">
        <v>0.0352</v>
      </c>
    </row>
    <row r="2855" spans="1:10">
      <c r="A2855" s="7" t="s">
        <v>2083</v>
      </c>
      <c r="B2855" s="7" t="s">
        <v>4722</v>
      </c>
      <c r="C2855" s="8">
        <f>QS.CONTEXT.CREATE("market.2853",A2855,"USD","SOFR")</f>
        <v/>
      </c>
      <c r="D2855" s="8">
        <f>QS.CONTEXT.ADD.CURVE(C2855,"SOFR",$K$2:$K$7,$L$2:$L$7,,,"Actual360","LogLinear",TRUE)</f>
        <v/>
      </c>
      <c r="E2855" s="8">
        <f>QS.INSTRUMENT.SWAP("swap.2853",C2855,H2855,B2855,"USD","SOFR",I2855,J2855,0,"Actual360","Simple","Annual","Annual","Annual")</f>
        <v/>
      </c>
      <c r="F2855" s="8">
        <f>QS.TRADE.CREATE("trade.2853",C2855,E2855,A2855,"Receive")</f>
        <v/>
      </c>
      <c r="G2855" s="5"/>
      <c r="H2855" s="7" t="s">
        <v>2097</v>
      </c>
      <c r="I2855" s="9">
        <v>1285300</v>
      </c>
      <c r="J2855" s="10">
        <v>0.0353</v>
      </c>
    </row>
    <row r="2856" spans="1:10">
      <c r="A2856" s="7" t="s">
        <v>2085</v>
      </c>
      <c r="B2856" s="7" t="s">
        <v>4723</v>
      </c>
      <c r="C2856" s="8">
        <f>QS.CONTEXT.CREATE("market.2854",A2856,"USD","SOFR")</f>
        <v/>
      </c>
      <c r="D2856" s="8">
        <f>QS.CONTEXT.ADD.CURVE(C2856,"SOFR",$K$2:$K$7,$L$2:$L$7,,,"Actual360","LogLinear",TRUE)</f>
        <v/>
      </c>
      <c r="E2856" s="8">
        <f>QS.INSTRUMENT.SWAP("swap.2854",C2856,H2856,B2856,"USD","SOFR",I2856,J2856,0,"Actual360","Simple","Annual","Annual","Annual")</f>
        <v/>
      </c>
      <c r="F2856" s="8">
        <f>QS.TRADE.CREATE("trade.2854",C2856,E2856,A2856,"Receive")</f>
        <v/>
      </c>
      <c r="G2856" s="5"/>
      <c r="H2856" s="7" t="s">
        <v>2099</v>
      </c>
      <c r="I2856" s="9">
        <v>1285400</v>
      </c>
      <c r="J2856" s="10">
        <v>0.0354</v>
      </c>
    </row>
    <row r="2857" spans="1:10">
      <c r="A2857" s="7" t="s">
        <v>2087</v>
      </c>
      <c r="B2857" s="7" t="s">
        <v>4724</v>
      </c>
      <c r="C2857" s="8">
        <f>QS.CONTEXT.CREATE("market.2855",A2857,"USD","SOFR")</f>
        <v/>
      </c>
      <c r="D2857" s="8">
        <f>QS.CONTEXT.ADD.CURVE(C2857,"SOFR",$K$2:$K$7,$L$2:$L$7,,,"Actual360","LogLinear",TRUE)</f>
        <v/>
      </c>
      <c r="E2857" s="8">
        <f>QS.INSTRUMENT.SWAP("swap.2855",C2857,H2857,B2857,"USD","SOFR",I2857,J2857,0,"Actual360","Simple","Annual","Annual","Annual")</f>
        <v/>
      </c>
      <c r="F2857" s="8">
        <f>QS.TRADE.CREATE("trade.2855",C2857,E2857,A2857,"Receive")</f>
        <v/>
      </c>
      <c r="G2857" s="5"/>
      <c r="H2857" s="7" t="s">
        <v>2101</v>
      </c>
      <c r="I2857" s="9">
        <v>1285500</v>
      </c>
      <c r="J2857" s="10">
        <v>0.0355</v>
      </c>
    </row>
    <row r="2858" spans="1:10">
      <c r="A2858" s="7" t="s">
        <v>2089</v>
      </c>
      <c r="B2858" s="7" t="s">
        <v>4725</v>
      </c>
      <c r="C2858" s="8">
        <f>QS.CONTEXT.CREATE("market.2856",A2858,"USD","SOFR")</f>
        <v/>
      </c>
      <c r="D2858" s="8">
        <f>QS.CONTEXT.ADD.CURVE(C2858,"SOFR",$K$2:$K$7,$L$2:$L$7,,,"Actual360","LogLinear",TRUE)</f>
        <v/>
      </c>
      <c r="E2858" s="8">
        <f>QS.INSTRUMENT.SWAP("swap.2856",C2858,H2858,B2858,"USD","SOFR",I2858,J2858,0,"Actual360","Simple","Annual","Annual","Annual")</f>
        <v/>
      </c>
      <c r="F2858" s="8">
        <f>QS.TRADE.CREATE("trade.2856",C2858,E2858,A2858,"Receive")</f>
        <v/>
      </c>
      <c r="G2858" s="5"/>
      <c r="H2858" s="7" t="s">
        <v>2103</v>
      </c>
      <c r="I2858" s="9">
        <v>1285600</v>
      </c>
      <c r="J2858" s="10">
        <v>0.03560000000000001</v>
      </c>
    </row>
    <row r="2859" spans="1:10">
      <c r="A2859" s="7" t="s">
        <v>2091</v>
      </c>
      <c r="B2859" s="7" t="s">
        <v>4726</v>
      </c>
      <c r="C2859" s="8">
        <f>QS.CONTEXT.CREATE("market.2857",A2859,"USD","SOFR")</f>
        <v/>
      </c>
      <c r="D2859" s="8">
        <f>QS.CONTEXT.ADD.CURVE(C2859,"SOFR",$K$2:$K$7,$L$2:$L$7,,,"Actual360","LogLinear",TRUE)</f>
        <v/>
      </c>
      <c r="E2859" s="8">
        <f>QS.INSTRUMENT.SWAP("swap.2857",C2859,H2859,B2859,"USD","SOFR",I2859,J2859,0,"Actual360","Simple","Annual","Annual","Annual")</f>
        <v/>
      </c>
      <c r="F2859" s="8">
        <f>QS.TRADE.CREATE("trade.2857",C2859,E2859,A2859,"Receive")</f>
        <v/>
      </c>
      <c r="G2859" s="5"/>
      <c r="H2859" s="7" t="s">
        <v>2105</v>
      </c>
      <c r="I2859" s="9">
        <v>1285700</v>
      </c>
      <c r="J2859" s="10">
        <v>0.0357</v>
      </c>
    </row>
    <row r="2860" spans="1:10">
      <c r="A2860" s="7" t="s">
        <v>2093</v>
      </c>
      <c r="B2860" s="7" t="s">
        <v>4727</v>
      </c>
      <c r="C2860" s="8">
        <f>QS.CONTEXT.CREATE("market.2858",A2860,"USD","SOFR")</f>
        <v/>
      </c>
      <c r="D2860" s="8">
        <f>QS.CONTEXT.ADD.CURVE(C2860,"SOFR",$K$2:$K$7,$L$2:$L$7,,,"Actual360","LogLinear",TRUE)</f>
        <v/>
      </c>
      <c r="E2860" s="8">
        <f>QS.INSTRUMENT.SWAP("swap.2858",C2860,H2860,B2860,"USD","SOFR",I2860,J2860,0,"Actual360","Simple","Annual","Annual","Annual")</f>
        <v/>
      </c>
      <c r="F2860" s="8">
        <f>QS.TRADE.CREATE("trade.2858",C2860,E2860,A2860,"Receive")</f>
        <v/>
      </c>
      <c r="G2860" s="5"/>
      <c r="H2860" s="7" t="s">
        <v>2107</v>
      </c>
      <c r="I2860" s="9">
        <v>1285800</v>
      </c>
      <c r="J2860" s="10">
        <v>0.03580000000000001</v>
      </c>
    </row>
    <row r="2861" spans="1:10">
      <c r="A2861" s="7" t="s">
        <v>2095</v>
      </c>
      <c r="B2861" s="7" t="s">
        <v>4728</v>
      </c>
      <c r="C2861" s="8">
        <f>QS.CONTEXT.CREATE("market.2859",A2861,"USD","SOFR")</f>
        <v/>
      </c>
      <c r="D2861" s="8">
        <f>QS.CONTEXT.ADD.CURVE(C2861,"SOFR",$K$2:$K$7,$L$2:$L$7,,,"Actual360","LogLinear",TRUE)</f>
        <v/>
      </c>
      <c r="E2861" s="8">
        <f>QS.INSTRUMENT.SWAP("swap.2859",C2861,H2861,B2861,"USD","SOFR",I2861,J2861,0,"Actual360","Simple","Annual","Annual","Annual")</f>
        <v/>
      </c>
      <c r="F2861" s="8">
        <f>QS.TRADE.CREATE("trade.2859",C2861,E2861,A2861,"Receive")</f>
        <v/>
      </c>
      <c r="G2861" s="5"/>
      <c r="H2861" s="7" t="s">
        <v>2109</v>
      </c>
      <c r="I2861" s="9">
        <v>1285900</v>
      </c>
      <c r="J2861" s="10">
        <v>0.0359</v>
      </c>
    </row>
    <row r="2862" spans="1:10">
      <c r="A2862" s="7" t="s">
        <v>2097</v>
      </c>
      <c r="B2862" s="7" t="s">
        <v>4729</v>
      </c>
      <c r="C2862" s="8">
        <f>QS.CONTEXT.CREATE("market.2860",A2862,"USD","SOFR")</f>
        <v/>
      </c>
      <c r="D2862" s="8">
        <f>QS.CONTEXT.ADD.CURVE(C2862,"SOFR",$K$2:$K$7,$L$2:$L$7,,,"Actual360","LogLinear",TRUE)</f>
        <v/>
      </c>
      <c r="E2862" s="8">
        <f>QS.INSTRUMENT.SWAP("swap.2860",C2862,H2862,B2862,"USD","SOFR",I2862,J2862,0,"Actual360","Simple","Annual","Annual","Annual")</f>
        <v/>
      </c>
      <c r="F2862" s="8">
        <f>QS.TRADE.CREATE("trade.2860",C2862,E2862,A2862,"Receive")</f>
        <v/>
      </c>
      <c r="G2862" s="5"/>
      <c r="H2862" s="7" t="s">
        <v>2111</v>
      </c>
      <c r="I2862" s="9">
        <v>1286000</v>
      </c>
      <c r="J2862" s="10">
        <v>0.036</v>
      </c>
    </row>
    <row r="2863" spans="1:10">
      <c r="A2863" s="7" t="s">
        <v>2099</v>
      </c>
      <c r="B2863" s="7" t="s">
        <v>4730</v>
      </c>
      <c r="C2863" s="8">
        <f>QS.CONTEXT.CREATE("market.2861",A2863,"USD","SOFR")</f>
        <v/>
      </c>
      <c r="D2863" s="8">
        <f>QS.CONTEXT.ADD.CURVE(C2863,"SOFR",$K$2:$K$7,$L$2:$L$7,,,"Actual360","LogLinear",TRUE)</f>
        <v/>
      </c>
      <c r="E2863" s="8">
        <f>QS.INSTRUMENT.SWAP("swap.2861",C2863,H2863,B2863,"USD","SOFR",I2863,J2863,0,"Actual360","Simple","Annual","Annual","Annual")</f>
        <v/>
      </c>
      <c r="F2863" s="8">
        <f>QS.TRADE.CREATE("trade.2861",C2863,E2863,A2863,"Receive")</f>
        <v/>
      </c>
      <c r="G2863" s="5"/>
      <c r="H2863" s="7" t="s">
        <v>2113</v>
      </c>
      <c r="I2863" s="9">
        <v>1286100</v>
      </c>
      <c r="J2863" s="10">
        <v>0.0361</v>
      </c>
    </row>
    <row r="2864" spans="1:10">
      <c r="A2864" s="7" t="s">
        <v>2101</v>
      </c>
      <c r="B2864" s="7" t="s">
        <v>4731</v>
      </c>
      <c r="C2864" s="8">
        <f>QS.CONTEXT.CREATE("market.2862",A2864,"USD","SOFR")</f>
        <v/>
      </c>
      <c r="D2864" s="8">
        <f>QS.CONTEXT.ADD.CURVE(C2864,"SOFR",$K$2:$K$7,$L$2:$L$7,,,"Actual360","LogLinear",TRUE)</f>
        <v/>
      </c>
      <c r="E2864" s="8">
        <f>QS.INSTRUMENT.SWAP("swap.2862",C2864,H2864,B2864,"USD","SOFR",I2864,J2864,0,"Actual360","Simple","Annual","Annual","Annual")</f>
        <v/>
      </c>
      <c r="F2864" s="8">
        <f>QS.TRADE.CREATE("trade.2862",C2864,E2864,A2864,"Receive")</f>
        <v/>
      </c>
      <c r="G2864" s="5"/>
      <c r="H2864" s="7" t="s">
        <v>2115</v>
      </c>
      <c r="I2864" s="9">
        <v>1286200</v>
      </c>
      <c r="J2864" s="10">
        <v>0.0362</v>
      </c>
    </row>
    <row r="2865" spans="1:10">
      <c r="A2865" s="7" t="s">
        <v>2103</v>
      </c>
      <c r="B2865" s="7" t="s">
        <v>4732</v>
      </c>
      <c r="C2865" s="8">
        <f>QS.CONTEXT.CREATE("market.2863",A2865,"USD","SOFR")</f>
        <v/>
      </c>
      <c r="D2865" s="8">
        <f>QS.CONTEXT.ADD.CURVE(C2865,"SOFR",$K$2:$K$7,$L$2:$L$7,,,"Actual360","LogLinear",TRUE)</f>
        <v/>
      </c>
      <c r="E2865" s="8">
        <f>QS.INSTRUMENT.SWAP("swap.2863",C2865,H2865,B2865,"USD","SOFR",I2865,J2865,0,"Actual360","Simple","Annual","Annual","Annual")</f>
        <v/>
      </c>
      <c r="F2865" s="8">
        <f>QS.TRADE.CREATE("trade.2863",C2865,E2865,A2865,"Receive")</f>
        <v/>
      </c>
      <c r="G2865" s="5"/>
      <c r="H2865" s="7" t="s">
        <v>2117</v>
      </c>
      <c r="I2865" s="9">
        <v>1286300</v>
      </c>
      <c r="J2865" s="10">
        <v>0.03630000000000001</v>
      </c>
    </row>
    <row r="2866" spans="1:10">
      <c r="A2866" s="7" t="s">
        <v>2105</v>
      </c>
      <c r="B2866" s="7" t="s">
        <v>4733</v>
      </c>
      <c r="C2866" s="8">
        <f>QS.CONTEXT.CREATE("market.2864",A2866,"USD","SOFR")</f>
        <v/>
      </c>
      <c r="D2866" s="8">
        <f>QS.CONTEXT.ADD.CURVE(C2866,"SOFR",$K$2:$K$7,$L$2:$L$7,,,"Actual360","LogLinear",TRUE)</f>
        <v/>
      </c>
      <c r="E2866" s="8">
        <f>QS.INSTRUMENT.SWAP("swap.2864",C2866,H2866,B2866,"USD","SOFR",I2866,J2866,0,"Actual360","Simple","Annual","Annual","Annual")</f>
        <v/>
      </c>
      <c r="F2866" s="8">
        <f>QS.TRADE.CREATE("trade.2864",C2866,E2866,A2866,"Receive")</f>
        <v/>
      </c>
      <c r="G2866" s="5"/>
      <c r="H2866" s="7" t="s">
        <v>2119</v>
      </c>
      <c r="I2866" s="9">
        <v>1286400</v>
      </c>
      <c r="J2866" s="10">
        <v>0.0364</v>
      </c>
    </row>
    <row r="2867" spans="1:10">
      <c r="A2867" s="7" t="s">
        <v>2107</v>
      </c>
      <c r="B2867" s="7" t="s">
        <v>4734</v>
      </c>
      <c r="C2867" s="8">
        <f>QS.CONTEXT.CREATE("market.2865",A2867,"USD","SOFR")</f>
        <v/>
      </c>
      <c r="D2867" s="8">
        <f>QS.CONTEXT.ADD.CURVE(C2867,"SOFR",$K$2:$K$7,$L$2:$L$7,,,"Actual360","LogLinear",TRUE)</f>
        <v/>
      </c>
      <c r="E2867" s="8">
        <f>QS.INSTRUMENT.SWAP("swap.2865",C2867,H2867,B2867,"USD","SOFR",I2867,J2867,0,"Actual360","Simple","Annual","Annual","Annual")</f>
        <v/>
      </c>
      <c r="F2867" s="8">
        <f>QS.TRADE.CREATE("trade.2865",C2867,E2867,A2867,"Receive")</f>
        <v/>
      </c>
      <c r="G2867" s="5"/>
      <c r="H2867" s="7" t="s">
        <v>2121</v>
      </c>
      <c r="I2867" s="9">
        <v>1286500</v>
      </c>
      <c r="J2867" s="10">
        <v>0.0365</v>
      </c>
    </row>
    <row r="2868" spans="1:10">
      <c r="A2868" s="7" t="s">
        <v>2109</v>
      </c>
      <c r="B2868" s="7" t="s">
        <v>4735</v>
      </c>
      <c r="C2868" s="8">
        <f>QS.CONTEXT.CREATE("market.2866",A2868,"USD","SOFR")</f>
        <v/>
      </c>
      <c r="D2868" s="8">
        <f>QS.CONTEXT.ADD.CURVE(C2868,"SOFR",$K$2:$K$7,$L$2:$L$7,,,"Actual360","LogLinear",TRUE)</f>
        <v/>
      </c>
      <c r="E2868" s="8">
        <f>QS.INSTRUMENT.SWAP("swap.2866",C2868,H2868,B2868,"USD","SOFR",I2868,J2868,0,"Actual360","Simple","Annual","Annual","Annual")</f>
        <v/>
      </c>
      <c r="F2868" s="8">
        <f>QS.TRADE.CREATE("trade.2866",C2868,E2868,A2868,"Receive")</f>
        <v/>
      </c>
      <c r="G2868" s="5"/>
      <c r="H2868" s="7" t="s">
        <v>2123</v>
      </c>
      <c r="I2868" s="9">
        <v>1286600</v>
      </c>
      <c r="J2868" s="10">
        <v>0.0366</v>
      </c>
    </row>
    <row r="2869" spans="1:10">
      <c r="A2869" s="7" t="s">
        <v>2111</v>
      </c>
      <c r="B2869" s="7" t="s">
        <v>4736</v>
      </c>
      <c r="C2869" s="8">
        <f>QS.CONTEXT.CREATE("market.2867",A2869,"USD","SOFR")</f>
        <v/>
      </c>
      <c r="D2869" s="8">
        <f>QS.CONTEXT.ADD.CURVE(C2869,"SOFR",$K$2:$K$7,$L$2:$L$7,,,"Actual360","LogLinear",TRUE)</f>
        <v/>
      </c>
      <c r="E2869" s="8">
        <f>QS.INSTRUMENT.SWAP("swap.2867",C2869,H2869,B2869,"USD","SOFR",I2869,J2869,0,"Actual360","Simple","Annual","Annual","Annual")</f>
        <v/>
      </c>
      <c r="F2869" s="8">
        <f>QS.TRADE.CREATE("trade.2867",C2869,E2869,A2869,"Receive")</f>
        <v/>
      </c>
      <c r="G2869" s="5"/>
      <c r="H2869" s="7" t="s">
        <v>2125</v>
      </c>
      <c r="I2869" s="9">
        <v>1286700</v>
      </c>
      <c r="J2869" s="10">
        <v>0.0367</v>
      </c>
    </row>
    <row r="2870" spans="1:10">
      <c r="A2870" s="7" t="s">
        <v>2113</v>
      </c>
      <c r="B2870" s="7" t="s">
        <v>4737</v>
      </c>
      <c r="C2870" s="8">
        <f>QS.CONTEXT.CREATE("market.2868",A2870,"USD","SOFR")</f>
        <v/>
      </c>
      <c r="D2870" s="8">
        <f>QS.CONTEXT.ADD.CURVE(C2870,"SOFR",$K$2:$K$7,$L$2:$L$7,,,"Actual360","LogLinear",TRUE)</f>
        <v/>
      </c>
      <c r="E2870" s="8">
        <f>QS.INSTRUMENT.SWAP("swap.2868",C2870,H2870,B2870,"USD","SOFR",I2870,J2870,0,"Actual360","Simple","Annual","Annual","Annual")</f>
        <v/>
      </c>
      <c r="F2870" s="8">
        <f>QS.TRADE.CREATE("trade.2868",C2870,E2870,A2870,"Receive")</f>
        <v/>
      </c>
      <c r="G2870" s="5"/>
      <c r="H2870" s="7" t="s">
        <v>2127</v>
      </c>
      <c r="I2870" s="9">
        <v>1286800</v>
      </c>
      <c r="J2870" s="10">
        <v>0.03680000000000001</v>
      </c>
    </row>
    <row r="2871" spans="1:10">
      <c r="A2871" s="7" t="s">
        <v>2115</v>
      </c>
      <c r="B2871" s="7" t="s">
        <v>4738</v>
      </c>
      <c r="C2871" s="8">
        <f>QS.CONTEXT.CREATE("market.2869",A2871,"USD","SOFR")</f>
        <v/>
      </c>
      <c r="D2871" s="8">
        <f>QS.CONTEXT.ADD.CURVE(C2871,"SOFR",$K$2:$K$7,$L$2:$L$7,,,"Actual360","LogLinear",TRUE)</f>
        <v/>
      </c>
      <c r="E2871" s="8">
        <f>QS.INSTRUMENT.SWAP("swap.2869",C2871,H2871,B2871,"USD","SOFR",I2871,J2871,0,"Actual360","Simple","Annual","Annual","Annual")</f>
        <v/>
      </c>
      <c r="F2871" s="8">
        <f>QS.TRADE.CREATE("trade.2869",C2871,E2871,A2871,"Receive")</f>
        <v/>
      </c>
      <c r="G2871" s="5"/>
      <c r="H2871" s="7" t="s">
        <v>2129</v>
      </c>
      <c r="I2871" s="9">
        <v>1286900</v>
      </c>
      <c r="J2871" s="10">
        <v>0.0369</v>
      </c>
    </row>
    <row r="2872" spans="1:10">
      <c r="A2872" s="7" t="s">
        <v>2117</v>
      </c>
      <c r="B2872" s="7" t="s">
        <v>4739</v>
      </c>
      <c r="C2872" s="8">
        <f>QS.CONTEXT.CREATE("market.2870",A2872,"USD","SOFR")</f>
        <v/>
      </c>
      <c r="D2872" s="8">
        <f>QS.CONTEXT.ADD.CURVE(C2872,"SOFR",$K$2:$K$7,$L$2:$L$7,,,"Actual360","LogLinear",TRUE)</f>
        <v/>
      </c>
      <c r="E2872" s="8">
        <f>QS.INSTRUMENT.SWAP("swap.2870",C2872,H2872,B2872,"USD","SOFR",I2872,J2872,0,"Actual360","Simple","Annual","Annual","Annual")</f>
        <v/>
      </c>
      <c r="F2872" s="8">
        <f>QS.TRADE.CREATE("trade.2870",C2872,E2872,A2872,"Receive")</f>
        <v/>
      </c>
      <c r="G2872" s="5"/>
      <c r="H2872" s="7" t="s">
        <v>2131</v>
      </c>
      <c r="I2872" s="9">
        <v>1287000</v>
      </c>
      <c r="J2872" s="10">
        <v>0.03700000000000001</v>
      </c>
    </row>
    <row r="2873" spans="1:10">
      <c r="A2873" s="7" t="s">
        <v>2119</v>
      </c>
      <c r="B2873" s="7" t="s">
        <v>4740</v>
      </c>
      <c r="C2873" s="8">
        <f>QS.CONTEXT.CREATE("market.2871",A2873,"USD","SOFR")</f>
        <v/>
      </c>
      <c r="D2873" s="8">
        <f>QS.CONTEXT.ADD.CURVE(C2873,"SOFR",$K$2:$K$7,$L$2:$L$7,,,"Actual360","LogLinear",TRUE)</f>
        <v/>
      </c>
      <c r="E2873" s="8">
        <f>QS.INSTRUMENT.SWAP("swap.2871",C2873,H2873,B2873,"USD","SOFR",I2873,J2873,0,"Actual360","Simple","Annual","Annual","Annual")</f>
        <v/>
      </c>
      <c r="F2873" s="8">
        <f>QS.TRADE.CREATE("trade.2871",C2873,E2873,A2873,"Receive")</f>
        <v/>
      </c>
      <c r="G2873" s="5"/>
      <c r="H2873" s="7" t="s">
        <v>2133</v>
      </c>
      <c r="I2873" s="9">
        <v>1287100</v>
      </c>
      <c r="J2873" s="10">
        <v>0.0371</v>
      </c>
    </row>
    <row r="2874" spans="1:10">
      <c r="A2874" s="7" t="s">
        <v>2121</v>
      </c>
      <c r="B2874" s="7" t="s">
        <v>4741</v>
      </c>
      <c r="C2874" s="8">
        <f>QS.CONTEXT.CREATE("market.2872",A2874,"USD","SOFR")</f>
        <v/>
      </c>
      <c r="D2874" s="8">
        <f>QS.CONTEXT.ADD.CURVE(C2874,"SOFR",$K$2:$K$7,$L$2:$L$7,,,"Actual360","LogLinear",TRUE)</f>
        <v/>
      </c>
      <c r="E2874" s="8">
        <f>QS.INSTRUMENT.SWAP("swap.2872",C2874,H2874,B2874,"USD","SOFR",I2874,J2874,0,"Actual360","Simple","Annual","Annual","Annual")</f>
        <v/>
      </c>
      <c r="F2874" s="8">
        <f>QS.TRADE.CREATE("trade.2872",C2874,E2874,A2874,"Receive")</f>
        <v/>
      </c>
      <c r="G2874" s="5"/>
      <c r="H2874" s="7" t="s">
        <v>2135</v>
      </c>
      <c r="I2874" s="9">
        <v>1287200</v>
      </c>
      <c r="J2874" s="10">
        <v>0.0372</v>
      </c>
    </row>
    <row r="2875" spans="1:10">
      <c r="A2875" s="7" t="s">
        <v>2123</v>
      </c>
      <c r="B2875" s="7" t="s">
        <v>4742</v>
      </c>
      <c r="C2875" s="8">
        <f>QS.CONTEXT.CREATE("market.2873",A2875,"USD","SOFR")</f>
        <v/>
      </c>
      <c r="D2875" s="8">
        <f>QS.CONTEXT.ADD.CURVE(C2875,"SOFR",$K$2:$K$7,$L$2:$L$7,,,"Actual360","LogLinear",TRUE)</f>
        <v/>
      </c>
      <c r="E2875" s="8">
        <f>QS.INSTRUMENT.SWAP("swap.2873",C2875,H2875,B2875,"USD","SOFR",I2875,J2875,0,"Actual360","Simple","Annual","Annual","Annual")</f>
        <v/>
      </c>
      <c r="F2875" s="8">
        <f>QS.TRADE.CREATE("trade.2873",C2875,E2875,A2875,"Receive")</f>
        <v/>
      </c>
      <c r="G2875" s="5"/>
      <c r="H2875" s="7" t="s">
        <v>2137</v>
      </c>
      <c r="I2875" s="9">
        <v>1287300</v>
      </c>
      <c r="J2875" s="10">
        <v>0.0373</v>
      </c>
    </row>
    <row r="2876" spans="1:10">
      <c r="A2876" s="7" t="s">
        <v>2125</v>
      </c>
      <c r="B2876" s="7" t="s">
        <v>4743</v>
      </c>
      <c r="C2876" s="8">
        <f>QS.CONTEXT.CREATE("market.2874",A2876,"USD","SOFR")</f>
        <v/>
      </c>
      <c r="D2876" s="8">
        <f>QS.CONTEXT.ADD.CURVE(C2876,"SOFR",$K$2:$K$7,$L$2:$L$7,,,"Actual360","LogLinear",TRUE)</f>
        <v/>
      </c>
      <c r="E2876" s="8">
        <f>QS.INSTRUMENT.SWAP("swap.2874",C2876,H2876,B2876,"USD","SOFR",I2876,J2876,0,"Actual360","Simple","Annual","Annual","Annual")</f>
        <v/>
      </c>
      <c r="F2876" s="8">
        <f>QS.TRADE.CREATE("trade.2874",C2876,E2876,A2876,"Receive")</f>
        <v/>
      </c>
      <c r="G2876" s="5"/>
      <c r="H2876" s="7" t="s">
        <v>2139</v>
      </c>
      <c r="I2876" s="9">
        <v>1287400</v>
      </c>
      <c r="J2876" s="10">
        <v>0.0374</v>
      </c>
    </row>
    <row r="2877" spans="1:10">
      <c r="A2877" s="7" t="s">
        <v>2127</v>
      </c>
      <c r="B2877" s="7" t="s">
        <v>4744</v>
      </c>
      <c r="C2877" s="8">
        <f>QS.CONTEXT.CREATE("market.2875",A2877,"USD","SOFR")</f>
        <v/>
      </c>
      <c r="D2877" s="8">
        <f>QS.CONTEXT.ADD.CURVE(C2877,"SOFR",$K$2:$K$7,$L$2:$L$7,,,"Actual360","LogLinear",TRUE)</f>
        <v/>
      </c>
      <c r="E2877" s="8">
        <f>QS.INSTRUMENT.SWAP("swap.2875",C2877,H2877,B2877,"USD","SOFR",I2877,J2877,0,"Actual360","Simple","Annual","Annual","Annual")</f>
        <v/>
      </c>
      <c r="F2877" s="8">
        <f>QS.TRADE.CREATE("trade.2875",C2877,E2877,A2877,"Receive")</f>
        <v/>
      </c>
      <c r="G2877" s="5"/>
      <c r="H2877" s="7" t="s">
        <v>2141</v>
      </c>
      <c r="I2877" s="9">
        <v>1287500</v>
      </c>
      <c r="J2877" s="10">
        <v>0.03750000000000001</v>
      </c>
    </row>
    <row r="2878" spans="1:10">
      <c r="A2878" s="7" t="s">
        <v>2129</v>
      </c>
      <c r="B2878" s="7" t="s">
        <v>4745</v>
      </c>
      <c r="C2878" s="8">
        <f>QS.CONTEXT.CREATE("market.2876",A2878,"USD","SOFR")</f>
        <v/>
      </c>
      <c r="D2878" s="8">
        <f>QS.CONTEXT.ADD.CURVE(C2878,"SOFR",$K$2:$K$7,$L$2:$L$7,,,"Actual360","LogLinear",TRUE)</f>
        <v/>
      </c>
      <c r="E2878" s="8">
        <f>QS.INSTRUMENT.SWAP("swap.2876",C2878,H2878,B2878,"USD","SOFR",I2878,J2878,0,"Actual360","Simple","Annual","Annual","Annual")</f>
        <v/>
      </c>
      <c r="F2878" s="8">
        <f>QS.TRADE.CREATE("trade.2876",C2878,E2878,A2878,"Receive")</f>
        <v/>
      </c>
      <c r="G2878" s="5"/>
      <c r="H2878" s="7" t="s">
        <v>2143</v>
      </c>
      <c r="I2878" s="9">
        <v>1287600</v>
      </c>
      <c r="J2878" s="10">
        <v>0.0376</v>
      </c>
    </row>
    <row r="2879" spans="1:10">
      <c r="A2879" s="7" t="s">
        <v>2131</v>
      </c>
      <c r="B2879" s="7" t="s">
        <v>4746</v>
      </c>
      <c r="C2879" s="8">
        <f>QS.CONTEXT.CREATE("market.2877",A2879,"USD","SOFR")</f>
        <v/>
      </c>
      <c r="D2879" s="8">
        <f>QS.CONTEXT.ADD.CURVE(C2879,"SOFR",$K$2:$K$7,$L$2:$L$7,,,"Actual360","LogLinear",TRUE)</f>
        <v/>
      </c>
      <c r="E2879" s="8">
        <f>QS.INSTRUMENT.SWAP("swap.2877",C2879,H2879,B2879,"USD","SOFR",I2879,J2879,0,"Actual360","Simple","Annual","Annual","Annual")</f>
        <v/>
      </c>
      <c r="F2879" s="8">
        <f>QS.TRADE.CREATE("trade.2877",C2879,E2879,A2879,"Receive")</f>
        <v/>
      </c>
      <c r="G2879" s="5"/>
      <c r="H2879" s="7" t="s">
        <v>2145</v>
      </c>
      <c r="I2879" s="9">
        <v>1287700</v>
      </c>
      <c r="J2879" s="10">
        <v>0.0377</v>
      </c>
    </row>
    <row r="2880" spans="1:10">
      <c r="A2880" s="7" t="s">
        <v>2133</v>
      </c>
      <c r="B2880" s="7" t="s">
        <v>4747</v>
      </c>
      <c r="C2880" s="8">
        <f>QS.CONTEXT.CREATE("market.2878",A2880,"USD","SOFR")</f>
        <v/>
      </c>
      <c r="D2880" s="8">
        <f>QS.CONTEXT.ADD.CURVE(C2880,"SOFR",$K$2:$K$7,$L$2:$L$7,,,"Actual360","LogLinear",TRUE)</f>
        <v/>
      </c>
      <c r="E2880" s="8">
        <f>QS.INSTRUMENT.SWAP("swap.2878",C2880,H2880,B2880,"USD","SOFR",I2880,J2880,0,"Actual360","Simple","Annual","Annual","Annual")</f>
        <v/>
      </c>
      <c r="F2880" s="8">
        <f>QS.TRADE.CREATE("trade.2878",C2880,E2880,A2880,"Receive")</f>
        <v/>
      </c>
      <c r="G2880" s="5"/>
      <c r="H2880" s="7" t="s">
        <v>2147</v>
      </c>
      <c r="I2880" s="9">
        <v>1287800</v>
      </c>
      <c r="J2880" s="10">
        <v>0.0378</v>
      </c>
    </row>
    <row r="2881" spans="1:10">
      <c r="A2881" s="7" t="s">
        <v>2135</v>
      </c>
      <c r="B2881" s="7" t="s">
        <v>4748</v>
      </c>
      <c r="C2881" s="8">
        <f>QS.CONTEXT.CREATE("market.2879",A2881,"USD","SOFR")</f>
        <v/>
      </c>
      <c r="D2881" s="8">
        <f>QS.CONTEXT.ADD.CURVE(C2881,"SOFR",$K$2:$K$7,$L$2:$L$7,,,"Actual360","LogLinear",TRUE)</f>
        <v/>
      </c>
      <c r="E2881" s="8">
        <f>QS.INSTRUMENT.SWAP("swap.2879",C2881,H2881,B2881,"USD","SOFR",I2881,J2881,0,"Actual360","Simple","Annual","Annual","Annual")</f>
        <v/>
      </c>
      <c r="F2881" s="8">
        <f>QS.TRADE.CREATE("trade.2879",C2881,E2881,A2881,"Receive")</f>
        <v/>
      </c>
      <c r="G2881" s="5"/>
      <c r="H2881" s="7" t="s">
        <v>2149</v>
      </c>
      <c r="I2881" s="9">
        <v>1287900</v>
      </c>
      <c r="J2881" s="10">
        <v>0.0379</v>
      </c>
    </row>
    <row r="2882" spans="1:10">
      <c r="A2882" s="7" t="s">
        <v>2137</v>
      </c>
      <c r="B2882" s="7" t="s">
        <v>4749</v>
      </c>
      <c r="C2882" s="8">
        <f>QS.CONTEXT.CREATE("market.2880",A2882,"USD","SOFR")</f>
        <v/>
      </c>
      <c r="D2882" s="8">
        <f>QS.CONTEXT.ADD.CURVE(C2882,"SOFR",$K$2:$K$7,$L$2:$L$7,,,"Actual360","LogLinear",TRUE)</f>
        <v/>
      </c>
      <c r="E2882" s="8">
        <f>QS.INSTRUMENT.SWAP("swap.2880",C2882,H2882,B2882,"USD","SOFR",I2882,J2882,0,"Actual360","Simple","Annual","Annual","Annual")</f>
        <v/>
      </c>
      <c r="F2882" s="8">
        <f>QS.TRADE.CREATE("trade.2880",C2882,E2882,A2882,"Receive")</f>
        <v/>
      </c>
      <c r="G2882" s="5"/>
      <c r="H2882" s="7" t="s">
        <v>2151</v>
      </c>
      <c r="I2882" s="9">
        <v>1288000</v>
      </c>
      <c r="J2882" s="10">
        <v>0.03800000000000001</v>
      </c>
    </row>
    <row r="2883" spans="1:10">
      <c r="A2883" s="7" t="s">
        <v>2139</v>
      </c>
      <c r="B2883" s="7" t="s">
        <v>4750</v>
      </c>
      <c r="C2883" s="8">
        <f>QS.CONTEXT.CREATE("market.2881",A2883,"USD","SOFR")</f>
        <v/>
      </c>
      <c r="D2883" s="8">
        <f>QS.CONTEXT.ADD.CURVE(C2883,"SOFR",$K$2:$K$7,$L$2:$L$7,,,"Actual360","LogLinear",TRUE)</f>
        <v/>
      </c>
      <c r="E2883" s="8">
        <f>QS.INSTRUMENT.SWAP("swap.2881",C2883,H2883,B2883,"USD","SOFR",I2883,J2883,0,"Actual360","Simple","Annual","Annual","Annual")</f>
        <v/>
      </c>
      <c r="F2883" s="8">
        <f>QS.TRADE.CREATE("trade.2881",C2883,E2883,A2883,"Receive")</f>
        <v/>
      </c>
      <c r="G2883" s="5"/>
      <c r="H2883" s="7" t="s">
        <v>2153</v>
      </c>
      <c r="I2883" s="9">
        <v>1288100</v>
      </c>
      <c r="J2883" s="10">
        <v>0.0381</v>
      </c>
    </row>
    <row r="2884" spans="1:10">
      <c r="A2884" s="7" t="s">
        <v>2141</v>
      </c>
      <c r="B2884" s="7" t="s">
        <v>4751</v>
      </c>
      <c r="C2884" s="8">
        <f>QS.CONTEXT.CREATE("market.2882",A2884,"USD","SOFR")</f>
        <v/>
      </c>
      <c r="D2884" s="8">
        <f>QS.CONTEXT.ADD.CURVE(C2884,"SOFR",$K$2:$K$7,$L$2:$L$7,,,"Actual360","LogLinear",TRUE)</f>
        <v/>
      </c>
      <c r="E2884" s="8">
        <f>QS.INSTRUMENT.SWAP("swap.2882",C2884,H2884,B2884,"USD","SOFR",I2884,J2884,0,"Actual360","Simple","Annual","Annual","Annual")</f>
        <v/>
      </c>
      <c r="F2884" s="8">
        <f>QS.TRADE.CREATE("trade.2882",C2884,E2884,A2884,"Receive")</f>
        <v/>
      </c>
      <c r="G2884" s="5"/>
      <c r="H2884" s="7" t="s">
        <v>2155</v>
      </c>
      <c r="I2884" s="9">
        <v>1288200</v>
      </c>
      <c r="J2884" s="10">
        <v>0.0382</v>
      </c>
    </row>
    <row r="2885" spans="1:10">
      <c r="A2885" s="7" t="s">
        <v>2143</v>
      </c>
      <c r="B2885" s="7" t="s">
        <v>4752</v>
      </c>
      <c r="C2885" s="8">
        <f>QS.CONTEXT.CREATE("market.2883",A2885,"USD","SOFR")</f>
        <v/>
      </c>
      <c r="D2885" s="8">
        <f>QS.CONTEXT.ADD.CURVE(C2885,"SOFR",$K$2:$K$7,$L$2:$L$7,,,"Actual360","LogLinear",TRUE)</f>
        <v/>
      </c>
      <c r="E2885" s="8">
        <f>QS.INSTRUMENT.SWAP("swap.2883",C2885,H2885,B2885,"USD","SOFR",I2885,J2885,0,"Actual360","Simple","Annual","Annual","Annual")</f>
        <v/>
      </c>
      <c r="F2885" s="8">
        <f>QS.TRADE.CREATE("trade.2883",C2885,E2885,A2885,"Receive")</f>
        <v/>
      </c>
      <c r="G2885" s="5"/>
      <c r="H2885" s="7" t="s">
        <v>2157</v>
      </c>
      <c r="I2885" s="9">
        <v>1288300</v>
      </c>
      <c r="J2885" s="10">
        <v>0.0383</v>
      </c>
    </row>
    <row r="2886" spans="1:10">
      <c r="A2886" s="7" t="s">
        <v>2145</v>
      </c>
      <c r="B2886" s="7" t="s">
        <v>4753</v>
      </c>
      <c r="C2886" s="8">
        <f>QS.CONTEXT.CREATE("market.2884",A2886,"USD","SOFR")</f>
        <v/>
      </c>
      <c r="D2886" s="8">
        <f>QS.CONTEXT.ADD.CURVE(C2886,"SOFR",$K$2:$K$7,$L$2:$L$7,,,"Actual360","LogLinear",TRUE)</f>
        <v/>
      </c>
      <c r="E2886" s="8">
        <f>QS.INSTRUMENT.SWAP("swap.2884",C2886,H2886,B2886,"USD","SOFR",I2886,J2886,0,"Actual360","Simple","Annual","Annual","Annual")</f>
        <v/>
      </c>
      <c r="F2886" s="8">
        <f>QS.TRADE.CREATE("trade.2884",C2886,E2886,A2886,"Receive")</f>
        <v/>
      </c>
      <c r="G2886" s="5"/>
      <c r="H2886" s="7" t="s">
        <v>2159</v>
      </c>
      <c r="I2886" s="9">
        <v>1288400</v>
      </c>
      <c r="J2886" s="10">
        <v>0.0384</v>
      </c>
    </row>
    <row r="2887" spans="1:10">
      <c r="A2887" s="7" t="s">
        <v>2147</v>
      </c>
      <c r="B2887" s="7" t="s">
        <v>4754</v>
      </c>
      <c r="C2887" s="8">
        <f>QS.CONTEXT.CREATE("market.2885",A2887,"USD","SOFR")</f>
        <v/>
      </c>
      <c r="D2887" s="8">
        <f>QS.CONTEXT.ADD.CURVE(C2887,"SOFR",$K$2:$K$7,$L$2:$L$7,,,"Actual360","LogLinear",TRUE)</f>
        <v/>
      </c>
      <c r="E2887" s="8">
        <f>QS.INSTRUMENT.SWAP("swap.2885",C2887,H2887,B2887,"USD","SOFR",I2887,J2887,0,"Actual360","Simple","Annual","Annual","Annual")</f>
        <v/>
      </c>
      <c r="F2887" s="8">
        <f>QS.TRADE.CREATE("trade.2885",C2887,E2887,A2887,"Receive")</f>
        <v/>
      </c>
      <c r="G2887" s="5"/>
      <c r="H2887" s="7" t="s">
        <v>2161</v>
      </c>
      <c r="I2887" s="9">
        <v>1288500</v>
      </c>
      <c r="J2887" s="10">
        <v>0.03850000000000001</v>
      </c>
    </row>
    <row r="2888" spans="1:10">
      <c r="A2888" s="7" t="s">
        <v>2149</v>
      </c>
      <c r="B2888" s="7" t="s">
        <v>4755</v>
      </c>
      <c r="C2888" s="8">
        <f>QS.CONTEXT.CREATE("market.2886",A2888,"USD","SOFR")</f>
        <v/>
      </c>
      <c r="D2888" s="8">
        <f>QS.CONTEXT.ADD.CURVE(C2888,"SOFR",$K$2:$K$7,$L$2:$L$7,,,"Actual360","LogLinear",TRUE)</f>
        <v/>
      </c>
      <c r="E2888" s="8">
        <f>QS.INSTRUMENT.SWAP("swap.2886",C2888,H2888,B2888,"USD","SOFR",I2888,J2888,0,"Actual360","Simple","Annual","Annual","Annual")</f>
        <v/>
      </c>
      <c r="F2888" s="8">
        <f>QS.TRADE.CREATE("trade.2886",C2888,E2888,A2888,"Receive")</f>
        <v/>
      </c>
      <c r="G2888" s="5"/>
      <c r="H2888" s="7" t="s">
        <v>2163</v>
      </c>
      <c r="I2888" s="9">
        <v>1288600</v>
      </c>
      <c r="J2888" s="10">
        <v>0.0386</v>
      </c>
    </row>
    <row r="2889" spans="1:10">
      <c r="A2889" s="7" t="s">
        <v>2151</v>
      </c>
      <c r="B2889" s="7" t="s">
        <v>4756</v>
      </c>
      <c r="C2889" s="8">
        <f>QS.CONTEXT.CREATE("market.2887",A2889,"USD","SOFR")</f>
        <v/>
      </c>
      <c r="D2889" s="8">
        <f>QS.CONTEXT.ADD.CURVE(C2889,"SOFR",$K$2:$K$7,$L$2:$L$7,,,"Actual360","LogLinear",TRUE)</f>
        <v/>
      </c>
      <c r="E2889" s="8">
        <f>QS.INSTRUMENT.SWAP("swap.2887",C2889,H2889,B2889,"USD","SOFR",I2889,J2889,0,"Actual360","Simple","Annual","Annual","Annual")</f>
        <v/>
      </c>
      <c r="F2889" s="8">
        <f>QS.TRADE.CREATE("trade.2887",C2889,E2889,A2889,"Receive")</f>
        <v/>
      </c>
      <c r="G2889" s="5"/>
      <c r="H2889" s="7" t="s">
        <v>2165</v>
      </c>
      <c r="I2889" s="9">
        <v>1288700</v>
      </c>
      <c r="J2889" s="10">
        <v>0.03870000000000001</v>
      </c>
    </row>
    <row r="2890" spans="1:10">
      <c r="A2890" s="7" t="s">
        <v>2153</v>
      </c>
      <c r="B2890" s="7" t="s">
        <v>4757</v>
      </c>
      <c r="C2890" s="8">
        <f>QS.CONTEXT.CREATE("market.2888",A2890,"USD","SOFR")</f>
        <v/>
      </c>
      <c r="D2890" s="8">
        <f>QS.CONTEXT.ADD.CURVE(C2890,"SOFR",$K$2:$K$7,$L$2:$L$7,,,"Actual360","LogLinear",TRUE)</f>
        <v/>
      </c>
      <c r="E2890" s="8">
        <f>QS.INSTRUMENT.SWAP("swap.2888",C2890,H2890,B2890,"USD","SOFR",I2890,J2890,0,"Actual360","Simple","Annual","Annual","Annual")</f>
        <v/>
      </c>
      <c r="F2890" s="8">
        <f>QS.TRADE.CREATE("trade.2888",C2890,E2890,A2890,"Receive")</f>
        <v/>
      </c>
      <c r="G2890" s="5"/>
      <c r="H2890" s="7" t="s">
        <v>2167</v>
      </c>
      <c r="I2890" s="9">
        <v>1288800</v>
      </c>
      <c r="J2890" s="10">
        <v>0.0388</v>
      </c>
    </row>
    <row r="2891" spans="1:10">
      <c r="A2891" s="7" t="s">
        <v>2155</v>
      </c>
      <c r="B2891" s="7" t="s">
        <v>4758</v>
      </c>
      <c r="C2891" s="8">
        <f>QS.CONTEXT.CREATE("market.2889",A2891,"USD","SOFR")</f>
        <v/>
      </c>
      <c r="D2891" s="8">
        <f>QS.CONTEXT.ADD.CURVE(C2891,"SOFR",$K$2:$K$7,$L$2:$L$7,,,"Actual360","LogLinear",TRUE)</f>
        <v/>
      </c>
      <c r="E2891" s="8">
        <f>QS.INSTRUMENT.SWAP("swap.2889",C2891,H2891,B2891,"USD","SOFR",I2891,J2891,0,"Actual360","Simple","Annual","Annual","Annual")</f>
        <v/>
      </c>
      <c r="F2891" s="8">
        <f>QS.TRADE.CREATE("trade.2889",C2891,E2891,A2891,"Receive")</f>
        <v/>
      </c>
      <c r="G2891" s="5"/>
      <c r="H2891" s="7" t="s">
        <v>2169</v>
      </c>
      <c r="I2891" s="9">
        <v>1288900</v>
      </c>
      <c r="J2891" s="10">
        <v>0.0389</v>
      </c>
    </row>
    <row r="2892" spans="1:10">
      <c r="A2892" s="7" t="s">
        <v>2157</v>
      </c>
      <c r="B2892" s="7" t="s">
        <v>4759</v>
      </c>
      <c r="C2892" s="8">
        <f>QS.CONTEXT.CREATE("market.2890",A2892,"USD","SOFR")</f>
        <v/>
      </c>
      <c r="D2892" s="8">
        <f>QS.CONTEXT.ADD.CURVE(C2892,"SOFR",$K$2:$K$7,$L$2:$L$7,,,"Actual360","LogLinear",TRUE)</f>
        <v/>
      </c>
      <c r="E2892" s="8">
        <f>QS.INSTRUMENT.SWAP("swap.2890",C2892,H2892,B2892,"USD","SOFR",I2892,J2892,0,"Actual360","Simple","Annual","Annual","Annual")</f>
        <v/>
      </c>
      <c r="F2892" s="8">
        <f>QS.TRADE.CREATE("trade.2890",C2892,E2892,A2892,"Receive")</f>
        <v/>
      </c>
      <c r="G2892" s="5"/>
      <c r="H2892" s="7" t="s">
        <v>2171</v>
      </c>
      <c r="I2892" s="9">
        <v>1289000</v>
      </c>
      <c r="J2892" s="10">
        <v>0.03900000000000001</v>
      </c>
    </row>
    <row r="2893" spans="1:10">
      <c r="A2893" s="7" t="s">
        <v>2159</v>
      </c>
      <c r="B2893" s="7" t="s">
        <v>4760</v>
      </c>
      <c r="C2893" s="8">
        <f>QS.CONTEXT.CREATE("market.2891",A2893,"USD","SOFR")</f>
        <v/>
      </c>
      <c r="D2893" s="8">
        <f>QS.CONTEXT.ADD.CURVE(C2893,"SOFR",$K$2:$K$7,$L$2:$L$7,,,"Actual360","LogLinear",TRUE)</f>
        <v/>
      </c>
      <c r="E2893" s="8">
        <f>QS.INSTRUMENT.SWAP("swap.2891",C2893,H2893,B2893,"USD","SOFR",I2893,J2893,0,"Actual360","Simple","Annual","Annual","Annual")</f>
        <v/>
      </c>
      <c r="F2893" s="8">
        <f>QS.TRADE.CREATE("trade.2891",C2893,E2893,A2893,"Receive")</f>
        <v/>
      </c>
      <c r="G2893" s="5"/>
      <c r="H2893" s="7" t="s">
        <v>2173</v>
      </c>
      <c r="I2893" s="9">
        <v>1289100</v>
      </c>
      <c r="J2893" s="10">
        <v>0.0391</v>
      </c>
    </row>
    <row r="2894" spans="1:10">
      <c r="A2894" s="7" t="s">
        <v>2161</v>
      </c>
      <c r="B2894" s="7" t="s">
        <v>4761</v>
      </c>
      <c r="C2894" s="8">
        <f>QS.CONTEXT.CREATE("market.2892",A2894,"USD","SOFR")</f>
        <v/>
      </c>
      <c r="D2894" s="8">
        <f>QS.CONTEXT.ADD.CURVE(C2894,"SOFR",$K$2:$K$7,$L$2:$L$7,,,"Actual360","LogLinear",TRUE)</f>
        <v/>
      </c>
      <c r="E2894" s="8">
        <f>QS.INSTRUMENT.SWAP("swap.2892",C2894,H2894,B2894,"USD","SOFR",I2894,J2894,0,"Actual360","Simple","Annual","Annual","Annual")</f>
        <v/>
      </c>
      <c r="F2894" s="8">
        <f>QS.TRADE.CREATE("trade.2892",C2894,E2894,A2894,"Receive")</f>
        <v/>
      </c>
      <c r="G2894" s="5"/>
      <c r="H2894" s="7" t="s">
        <v>2175</v>
      </c>
      <c r="I2894" s="9">
        <v>1289200</v>
      </c>
      <c r="J2894" s="10">
        <v>0.03920000000000001</v>
      </c>
    </row>
    <row r="2895" spans="1:10">
      <c r="A2895" s="7" t="s">
        <v>2163</v>
      </c>
      <c r="B2895" s="7" t="s">
        <v>4762</v>
      </c>
      <c r="C2895" s="8">
        <f>QS.CONTEXT.CREATE("market.2893",A2895,"USD","SOFR")</f>
        <v/>
      </c>
      <c r="D2895" s="8">
        <f>QS.CONTEXT.ADD.CURVE(C2895,"SOFR",$K$2:$K$7,$L$2:$L$7,,,"Actual360","LogLinear",TRUE)</f>
        <v/>
      </c>
      <c r="E2895" s="8">
        <f>QS.INSTRUMENT.SWAP("swap.2893",C2895,H2895,B2895,"USD","SOFR",I2895,J2895,0,"Actual360","Simple","Annual","Annual","Annual")</f>
        <v/>
      </c>
      <c r="F2895" s="8">
        <f>QS.TRADE.CREATE("trade.2893",C2895,E2895,A2895,"Receive")</f>
        <v/>
      </c>
      <c r="G2895" s="5"/>
      <c r="H2895" s="7" t="s">
        <v>2177</v>
      </c>
      <c r="I2895" s="9">
        <v>1289300</v>
      </c>
      <c r="J2895" s="10">
        <v>0.0393</v>
      </c>
    </row>
    <row r="2896" spans="1:10">
      <c r="A2896" s="7" t="s">
        <v>2165</v>
      </c>
      <c r="B2896" s="7" t="s">
        <v>4763</v>
      </c>
      <c r="C2896" s="8">
        <f>QS.CONTEXT.CREATE("market.2894",A2896,"USD","SOFR")</f>
        <v/>
      </c>
      <c r="D2896" s="8">
        <f>QS.CONTEXT.ADD.CURVE(C2896,"SOFR",$K$2:$K$7,$L$2:$L$7,,,"Actual360","LogLinear",TRUE)</f>
        <v/>
      </c>
      <c r="E2896" s="8">
        <f>QS.INSTRUMENT.SWAP("swap.2894",C2896,H2896,B2896,"USD","SOFR",I2896,J2896,0,"Actual360","Simple","Annual","Annual","Annual")</f>
        <v/>
      </c>
      <c r="F2896" s="8">
        <f>QS.TRADE.CREATE("trade.2894",C2896,E2896,A2896,"Receive")</f>
        <v/>
      </c>
      <c r="G2896" s="5"/>
      <c r="H2896" s="7" t="s">
        <v>2179</v>
      </c>
      <c r="I2896" s="9">
        <v>1289400</v>
      </c>
      <c r="J2896" s="10">
        <v>0.0394</v>
      </c>
    </row>
    <row r="2897" spans="1:10">
      <c r="A2897" s="7" t="s">
        <v>2167</v>
      </c>
      <c r="B2897" s="7" t="s">
        <v>4764</v>
      </c>
      <c r="C2897" s="8">
        <f>QS.CONTEXT.CREATE("market.2895",A2897,"USD","SOFR")</f>
        <v/>
      </c>
      <c r="D2897" s="8">
        <f>QS.CONTEXT.ADD.CURVE(C2897,"SOFR",$K$2:$K$7,$L$2:$L$7,,,"Actual360","LogLinear",TRUE)</f>
        <v/>
      </c>
      <c r="E2897" s="8">
        <f>QS.INSTRUMENT.SWAP("swap.2895",C2897,H2897,B2897,"USD","SOFR",I2897,J2897,0,"Actual360","Simple","Annual","Annual","Annual")</f>
        <v/>
      </c>
      <c r="F2897" s="8">
        <f>QS.TRADE.CREATE("trade.2895",C2897,E2897,A2897,"Receive")</f>
        <v/>
      </c>
      <c r="G2897" s="5"/>
      <c r="H2897" s="7" t="s">
        <v>2181</v>
      </c>
      <c r="I2897" s="9">
        <v>1289500</v>
      </c>
      <c r="J2897" s="10">
        <v>0.03950000000000001</v>
      </c>
    </row>
    <row r="2898" spans="1:10">
      <c r="A2898" s="7" t="s">
        <v>2169</v>
      </c>
      <c r="B2898" s="7" t="s">
        <v>4765</v>
      </c>
      <c r="C2898" s="8">
        <f>QS.CONTEXT.CREATE("market.2896",A2898,"USD","SOFR")</f>
        <v/>
      </c>
      <c r="D2898" s="8">
        <f>QS.CONTEXT.ADD.CURVE(C2898,"SOFR",$K$2:$K$7,$L$2:$L$7,,,"Actual360","LogLinear",TRUE)</f>
        <v/>
      </c>
      <c r="E2898" s="8">
        <f>QS.INSTRUMENT.SWAP("swap.2896",C2898,H2898,B2898,"USD","SOFR",I2898,J2898,0,"Actual360","Simple","Annual","Annual","Annual")</f>
        <v/>
      </c>
      <c r="F2898" s="8">
        <f>QS.TRADE.CREATE("trade.2896",C2898,E2898,A2898,"Receive")</f>
        <v/>
      </c>
      <c r="G2898" s="5"/>
      <c r="H2898" s="7" t="s">
        <v>2183</v>
      </c>
      <c r="I2898" s="9">
        <v>1289600</v>
      </c>
      <c r="J2898" s="10">
        <v>0.0396</v>
      </c>
    </row>
    <row r="2899" spans="1:10">
      <c r="A2899" s="7" t="s">
        <v>2171</v>
      </c>
      <c r="B2899" s="7" t="s">
        <v>4766</v>
      </c>
      <c r="C2899" s="8">
        <f>QS.CONTEXT.CREATE("market.2897",A2899,"USD","SOFR")</f>
        <v/>
      </c>
      <c r="D2899" s="8">
        <f>QS.CONTEXT.ADD.CURVE(C2899,"SOFR",$K$2:$K$7,$L$2:$L$7,,,"Actual360","LogLinear",TRUE)</f>
        <v/>
      </c>
      <c r="E2899" s="8">
        <f>QS.INSTRUMENT.SWAP("swap.2897",C2899,H2899,B2899,"USD","SOFR",I2899,J2899,0,"Actual360","Simple","Annual","Annual","Annual")</f>
        <v/>
      </c>
      <c r="F2899" s="8">
        <f>QS.TRADE.CREATE("trade.2897",C2899,E2899,A2899,"Receive")</f>
        <v/>
      </c>
      <c r="G2899" s="5"/>
      <c r="H2899" s="7" t="s">
        <v>2185</v>
      </c>
      <c r="I2899" s="9">
        <v>1289700</v>
      </c>
      <c r="J2899" s="10">
        <v>0.03970000000000001</v>
      </c>
    </row>
    <row r="2900" spans="1:10">
      <c r="A2900" s="7" t="s">
        <v>2173</v>
      </c>
      <c r="B2900" s="7" t="s">
        <v>4767</v>
      </c>
      <c r="C2900" s="8">
        <f>QS.CONTEXT.CREATE("market.2898",A2900,"USD","SOFR")</f>
        <v/>
      </c>
      <c r="D2900" s="8">
        <f>QS.CONTEXT.ADD.CURVE(C2900,"SOFR",$K$2:$K$7,$L$2:$L$7,,,"Actual360","LogLinear",TRUE)</f>
        <v/>
      </c>
      <c r="E2900" s="8">
        <f>QS.INSTRUMENT.SWAP("swap.2898",C2900,H2900,B2900,"USD","SOFR",I2900,J2900,0,"Actual360","Simple","Annual","Annual","Annual")</f>
        <v/>
      </c>
      <c r="F2900" s="8">
        <f>QS.TRADE.CREATE("trade.2898",C2900,E2900,A2900,"Receive")</f>
        <v/>
      </c>
      <c r="G2900" s="5"/>
      <c r="H2900" s="7" t="s">
        <v>2187</v>
      </c>
      <c r="I2900" s="9">
        <v>1289800</v>
      </c>
      <c r="J2900" s="10">
        <v>0.0398</v>
      </c>
    </row>
    <row r="2901" spans="1:10">
      <c r="A2901" s="7" t="s">
        <v>2175</v>
      </c>
      <c r="B2901" s="7" t="s">
        <v>4768</v>
      </c>
      <c r="C2901" s="8">
        <f>QS.CONTEXT.CREATE("market.2899",A2901,"USD","SOFR")</f>
        <v/>
      </c>
      <c r="D2901" s="8">
        <f>QS.CONTEXT.ADD.CURVE(C2901,"SOFR",$K$2:$K$7,$L$2:$L$7,,,"Actual360","LogLinear",TRUE)</f>
        <v/>
      </c>
      <c r="E2901" s="8">
        <f>QS.INSTRUMENT.SWAP("swap.2899",C2901,H2901,B2901,"USD","SOFR",I2901,J2901,0,"Actual360","Simple","Annual","Annual","Annual")</f>
        <v/>
      </c>
      <c r="F2901" s="8">
        <f>QS.TRADE.CREATE("trade.2899",C2901,E2901,A2901,"Receive")</f>
        <v/>
      </c>
      <c r="G2901" s="5"/>
      <c r="H2901" s="7" t="s">
        <v>2189</v>
      </c>
      <c r="I2901" s="9">
        <v>1289900</v>
      </c>
      <c r="J2901" s="10">
        <v>0.0399</v>
      </c>
    </row>
    <row r="2902" spans="1:10">
      <c r="A2902" s="7" t="s">
        <v>2177</v>
      </c>
      <c r="B2902" s="7" t="s">
        <v>4769</v>
      </c>
      <c r="C2902" s="8">
        <f>QS.CONTEXT.CREATE("market.2900",A2902,"USD","SOFR")</f>
        <v/>
      </c>
      <c r="D2902" s="8">
        <f>QS.CONTEXT.ADD.CURVE(C2902,"SOFR",$K$2:$K$7,$L$2:$L$7,,,"Actual360","LogLinear",TRUE)</f>
        <v/>
      </c>
      <c r="E2902" s="8">
        <f>QS.INSTRUMENT.SWAP("swap.2900",C2902,H2902,B2902,"USD","SOFR",I2902,J2902,0,"Actual360","Simple","Annual","Annual","Annual")</f>
        <v/>
      </c>
      <c r="F2902" s="8">
        <f>QS.TRADE.CREATE("trade.2900",C2902,E2902,A2902,"Receive")</f>
        <v/>
      </c>
      <c r="G2902" s="5"/>
      <c r="H2902" s="7" t="s">
        <v>2191</v>
      </c>
      <c r="I2902" s="9">
        <v>1290000</v>
      </c>
      <c r="J2902" s="10">
        <v>0.035</v>
      </c>
    </row>
    <row r="2903" spans="1:10">
      <c r="A2903" s="7" t="s">
        <v>2179</v>
      </c>
      <c r="B2903" s="7" t="s">
        <v>4770</v>
      </c>
      <c r="C2903" s="8">
        <f>QS.CONTEXT.CREATE("market.2901",A2903,"USD","SOFR")</f>
        <v/>
      </c>
      <c r="D2903" s="8">
        <f>QS.CONTEXT.ADD.CURVE(C2903,"SOFR",$K$2:$K$7,$L$2:$L$7,,,"Actual360","LogLinear",TRUE)</f>
        <v/>
      </c>
      <c r="E2903" s="8">
        <f>QS.INSTRUMENT.SWAP("swap.2901",C2903,H2903,B2903,"USD","SOFR",I2903,J2903,0,"Actual360","Simple","Annual","Annual","Annual")</f>
        <v/>
      </c>
      <c r="F2903" s="8">
        <f>QS.TRADE.CREATE("trade.2901",C2903,E2903,A2903,"Receive")</f>
        <v/>
      </c>
      <c r="G2903" s="5"/>
      <c r="H2903" s="7" t="s">
        <v>2193</v>
      </c>
      <c r="I2903" s="9">
        <v>1290100</v>
      </c>
      <c r="J2903" s="10">
        <v>0.03510000000000001</v>
      </c>
    </row>
    <row r="2904" spans="1:10">
      <c r="A2904" s="7" t="s">
        <v>2181</v>
      </c>
      <c r="B2904" s="7" t="s">
        <v>4771</v>
      </c>
      <c r="C2904" s="8">
        <f>QS.CONTEXT.CREATE("market.2902",A2904,"USD","SOFR")</f>
        <v/>
      </c>
      <c r="D2904" s="8">
        <f>QS.CONTEXT.ADD.CURVE(C2904,"SOFR",$K$2:$K$7,$L$2:$L$7,,,"Actual360","LogLinear",TRUE)</f>
        <v/>
      </c>
      <c r="E2904" s="8">
        <f>QS.INSTRUMENT.SWAP("swap.2902",C2904,H2904,B2904,"USD","SOFR",I2904,J2904,0,"Actual360","Simple","Annual","Annual","Annual")</f>
        <v/>
      </c>
      <c r="F2904" s="8">
        <f>QS.TRADE.CREATE("trade.2902",C2904,E2904,A2904,"Receive")</f>
        <v/>
      </c>
      <c r="G2904" s="5"/>
      <c r="H2904" s="7" t="s">
        <v>2195</v>
      </c>
      <c r="I2904" s="9">
        <v>1290200</v>
      </c>
      <c r="J2904" s="10">
        <v>0.0352</v>
      </c>
    </row>
    <row r="2905" spans="1:10">
      <c r="A2905" s="7" t="s">
        <v>2183</v>
      </c>
      <c r="B2905" s="7" t="s">
        <v>4772</v>
      </c>
      <c r="C2905" s="8">
        <f>QS.CONTEXT.CREATE("market.2903",A2905,"USD","SOFR")</f>
        <v/>
      </c>
      <c r="D2905" s="8">
        <f>QS.CONTEXT.ADD.CURVE(C2905,"SOFR",$K$2:$K$7,$L$2:$L$7,,,"Actual360","LogLinear",TRUE)</f>
        <v/>
      </c>
      <c r="E2905" s="8">
        <f>QS.INSTRUMENT.SWAP("swap.2903",C2905,H2905,B2905,"USD","SOFR",I2905,J2905,0,"Actual360","Simple","Annual","Annual","Annual")</f>
        <v/>
      </c>
      <c r="F2905" s="8">
        <f>QS.TRADE.CREATE("trade.2903",C2905,E2905,A2905,"Receive")</f>
        <v/>
      </c>
      <c r="G2905" s="5"/>
      <c r="H2905" s="7" t="s">
        <v>2197</v>
      </c>
      <c r="I2905" s="9">
        <v>1290300</v>
      </c>
      <c r="J2905" s="10">
        <v>0.0353</v>
      </c>
    </row>
    <row r="2906" spans="1:10">
      <c r="A2906" s="7" t="s">
        <v>2185</v>
      </c>
      <c r="B2906" s="7" t="s">
        <v>4773</v>
      </c>
      <c r="C2906" s="8">
        <f>QS.CONTEXT.CREATE("market.2904",A2906,"USD","SOFR")</f>
        <v/>
      </c>
      <c r="D2906" s="8">
        <f>QS.CONTEXT.ADD.CURVE(C2906,"SOFR",$K$2:$K$7,$L$2:$L$7,,,"Actual360","LogLinear",TRUE)</f>
        <v/>
      </c>
      <c r="E2906" s="8">
        <f>QS.INSTRUMENT.SWAP("swap.2904",C2906,H2906,B2906,"USD","SOFR",I2906,J2906,0,"Actual360","Simple","Annual","Annual","Annual")</f>
        <v/>
      </c>
      <c r="F2906" s="8">
        <f>QS.TRADE.CREATE("trade.2904",C2906,E2906,A2906,"Receive")</f>
        <v/>
      </c>
      <c r="G2906" s="5"/>
      <c r="H2906" s="7" t="s">
        <v>2199</v>
      </c>
      <c r="I2906" s="9">
        <v>1290400</v>
      </c>
      <c r="J2906" s="10">
        <v>0.0354</v>
      </c>
    </row>
    <row r="2907" spans="1:10">
      <c r="A2907" s="7" t="s">
        <v>2187</v>
      </c>
      <c r="B2907" s="7" t="s">
        <v>4774</v>
      </c>
      <c r="C2907" s="8">
        <f>QS.CONTEXT.CREATE("market.2905",A2907,"USD","SOFR")</f>
        <v/>
      </c>
      <c r="D2907" s="8">
        <f>QS.CONTEXT.ADD.CURVE(C2907,"SOFR",$K$2:$K$7,$L$2:$L$7,,,"Actual360","LogLinear",TRUE)</f>
        <v/>
      </c>
      <c r="E2907" s="8">
        <f>QS.INSTRUMENT.SWAP("swap.2905",C2907,H2907,B2907,"USD","SOFR",I2907,J2907,0,"Actual360","Simple","Annual","Annual","Annual")</f>
        <v/>
      </c>
      <c r="F2907" s="8">
        <f>QS.TRADE.CREATE("trade.2905",C2907,E2907,A2907,"Receive")</f>
        <v/>
      </c>
      <c r="G2907" s="5"/>
      <c r="H2907" s="7" t="s">
        <v>2201</v>
      </c>
      <c r="I2907" s="9">
        <v>1290500</v>
      </c>
      <c r="J2907" s="10">
        <v>0.0355</v>
      </c>
    </row>
    <row r="2908" spans="1:10">
      <c r="A2908" s="7" t="s">
        <v>2189</v>
      </c>
      <c r="B2908" s="7" t="s">
        <v>4775</v>
      </c>
      <c r="C2908" s="8">
        <f>QS.CONTEXT.CREATE("market.2906",A2908,"USD","SOFR")</f>
        <v/>
      </c>
      <c r="D2908" s="8">
        <f>QS.CONTEXT.ADD.CURVE(C2908,"SOFR",$K$2:$K$7,$L$2:$L$7,,,"Actual360","LogLinear",TRUE)</f>
        <v/>
      </c>
      <c r="E2908" s="8">
        <f>QS.INSTRUMENT.SWAP("swap.2906",C2908,H2908,B2908,"USD","SOFR",I2908,J2908,0,"Actual360","Simple","Annual","Annual","Annual")</f>
        <v/>
      </c>
      <c r="F2908" s="8">
        <f>QS.TRADE.CREATE("trade.2906",C2908,E2908,A2908,"Receive")</f>
        <v/>
      </c>
      <c r="G2908" s="5"/>
      <c r="H2908" s="7" t="s">
        <v>2203</v>
      </c>
      <c r="I2908" s="9">
        <v>1290600</v>
      </c>
      <c r="J2908" s="10">
        <v>0.03560000000000001</v>
      </c>
    </row>
    <row r="2909" spans="1:10">
      <c r="A2909" s="7" t="s">
        <v>2191</v>
      </c>
      <c r="B2909" s="7" t="s">
        <v>4776</v>
      </c>
      <c r="C2909" s="8">
        <f>QS.CONTEXT.CREATE("market.2907",A2909,"USD","SOFR")</f>
        <v/>
      </c>
      <c r="D2909" s="8">
        <f>QS.CONTEXT.ADD.CURVE(C2909,"SOFR",$K$2:$K$7,$L$2:$L$7,,,"Actual360","LogLinear",TRUE)</f>
        <v/>
      </c>
      <c r="E2909" s="8">
        <f>QS.INSTRUMENT.SWAP("swap.2907",C2909,H2909,B2909,"USD","SOFR",I2909,J2909,0,"Actual360","Simple","Annual","Annual","Annual")</f>
        <v/>
      </c>
      <c r="F2909" s="8">
        <f>QS.TRADE.CREATE("trade.2907",C2909,E2909,A2909,"Receive")</f>
        <v/>
      </c>
      <c r="G2909" s="5"/>
      <c r="H2909" s="7" t="s">
        <v>2205</v>
      </c>
      <c r="I2909" s="9">
        <v>1290700</v>
      </c>
      <c r="J2909" s="10">
        <v>0.0357</v>
      </c>
    </row>
    <row r="2910" spans="1:10">
      <c r="A2910" s="7" t="s">
        <v>2193</v>
      </c>
      <c r="B2910" s="7" t="s">
        <v>4777</v>
      </c>
      <c r="C2910" s="8">
        <f>QS.CONTEXT.CREATE("market.2908",A2910,"USD","SOFR")</f>
        <v/>
      </c>
      <c r="D2910" s="8">
        <f>QS.CONTEXT.ADD.CURVE(C2910,"SOFR",$K$2:$K$7,$L$2:$L$7,,,"Actual360","LogLinear",TRUE)</f>
        <v/>
      </c>
      <c r="E2910" s="8">
        <f>QS.INSTRUMENT.SWAP("swap.2908",C2910,H2910,B2910,"USD","SOFR",I2910,J2910,0,"Actual360","Simple","Annual","Annual","Annual")</f>
        <v/>
      </c>
      <c r="F2910" s="8">
        <f>QS.TRADE.CREATE("trade.2908",C2910,E2910,A2910,"Receive")</f>
        <v/>
      </c>
      <c r="G2910" s="5"/>
      <c r="H2910" s="7" t="s">
        <v>2207</v>
      </c>
      <c r="I2910" s="9">
        <v>1290800</v>
      </c>
      <c r="J2910" s="10">
        <v>0.03580000000000001</v>
      </c>
    </row>
    <row r="2911" spans="1:10">
      <c r="A2911" s="7" t="s">
        <v>2195</v>
      </c>
      <c r="B2911" s="7" t="s">
        <v>4778</v>
      </c>
      <c r="C2911" s="8">
        <f>QS.CONTEXT.CREATE("market.2909",A2911,"USD","SOFR")</f>
        <v/>
      </c>
      <c r="D2911" s="8">
        <f>QS.CONTEXT.ADD.CURVE(C2911,"SOFR",$K$2:$K$7,$L$2:$L$7,,,"Actual360","LogLinear",TRUE)</f>
        <v/>
      </c>
      <c r="E2911" s="8">
        <f>QS.INSTRUMENT.SWAP("swap.2909",C2911,H2911,B2911,"USD","SOFR",I2911,J2911,0,"Actual360","Simple","Annual","Annual","Annual")</f>
        <v/>
      </c>
      <c r="F2911" s="8">
        <f>QS.TRADE.CREATE("trade.2909",C2911,E2911,A2911,"Receive")</f>
        <v/>
      </c>
      <c r="G2911" s="5"/>
      <c r="H2911" s="7" t="s">
        <v>2209</v>
      </c>
      <c r="I2911" s="9">
        <v>1290900</v>
      </c>
      <c r="J2911" s="10">
        <v>0.0359</v>
      </c>
    </row>
    <row r="2912" spans="1:10">
      <c r="A2912" s="7" t="s">
        <v>2197</v>
      </c>
      <c r="B2912" s="7" t="s">
        <v>4779</v>
      </c>
      <c r="C2912" s="8">
        <f>QS.CONTEXT.CREATE("market.2910",A2912,"USD","SOFR")</f>
        <v/>
      </c>
      <c r="D2912" s="8">
        <f>QS.CONTEXT.ADD.CURVE(C2912,"SOFR",$K$2:$K$7,$L$2:$L$7,,,"Actual360","LogLinear",TRUE)</f>
        <v/>
      </c>
      <c r="E2912" s="8">
        <f>QS.INSTRUMENT.SWAP("swap.2910",C2912,H2912,B2912,"USD","SOFR",I2912,J2912,0,"Actual360","Simple","Annual","Annual","Annual")</f>
        <v/>
      </c>
      <c r="F2912" s="8">
        <f>QS.TRADE.CREATE("trade.2910",C2912,E2912,A2912,"Receive")</f>
        <v/>
      </c>
      <c r="G2912" s="5"/>
      <c r="H2912" s="7" t="s">
        <v>2211</v>
      </c>
      <c r="I2912" s="9">
        <v>1291000</v>
      </c>
      <c r="J2912" s="10">
        <v>0.036</v>
      </c>
    </row>
    <row r="2913" spans="1:10">
      <c r="A2913" s="7" t="s">
        <v>2199</v>
      </c>
      <c r="B2913" s="7" t="s">
        <v>4780</v>
      </c>
      <c r="C2913" s="8">
        <f>QS.CONTEXT.CREATE("market.2911",A2913,"USD","SOFR")</f>
        <v/>
      </c>
      <c r="D2913" s="8">
        <f>QS.CONTEXT.ADD.CURVE(C2913,"SOFR",$K$2:$K$7,$L$2:$L$7,,,"Actual360","LogLinear",TRUE)</f>
        <v/>
      </c>
      <c r="E2913" s="8">
        <f>QS.INSTRUMENT.SWAP("swap.2911",C2913,H2913,B2913,"USD","SOFR",I2913,J2913,0,"Actual360","Simple","Annual","Annual","Annual")</f>
        <v/>
      </c>
      <c r="F2913" s="8">
        <f>QS.TRADE.CREATE("trade.2911",C2913,E2913,A2913,"Receive")</f>
        <v/>
      </c>
      <c r="G2913" s="5"/>
      <c r="H2913" s="7" t="s">
        <v>2213</v>
      </c>
      <c r="I2913" s="9">
        <v>1291100</v>
      </c>
      <c r="J2913" s="10">
        <v>0.0361</v>
      </c>
    </row>
    <row r="2914" spans="1:10">
      <c r="A2914" s="7" t="s">
        <v>2201</v>
      </c>
      <c r="B2914" s="7" t="s">
        <v>4781</v>
      </c>
      <c r="C2914" s="8">
        <f>QS.CONTEXT.CREATE("market.2912",A2914,"USD","SOFR")</f>
        <v/>
      </c>
      <c r="D2914" s="8">
        <f>QS.CONTEXT.ADD.CURVE(C2914,"SOFR",$K$2:$K$7,$L$2:$L$7,,,"Actual360","LogLinear",TRUE)</f>
        <v/>
      </c>
      <c r="E2914" s="8">
        <f>QS.INSTRUMENT.SWAP("swap.2912",C2914,H2914,B2914,"USD","SOFR",I2914,J2914,0,"Actual360","Simple","Annual","Annual","Annual")</f>
        <v/>
      </c>
      <c r="F2914" s="8">
        <f>QS.TRADE.CREATE("trade.2912",C2914,E2914,A2914,"Receive")</f>
        <v/>
      </c>
      <c r="G2914" s="5"/>
      <c r="H2914" s="7" t="s">
        <v>2215</v>
      </c>
      <c r="I2914" s="9">
        <v>1291200</v>
      </c>
      <c r="J2914" s="10">
        <v>0.0362</v>
      </c>
    </row>
    <row r="2915" spans="1:10">
      <c r="A2915" s="7" t="s">
        <v>2203</v>
      </c>
      <c r="B2915" s="7" t="s">
        <v>4782</v>
      </c>
      <c r="C2915" s="8">
        <f>QS.CONTEXT.CREATE("market.2913",A2915,"USD","SOFR")</f>
        <v/>
      </c>
      <c r="D2915" s="8">
        <f>QS.CONTEXT.ADD.CURVE(C2915,"SOFR",$K$2:$K$7,$L$2:$L$7,,,"Actual360","LogLinear",TRUE)</f>
        <v/>
      </c>
      <c r="E2915" s="8">
        <f>QS.INSTRUMENT.SWAP("swap.2913",C2915,H2915,B2915,"USD","SOFR",I2915,J2915,0,"Actual360","Simple","Annual","Annual","Annual")</f>
        <v/>
      </c>
      <c r="F2915" s="8">
        <f>QS.TRADE.CREATE("trade.2913",C2915,E2915,A2915,"Receive")</f>
        <v/>
      </c>
      <c r="G2915" s="5"/>
      <c r="H2915" s="7" t="s">
        <v>2217</v>
      </c>
      <c r="I2915" s="9">
        <v>1291300</v>
      </c>
      <c r="J2915" s="10">
        <v>0.03630000000000001</v>
      </c>
    </row>
    <row r="2916" spans="1:10">
      <c r="A2916" s="7" t="s">
        <v>2205</v>
      </c>
      <c r="B2916" s="7" t="s">
        <v>4783</v>
      </c>
      <c r="C2916" s="8">
        <f>QS.CONTEXT.CREATE("market.2914",A2916,"USD","SOFR")</f>
        <v/>
      </c>
      <c r="D2916" s="8">
        <f>QS.CONTEXT.ADD.CURVE(C2916,"SOFR",$K$2:$K$7,$L$2:$L$7,,,"Actual360","LogLinear",TRUE)</f>
        <v/>
      </c>
      <c r="E2916" s="8">
        <f>QS.INSTRUMENT.SWAP("swap.2914",C2916,H2916,B2916,"USD","SOFR",I2916,J2916,0,"Actual360","Simple","Annual","Annual","Annual")</f>
        <v/>
      </c>
      <c r="F2916" s="8">
        <f>QS.TRADE.CREATE("trade.2914",C2916,E2916,A2916,"Receive")</f>
        <v/>
      </c>
      <c r="G2916" s="5"/>
      <c r="H2916" s="7" t="s">
        <v>2219</v>
      </c>
      <c r="I2916" s="9">
        <v>1291400</v>
      </c>
      <c r="J2916" s="10">
        <v>0.0364</v>
      </c>
    </row>
    <row r="2917" spans="1:10">
      <c r="A2917" s="7" t="s">
        <v>2207</v>
      </c>
      <c r="B2917" s="7" t="s">
        <v>4784</v>
      </c>
      <c r="C2917" s="8">
        <f>QS.CONTEXT.CREATE("market.2915",A2917,"USD","SOFR")</f>
        <v/>
      </c>
      <c r="D2917" s="8">
        <f>QS.CONTEXT.ADD.CURVE(C2917,"SOFR",$K$2:$K$7,$L$2:$L$7,,,"Actual360","LogLinear",TRUE)</f>
        <v/>
      </c>
      <c r="E2917" s="8">
        <f>QS.INSTRUMENT.SWAP("swap.2915",C2917,H2917,B2917,"USD","SOFR",I2917,J2917,0,"Actual360","Simple","Annual","Annual","Annual")</f>
        <v/>
      </c>
      <c r="F2917" s="8">
        <f>QS.TRADE.CREATE("trade.2915",C2917,E2917,A2917,"Receive")</f>
        <v/>
      </c>
      <c r="G2917" s="5"/>
      <c r="H2917" s="7" t="s">
        <v>2221</v>
      </c>
      <c r="I2917" s="9">
        <v>1291500</v>
      </c>
      <c r="J2917" s="10">
        <v>0.0365</v>
      </c>
    </row>
    <row r="2918" spans="1:10">
      <c r="A2918" s="7" t="s">
        <v>2209</v>
      </c>
      <c r="B2918" s="7" t="s">
        <v>4785</v>
      </c>
      <c r="C2918" s="8">
        <f>QS.CONTEXT.CREATE("market.2916",A2918,"USD","SOFR")</f>
        <v/>
      </c>
      <c r="D2918" s="8">
        <f>QS.CONTEXT.ADD.CURVE(C2918,"SOFR",$K$2:$K$7,$L$2:$L$7,,,"Actual360","LogLinear",TRUE)</f>
        <v/>
      </c>
      <c r="E2918" s="8">
        <f>QS.INSTRUMENT.SWAP("swap.2916",C2918,H2918,B2918,"USD","SOFR",I2918,J2918,0,"Actual360","Simple","Annual","Annual","Annual")</f>
        <v/>
      </c>
      <c r="F2918" s="8">
        <f>QS.TRADE.CREATE("trade.2916",C2918,E2918,A2918,"Receive")</f>
        <v/>
      </c>
      <c r="G2918" s="5"/>
      <c r="H2918" s="7" t="s">
        <v>2223</v>
      </c>
      <c r="I2918" s="9">
        <v>1291600</v>
      </c>
      <c r="J2918" s="10">
        <v>0.0366</v>
      </c>
    </row>
    <row r="2919" spans="1:10">
      <c r="A2919" s="7" t="s">
        <v>2211</v>
      </c>
      <c r="B2919" s="7" t="s">
        <v>4786</v>
      </c>
      <c r="C2919" s="8">
        <f>QS.CONTEXT.CREATE("market.2917",A2919,"USD","SOFR")</f>
        <v/>
      </c>
      <c r="D2919" s="8">
        <f>QS.CONTEXT.ADD.CURVE(C2919,"SOFR",$K$2:$K$7,$L$2:$L$7,,,"Actual360","LogLinear",TRUE)</f>
        <v/>
      </c>
      <c r="E2919" s="8">
        <f>QS.INSTRUMENT.SWAP("swap.2917",C2919,H2919,B2919,"USD","SOFR",I2919,J2919,0,"Actual360","Simple","Annual","Annual","Annual")</f>
        <v/>
      </c>
      <c r="F2919" s="8">
        <f>QS.TRADE.CREATE("trade.2917",C2919,E2919,A2919,"Receive")</f>
        <v/>
      </c>
      <c r="G2919" s="5"/>
      <c r="H2919" s="7" t="s">
        <v>2225</v>
      </c>
      <c r="I2919" s="9">
        <v>1291700</v>
      </c>
      <c r="J2919" s="10">
        <v>0.0367</v>
      </c>
    </row>
    <row r="2920" spans="1:10">
      <c r="A2920" s="7" t="s">
        <v>2213</v>
      </c>
      <c r="B2920" s="7" t="s">
        <v>4787</v>
      </c>
      <c r="C2920" s="8">
        <f>QS.CONTEXT.CREATE("market.2918",A2920,"USD","SOFR")</f>
        <v/>
      </c>
      <c r="D2920" s="8">
        <f>QS.CONTEXT.ADD.CURVE(C2920,"SOFR",$K$2:$K$7,$L$2:$L$7,,,"Actual360","LogLinear",TRUE)</f>
        <v/>
      </c>
      <c r="E2920" s="8">
        <f>QS.INSTRUMENT.SWAP("swap.2918",C2920,H2920,B2920,"USD","SOFR",I2920,J2920,0,"Actual360","Simple","Annual","Annual","Annual")</f>
        <v/>
      </c>
      <c r="F2920" s="8">
        <f>QS.TRADE.CREATE("trade.2918",C2920,E2920,A2920,"Receive")</f>
        <v/>
      </c>
      <c r="G2920" s="5"/>
      <c r="H2920" s="7" t="s">
        <v>2227</v>
      </c>
      <c r="I2920" s="9">
        <v>1291800</v>
      </c>
      <c r="J2920" s="10">
        <v>0.03680000000000001</v>
      </c>
    </row>
    <row r="2921" spans="1:10">
      <c r="A2921" s="7" t="s">
        <v>2215</v>
      </c>
      <c r="B2921" s="7" t="s">
        <v>4788</v>
      </c>
      <c r="C2921" s="8">
        <f>QS.CONTEXT.CREATE("market.2919",A2921,"USD","SOFR")</f>
        <v/>
      </c>
      <c r="D2921" s="8">
        <f>QS.CONTEXT.ADD.CURVE(C2921,"SOFR",$K$2:$K$7,$L$2:$L$7,,,"Actual360","LogLinear",TRUE)</f>
        <v/>
      </c>
      <c r="E2921" s="8">
        <f>QS.INSTRUMENT.SWAP("swap.2919",C2921,H2921,B2921,"USD","SOFR",I2921,J2921,0,"Actual360","Simple","Annual","Annual","Annual")</f>
        <v/>
      </c>
      <c r="F2921" s="8">
        <f>QS.TRADE.CREATE("trade.2919",C2921,E2921,A2921,"Receive")</f>
        <v/>
      </c>
      <c r="G2921" s="5"/>
      <c r="H2921" s="7" t="s">
        <v>2229</v>
      </c>
      <c r="I2921" s="9">
        <v>1291900</v>
      </c>
      <c r="J2921" s="10">
        <v>0.0369</v>
      </c>
    </row>
    <row r="2922" spans="1:10">
      <c r="A2922" s="7" t="s">
        <v>2217</v>
      </c>
      <c r="B2922" s="7" t="s">
        <v>4789</v>
      </c>
      <c r="C2922" s="8">
        <f>QS.CONTEXT.CREATE("market.2920",A2922,"USD","SOFR")</f>
        <v/>
      </c>
      <c r="D2922" s="8">
        <f>QS.CONTEXT.ADD.CURVE(C2922,"SOFR",$K$2:$K$7,$L$2:$L$7,,,"Actual360","LogLinear",TRUE)</f>
        <v/>
      </c>
      <c r="E2922" s="8">
        <f>QS.INSTRUMENT.SWAP("swap.2920",C2922,H2922,B2922,"USD","SOFR",I2922,J2922,0,"Actual360","Simple","Annual","Annual","Annual")</f>
        <v/>
      </c>
      <c r="F2922" s="8">
        <f>QS.TRADE.CREATE("trade.2920",C2922,E2922,A2922,"Receive")</f>
        <v/>
      </c>
      <c r="G2922" s="5"/>
      <c r="H2922" s="7" t="s">
        <v>2231</v>
      </c>
      <c r="I2922" s="9">
        <v>1292000</v>
      </c>
      <c r="J2922" s="10">
        <v>0.03700000000000001</v>
      </c>
    </row>
    <row r="2923" spans="1:10">
      <c r="A2923" s="7" t="s">
        <v>2219</v>
      </c>
      <c r="B2923" s="7" t="s">
        <v>4790</v>
      </c>
      <c r="C2923" s="8">
        <f>QS.CONTEXT.CREATE("market.2921",A2923,"USD","SOFR")</f>
        <v/>
      </c>
      <c r="D2923" s="8">
        <f>QS.CONTEXT.ADD.CURVE(C2923,"SOFR",$K$2:$K$7,$L$2:$L$7,,,"Actual360","LogLinear",TRUE)</f>
        <v/>
      </c>
      <c r="E2923" s="8">
        <f>QS.INSTRUMENT.SWAP("swap.2921",C2923,H2923,B2923,"USD","SOFR",I2923,J2923,0,"Actual360","Simple","Annual","Annual","Annual")</f>
        <v/>
      </c>
      <c r="F2923" s="8">
        <f>QS.TRADE.CREATE("trade.2921",C2923,E2923,A2923,"Receive")</f>
        <v/>
      </c>
      <c r="G2923" s="5"/>
      <c r="H2923" s="7" t="s">
        <v>2233</v>
      </c>
      <c r="I2923" s="9">
        <v>1292100</v>
      </c>
      <c r="J2923" s="10">
        <v>0.0371</v>
      </c>
    </row>
    <row r="2924" spans="1:10">
      <c r="A2924" s="7" t="s">
        <v>2221</v>
      </c>
      <c r="B2924" s="7" t="s">
        <v>4791</v>
      </c>
      <c r="C2924" s="8">
        <f>QS.CONTEXT.CREATE("market.2922",A2924,"USD","SOFR")</f>
        <v/>
      </c>
      <c r="D2924" s="8">
        <f>QS.CONTEXT.ADD.CURVE(C2924,"SOFR",$K$2:$K$7,$L$2:$L$7,,,"Actual360","LogLinear",TRUE)</f>
        <v/>
      </c>
      <c r="E2924" s="8">
        <f>QS.INSTRUMENT.SWAP("swap.2922",C2924,H2924,B2924,"USD","SOFR",I2924,J2924,0,"Actual360","Simple","Annual","Annual","Annual")</f>
        <v/>
      </c>
      <c r="F2924" s="8">
        <f>QS.TRADE.CREATE("trade.2922",C2924,E2924,A2924,"Receive")</f>
        <v/>
      </c>
      <c r="G2924" s="5"/>
      <c r="H2924" s="7" t="s">
        <v>2235</v>
      </c>
      <c r="I2924" s="9">
        <v>1292200</v>
      </c>
      <c r="J2924" s="10">
        <v>0.0372</v>
      </c>
    </row>
    <row r="2925" spans="1:10">
      <c r="A2925" s="7" t="s">
        <v>2223</v>
      </c>
      <c r="B2925" s="7" t="s">
        <v>4792</v>
      </c>
      <c r="C2925" s="8">
        <f>QS.CONTEXT.CREATE("market.2923",A2925,"USD","SOFR")</f>
        <v/>
      </c>
      <c r="D2925" s="8">
        <f>QS.CONTEXT.ADD.CURVE(C2925,"SOFR",$K$2:$K$7,$L$2:$L$7,,,"Actual360","LogLinear",TRUE)</f>
        <v/>
      </c>
      <c r="E2925" s="8">
        <f>QS.INSTRUMENT.SWAP("swap.2923",C2925,H2925,B2925,"USD","SOFR",I2925,J2925,0,"Actual360","Simple","Annual","Annual","Annual")</f>
        <v/>
      </c>
      <c r="F2925" s="8">
        <f>QS.TRADE.CREATE("trade.2923",C2925,E2925,A2925,"Receive")</f>
        <v/>
      </c>
      <c r="G2925" s="5"/>
      <c r="H2925" s="7" t="s">
        <v>2237</v>
      </c>
      <c r="I2925" s="9">
        <v>1292300</v>
      </c>
      <c r="J2925" s="10">
        <v>0.0373</v>
      </c>
    </row>
    <row r="2926" spans="1:10">
      <c r="A2926" s="7" t="s">
        <v>2225</v>
      </c>
      <c r="B2926" s="7" t="s">
        <v>4793</v>
      </c>
      <c r="C2926" s="8">
        <f>QS.CONTEXT.CREATE("market.2924",A2926,"USD","SOFR")</f>
        <v/>
      </c>
      <c r="D2926" s="8">
        <f>QS.CONTEXT.ADD.CURVE(C2926,"SOFR",$K$2:$K$7,$L$2:$L$7,,,"Actual360","LogLinear",TRUE)</f>
        <v/>
      </c>
      <c r="E2926" s="8">
        <f>QS.INSTRUMENT.SWAP("swap.2924",C2926,H2926,B2926,"USD","SOFR",I2926,J2926,0,"Actual360","Simple","Annual","Annual","Annual")</f>
        <v/>
      </c>
      <c r="F2926" s="8">
        <f>QS.TRADE.CREATE("trade.2924",C2926,E2926,A2926,"Receive")</f>
        <v/>
      </c>
      <c r="G2926" s="5"/>
      <c r="H2926" s="7" t="s">
        <v>2239</v>
      </c>
      <c r="I2926" s="9">
        <v>1292400</v>
      </c>
      <c r="J2926" s="10">
        <v>0.0374</v>
      </c>
    </row>
    <row r="2927" spans="1:10">
      <c r="A2927" s="7" t="s">
        <v>2227</v>
      </c>
      <c r="B2927" s="7" t="s">
        <v>4794</v>
      </c>
      <c r="C2927" s="8">
        <f>QS.CONTEXT.CREATE("market.2925",A2927,"USD","SOFR")</f>
        <v/>
      </c>
      <c r="D2927" s="8">
        <f>QS.CONTEXT.ADD.CURVE(C2927,"SOFR",$K$2:$K$7,$L$2:$L$7,,,"Actual360","LogLinear",TRUE)</f>
        <v/>
      </c>
      <c r="E2927" s="8">
        <f>QS.INSTRUMENT.SWAP("swap.2925",C2927,H2927,B2927,"USD","SOFR",I2927,J2927,0,"Actual360","Simple","Annual","Annual","Annual")</f>
        <v/>
      </c>
      <c r="F2927" s="8">
        <f>QS.TRADE.CREATE("trade.2925",C2927,E2927,A2927,"Receive")</f>
        <v/>
      </c>
      <c r="G2927" s="5"/>
      <c r="H2927" s="7" t="s">
        <v>2241</v>
      </c>
      <c r="I2927" s="9">
        <v>1292500</v>
      </c>
      <c r="J2927" s="10">
        <v>0.03750000000000001</v>
      </c>
    </row>
    <row r="2928" spans="1:10">
      <c r="A2928" s="7" t="s">
        <v>2229</v>
      </c>
      <c r="B2928" s="7" t="s">
        <v>4795</v>
      </c>
      <c r="C2928" s="8">
        <f>QS.CONTEXT.CREATE("market.2926",A2928,"USD","SOFR")</f>
        <v/>
      </c>
      <c r="D2928" s="8">
        <f>QS.CONTEXT.ADD.CURVE(C2928,"SOFR",$K$2:$K$7,$L$2:$L$7,,,"Actual360","LogLinear",TRUE)</f>
        <v/>
      </c>
      <c r="E2928" s="8">
        <f>QS.INSTRUMENT.SWAP("swap.2926",C2928,H2928,B2928,"USD","SOFR",I2928,J2928,0,"Actual360","Simple","Annual","Annual","Annual")</f>
        <v/>
      </c>
      <c r="F2928" s="8">
        <f>QS.TRADE.CREATE("trade.2926",C2928,E2928,A2928,"Receive")</f>
        <v/>
      </c>
      <c r="G2928" s="5"/>
      <c r="H2928" s="7" t="s">
        <v>2243</v>
      </c>
      <c r="I2928" s="9">
        <v>1292600</v>
      </c>
      <c r="J2928" s="10">
        <v>0.0376</v>
      </c>
    </row>
    <row r="2929" spans="1:10">
      <c r="A2929" s="7" t="s">
        <v>2231</v>
      </c>
      <c r="B2929" s="7" t="s">
        <v>4796</v>
      </c>
      <c r="C2929" s="8">
        <f>QS.CONTEXT.CREATE("market.2927",A2929,"USD","SOFR")</f>
        <v/>
      </c>
      <c r="D2929" s="8">
        <f>QS.CONTEXT.ADD.CURVE(C2929,"SOFR",$K$2:$K$7,$L$2:$L$7,,,"Actual360","LogLinear",TRUE)</f>
        <v/>
      </c>
      <c r="E2929" s="8">
        <f>QS.INSTRUMENT.SWAP("swap.2927",C2929,H2929,B2929,"USD","SOFR",I2929,J2929,0,"Actual360","Simple","Annual","Annual","Annual")</f>
        <v/>
      </c>
      <c r="F2929" s="8">
        <f>QS.TRADE.CREATE("trade.2927",C2929,E2929,A2929,"Receive")</f>
        <v/>
      </c>
      <c r="G2929" s="5"/>
      <c r="H2929" s="7" t="s">
        <v>2245</v>
      </c>
      <c r="I2929" s="9">
        <v>1292700</v>
      </c>
      <c r="J2929" s="10">
        <v>0.0377</v>
      </c>
    </row>
    <row r="2930" spans="1:10">
      <c r="A2930" s="7" t="s">
        <v>2233</v>
      </c>
      <c r="B2930" s="7" t="s">
        <v>4797</v>
      </c>
      <c r="C2930" s="8">
        <f>QS.CONTEXT.CREATE("market.2928",A2930,"USD","SOFR")</f>
        <v/>
      </c>
      <c r="D2930" s="8">
        <f>QS.CONTEXT.ADD.CURVE(C2930,"SOFR",$K$2:$K$7,$L$2:$L$7,,,"Actual360","LogLinear",TRUE)</f>
        <v/>
      </c>
      <c r="E2930" s="8">
        <f>QS.INSTRUMENT.SWAP("swap.2928",C2930,H2930,B2930,"USD","SOFR",I2930,J2930,0,"Actual360","Simple","Annual","Annual","Annual")</f>
        <v/>
      </c>
      <c r="F2930" s="8">
        <f>QS.TRADE.CREATE("trade.2928",C2930,E2930,A2930,"Receive")</f>
        <v/>
      </c>
      <c r="G2930" s="5"/>
      <c r="H2930" s="7" t="s">
        <v>2247</v>
      </c>
      <c r="I2930" s="9">
        <v>1292800</v>
      </c>
      <c r="J2930" s="10">
        <v>0.0378</v>
      </c>
    </row>
    <row r="2931" spans="1:10">
      <c r="A2931" s="7" t="s">
        <v>2235</v>
      </c>
      <c r="B2931" s="7" t="s">
        <v>4798</v>
      </c>
      <c r="C2931" s="8">
        <f>QS.CONTEXT.CREATE("market.2929",A2931,"USD","SOFR")</f>
        <v/>
      </c>
      <c r="D2931" s="8">
        <f>QS.CONTEXT.ADD.CURVE(C2931,"SOFR",$K$2:$K$7,$L$2:$L$7,,,"Actual360","LogLinear",TRUE)</f>
        <v/>
      </c>
      <c r="E2931" s="8">
        <f>QS.INSTRUMENT.SWAP("swap.2929",C2931,H2931,B2931,"USD","SOFR",I2931,J2931,0,"Actual360","Simple","Annual","Annual","Annual")</f>
        <v/>
      </c>
      <c r="F2931" s="8">
        <f>QS.TRADE.CREATE("trade.2929",C2931,E2931,A2931,"Receive")</f>
        <v/>
      </c>
      <c r="G2931" s="5"/>
      <c r="H2931" s="7" t="s">
        <v>2249</v>
      </c>
      <c r="I2931" s="9">
        <v>1292900</v>
      </c>
      <c r="J2931" s="10">
        <v>0.0379</v>
      </c>
    </row>
    <row r="2932" spans="1:10">
      <c r="A2932" s="7" t="s">
        <v>2237</v>
      </c>
      <c r="B2932" s="7" t="s">
        <v>4799</v>
      </c>
      <c r="C2932" s="8">
        <f>QS.CONTEXT.CREATE("market.2930",A2932,"USD","SOFR")</f>
        <v/>
      </c>
      <c r="D2932" s="8">
        <f>QS.CONTEXT.ADD.CURVE(C2932,"SOFR",$K$2:$K$7,$L$2:$L$7,,,"Actual360","LogLinear",TRUE)</f>
        <v/>
      </c>
      <c r="E2932" s="8">
        <f>QS.INSTRUMENT.SWAP("swap.2930",C2932,H2932,B2932,"USD","SOFR",I2932,J2932,0,"Actual360","Simple","Annual","Annual","Annual")</f>
        <v/>
      </c>
      <c r="F2932" s="8">
        <f>QS.TRADE.CREATE("trade.2930",C2932,E2932,A2932,"Receive")</f>
        <v/>
      </c>
      <c r="G2932" s="5"/>
      <c r="H2932" s="7" t="s">
        <v>2251</v>
      </c>
      <c r="I2932" s="9">
        <v>1293000</v>
      </c>
      <c r="J2932" s="10">
        <v>0.03800000000000001</v>
      </c>
    </row>
    <row r="2933" spans="1:10">
      <c r="A2933" s="7" t="s">
        <v>2239</v>
      </c>
      <c r="B2933" s="7" t="s">
        <v>4800</v>
      </c>
      <c r="C2933" s="8">
        <f>QS.CONTEXT.CREATE("market.2931",A2933,"USD","SOFR")</f>
        <v/>
      </c>
      <c r="D2933" s="8">
        <f>QS.CONTEXT.ADD.CURVE(C2933,"SOFR",$K$2:$K$7,$L$2:$L$7,,,"Actual360","LogLinear",TRUE)</f>
        <v/>
      </c>
      <c r="E2933" s="8">
        <f>QS.INSTRUMENT.SWAP("swap.2931",C2933,H2933,B2933,"USD","SOFR",I2933,J2933,0,"Actual360","Simple","Annual","Annual","Annual")</f>
        <v/>
      </c>
      <c r="F2933" s="8">
        <f>QS.TRADE.CREATE("trade.2931",C2933,E2933,A2933,"Receive")</f>
        <v/>
      </c>
      <c r="G2933" s="5"/>
      <c r="H2933" s="7" t="s">
        <v>2253</v>
      </c>
      <c r="I2933" s="9">
        <v>1293100</v>
      </c>
      <c r="J2933" s="10">
        <v>0.0381</v>
      </c>
    </row>
    <row r="2934" spans="1:10">
      <c r="A2934" s="7" t="s">
        <v>2241</v>
      </c>
      <c r="B2934" s="7" t="s">
        <v>4801</v>
      </c>
      <c r="C2934" s="8">
        <f>QS.CONTEXT.CREATE("market.2932",A2934,"USD","SOFR")</f>
        <v/>
      </c>
      <c r="D2934" s="8">
        <f>QS.CONTEXT.ADD.CURVE(C2934,"SOFR",$K$2:$K$7,$L$2:$L$7,,,"Actual360","LogLinear",TRUE)</f>
        <v/>
      </c>
      <c r="E2934" s="8">
        <f>QS.INSTRUMENT.SWAP("swap.2932",C2934,H2934,B2934,"USD","SOFR",I2934,J2934,0,"Actual360","Simple","Annual","Annual","Annual")</f>
        <v/>
      </c>
      <c r="F2934" s="8">
        <f>QS.TRADE.CREATE("trade.2932",C2934,E2934,A2934,"Receive")</f>
        <v/>
      </c>
      <c r="G2934" s="5"/>
      <c r="H2934" s="7" t="s">
        <v>2255</v>
      </c>
      <c r="I2934" s="9">
        <v>1293200</v>
      </c>
      <c r="J2934" s="10">
        <v>0.0382</v>
      </c>
    </row>
    <row r="2935" spans="1:10">
      <c r="A2935" s="7" t="s">
        <v>2243</v>
      </c>
      <c r="B2935" s="7" t="s">
        <v>4802</v>
      </c>
      <c r="C2935" s="8">
        <f>QS.CONTEXT.CREATE("market.2933",A2935,"USD","SOFR")</f>
        <v/>
      </c>
      <c r="D2935" s="8">
        <f>QS.CONTEXT.ADD.CURVE(C2935,"SOFR",$K$2:$K$7,$L$2:$L$7,,,"Actual360","LogLinear",TRUE)</f>
        <v/>
      </c>
      <c r="E2935" s="8">
        <f>QS.INSTRUMENT.SWAP("swap.2933",C2935,H2935,B2935,"USD","SOFR",I2935,J2935,0,"Actual360","Simple","Annual","Annual","Annual")</f>
        <v/>
      </c>
      <c r="F2935" s="8">
        <f>QS.TRADE.CREATE("trade.2933",C2935,E2935,A2935,"Receive")</f>
        <v/>
      </c>
      <c r="G2935" s="5"/>
      <c r="H2935" s="7" t="s">
        <v>2257</v>
      </c>
      <c r="I2935" s="9">
        <v>1293300</v>
      </c>
      <c r="J2935" s="10">
        <v>0.0383</v>
      </c>
    </row>
    <row r="2936" spans="1:10">
      <c r="A2936" s="7" t="s">
        <v>2245</v>
      </c>
      <c r="B2936" s="7" t="s">
        <v>4803</v>
      </c>
      <c r="C2936" s="8">
        <f>QS.CONTEXT.CREATE("market.2934",A2936,"USD","SOFR")</f>
        <v/>
      </c>
      <c r="D2936" s="8">
        <f>QS.CONTEXT.ADD.CURVE(C2936,"SOFR",$K$2:$K$7,$L$2:$L$7,,,"Actual360","LogLinear",TRUE)</f>
        <v/>
      </c>
      <c r="E2936" s="8">
        <f>QS.INSTRUMENT.SWAP("swap.2934",C2936,H2936,B2936,"USD","SOFR",I2936,J2936,0,"Actual360","Simple","Annual","Annual","Annual")</f>
        <v/>
      </c>
      <c r="F2936" s="8">
        <f>QS.TRADE.CREATE("trade.2934",C2936,E2936,A2936,"Receive")</f>
        <v/>
      </c>
      <c r="G2936" s="5"/>
      <c r="H2936" s="7" t="s">
        <v>2259</v>
      </c>
      <c r="I2936" s="9">
        <v>1293400</v>
      </c>
      <c r="J2936" s="10">
        <v>0.0384</v>
      </c>
    </row>
    <row r="2937" spans="1:10">
      <c r="A2937" s="7" t="s">
        <v>2247</v>
      </c>
      <c r="B2937" s="7" t="s">
        <v>4804</v>
      </c>
      <c r="C2937" s="8">
        <f>QS.CONTEXT.CREATE("market.2935",A2937,"USD","SOFR")</f>
        <v/>
      </c>
      <c r="D2937" s="8">
        <f>QS.CONTEXT.ADD.CURVE(C2937,"SOFR",$K$2:$K$7,$L$2:$L$7,,,"Actual360","LogLinear",TRUE)</f>
        <v/>
      </c>
      <c r="E2937" s="8">
        <f>QS.INSTRUMENT.SWAP("swap.2935",C2937,H2937,B2937,"USD","SOFR",I2937,J2937,0,"Actual360","Simple","Annual","Annual","Annual")</f>
        <v/>
      </c>
      <c r="F2937" s="8">
        <f>QS.TRADE.CREATE("trade.2935",C2937,E2937,A2937,"Receive")</f>
        <v/>
      </c>
      <c r="G2937" s="5"/>
      <c r="H2937" s="7" t="s">
        <v>2261</v>
      </c>
      <c r="I2937" s="9">
        <v>1293500</v>
      </c>
      <c r="J2937" s="10">
        <v>0.03850000000000001</v>
      </c>
    </row>
    <row r="2938" spans="1:10">
      <c r="A2938" s="7" t="s">
        <v>2249</v>
      </c>
      <c r="B2938" s="7" t="s">
        <v>4805</v>
      </c>
      <c r="C2938" s="8">
        <f>QS.CONTEXT.CREATE("market.2936",A2938,"USD","SOFR")</f>
        <v/>
      </c>
      <c r="D2938" s="8">
        <f>QS.CONTEXT.ADD.CURVE(C2938,"SOFR",$K$2:$K$7,$L$2:$L$7,,,"Actual360","LogLinear",TRUE)</f>
        <v/>
      </c>
      <c r="E2938" s="8">
        <f>QS.INSTRUMENT.SWAP("swap.2936",C2938,H2938,B2938,"USD","SOFR",I2938,J2938,0,"Actual360","Simple","Annual","Annual","Annual")</f>
        <v/>
      </c>
      <c r="F2938" s="8">
        <f>QS.TRADE.CREATE("trade.2936",C2938,E2938,A2938,"Receive")</f>
        <v/>
      </c>
      <c r="G2938" s="5"/>
      <c r="H2938" s="7" t="s">
        <v>2263</v>
      </c>
      <c r="I2938" s="9">
        <v>1293600</v>
      </c>
      <c r="J2938" s="10">
        <v>0.0386</v>
      </c>
    </row>
    <row r="2939" spans="1:10">
      <c r="A2939" s="7" t="s">
        <v>2251</v>
      </c>
      <c r="B2939" s="7" t="s">
        <v>4806</v>
      </c>
      <c r="C2939" s="8">
        <f>QS.CONTEXT.CREATE("market.2937",A2939,"USD","SOFR")</f>
        <v/>
      </c>
      <c r="D2939" s="8">
        <f>QS.CONTEXT.ADD.CURVE(C2939,"SOFR",$K$2:$K$7,$L$2:$L$7,,,"Actual360","LogLinear",TRUE)</f>
        <v/>
      </c>
      <c r="E2939" s="8">
        <f>QS.INSTRUMENT.SWAP("swap.2937",C2939,H2939,B2939,"USD","SOFR",I2939,J2939,0,"Actual360","Simple","Annual","Annual","Annual")</f>
        <v/>
      </c>
      <c r="F2939" s="8">
        <f>QS.TRADE.CREATE("trade.2937",C2939,E2939,A2939,"Receive")</f>
        <v/>
      </c>
      <c r="G2939" s="5"/>
      <c r="H2939" s="7" t="s">
        <v>2265</v>
      </c>
      <c r="I2939" s="9">
        <v>1293700</v>
      </c>
      <c r="J2939" s="10">
        <v>0.03870000000000001</v>
      </c>
    </row>
    <row r="2940" spans="1:10">
      <c r="A2940" s="7" t="s">
        <v>2253</v>
      </c>
      <c r="B2940" s="7" t="s">
        <v>4807</v>
      </c>
      <c r="C2940" s="8">
        <f>QS.CONTEXT.CREATE("market.2938",A2940,"USD","SOFR")</f>
        <v/>
      </c>
      <c r="D2940" s="8">
        <f>QS.CONTEXT.ADD.CURVE(C2940,"SOFR",$K$2:$K$7,$L$2:$L$7,,,"Actual360","LogLinear",TRUE)</f>
        <v/>
      </c>
      <c r="E2940" s="8">
        <f>QS.INSTRUMENT.SWAP("swap.2938",C2940,H2940,B2940,"USD","SOFR",I2940,J2940,0,"Actual360","Simple","Annual","Annual","Annual")</f>
        <v/>
      </c>
      <c r="F2940" s="8">
        <f>QS.TRADE.CREATE("trade.2938",C2940,E2940,A2940,"Receive")</f>
        <v/>
      </c>
      <c r="G2940" s="5"/>
      <c r="H2940" s="7" t="s">
        <v>2267</v>
      </c>
      <c r="I2940" s="9">
        <v>1293800</v>
      </c>
      <c r="J2940" s="10">
        <v>0.0388</v>
      </c>
    </row>
    <row r="2941" spans="1:10">
      <c r="A2941" s="7" t="s">
        <v>2255</v>
      </c>
      <c r="B2941" s="7" t="s">
        <v>4808</v>
      </c>
      <c r="C2941" s="8">
        <f>QS.CONTEXT.CREATE("market.2939",A2941,"USD","SOFR")</f>
        <v/>
      </c>
      <c r="D2941" s="8">
        <f>QS.CONTEXT.ADD.CURVE(C2941,"SOFR",$K$2:$K$7,$L$2:$L$7,,,"Actual360","LogLinear",TRUE)</f>
        <v/>
      </c>
      <c r="E2941" s="8">
        <f>QS.INSTRUMENT.SWAP("swap.2939",C2941,H2941,B2941,"USD","SOFR",I2941,J2941,0,"Actual360","Simple","Annual","Annual","Annual")</f>
        <v/>
      </c>
      <c r="F2941" s="8">
        <f>QS.TRADE.CREATE("trade.2939",C2941,E2941,A2941,"Receive")</f>
        <v/>
      </c>
      <c r="G2941" s="5"/>
      <c r="H2941" s="7" t="s">
        <v>2269</v>
      </c>
      <c r="I2941" s="9">
        <v>1293900</v>
      </c>
      <c r="J2941" s="10">
        <v>0.0389</v>
      </c>
    </row>
    <row r="2942" spans="1:10">
      <c r="A2942" s="7" t="s">
        <v>2257</v>
      </c>
      <c r="B2942" s="7" t="s">
        <v>4809</v>
      </c>
      <c r="C2942" s="8">
        <f>QS.CONTEXT.CREATE("market.2940",A2942,"USD","SOFR")</f>
        <v/>
      </c>
      <c r="D2942" s="8">
        <f>QS.CONTEXT.ADD.CURVE(C2942,"SOFR",$K$2:$K$7,$L$2:$L$7,,,"Actual360","LogLinear",TRUE)</f>
        <v/>
      </c>
      <c r="E2942" s="8">
        <f>QS.INSTRUMENT.SWAP("swap.2940",C2942,H2942,B2942,"USD","SOFR",I2942,J2942,0,"Actual360","Simple","Annual","Annual","Annual")</f>
        <v/>
      </c>
      <c r="F2942" s="8">
        <f>QS.TRADE.CREATE("trade.2940",C2942,E2942,A2942,"Receive")</f>
        <v/>
      </c>
      <c r="G2942" s="5"/>
      <c r="H2942" s="7" t="s">
        <v>2271</v>
      </c>
      <c r="I2942" s="9">
        <v>1294000</v>
      </c>
      <c r="J2942" s="10">
        <v>0.03900000000000001</v>
      </c>
    </row>
    <row r="2943" spans="1:10">
      <c r="A2943" s="7" t="s">
        <v>2259</v>
      </c>
      <c r="B2943" s="7" t="s">
        <v>4810</v>
      </c>
      <c r="C2943" s="8">
        <f>QS.CONTEXT.CREATE("market.2941",A2943,"USD","SOFR")</f>
        <v/>
      </c>
      <c r="D2943" s="8">
        <f>QS.CONTEXT.ADD.CURVE(C2943,"SOFR",$K$2:$K$7,$L$2:$L$7,,,"Actual360","LogLinear",TRUE)</f>
        <v/>
      </c>
      <c r="E2943" s="8">
        <f>QS.INSTRUMENT.SWAP("swap.2941",C2943,H2943,B2943,"USD","SOFR",I2943,J2943,0,"Actual360","Simple","Annual","Annual","Annual")</f>
        <v/>
      </c>
      <c r="F2943" s="8">
        <f>QS.TRADE.CREATE("trade.2941",C2943,E2943,A2943,"Receive")</f>
        <v/>
      </c>
      <c r="G2943" s="5"/>
      <c r="H2943" s="7" t="s">
        <v>2273</v>
      </c>
      <c r="I2943" s="9">
        <v>1294100</v>
      </c>
      <c r="J2943" s="10">
        <v>0.0391</v>
      </c>
    </row>
    <row r="2944" spans="1:10">
      <c r="A2944" s="7" t="s">
        <v>2261</v>
      </c>
      <c r="B2944" s="7" t="s">
        <v>4811</v>
      </c>
      <c r="C2944" s="8">
        <f>QS.CONTEXT.CREATE("market.2942",A2944,"USD","SOFR")</f>
        <v/>
      </c>
      <c r="D2944" s="8">
        <f>QS.CONTEXT.ADD.CURVE(C2944,"SOFR",$K$2:$K$7,$L$2:$L$7,,,"Actual360","LogLinear",TRUE)</f>
        <v/>
      </c>
      <c r="E2944" s="8">
        <f>QS.INSTRUMENT.SWAP("swap.2942",C2944,H2944,B2944,"USD","SOFR",I2944,J2944,0,"Actual360","Simple","Annual","Annual","Annual")</f>
        <v/>
      </c>
      <c r="F2944" s="8">
        <f>QS.TRADE.CREATE("trade.2942",C2944,E2944,A2944,"Receive")</f>
        <v/>
      </c>
      <c r="G2944" s="5"/>
      <c r="H2944" s="7" t="s">
        <v>2275</v>
      </c>
      <c r="I2944" s="9">
        <v>1294200</v>
      </c>
      <c r="J2944" s="10">
        <v>0.03920000000000001</v>
      </c>
    </row>
    <row r="2945" spans="1:10">
      <c r="A2945" s="7" t="s">
        <v>2263</v>
      </c>
      <c r="B2945" s="7" t="s">
        <v>4812</v>
      </c>
      <c r="C2945" s="8">
        <f>QS.CONTEXT.CREATE("market.2943",A2945,"USD","SOFR")</f>
        <v/>
      </c>
      <c r="D2945" s="8">
        <f>QS.CONTEXT.ADD.CURVE(C2945,"SOFR",$K$2:$K$7,$L$2:$L$7,,,"Actual360","LogLinear",TRUE)</f>
        <v/>
      </c>
      <c r="E2945" s="8">
        <f>QS.INSTRUMENT.SWAP("swap.2943",C2945,H2945,B2945,"USD","SOFR",I2945,J2945,0,"Actual360","Simple","Annual","Annual","Annual")</f>
        <v/>
      </c>
      <c r="F2945" s="8">
        <f>QS.TRADE.CREATE("trade.2943",C2945,E2945,A2945,"Receive")</f>
        <v/>
      </c>
      <c r="G2945" s="5"/>
      <c r="H2945" s="7" t="s">
        <v>2277</v>
      </c>
      <c r="I2945" s="9">
        <v>1294300</v>
      </c>
      <c r="J2945" s="10">
        <v>0.0393</v>
      </c>
    </row>
    <row r="2946" spans="1:10">
      <c r="A2946" s="7" t="s">
        <v>2265</v>
      </c>
      <c r="B2946" s="7" t="s">
        <v>4813</v>
      </c>
      <c r="C2946" s="8">
        <f>QS.CONTEXT.CREATE("market.2944",A2946,"USD","SOFR")</f>
        <v/>
      </c>
      <c r="D2946" s="8">
        <f>QS.CONTEXT.ADD.CURVE(C2946,"SOFR",$K$2:$K$7,$L$2:$L$7,,,"Actual360","LogLinear",TRUE)</f>
        <v/>
      </c>
      <c r="E2946" s="8">
        <f>QS.INSTRUMENT.SWAP("swap.2944",C2946,H2946,B2946,"USD","SOFR",I2946,J2946,0,"Actual360","Simple","Annual","Annual","Annual")</f>
        <v/>
      </c>
      <c r="F2946" s="8">
        <f>QS.TRADE.CREATE("trade.2944",C2946,E2946,A2946,"Receive")</f>
        <v/>
      </c>
      <c r="G2946" s="5"/>
      <c r="H2946" s="7" t="s">
        <v>2279</v>
      </c>
      <c r="I2946" s="9">
        <v>1294400</v>
      </c>
      <c r="J2946" s="10">
        <v>0.0394</v>
      </c>
    </row>
    <row r="2947" spans="1:10">
      <c r="A2947" s="7" t="s">
        <v>2267</v>
      </c>
      <c r="B2947" s="7" t="s">
        <v>4814</v>
      </c>
      <c r="C2947" s="8">
        <f>QS.CONTEXT.CREATE("market.2945",A2947,"USD","SOFR")</f>
        <v/>
      </c>
      <c r="D2947" s="8">
        <f>QS.CONTEXT.ADD.CURVE(C2947,"SOFR",$K$2:$K$7,$L$2:$L$7,,,"Actual360","LogLinear",TRUE)</f>
        <v/>
      </c>
      <c r="E2947" s="8">
        <f>QS.INSTRUMENT.SWAP("swap.2945",C2947,H2947,B2947,"USD","SOFR",I2947,J2947,0,"Actual360","Simple","Annual","Annual","Annual")</f>
        <v/>
      </c>
      <c r="F2947" s="8">
        <f>QS.TRADE.CREATE("trade.2945",C2947,E2947,A2947,"Receive")</f>
        <v/>
      </c>
      <c r="G2947" s="5"/>
      <c r="H2947" s="7" t="s">
        <v>2281</v>
      </c>
      <c r="I2947" s="9">
        <v>1294500</v>
      </c>
      <c r="J2947" s="10">
        <v>0.03950000000000001</v>
      </c>
    </row>
    <row r="2948" spans="1:10">
      <c r="A2948" s="7" t="s">
        <v>2269</v>
      </c>
      <c r="B2948" s="7" t="s">
        <v>4815</v>
      </c>
      <c r="C2948" s="8">
        <f>QS.CONTEXT.CREATE("market.2946",A2948,"USD","SOFR")</f>
        <v/>
      </c>
      <c r="D2948" s="8">
        <f>QS.CONTEXT.ADD.CURVE(C2948,"SOFR",$K$2:$K$7,$L$2:$L$7,,,"Actual360","LogLinear",TRUE)</f>
        <v/>
      </c>
      <c r="E2948" s="8">
        <f>QS.INSTRUMENT.SWAP("swap.2946",C2948,H2948,B2948,"USD","SOFR",I2948,J2948,0,"Actual360","Simple","Annual","Annual","Annual")</f>
        <v/>
      </c>
      <c r="F2948" s="8">
        <f>QS.TRADE.CREATE("trade.2946",C2948,E2948,A2948,"Receive")</f>
        <v/>
      </c>
      <c r="G2948" s="5"/>
      <c r="H2948" s="7" t="s">
        <v>2283</v>
      </c>
      <c r="I2948" s="9">
        <v>1294600</v>
      </c>
      <c r="J2948" s="10">
        <v>0.0396</v>
      </c>
    </row>
    <row r="2949" spans="1:10">
      <c r="A2949" s="7" t="s">
        <v>2271</v>
      </c>
      <c r="B2949" s="7" t="s">
        <v>4816</v>
      </c>
      <c r="C2949" s="8">
        <f>QS.CONTEXT.CREATE("market.2947",A2949,"USD","SOFR")</f>
        <v/>
      </c>
      <c r="D2949" s="8">
        <f>QS.CONTEXT.ADD.CURVE(C2949,"SOFR",$K$2:$K$7,$L$2:$L$7,,,"Actual360","LogLinear",TRUE)</f>
        <v/>
      </c>
      <c r="E2949" s="8">
        <f>QS.INSTRUMENT.SWAP("swap.2947",C2949,H2949,B2949,"USD","SOFR",I2949,J2949,0,"Actual360","Simple","Annual","Annual","Annual")</f>
        <v/>
      </c>
      <c r="F2949" s="8">
        <f>QS.TRADE.CREATE("trade.2947",C2949,E2949,A2949,"Receive")</f>
        <v/>
      </c>
      <c r="G2949" s="5"/>
      <c r="H2949" s="7" t="s">
        <v>2285</v>
      </c>
      <c r="I2949" s="9">
        <v>1294700</v>
      </c>
      <c r="J2949" s="10">
        <v>0.03970000000000001</v>
      </c>
    </row>
    <row r="2950" spans="1:10">
      <c r="A2950" s="7" t="s">
        <v>2273</v>
      </c>
      <c r="B2950" s="7" t="s">
        <v>4817</v>
      </c>
      <c r="C2950" s="8">
        <f>QS.CONTEXT.CREATE("market.2948",A2950,"USD","SOFR")</f>
        <v/>
      </c>
      <c r="D2950" s="8">
        <f>QS.CONTEXT.ADD.CURVE(C2950,"SOFR",$K$2:$K$7,$L$2:$L$7,,,"Actual360","LogLinear",TRUE)</f>
        <v/>
      </c>
      <c r="E2950" s="8">
        <f>QS.INSTRUMENT.SWAP("swap.2948",C2950,H2950,B2950,"USD","SOFR",I2950,J2950,0,"Actual360","Simple","Annual","Annual","Annual")</f>
        <v/>
      </c>
      <c r="F2950" s="8">
        <f>QS.TRADE.CREATE("trade.2948",C2950,E2950,A2950,"Receive")</f>
        <v/>
      </c>
      <c r="G2950" s="5"/>
      <c r="H2950" s="7" t="s">
        <v>2287</v>
      </c>
      <c r="I2950" s="9">
        <v>1294800</v>
      </c>
      <c r="J2950" s="10">
        <v>0.0398</v>
      </c>
    </row>
    <row r="2951" spans="1:10">
      <c r="A2951" s="7" t="s">
        <v>2275</v>
      </c>
      <c r="B2951" s="7" t="s">
        <v>4818</v>
      </c>
      <c r="C2951" s="8">
        <f>QS.CONTEXT.CREATE("market.2949",A2951,"USD","SOFR")</f>
        <v/>
      </c>
      <c r="D2951" s="8">
        <f>QS.CONTEXT.ADD.CURVE(C2951,"SOFR",$K$2:$K$7,$L$2:$L$7,,,"Actual360","LogLinear",TRUE)</f>
        <v/>
      </c>
      <c r="E2951" s="8">
        <f>QS.INSTRUMENT.SWAP("swap.2949",C2951,H2951,B2951,"USD","SOFR",I2951,J2951,0,"Actual360","Simple","Annual","Annual","Annual")</f>
        <v/>
      </c>
      <c r="F2951" s="8">
        <f>QS.TRADE.CREATE("trade.2949",C2951,E2951,A2951,"Receive")</f>
        <v/>
      </c>
      <c r="G2951" s="5"/>
      <c r="H2951" s="7" t="s">
        <v>2289</v>
      </c>
      <c r="I2951" s="9">
        <v>1294900</v>
      </c>
      <c r="J2951" s="10">
        <v>0.0399</v>
      </c>
    </row>
    <row r="2952" spans="1:10">
      <c r="A2952" s="7" t="s">
        <v>2277</v>
      </c>
      <c r="B2952" s="7" t="s">
        <v>4819</v>
      </c>
      <c r="C2952" s="8">
        <f>QS.CONTEXT.CREATE("market.2950",A2952,"USD","SOFR")</f>
        <v/>
      </c>
      <c r="D2952" s="8">
        <f>QS.CONTEXT.ADD.CURVE(C2952,"SOFR",$K$2:$K$7,$L$2:$L$7,,,"Actual360","LogLinear",TRUE)</f>
        <v/>
      </c>
      <c r="E2952" s="8">
        <f>QS.INSTRUMENT.SWAP("swap.2950",C2952,H2952,B2952,"USD","SOFR",I2952,J2952,0,"Actual360","Simple","Annual","Annual","Annual")</f>
        <v/>
      </c>
      <c r="F2952" s="8">
        <f>QS.TRADE.CREATE("trade.2950",C2952,E2952,A2952,"Receive")</f>
        <v/>
      </c>
      <c r="G2952" s="5"/>
      <c r="H2952" s="7" t="s">
        <v>2291</v>
      </c>
      <c r="I2952" s="9">
        <v>1295000</v>
      </c>
      <c r="J2952" s="10">
        <v>0.035</v>
      </c>
    </row>
    <row r="2953" spans="1:10">
      <c r="A2953" s="7" t="s">
        <v>2279</v>
      </c>
      <c r="B2953" s="7" t="s">
        <v>4820</v>
      </c>
      <c r="C2953" s="8">
        <f>QS.CONTEXT.CREATE("market.2951",A2953,"USD","SOFR")</f>
        <v/>
      </c>
      <c r="D2953" s="8">
        <f>QS.CONTEXT.ADD.CURVE(C2953,"SOFR",$K$2:$K$7,$L$2:$L$7,,,"Actual360","LogLinear",TRUE)</f>
        <v/>
      </c>
      <c r="E2953" s="8">
        <f>QS.INSTRUMENT.SWAP("swap.2951",C2953,H2953,B2953,"USD","SOFR",I2953,J2953,0,"Actual360","Simple","Annual","Annual","Annual")</f>
        <v/>
      </c>
      <c r="F2953" s="8">
        <f>QS.TRADE.CREATE("trade.2951",C2953,E2953,A2953,"Receive")</f>
        <v/>
      </c>
      <c r="G2953" s="5"/>
      <c r="H2953" s="7" t="s">
        <v>2293</v>
      </c>
      <c r="I2953" s="9">
        <v>1295100</v>
      </c>
      <c r="J2953" s="10">
        <v>0.03510000000000001</v>
      </c>
    </row>
    <row r="2954" spans="1:10">
      <c r="A2954" s="7" t="s">
        <v>2281</v>
      </c>
      <c r="B2954" s="7" t="s">
        <v>4821</v>
      </c>
      <c r="C2954" s="8">
        <f>QS.CONTEXT.CREATE("market.2952",A2954,"USD","SOFR")</f>
        <v/>
      </c>
      <c r="D2954" s="8">
        <f>QS.CONTEXT.ADD.CURVE(C2954,"SOFR",$K$2:$K$7,$L$2:$L$7,,,"Actual360","LogLinear",TRUE)</f>
        <v/>
      </c>
      <c r="E2954" s="8">
        <f>QS.INSTRUMENT.SWAP("swap.2952",C2954,H2954,B2954,"USD","SOFR",I2954,J2954,0,"Actual360","Simple","Annual","Annual","Annual")</f>
        <v/>
      </c>
      <c r="F2954" s="8">
        <f>QS.TRADE.CREATE("trade.2952",C2954,E2954,A2954,"Receive")</f>
        <v/>
      </c>
      <c r="G2954" s="5"/>
      <c r="H2954" s="7" t="s">
        <v>2295</v>
      </c>
      <c r="I2954" s="9">
        <v>1295200</v>
      </c>
      <c r="J2954" s="10">
        <v>0.0352</v>
      </c>
    </row>
    <row r="2955" spans="1:10">
      <c r="A2955" s="7" t="s">
        <v>2283</v>
      </c>
      <c r="B2955" s="7" t="s">
        <v>4822</v>
      </c>
      <c r="C2955" s="8">
        <f>QS.CONTEXT.CREATE("market.2953",A2955,"USD","SOFR")</f>
        <v/>
      </c>
      <c r="D2955" s="8">
        <f>QS.CONTEXT.ADD.CURVE(C2955,"SOFR",$K$2:$K$7,$L$2:$L$7,,,"Actual360","LogLinear",TRUE)</f>
        <v/>
      </c>
      <c r="E2955" s="8">
        <f>QS.INSTRUMENT.SWAP("swap.2953",C2955,H2955,B2955,"USD","SOFR",I2955,J2955,0,"Actual360","Simple","Annual","Annual","Annual")</f>
        <v/>
      </c>
      <c r="F2955" s="8">
        <f>QS.TRADE.CREATE("trade.2953",C2955,E2955,A2955,"Receive")</f>
        <v/>
      </c>
      <c r="G2955" s="5"/>
      <c r="H2955" s="7" t="s">
        <v>2297</v>
      </c>
      <c r="I2955" s="9">
        <v>1295300</v>
      </c>
      <c r="J2955" s="10">
        <v>0.0353</v>
      </c>
    </row>
    <row r="2956" spans="1:10">
      <c r="A2956" s="7" t="s">
        <v>2285</v>
      </c>
      <c r="B2956" s="7" t="s">
        <v>4823</v>
      </c>
      <c r="C2956" s="8">
        <f>QS.CONTEXT.CREATE("market.2954",A2956,"USD","SOFR")</f>
        <v/>
      </c>
      <c r="D2956" s="8">
        <f>QS.CONTEXT.ADD.CURVE(C2956,"SOFR",$K$2:$K$7,$L$2:$L$7,,,"Actual360","LogLinear",TRUE)</f>
        <v/>
      </c>
      <c r="E2956" s="8">
        <f>QS.INSTRUMENT.SWAP("swap.2954",C2956,H2956,B2956,"USD","SOFR",I2956,J2956,0,"Actual360","Simple","Annual","Annual","Annual")</f>
        <v/>
      </c>
      <c r="F2956" s="8">
        <f>QS.TRADE.CREATE("trade.2954",C2956,E2956,A2956,"Receive")</f>
        <v/>
      </c>
      <c r="G2956" s="5"/>
      <c r="H2956" s="7" t="s">
        <v>2299</v>
      </c>
      <c r="I2956" s="9">
        <v>1295400</v>
      </c>
      <c r="J2956" s="10">
        <v>0.0354</v>
      </c>
    </row>
    <row r="2957" spans="1:10">
      <c r="A2957" s="7" t="s">
        <v>2287</v>
      </c>
      <c r="B2957" s="7" t="s">
        <v>4824</v>
      </c>
      <c r="C2957" s="8">
        <f>QS.CONTEXT.CREATE("market.2955",A2957,"USD","SOFR")</f>
        <v/>
      </c>
      <c r="D2957" s="8">
        <f>QS.CONTEXT.ADD.CURVE(C2957,"SOFR",$K$2:$K$7,$L$2:$L$7,,,"Actual360","LogLinear",TRUE)</f>
        <v/>
      </c>
      <c r="E2957" s="8">
        <f>QS.INSTRUMENT.SWAP("swap.2955",C2957,H2957,B2957,"USD","SOFR",I2957,J2957,0,"Actual360","Simple","Annual","Annual","Annual")</f>
        <v/>
      </c>
      <c r="F2957" s="8">
        <f>QS.TRADE.CREATE("trade.2955",C2957,E2957,A2957,"Receive")</f>
        <v/>
      </c>
      <c r="G2957" s="5"/>
      <c r="H2957" s="7" t="s">
        <v>2301</v>
      </c>
      <c r="I2957" s="9">
        <v>1295500</v>
      </c>
      <c r="J2957" s="10">
        <v>0.0355</v>
      </c>
    </row>
    <row r="2958" spans="1:10">
      <c r="A2958" s="7" t="s">
        <v>2289</v>
      </c>
      <c r="B2958" s="7" t="s">
        <v>4825</v>
      </c>
      <c r="C2958" s="8">
        <f>QS.CONTEXT.CREATE("market.2956",A2958,"USD","SOFR")</f>
        <v/>
      </c>
      <c r="D2958" s="8">
        <f>QS.CONTEXT.ADD.CURVE(C2958,"SOFR",$K$2:$K$7,$L$2:$L$7,,,"Actual360","LogLinear",TRUE)</f>
        <v/>
      </c>
      <c r="E2958" s="8">
        <f>QS.INSTRUMENT.SWAP("swap.2956",C2958,H2958,B2958,"USD","SOFR",I2958,J2958,0,"Actual360","Simple","Annual","Annual","Annual")</f>
        <v/>
      </c>
      <c r="F2958" s="8">
        <f>QS.TRADE.CREATE("trade.2956",C2958,E2958,A2958,"Receive")</f>
        <v/>
      </c>
      <c r="G2958" s="5"/>
      <c r="H2958" s="7" t="s">
        <v>2303</v>
      </c>
      <c r="I2958" s="9">
        <v>1295600</v>
      </c>
      <c r="J2958" s="10">
        <v>0.03560000000000001</v>
      </c>
    </row>
    <row r="2959" spans="1:10">
      <c r="A2959" s="7" t="s">
        <v>2291</v>
      </c>
      <c r="B2959" s="7" t="s">
        <v>4826</v>
      </c>
      <c r="C2959" s="8">
        <f>QS.CONTEXT.CREATE("market.2957",A2959,"USD","SOFR")</f>
        <v/>
      </c>
      <c r="D2959" s="8">
        <f>QS.CONTEXT.ADD.CURVE(C2959,"SOFR",$K$2:$K$7,$L$2:$L$7,,,"Actual360","LogLinear",TRUE)</f>
        <v/>
      </c>
      <c r="E2959" s="8">
        <f>QS.INSTRUMENT.SWAP("swap.2957",C2959,H2959,B2959,"USD","SOFR",I2959,J2959,0,"Actual360","Simple","Annual","Annual","Annual")</f>
        <v/>
      </c>
      <c r="F2959" s="8">
        <f>QS.TRADE.CREATE("trade.2957",C2959,E2959,A2959,"Receive")</f>
        <v/>
      </c>
      <c r="G2959" s="5"/>
      <c r="H2959" s="7" t="s">
        <v>2305</v>
      </c>
      <c r="I2959" s="9">
        <v>1295700</v>
      </c>
      <c r="J2959" s="10">
        <v>0.0357</v>
      </c>
    </row>
    <row r="2960" spans="1:10">
      <c r="A2960" s="7" t="s">
        <v>2293</v>
      </c>
      <c r="B2960" s="7" t="s">
        <v>4827</v>
      </c>
      <c r="C2960" s="8">
        <f>QS.CONTEXT.CREATE("market.2958",A2960,"USD","SOFR")</f>
        <v/>
      </c>
      <c r="D2960" s="8">
        <f>QS.CONTEXT.ADD.CURVE(C2960,"SOFR",$K$2:$K$7,$L$2:$L$7,,,"Actual360","LogLinear",TRUE)</f>
        <v/>
      </c>
      <c r="E2960" s="8">
        <f>QS.INSTRUMENT.SWAP("swap.2958",C2960,H2960,B2960,"USD","SOFR",I2960,J2960,0,"Actual360","Simple","Annual","Annual","Annual")</f>
        <v/>
      </c>
      <c r="F2960" s="8">
        <f>QS.TRADE.CREATE("trade.2958",C2960,E2960,A2960,"Receive")</f>
        <v/>
      </c>
      <c r="G2960" s="5"/>
      <c r="H2960" s="7" t="s">
        <v>2307</v>
      </c>
      <c r="I2960" s="9">
        <v>1295800</v>
      </c>
      <c r="J2960" s="10">
        <v>0.03580000000000001</v>
      </c>
    </row>
    <row r="2961" spans="1:10">
      <c r="A2961" s="7" t="s">
        <v>2295</v>
      </c>
      <c r="B2961" s="7" t="s">
        <v>4828</v>
      </c>
      <c r="C2961" s="8">
        <f>QS.CONTEXT.CREATE("market.2959",A2961,"USD","SOFR")</f>
        <v/>
      </c>
      <c r="D2961" s="8">
        <f>QS.CONTEXT.ADD.CURVE(C2961,"SOFR",$K$2:$K$7,$L$2:$L$7,,,"Actual360","LogLinear",TRUE)</f>
        <v/>
      </c>
      <c r="E2961" s="8">
        <f>QS.INSTRUMENT.SWAP("swap.2959",C2961,H2961,B2961,"USD","SOFR",I2961,J2961,0,"Actual360","Simple","Annual","Annual","Annual")</f>
        <v/>
      </c>
      <c r="F2961" s="8">
        <f>QS.TRADE.CREATE("trade.2959",C2961,E2961,A2961,"Receive")</f>
        <v/>
      </c>
      <c r="G2961" s="5"/>
      <c r="H2961" s="7" t="s">
        <v>2309</v>
      </c>
      <c r="I2961" s="9">
        <v>1295900</v>
      </c>
      <c r="J2961" s="10">
        <v>0.0359</v>
      </c>
    </row>
    <row r="2962" spans="1:10">
      <c r="A2962" s="7" t="s">
        <v>2297</v>
      </c>
      <c r="B2962" s="7" t="s">
        <v>4829</v>
      </c>
      <c r="C2962" s="8">
        <f>QS.CONTEXT.CREATE("market.2960",A2962,"USD","SOFR")</f>
        <v/>
      </c>
      <c r="D2962" s="8">
        <f>QS.CONTEXT.ADD.CURVE(C2962,"SOFR",$K$2:$K$7,$L$2:$L$7,,,"Actual360","LogLinear",TRUE)</f>
        <v/>
      </c>
      <c r="E2962" s="8">
        <f>QS.INSTRUMENT.SWAP("swap.2960",C2962,H2962,B2962,"USD","SOFR",I2962,J2962,0,"Actual360","Simple","Annual","Annual","Annual")</f>
        <v/>
      </c>
      <c r="F2962" s="8">
        <f>QS.TRADE.CREATE("trade.2960",C2962,E2962,A2962,"Receive")</f>
        <v/>
      </c>
      <c r="G2962" s="5"/>
      <c r="H2962" s="7" t="s">
        <v>2311</v>
      </c>
      <c r="I2962" s="9">
        <v>1296000</v>
      </c>
      <c r="J2962" s="10">
        <v>0.036</v>
      </c>
    </row>
    <row r="2963" spans="1:10">
      <c r="A2963" s="7" t="s">
        <v>2299</v>
      </c>
      <c r="B2963" s="7" t="s">
        <v>4830</v>
      </c>
      <c r="C2963" s="8">
        <f>QS.CONTEXT.CREATE("market.2961",A2963,"USD","SOFR")</f>
        <v/>
      </c>
      <c r="D2963" s="8">
        <f>QS.CONTEXT.ADD.CURVE(C2963,"SOFR",$K$2:$K$7,$L$2:$L$7,,,"Actual360","LogLinear",TRUE)</f>
        <v/>
      </c>
      <c r="E2963" s="8">
        <f>QS.INSTRUMENT.SWAP("swap.2961",C2963,H2963,B2963,"USD","SOFR",I2963,J2963,0,"Actual360","Simple","Annual","Annual","Annual")</f>
        <v/>
      </c>
      <c r="F2963" s="8">
        <f>QS.TRADE.CREATE("trade.2961",C2963,E2963,A2963,"Receive")</f>
        <v/>
      </c>
      <c r="G2963" s="5"/>
      <c r="H2963" s="7" t="s">
        <v>2313</v>
      </c>
      <c r="I2963" s="9">
        <v>1296100</v>
      </c>
      <c r="J2963" s="10">
        <v>0.0361</v>
      </c>
    </row>
    <row r="2964" spans="1:10">
      <c r="A2964" s="7" t="s">
        <v>2301</v>
      </c>
      <c r="B2964" s="7" t="s">
        <v>4831</v>
      </c>
      <c r="C2964" s="8">
        <f>QS.CONTEXT.CREATE("market.2962",A2964,"USD","SOFR")</f>
        <v/>
      </c>
      <c r="D2964" s="8">
        <f>QS.CONTEXT.ADD.CURVE(C2964,"SOFR",$K$2:$K$7,$L$2:$L$7,,,"Actual360","LogLinear",TRUE)</f>
        <v/>
      </c>
      <c r="E2964" s="8">
        <f>QS.INSTRUMENT.SWAP("swap.2962",C2964,H2964,B2964,"USD","SOFR",I2964,J2964,0,"Actual360","Simple","Annual","Annual","Annual")</f>
        <v/>
      </c>
      <c r="F2964" s="8">
        <f>QS.TRADE.CREATE("trade.2962",C2964,E2964,A2964,"Receive")</f>
        <v/>
      </c>
      <c r="G2964" s="5"/>
      <c r="H2964" s="7" t="s">
        <v>2315</v>
      </c>
      <c r="I2964" s="9">
        <v>1296200</v>
      </c>
      <c r="J2964" s="10">
        <v>0.0362</v>
      </c>
    </row>
    <row r="2965" spans="1:10">
      <c r="A2965" s="7" t="s">
        <v>2303</v>
      </c>
      <c r="B2965" s="7" t="s">
        <v>4832</v>
      </c>
      <c r="C2965" s="8">
        <f>QS.CONTEXT.CREATE("market.2963",A2965,"USD","SOFR")</f>
        <v/>
      </c>
      <c r="D2965" s="8">
        <f>QS.CONTEXT.ADD.CURVE(C2965,"SOFR",$K$2:$K$7,$L$2:$L$7,,,"Actual360","LogLinear",TRUE)</f>
        <v/>
      </c>
      <c r="E2965" s="8">
        <f>QS.INSTRUMENT.SWAP("swap.2963",C2965,H2965,B2965,"USD","SOFR",I2965,J2965,0,"Actual360","Simple","Annual","Annual","Annual")</f>
        <v/>
      </c>
      <c r="F2965" s="8">
        <f>QS.TRADE.CREATE("trade.2963",C2965,E2965,A2965,"Receive")</f>
        <v/>
      </c>
      <c r="G2965" s="5"/>
      <c r="H2965" s="7" t="s">
        <v>2317</v>
      </c>
      <c r="I2965" s="9">
        <v>1296300</v>
      </c>
      <c r="J2965" s="10">
        <v>0.03630000000000001</v>
      </c>
    </row>
    <row r="2966" spans="1:10">
      <c r="A2966" s="7" t="s">
        <v>2305</v>
      </c>
      <c r="B2966" s="7" t="s">
        <v>4833</v>
      </c>
      <c r="C2966" s="8">
        <f>QS.CONTEXT.CREATE("market.2964",A2966,"USD","SOFR")</f>
        <v/>
      </c>
      <c r="D2966" s="8">
        <f>QS.CONTEXT.ADD.CURVE(C2966,"SOFR",$K$2:$K$7,$L$2:$L$7,,,"Actual360","LogLinear",TRUE)</f>
        <v/>
      </c>
      <c r="E2966" s="8">
        <f>QS.INSTRUMENT.SWAP("swap.2964",C2966,H2966,B2966,"USD","SOFR",I2966,J2966,0,"Actual360","Simple","Annual","Annual","Annual")</f>
        <v/>
      </c>
      <c r="F2966" s="8">
        <f>QS.TRADE.CREATE("trade.2964",C2966,E2966,A2966,"Receive")</f>
        <v/>
      </c>
      <c r="G2966" s="5"/>
      <c r="H2966" s="7" t="s">
        <v>2319</v>
      </c>
      <c r="I2966" s="9">
        <v>1296400</v>
      </c>
      <c r="J2966" s="10">
        <v>0.0364</v>
      </c>
    </row>
    <row r="2967" spans="1:10">
      <c r="A2967" s="7" t="s">
        <v>2307</v>
      </c>
      <c r="B2967" s="7" t="s">
        <v>4834</v>
      </c>
      <c r="C2967" s="8">
        <f>QS.CONTEXT.CREATE("market.2965",A2967,"USD","SOFR")</f>
        <v/>
      </c>
      <c r="D2967" s="8">
        <f>QS.CONTEXT.ADD.CURVE(C2967,"SOFR",$K$2:$K$7,$L$2:$L$7,,,"Actual360","LogLinear",TRUE)</f>
        <v/>
      </c>
      <c r="E2967" s="8">
        <f>QS.INSTRUMENT.SWAP("swap.2965",C2967,H2967,B2967,"USD","SOFR",I2967,J2967,0,"Actual360","Simple","Annual","Annual","Annual")</f>
        <v/>
      </c>
      <c r="F2967" s="8">
        <f>QS.TRADE.CREATE("trade.2965",C2967,E2967,A2967,"Receive")</f>
        <v/>
      </c>
      <c r="G2967" s="5"/>
      <c r="H2967" s="7" t="s">
        <v>2321</v>
      </c>
      <c r="I2967" s="9">
        <v>1296500</v>
      </c>
      <c r="J2967" s="10">
        <v>0.0365</v>
      </c>
    </row>
    <row r="2968" spans="1:10">
      <c r="A2968" s="7" t="s">
        <v>2309</v>
      </c>
      <c r="B2968" s="7" t="s">
        <v>4835</v>
      </c>
      <c r="C2968" s="8">
        <f>QS.CONTEXT.CREATE("market.2966",A2968,"USD","SOFR")</f>
        <v/>
      </c>
      <c r="D2968" s="8">
        <f>QS.CONTEXT.ADD.CURVE(C2968,"SOFR",$K$2:$K$7,$L$2:$L$7,,,"Actual360","LogLinear",TRUE)</f>
        <v/>
      </c>
      <c r="E2968" s="8">
        <f>QS.INSTRUMENT.SWAP("swap.2966",C2968,H2968,B2968,"USD","SOFR",I2968,J2968,0,"Actual360","Simple","Annual","Annual","Annual")</f>
        <v/>
      </c>
      <c r="F2968" s="8">
        <f>QS.TRADE.CREATE("trade.2966",C2968,E2968,A2968,"Receive")</f>
        <v/>
      </c>
      <c r="G2968" s="5"/>
      <c r="H2968" s="7" t="s">
        <v>2323</v>
      </c>
      <c r="I2968" s="9">
        <v>1296600</v>
      </c>
      <c r="J2968" s="10">
        <v>0.0366</v>
      </c>
    </row>
    <row r="2969" spans="1:10">
      <c r="A2969" s="7" t="s">
        <v>2311</v>
      </c>
      <c r="B2969" s="7" t="s">
        <v>4836</v>
      </c>
      <c r="C2969" s="8">
        <f>QS.CONTEXT.CREATE("market.2967",A2969,"USD","SOFR")</f>
        <v/>
      </c>
      <c r="D2969" s="8">
        <f>QS.CONTEXT.ADD.CURVE(C2969,"SOFR",$K$2:$K$7,$L$2:$L$7,,,"Actual360","LogLinear",TRUE)</f>
        <v/>
      </c>
      <c r="E2969" s="8">
        <f>QS.INSTRUMENT.SWAP("swap.2967",C2969,H2969,B2969,"USD","SOFR",I2969,J2969,0,"Actual360","Simple","Annual","Annual","Annual")</f>
        <v/>
      </c>
      <c r="F2969" s="8">
        <f>QS.TRADE.CREATE("trade.2967",C2969,E2969,A2969,"Receive")</f>
        <v/>
      </c>
      <c r="G2969" s="5"/>
      <c r="H2969" s="7" t="s">
        <v>2325</v>
      </c>
      <c r="I2969" s="9">
        <v>1296700</v>
      </c>
      <c r="J2969" s="10">
        <v>0.0367</v>
      </c>
    </row>
    <row r="2970" spans="1:10">
      <c r="A2970" s="7" t="s">
        <v>2313</v>
      </c>
      <c r="B2970" s="7" t="s">
        <v>4837</v>
      </c>
      <c r="C2970" s="8">
        <f>QS.CONTEXT.CREATE("market.2968",A2970,"USD","SOFR")</f>
        <v/>
      </c>
      <c r="D2970" s="8">
        <f>QS.CONTEXT.ADD.CURVE(C2970,"SOFR",$K$2:$K$7,$L$2:$L$7,,,"Actual360","LogLinear",TRUE)</f>
        <v/>
      </c>
      <c r="E2970" s="8">
        <f>QS.INSTRUMENT.SWAP("swap.2968",C2970,H2970,B2970,"USD","SOFR",I2970,J2970,0,"Actual360","Simple","Annual","Annual","Annual")</f>
        <v/>
      </c>
      <c r="F2970" s="8">
        <f>QS.TRADE.CREATE("trade.2968",C2970,E2970,A2970,"Receive")</f>
        <v/>
      </c>
      <c r="G2970" s="5"/>
      <c r="H2970" s="7" t="s">
        <v>2327</v>
      </c>
      <c r="I2970" s="9">
        <v>1296800</v>
      </c>
      <c r="J2970" s="10">
        <v>0.03680000000000001</v>
      </c>
    </row>
    <row r="2971" spans="1:10">
      <c r="A2971" s="7" t="s">
        <v>2315</v>
      </c>
      <c r="B2971" s="7" t="s">
        <v>4838</v>
      </c>
      <c r="C2971" s="8">
        <f>QS.CONTEXT.CREATE("market.2969",A2971,"USD","SOFR")</f>
        <v/>
      </c>
      <c r="D2971" s="8">
        <f>QS.CONTEXT.ADD.CURVE(C2971,"SOFR",$K$2:$K$7,$L$2:$L$7,,,"Actual360","LogLinear",TRUE)</f>
        <v/>
      </c>
      <c r="E2971" s="8">
        <f>QS.INSTRUMENT.SWAP("swap.2969",C2971,H2971,B2971,"USD","SOFR",I2971,J2971,0,"Actual360","Simple","Annual","Annual","Annual")</f>
        <v/>
      </c>
      <c r="F2971" s="8">
        <f>QS.TRADE.CREATE("trade.2969",C2971,E2971,A2971,"Receive")</f>
        <v/>
      </c>
      <c r="G2971" s="5"/>
      <c r="H2971" s="7" t="s">
        <v>2329</v>
      </c>
      <c r="I2971" s="9">
        <v>1296900</v>
      </c>
      <c r="J2971" s="10">
        <v>0.0369</v>
      </c>
    </row>
    <row r="2972" spans="1:10">
      <c r="A2972" s="7" t="s">
        <v>2317</v>
      </c>
      <c r="B2972" s="7" t="s">
        <v>4839</v>
      </c>
      <c r="C2972" s="8">
        <f>QS.CONTEXT.CREATE("market.2970",A2972,"USD","SOFR")</f>
        <v/>
      </c>
      <c r="D2972" s="8">
        <f>QS.CONTEXT.ADD.CURVE(C2972,"SOFR",$K$2:$K$7,$L$2:$L$7,,,"Actual360","LogLinear",TRUE)</f>
        <v/>
      </c>
      <c r="E2972" s="8">
        <f>QS.INSTRUMENT.SWAP("swap.2970",C2972,H2972,B2972,"USD","SOFR",I2972,J2972,0,"Actual360","Simple","Annual","Annual","Annual")</f>
        <v/>
      </c>
      <c r="F2972" s="8">
        <f>QS.TRADE.CREATE("trade.2970",C2972,E2972,A2972,"Receive")</f>
        <v/>
      </c>
      <c r="G2972" s="5"/>
      <c r="H2972" s="7" t="s">
        <v>2331</v>
      </c>
      <c r="I2972" s="9">
        <v>1297000</v>
      </c>
      <c r="J2972" s="10">
        <v>0.03700000000000001</v>
      </c>
    </row>
    <row r="2973" spans="1:10">
      <c r="A2973" s="7" t="s">
        <v>2319</v>
      </c>
      <c r="B2973" s="7" t="s">
        <v>4840</v>
      </c>
      <c r="C2973" s="8">
        <f>QS.CONTEXT.CREATE("market.2971",A2973,"USD","SOFR")</f>
        <v/>
      </c>
      <c r="D2973" s="8">
        <f>QS.CONTEXT.ADD.CURVE(C2973,"SOFR",$K$2:$K$7,$L$2:$L$7,,,"Actual360","LogLinear",TRUE)</f>
        <v/>
      </c>
      <c r="E2973" s="8">
        <f>QS.INSTRUMENT.SWAP("swap.2971",C2973,H2973,B2973,"USD","SOFR",I2973,J2973,0,"Actual360","Simple","Annual","Annual","Annual")</f>
        <v/>
      </c>
      <c r="F2973" s="8">
        <f>QS.TRADE.CREATE("trade.2971",C2973,E2973,A2973,"Receive")</f>
        <v/>
      </c>
      <c r="G2973" s="5"/>
      <c r="H2973" s="7" t="s">
        <v>2333</v>
      </c>
      <c r="I2973" s="9">
        <v>1297100</v>
      </c>
      <c r="J2973" s="10">
        <v>0.0371</v>
      </c>
    </row>
    <row r="2974" spans="1:10">
      <c r="A2974" s="7" t="s">
        <v>2321</v>
      </c>
      <c r="B2974" s="7" t="s">
        <v>4841</v>
      </c>
      <c r="C2974" s="8">
        <f>QS.CONTEXT.CREATE("market.2972",A2974,"USD","SOFR")</f>
        <v/>
      </c>
      <c r="D2974" s="8">
        <f>QS.CONTEXT.ADD.CURVE(C2974,"SOFR",$K$2:$K$7,$L$2:$L$7,,,"Actual360","LogLinear",TRUE)</f>
        <v/>
      </c>
      <c r="E2974" s="8">
        <f>QS.INSTRUMENT.SWAP("swap.2972",C2974,H2974,B2974,"USD","SOFR",I2974,J2974,0,"Actual360","Simple","Annual","Annual","Annual")</f>
        <v/>
      </c>
      <c r="F2974" s="8">
        <f>QS.TRADE.CREATE("trade.2972",C2974,E2974,A2974,"Receive")</f>
        <v/>
      </c>
      <c r="G2974" s="5"/>
      <c r="H2974" s="7" t="s">
        <v>2335</v>
      </c>
      <c r="I2974" s="9">
        <v>1297200</v>
      </c>
      <c r="J2974" s="10">
        <v>0.0372</v>
      </c>
    </row>
    <row r="2975" spans="1:10">
      <c r="A2975" s="7" t="s">
        <v>2323</v>
      </c>
      <c r="B2975" s="7" t="s">
        <v>4842</v>
      </c>
      <c r="C2975" s="8">
        <f>QS.CONTEXT.CREATE("market.2973",A2975,"USD","SOFR")</f>
        <v/>
      </c>
      <c r="D2975" s="8">
        <f>QS.CONTEXT.ADD.CURVE(C2975,"SOFR",$K$2:$K$7,$L$2:$L$7,,,"Actual360","LogLinear",TRUE)</f>
        <v/>
      </c>
      <c r="E2975" s="8">
        <f>QS.INSTRUMENT.SWAP("swap.2973",C2975,H2975,B2975,"USD","SOFR",I2975,J2975,0,"Actual360","Simple","Annual","Annual","Annual")</f>
        <v/>
      </c>
      <c r="F2975" s="8">
        <f>QS.TRADE.CREATE("trade.2973",C2975,E2975,A2975,"Receive")</f>
        <v/>
      </c>
      <c r="G2975" s="5"/>
      <c r="H2975" s="7" t="s">
        <v>2337</v>
      </c>
      <c r="I2975" s="9">
        <v>1297300</v>
      </c>
      <c r="J2975" s="10">
        <v>0.0373</v>
      </c>
    </row>
    <row r="2976" spans="1:10">
      <c r="A2976" s="7" t="s">
        <v>2325</v>
      </c>
      <c r="B2976" s="7" t="s">
        <v>4843</v>
      </c>
      <c r="C2976" s="8">
        <f>QS.CONTEXT.CREATE("market.2974",A2976,"USD","SOFR")</f>
        <v/>
      </c>
      <c r="D2976" s="8">
        <f>QS.CONTEXT.ADD.CURVE(C2976,"SOFR",$K$2:$K$7,$L$2:$L$7,,,"Actual360","LogLinear",TRUE)</f>
        <v/>
      </c>
      <c r="E2976" s="8">
        <f>QS.INSTRUMENT.SWAP("swap.2974",C2976,H2976,B2976,"USD","SOFR",I2976,J2976,0,"Actual360","Simple","Annual","Annual","Annual")</f>
        <v/>
      </c>
      <c r="F2976" s="8">
        <f>QS.TRADE.CREATE("trade.2974",C2976,E2976,A2976,"Receive")</f>
        <v/>
      </c>
      <c r="G2976" s="5"/>
      <c r="H2976" s="7" t="s">
        <v>2339</v>
      </c>
      <c r="I2976" s="9">
        <v>1297400</v>
      </c>
      <c r="J2976" s="10">
        <v>0.0374</v>
      </c>
    </row>
    <row r="2977" spans="1:10">
      <c r="A2977" s="7" t="s">
        <v>2327</v>
      </c>
      <c r="B2977" s="7" t="s">
        <v>4844</v>
      </c>
      <c r="C2977" s="8">
        <f>QS.CONTEXT.CREATE("market.2975",A2977,"USD","SOFR")</f>
        <v/>
      </c>
      <c r="D2977" s="8">
        <f>QS.CONTEXT.ADD.CURVE(C2977,"SOFR",$K$2:$K$7,$L$2:$L$7,,,"Actual360","LogLinear",TRUE)</f>
        <v/>
      </c>
      <c r="E2977" s="8">
        <f>QS.INSTRUMENT.SWAP("swap.2975",C2977,H2977,B2977,"USD","SOFR",I2977,J2977,0,"Actual360","Simple","Annual","Annual","Annual")</f>
        <v/>
      </c>
      <c r="F2977" s="8">
        <f>QS.TRADE.CREATE("trade.2975",C2977,E2977,A2977,"Receive")</f>
        <v/>
      </c>
      <c r="G2977" s="5"/>
      <c r="H2977" s="7" t="s">
        <v>2341</v>
      </c>
      <c r="I2977" s="9">
        <v>1297500</v>
      </c>
      <c r="J2977" s="10">
        <v>0.03750000000000001</v>
      </c>
    </row>
    <row r="2978" spans="1:10">
      <c r="A2978" s="7" t="s">
        <v>2329</v>
      </c>
      <c r="B2978" s="7" t="s">
        <v>4845</v>
      </c>
      <c r="C2978" s="8">
        <f>QS.CONTEXT.CREATE("market.2976",A2978,"USD","SOFR")</f>
        <v/>
      </c>
      <c r="D2978" s="8">
        <f>QS.CONTEXT.ADD.CURVE(C2978,"SOFR",$K$2:$K$7,$L$2:$L$7,,,"Actual360","LogLinear",TRUE)</f>
        <v/>
      </c>
      <c r="E2978" s="8">
        <f>QS.INSTRUMENT.SWAP("swap.2976",C2978,H2978,B2978,"USD","SOFR",I2978,J2978,0,"Actual360","Simple","Annual","Annual","Annual")</f>
        <v/>
      </c>
      <c r="F2978" s="8">
        <f>QS.TRADE.CREATE("trade.2976",C2978,E2978,A2978,"Receive")</f>
        <v/>
      </c>
      <c r="G2978" s="5"/>
      <c r="H2978" s="7" t="s">
        <v>2343</v>
      </c>
      <c r="I2978" s="9">
        <v>1297600</v>
      </c>
      <c r="J2978" s="10">
        <v>0.0376</v>
      </c>
    </row>
    <row r="2979" spans="1:10">
      <c r="A2979" s="7" t="s">
        <v>2331</v>
      </c>
      <c r="B2979" s="7" t="s">
        <v>4846</v>
      </c>
      <c r="C2979" s="8">
        <f>QS.CONTEXT.CREATE("market.2977",A2979,"USD","SOFR")</f>
        <v/>
      </c>
      <c r="D2979" s="8">
        <f>QS.CONTEXT.ADD.CURVE(C2979,"SOFR",$K$2:$K$7,$L$2:$L$7,,,"Actual360","LogLinear",TRUE)</f>
        <v/>
      </c>
      <c r="E2979" s="8">
        <f>QS.INSTRUMENT.SWAP("swap.2977",C2979,H2979,B2979,"USD","SOFR",I2979,J2979,0,"Actual360","Simple","Annual","Annual","Annual")</f>
        <v/>
      </c>
      <c r="F2979" s="8">
        <f>QS.TRADE.CREATE("trade.2977",C2979,E2979,A2979,"Receive")</f>
        <v/>
      </c>
      <c r="G2979" s="5"/>
      <c r="H2979" s="7" t="s">
        <v>2345</v>
      </c>
      <c r="I2979" s="9">
        <v>1297700</v>
      </c>
      <c r="J2979" s="10">
        <v>0.0377</v>
      </c>
    </row>
    <row r="2980" spans="1:10">
      <c r="A2980" s="7" t="s">
        <v>2333</v>
      </c>
      <c r="B2980" s="7" t="s">
        <v>4847</v>
      </c>
      <c r="C2980" s="8">
        <f>QS.CONTEXT.CREATE("market.2978",A2980,"USD","SOFR")</f>
        <v/>
      </c>
      <c r="D2980" s="8">
        <f>QS.CONTEXT.ADD.CURVE(C2980,"SOFR",$K$2:$K$7,$L$2:$L$7,,,"Actual360","LogLinear",TRUE)</f>
        <v/>
      </c>
      <c r="E2980" s="8">
        <f>QS.INSTRUMENT.SWAP("swap.2978",C2980,H2980,B2980,"USD","SOFR",I2980,J2980,0,"Actual360","Simple","Annual","Annual","Annual")</f>
        <v/>
      </c>
      <c r="F2980" s="8">
        <f>QS.TRADE.CREATE("trade.2978",C2980,E2980,A2980,"Receive")</f>
        <v/>
      </c>
      <c r="G2980" s="5"/>
      <c r="H2980" s="7" t="s">
        <v>2347</v>
      </c>
      <c r="I2980" s="9">
        <v>1297800</v>
      </c>
      <c r="J2980" s="10">
        <v>0.0378</v>
      </c>
    </row>
    <row r="2981" spans="1:10">
      <c r="A2981" s="7" t="s">
        <v>2335</v>
      </c>
      <c r="B2981" s="7" t="s">
        <v>4848</v>
      </c>
      <c r="C2981" s="8">
        <f>QS.CONTEXT.CREATE("market.2979",A2981,"USD","SOFR")</f>
        <v/>
      </c>
      <c r="D2981" s="8">
        <f>QS.CONTEXT.ADD.CURVE(C2981,"SOFR",$K$2:$K$7,$L$2:$L$7,,,"Actual360","LogLinear",TRUE)</f>
        <v/>
      </c>
      <c r="E2981" s="8">
        <f>QS.INSTRUMENT.SWAP("swap.2979",C2981,H2981,B2981,"USD","SOFR",I2981,J2981,0,"Actual360","Simple","Annual","Annual","Annual")</f>
        <v/>
      </c>
      <c r="F2981" s="8">
        <f>QS.TRADE.CREATE("trade.2979",C2981,E2981,A2981,"Receive")</f>
        <v/>
      </c>
      <c r="G2981" s="5"/>
      <c r="H2981" s="7" t="s">
        <v>2349</v>
      </c>
      <c r="I2981" s="9">
        <v>1297900</v>
      </c>
      <c r="J2981" s="10">
        <v>0.0379</v>
      </c>
    </row>
    <row r="2982" spans="1:10">
      <c r="A2982" s="7" t="s">
        <v>2337</v>
      </c>
      <c r="B2982" s="7" t="s">
        <v>4849</v>
      </c>
      <c r="C2982" s="8">
        <f>QS.CONTEXT.CREATE("market.2980",A2982,"USD","SOFR")</f>
        <v/>
      </c>
      <c r="D2982" s="8">
        <f>QS.CONTEXT.ADD.CURVE(C2982,"SOFR",$K$2:$K$7,$L$2:$L$7,,,"Actual360","LogLinear",TRUE)</f>
        <v/>
      </c>
      <c r="E2982" s="8">
        <f>QS.INSTRUMENT.SWAP("swap.2980",C2982,H2982,B2982,"USD","SOFR",I2982,J2982,0,"Actual360","Simple","Annual","Annual","Annual")</f>
        <v/>
      </c>
      <c r="F2982" s="8">
        <f>QS.TRADE.CREATE("trade.2980",C2982,E2982,A2982,"Receive")</f>
        <v/>
      </c>
      <c r="G2982" s="5"/>
      <c r="H2982" s="7" t="s">
        <v>2351</v>
      </c>
      <c r="I2982" s="9">
        <v>1298000</v>
      </c>
      <c r="J2982" s="10">
        <v>0.03800000000000001</v>
      </c>
    </row>
    <row r="2983" spans="1:10">
      <c r="A2983" s="7" t="s">
        <v>2339</v>
      </c>
      <c r="B2983" s="7" t="s">
        <v>4850</v>
      </c>
      <c r="C2983" s="8">
        <f>QS.CONTEXT.CREATE("market.2981",A2983,"USD","SOFR")</f>
        <v/>
      </c>
      <c r="D2983" s="8">
        <f>QS.CONTEXT.ADD.CURVE(C2983,"SOFR",$K$2:$K$7,$L$2:$L$7,,,"Actual360","LogLinear",TRUE)</f>
        <v/>
      </c>
      <c r="E2983" s="8">
        <f>QS.INSTRUMENT.SWAP("swap.2981",C2983,H2983,B2983,"USD","SOFR",I2983,J2983,0,"Actual360","Simple","Annual","Annual","Annual")</f>
        <v/>
      </c>
      <c r="F2983" s="8">
        <f>QS.TRADE.CREATE("trade.2981",C2983,E2983,A2983,"Receive")</f>
        <v/>
      </c>
      <c r="G2983" s="5"/>
      <c r="H2983" s="7" t="s">
        <v>2353</v>
      </c>
      <c r="I2983" s="9">
        <v>1298100</v>
      </c>
      <c r="J2983" s="10">
        <v>0.0381</v>
      </c>
    </row>
    <row r="2984" spans="1:10">
      <c r="A2984" s="7" t="s">
        <v>2341</v>
      </c>
      <c r="B2984" s="7" t="s">
        <v>4851</v>
      </c>
      <c r="C2984" s="8">
        <f>QS.CONTEXT.CREATE("market.2982",A2984,"USD","SOFR")</f>
        <v/>
      </c>
      <c r="D2984" s="8">
        <f>QS.CONTEXT.ADD.CURVE(C2984,"SOFR",$K$2:$K$7,$L$2:$L$7,,,"Actual360","LogLinear",TRUE)</f>
        <v/>
      </c>
      <c r="E2984" s="8">
        <f>QS.INSTRUMENT.SWAP("swap.2982",C2984,H2984,B2984,"USD","SOFR",I2984,J2984,0,"Actual360","Simple","Annual","Annual","Annual")</f>
        <v/>
      </c>
      <c r="F2984" s="8">
        <f>QS.TRADE.CREATE("trade.2982",C2984,E2984,A2984,"Receive")</f>
        <v/>
      </c>
      <c r="G2984" s="5"/>
      <c r="H2984" s="7" t="s">
        <v>2355</v>
      </c>
      <c r="I2984" s="9">
        <v>1298200</v>
      </c>
      <c r="J2984" s="10">
        <v>0.0382</v>
      </c>
    </row>
    <row r="2985" spans="1:10">
      <c r="A2985" s="7" t="s">
        <v>2343</v>
      </c>
      <c r="B2985" s="7" t="s">
        <v>4852</v>
      </c>
      <c r="C2985" s="8">
        <f>QS.CONTEXT.CREATE("market.2983",A2985,"USD","SOFR")</f>
        <v/>
      </c>
      <c r="D2985" s="8">
        <f>QS.CONTEXT.ADD.CURVE(C2985,"SOFR",$K$2:$K$7,$L$2:$L$7,,,"Actual360","LogLinear",TRUE)</f>
        <v/>
      </c>
      <c r="E2985" s="8">
        <f>QS.INSTRUMENT.SWAP("swap.2983",C2985,H2985,B2985,"USD","SOFR",I2985,J2985,0,"Actual360","Simple","Annual","Annual","Annual")</f>
        <v/>
      </c>
      <c r="F2985" s="8">
        <f>QS.TRADE.CREATE("trade.2983",C2985,E2985,A2985,"Receive")</f>
        <v/>
      </c>
      <c r="G2985" s="5"/>
      <c r="H2985" s="7" t="s">
        <v>2357</v>
      </c>
      <c r="I2985" s="9">
        <v>1298300</v>
      </c>
      <c r="J2985" s="10">
        <v>0.0383</v>
      </c>
    </row>
    <row r="2986" spans="1:10">
      <c r="A2986" s="7" t="s">
        <v>2345</v>
      </c>
      <c r="B2986" s="7" t="s">
        <v>4853</v>
      </c>
      <c r="C2986" s="8">
        <f>QS.CONTEXT.CREATE("market.2984",A2986,"USD","SOFR")</f>
        <v/>
      </c>
      <c r="D2986" s="8">
        <f>QS.CONTEXT.ADD.CURVE(C2986,"SOFR",$K$2:$K$7,$L$2:$L$7,,,"Actual360","LogLinear",TRUE)</f>
        <v/>
      </c>
      <c r="E2986" s="8">
        <f>QS.INSTRUMENT.SWAP("swap.2984",C2986,H2986,B2986,"USD","SOFR",I2986,J2986,0,"Actual360","Simple","Annual","Annual","Annual")</f>
        <v/>
      </c>
      <c r="F2986" s="8">
        <f>QS.TRADE.CREATE("trade.2984",C2986,E2986,A2986,"Receive")</f>
        <v/>
      </c>
      <c r="G2986" s="5"/>
      <c r="H2986" s="7" t="s">
        <v>2359</v>
      </c>
      <c r="I2986" s="9">
        <v>1298400</v>
      </c>
      <c r="J2986" s="10">
        <v>0.0384</v>
      </c>
    </row>
    <row r="2987" spans="1:10">
      <c r="A2987" s="7" t="s">
        <v>2347</v>
      </c>
      <c r="B2987" s="7" t="s">
        <v>4854</v>
      </c>
      <c r="C2987" s="8">
        <f>QS.CONTEXT.CREATE("market.2985",A2987,"USD","SOFR")</f>
        <v/>
      </c>
      <c r="D2987" s="8">
        <f>QS.CONTEXT.ADD.CURVE(C2987,"SOFR",$K$2:$K$7,$L$2:$L$7,,,"Actual360","LogLinear",TRUE)</f>
        <v/>
      </c>
      <c r="E2987" s="8">
        <f>QS.INSTRUMENT.SWAP("swap.2985",C2987,H2987,B2987,"USD","SOFR",I2987,J2987,0,"Actual360","Simple","Annual","Annual","Annual")</f>
        <v/>
      </c>
      <c r="F2987" s="8">
        <f>QS.TRADE.CREATE("trade.2985",C2987,E2987,A2987,"Receive")</f>
        <v/>
      </c>
      <c r="G2987" s="5"/>
      <c r="H2987" s="7" t="s">
        <v>2361</v>
      </c>
      <c r="I2987" s="9">
        <v>1298500</v>
      </c>
      <c r="J2987" s="10">
        <v>0.03850000000000001</v>
      </c>
    </row>
    <row r="2988" spans="1:10">
      <c r="A2988" s="7" t="s">
        <v>2349</v>
      </c>
      <c r="B2988" s="7" t="s">
        <v>4855</v>
      </c>
      <c r="C2988" s="8">
        <f>QS.CONTEXT.CREATE("market.2986",A2988,"USD","SOFR")</f>
        <v/>
      </c>
      <c r="D2988" s="8">
        <f>QS.CONTEXT.ADD.CURVE(C2988,"SOFR",$K$2:$K$7,$L$2:$L$7,,,"Actual360","LogLinear",TRUE)</f>
        <v/>
      </c>
      <c r="E2988" s="8">
        <f>QS.INSTRUMENT.SWAP("swap.2986",C2988,H2988,B2988,"USD","SOFR",I2988,J2988,0,"Actual360","Simple","Annual","Annual","Annual")</f>
        <v/>
      </c>
      <c r="F2988" s="8">
        <f>QS.TRADE.CREATE("trade.2986",C2988,E2988,A2988,"Receive")</f>
        <v/>
      </c>
      <c r="G2988" s="5"/>
      <c r="H2988" s="7" t="s">
        <v>2363</v>
      </c>
      <c r="I2988" s="9">
        <v>1298600</v>
      </c>
      <c r="J2988" s="10">
        <v>0.0386</v>
      </c>
    </row>
    <row r="2989" spans="1:10">
      <c r="A2989" s="7" t="s">
        <v>2351</v>
      </c>
      <c r="B2989" s="7" t="s">
        <v>4856</v>
      </c>
      <c r="C2989" s="8">
        <f>QS.CONTEXT.CREATE("market.2987",A2989,"USD","SOFR")</f>
        <v/>
      </c>
      <c r="D2989" s="8">
        <f>QS.CONTEXT.ADD.CURVE(C2989,"SOFR",$K$2:$K$7,$L$2:$L$7,,,"Actual360","LogLinear",TRUE)</f>
        <v/>
      </c>
      <c r="E2989" s="8">
        <f>QS.INSTRUMENT.SWAP("swap.2987",C2989,H2989,B2989,"USD","SOFR",I2989,J2989,0,"Actual360","Simple","Annual","Annual","Annual")</f>
        <v/>
      </c>
      <c r="F2989" s="8">
        <f>QS.TRADE.CREATE("trade.2987",C2989,E2989,A2989,"Receive")</f>
        <v/>
      </c>
      <c r="G2989" s="5"/>
      <c r="H2989" s="7" t="s">
        <v>2365</v>
      </c>
      <c r="I2989" s="9">
        <v>1298700</v>
      </c>
      <c r="J2989" s="10">
        <v>0.03870000000000001</v>
      </c>
    </row>
    <row r="2990" spans="1:10">
      <c r="A2990" s="7" t="s">
        <v>2353</v>
      </c>
      <c r="B2990" s="7" t="s">
        <v>4857</v>
      </c>
      <c r="C2990" s="8">
        <f>QS.CONTEXT.CREATE("market.2988",A2990,"USD","SOFR")</f>
        <v/>
      </c>
      <c r="D2990" s="8">
        <f>QS.CONTEXT.ADD.CURVE(C2990,"SOFR",$K$2:$K$7,$L$2:$L$7,,,"Actual360","LogLinear",TRUE)</f>
        <v/>
      </c>
      <c r="E2990" s="8">
        <f>QS.INSTRUMENT.SWAP("swap.2988",C2990,H2990,B2990,"USD","SOFR",I2990,J2990,0,"Actual360","Simple","Annual","Annual","Annual")</f>
        <v/>
      </c>
      <c r="F2990" s="8">
        <f>QS.TRADE.CREATE("trade.2988",C2990,E2990,A2990,"Receive")</f>
        <v/>
      </c>
      <c r="G2990" s="5"/>
      <c r="H2990" s="7" t="s">
        <v>2367</v>
      </c>
      <c r="I2990" s="9">
        <v>1298800</v>
      </c>
      <c r="J2990" s="10">
        <v>0.0388</v>
      </c>
    </row>
    <row r="2991" spans="1:10">
      <c r="A2991" s="7" t="s">
        <v>2355</v>
      </c>
      <c r="B2991" s="7" t="s">
        <v>4858</v>
      </c>
      <c r="C2991" s="8">
        <f>QS.CONTEXT.CREATE("market.2989",A2991,"USD","SOFR")</f>
        <v/>
      </c>
      <c r="D2991" s="8">
        <f>QS.CONTEXT.ADD.CURVE(C2991,"SOFR",$K$2:$K$7,$L$2:$L$7,,,"Actual360","LogLinear",TRUE)</f>
        <v/>
      </c>
      <c r="E2991" s="8">
        <f>QS.INSTRUMENT.SWAP("swap.2989",C2991,H2991,B2991,"USD","SOFR",I2991,J2991,0,"Actual360","Simple","Annual","Annual","Annual")</f>
        <v/>
      </c>
      <c r="F2991" s="8">
        <f>QS.TRADE.CREATE("trade.2989",C2991,E2991,A2991,"Receive")</f>
        <v/>
      </c>
      <c r="G2991" s="5"/>
      <c r="H2991" s="7" t="s">
        <v>2369</v>
      </c>
      <c r="I2991" s="9">
        <v>1298900</v>
      </c>
      <c r="J2991" s="10">
        <v>0.0389</v>
      </c>
    </row>
    <row r="2992" spans="1:10">
      <c r="A2992" s="7" t="s">
        <v>2357</v>
      </c>
      <c r="B2992" s="7" t="s">
        <v>4859</v>
      </c>
      <c r="C2992" s="8">
        <f>QS.CONTEXT.CREATE("market.2990",A2992,"USD","SOFR")</f>
        <v/>
      </c>
      <c r="D2992" s="8">
        <f>QS.CONTEXT.ADD.CURVE(C2992,"SOFR",$K$2:$K$7,$L$2:$L$7,,,"Actual360","LogLinear",TRUE)</f>
        <v/>
      </c>
      <c r="E2992" s="8">
        <f>QS.INSTRUMENT.SWAP("swap.2990",C2992,H2992,B2992,"USD","SOFR",I2992,J2992,0,"Actual360","Simple","Annual","Annual","Annual")</f>
        <v/>
      </c>
      <c r="F2992" s="8">
        <f>QS.TRADE.CREATE("trade.2990",C2992,E2992,A2992,"Receive")</f>
        <v/>
      </c>
      <c r="G2992" s="5"/>
      <c r="H2992" s="7" t="s">
        <v>2371</v>
      </c>
      <c r="I2992" s="9">
        <v>1299000</v>
      </c>
      <c r="J2992" s="10">
        <v>0.03900000000000001</v>
      </c>
    </row>
    <row r="2993" spans="1:10">
      <c r="A2993" s="7" t="s">
        <v>2359</v>
      </c>
      <c r="B2993" s="7" t="s">
        <v>4860</v>
      </c>
      <c r="C2993" s="8">
        <f>QS.CONTEXT.CREATE("market.2991",A2993,"USD","SOFR")</f>
        <v/>
      </c>
      <c r="D2993" s="8">
        <f>QS.CONTEXT.ADD.CURVE(C2993,"SOFR",$K$2:$K$7,$L$2:$L$7,,,"Actual360","LogLinear",TRUE)</f>
        <v/>
      </c>
      <c r="E2993" s="8">
        <f>QS.INSTRUMENT.SWAP("swap.2991",C2993,H2993,B2993,"USD","SOFR",I2993,J2993,0,"Actual360","Simple","Annual","Annual","Annual")</f>
        <v/>
      </c>
      <c r="F2993" s="8">
        <f>QS.TRADE.CREATE("trade.2991",C2993,E2993,A2993,"Receive")</f>
        <v/>
      </c>
      <c r="G2993" s="5"/>
      <c r="H2993" s="7" t="s">
        <v>2373</v>
      </c>
      <c r="I2993" s="9">
        <v>1299100</v>
      </c>
      <c r="J2993" s="10">
        <v>0.0391</v>
      </c>
    </row>
    <row r="2994" spans="1:10">
      <c r="A2994" s="7" t="s">
        <v>2361</v>
      </c>
      <c r="B2994" s="7" t="s">
        <v>4861</v>
      </c>
      <c r="C2994" s="8">
        <f>QS.CONTEXT.CREATE("market.2992",A2994,"USD","SOFR")</f>
        <v/>
      </c>
      <c r="D2994" s="8">
        <f>QS.CONTEXT.ADD.CURVE(C2994,"SOFR",$K$2:$K$7,$L$2:$L$7,,,"Actual360","LogLinear",TRUE)</f>
        <v/>
      </c>
      <c r="E2994" s="8">
        <f>QS.INSTRUMENT.SWAP("swap.2992",C2994,H2994,B2994,"USD","SOFR",I2994,J2994,0,"Actual360","Simple","Annual","Annual","Annual")</f>
        <v/>
      </c>
      <c r="F2994" s="8">
        <f>QS.TRADE.CREATE("trade.2992",C2994,E2994,A2994,"Receive")</f>
        <v/>
      </c>
      <c r="G2994" s="5"/>
      <c r="H2994" s="7" t="s">
        <v>2375</v>
      </c>
      <c r="I2994" s="9">
        <v>1299200</v>
      </c>
      <c r="J2994" s="10">
        <v>0.03920000000000001</v>
      </c>
    </row>
    <row r="2995" spans="1:10">
      <c r="A2995" s="7" t="s">
        <v>2363</v>
      </c>
      <c r="B2995" s="7" t="s">
        <v>4862</v>
      </c>
      <c r="C2995" s="8">
        <f>QS.CONTEXT.CREATE("market.2993",A2995,"USD","SOFR")</f>
        <v/>
      </c>
      <c r="D2995" s="8">
        <f>QS.CONTEXT.ADD.CURVE(C2995,"SOFR",$K$2:$K$7,$L$2:$L$7,,,"Actual360","LogLinear",TRUE)</f>
        <v/>
      </c>
      <c r="E2995" s="8">
        <f>QS.INSTRUMENT.SWAP("swap.2993",C2995,H2995,B2995,"USD","SOFR",I2995,J2995,0,"Actual360","Simple","Annual","Annual","Annual")</f>
        <v/>
      </c>
      <c r="F2995" s="8">
        <f>QS.TRADE.CREATE("trade.2993",C2995,E2995,A2995,"Receive")</f>
        <v/>
      </c>
      <c r="G2995" s="5"/>
      <c r="H2995" s="7" t="s">
        <v>2377</v>
      </c>
      <c r="I2995" s="9">
        <v>1299300</v>
      </c>
      <c r="J2995" s="10">
        <v>0.0393</v>
      </c>
    </row>
    <row r="2996" spans="1:10">
      <c r="A2996" s="7" t="s">
        <v>2365</v>
      </c>
      <c r="B2996" s="7" t="s">
        <v>4863</v>
      </c>
      <c r="C2996" s="8">
        <f>QS.CONTEXT.CREATE("market.2994",A2996,"USD","SOFR")</f>
        <v/>
      </c>
      <c r="D2996" s="8">
        <f>QS.CONTEXT.ADD.CURVE(C2996,"SOFR",$K$2:$K$7,$L$2:$L$7,,,"Actual360","LogLinear",TRUE)</f>
        <v/>
      </c>
      <c r="E2996" s="8">
        <f>QS.INSTRUMENT.SWAP("swap.2994",C2996,H2996,B2996,"USD","SOFR",I2996,J2996,0,"Actual360","Simple","Annual","Annual","Annual")</f>
        <v/>
      </c>
      <c r="F2996" s="8">
        <f>QS.TRADE.CREATE("trade.2994",C2996,E2996,A2996,"Receive")</f>
        <v/>
      </c>
      <c r="G2996" s="5"/>
      <c r="H2996" s="7" t="s">
        <v>2379</v>
      </c>
      <c r="I2996" s="9">
        <v>1299400</v>
      </c>
      <c r="J2996" s="10">
        <v>0.0394</v>
      </c>
    </row>
    <row r="2997" spans="1:10">
      <c r="A2997" s="7" t="s">
        <v>2367</v>
      </c>
      <c r="B2997" s="7" t="s">
        <v>4864</v>
      </c>
      <c r="C2997" s="8">
        <f>QS.CONTEXT.CREATE("market.2995",A2997,"USD","SOFR")</f>
        <v/>
      </c>
      <c r="D2997" s="8">
        <f>QS.CONTEXT.ADD.CURVE(C2997,"SOFR",$K$2:$K$7,$L$2:$L$7,,,"Actual360","LogLinear",TRUE)</f>
        <v/>
      </c>
      <c r="E2997" s="8">
        <f>QS.INSTRUMENT.SWAP("swap.2995",C2997,H2997,B2997,"USD","SOFR",I2997,J2997,0,"Actual360","Simple","Annual","Annual","Annual")</f>
        <v/>
      </c>
      <c r="F2997" s="8">
        <f>QS.TRADE.CREATE("trade.2995",C2997,E2997,A2997,"Receive")</f>
        <v/>
      </c>
      <c r="G2997" s="5"/>
      <c r="H2997" s="7" t="s">
        <v>2381</v>
      </c>
      <c r="I2997" s="9">
        <v>1299500</v>
      </c>
      <c r="J2997" s="10">
        <v>0.03950000000000001</v>
      </c>
    </row>
    <row r="2998" spans="1:10">
      <c r="A2998" s="7" t="s">
        <v>2369</v>
      </c>
      <c r="B2998" s="7" t="s">
        <v>4865</v>
      </c>
      <c r="C2998" s="8">
        <f>QS.CONTEXT.CREATE("market.2996",A2998,"USD","SOFR")</f>
        <v/>
      </c>
      <c r="D2998" s="8">
        <f>QS.CONTEXT.ADD.CURVE(C2998,"SOFR",$K$2:$K$7,$L$2:$L$7,,,"Actual360","LogLinear",TRUE)</f>
        <v/>
      </c>
      <c r="E2998" s="8">
        <f>QS.INSTRUMENT.SWAP("swap.2996",C2998,H2998,B2998,"USD","SOFR",I2998,J2998,0,"Actual360","Simple","Annual","Annual","Annual")</f>
        <v/>
      </c>
      <c r="F2998" s="8">
        <f>QS.TRADE.CREATE("trade.2996",C2998,E2998,A2998,"Receive")</f>
        <v/>
      </c>
      <c r="G2998" s="5"/>
      <c r="H2998" s="7" t="s">
        <v>2383</v>
      </c>
      <c r="I2998" s="9">
        <v>1299600</v>
      </c>
      <c r="J2998" s="10">
        <v>0.0396</v>
      </c>
    </row>
    <row r="2999" spans="1:10">
      <c r="A2999" s="7" t="s">
        <v>2371</v>
      </c>
      <c r="B2999" s="7" t="s">
        <v>4866</v>
      </c>
      <c r="C2999" s="8">
        <f>QS.CONTEXT.CREATE("market.2997",A2999,"USD","SOFR")</f>
        <v/>
      </c>
      <c r="D2999" s="8">
        <f>QS.CONTEXT.ADD.CURVE(C2999,"SOFR",$K$2:$K$7,$L$2:$L$7,,,"Actual360","LogLinear",TRUE)</f>
        <v/>
      </c>
      <c r="E2999" s="8">
        <f>QS.INSTRUMENT.SWAP("swap.2997",C2999,H2999,B2999,"USD","SOFR",I2999,J2999,0,"Actual360","Simple","Annual","Annual","Annual")</f>
        <v/>
      </c>
      <c r="F2999" s="8">
        <f>QS.TRADE.CREATE("trade.2997",C2999,E2999,A2999,"Receive")</f>
        <v/>
      </c>
      <c r="G2999" s="5"/>
      <c r="H2999" s="7" t="s">
        <v>2385</v>
      </c>
      <c r="I2999" s="9">
        <v>1299700</v>
      </c>
      <c r="J2999" s="10">
        <v>0.03970000000000001</v>
      </c>
    </row>
    <row r="3000" spans="1:10">
      <c r="A3000" s="7" t="s">
        <v>2373</v>
      </c>
      <c r="B3000" s="7" t="s">
        <v>4867</v>
      </c>
      <c r="C3000" s="8">
        <f>QS.CONTEXT.CREATE("market.2998",A3000,"USD","SOFR")</f>
        <v/>
      </c>
      <c r="D3000" s="8">
        <f>QS.CONTEXT.ADD.CURVE(C3000,"SOFR",$K$2:$K$7,$L$2:$L$7,,,"Actual360","LogLinear",TRUE)</f>
        <v/>
      </c>
      <c r="E3000" s="8">
        <f>QS.INSTRUMENT.SWAP("swap.2998",C3000,H3000,B3000,"USD","SOFR",I3000,J3000,0,"Actual360","Simple","Annual","Annual","Annual")</f>
        <v/>
      </c>
      <c r="F3000" s="8">
        <f>QS.TRADE.CREATE("trade.2998",C3000,E3000,A3000,"Receive")</f>
        <v/>
      </c>
      <c r="G3000" s="5"/>
      <c r="H3000" s="7" t="s">
        <v>2387</v>
      </c>
      <c r="I3000" s="9">
        <v>1299800</v>
      </c>
      <c r="J3000" s="10">
        <v>0.0398</v>
      </c>
    </row>
    <row r="3001" spans="1:10">
      <c r="A3001" s="7" t="s">
        <v>2375</v>
      </c>
      <c r="B3001" s="7" t="s">
        <v>4868</v>
      </c>
      <c r="C3001" s="8">
        <f>QS.CONTEXT.CREATE("market.2999",A3001,"USD","SOFR")</f>
        <v/>
      </c>
      <c r="D3001" s="8">
        <f>QS.CONTEXT.ADD.CURVE(C3001,"SOFR",$K$2:$K$7,$L$2:$L$7,,,"Actual360","LogLinear",TRUE)</f>
        <v/>
      </c>
      <c r="E3001" s="8">
        <f>QS.INSTRUMENT.SWAP("swap.2999",C3001,H3001,B3001,"USD","SOFR",I3001,J3001,0,"Actual360","Simple","Annual","Annual","Annual")</f>
        <v/>
      </c>
      <c r="F3001" s="8">
        <f>QS.TRADE.CREATE("trade.2999",C3001,E3001,A3001,"Receive")</f>
        <v/>
      </c>
      <c r="G3001" s="5"/>
      <c r="H3001" s="7" t="s">
        <v>2389</v>
      </c>
      <c r="I3001" s="9">
        <v>1299900</v>
      </c>
      <c r="J3001" s="10">
        <v>0.0399</v>
      </c>
    </row>
    <row r="3002" spans="1:10">
      <c r="A3002" s="7" t="s">
        <v>2377</v>
      </c>
      <c r="B3002" s="7" t="s">
        <v>4869</v>
      </c>
      <c r="C3002" s="8">
        <f>QS.CONTEXT.CREATE("market.3000",A3002,"USD","SOFR")</f>
        <v/>
      </c>
      <c r="D3002" s="8">
        <f>QS.CONTEXT.ADD.CURVE(C3002,"SOFR",$K$2:$K$7,$L$2:$L$7,,,"Actual360","LogLinear",TRUE)</f>
        <v/>
      </c>
      <c r="E3002" s="8">
        <f>QS.INSTRUMENT.SWAP("swap.3000",C3002,H3002,B3002,"USD","SOFR",I3002,J3002,0,"Actual360","Simple","Annual","Annual","Annual")</f>
        <v/>
      </c>
      <c r="F3002" s="8">
        <f>QS.TRADE.CREATE("trade.3000",C3002,E3002,A3002,"Receive")</f>
        <v/>
      </c>
      <c r="G3002" s="5"/>
      <c r="H3002" s="7" t="s">
        <v>2391</v>
      </c>
      <c r="I3002" s="9">
        <v>1300000</v>
      </c>
      <c r="J3002" s="10">
        <v>0.035</v>
      </c>
    </row>
    <row r="3003" spans="1:10">
      <c r="A3003" s="7" t="s">
        <v>2379</v>
      </c>
      <c r="B3003" s="7" t="s">
        <v>4870</v>
      </c>
      <c r="C3003" s="8">
        <f>QS.CONTEXT.CREATE("market.3001",A3003,"USD","SOFR")</f>
        <v/>
      </c>
      <c r="D3003" s="8">
        <f>QS.CONTEXT.ADD.CURVE(C3003,"SOFR",$K$2:$K$7,$L$2:$L$7,,,"Actual360","LogLinear",TRUE)</f>
        <v/>
      </c>
      <c r="E3003" s="8">
        <f>QS.INSTRUMENT.SWAP("swap.3001",C3003,H3003,B3003,"USD","SOFR",I3003,J3003,0,"Actual360","Simple","Annual","Annual","Annual")</f>
        <v/>
      </c>
      <c r="F3003" s="8">
        <f>QS.TRADE.CREATE("trade.3001",C3003,E3003,A3003,"Receive")</f>
        <v/>
      </c>
      <c r="G3003" s="5"/>
      <c r="H3003" s="7" t="s">
        <v>2393</v>
      </c>
      <c r="I3003" s="9">
        <v>1300100</v>
      </c>
      <c r="J3003" s="10">
        <v>0.03510000000000001</v>
      </c>
    </row>
    <row r="3004" spans="1:10">
      <c r="A3004" s="7" t="s">
        <v>2381</v>
      </c>
      <c r="B3004" s="7" t="s">
        <v>4871</v>
      </c>
      <c r="C3004" s="8">
        <f>QS.CONTEXT.CREATE("market.3002",A3004,"USD","SOFR")</f>
        <v/>
      </c>
      <c r="D3004" s="8">
        <f>QS.CONTEXT.ADD.CURVE(C3004,"SOFR",$K$2:$K$7,$L$2:$L$7,,,"Actual360","LogLinear",TRUE)</f>
        <v/>
      </c>
      <c r="E3004" s="8">
        <f>QS.INSTRUMENT.SWAP("swap.3002",C3004,H3004,B3004,"USD","SOFR",I3004,J3004,0,"Actual360","Simple","Annual","Annual","Annual")</f>
        <v/>
      </c>
      <c r="F3004" s="8">
        <f>QS.TRADE.CREATE("trade.3002",C3004,E3004,A3004,"Receive")</f>
        <v/>
      </c>
      <c r="G3004" s="5"/>
      <c r="H3004" s="7" t="s">
        <v>2395</v>
      </c>
      <c r="I3004" s="9">
        <v>1300200</v>
      </c>
      <c r="J3004" s="10">
        <v>0.0352</v>
      </c>
    </row>
    <row r="3005" spans="1:10">
      <c r="A3005" s="7" t="s">
        <v>2383</v>
      </c>
      <c r="B3005" s="7" t="s">
        <v>4872</v>
      </c>
      <c r="C3005" s="8">
        <f>QS.CONTEXT.CREATE("market.3003",A3005,"USD","SOFR")</f>
        <v/>
      </c>
      <c r="D3005" s="8">
        <f>QS.CONTEXT.ADD.CURVE(C3005,"SOFR",$K$2:$K$7,$L$2:$L$7,,,"Actual360","LogLinear",TRUE)</f>
        <v/>
      </c>
      <c r="E3005" s="8">
        <f>QS.INSTRUMENT.SWAP("swap.3003",C3005,H3005,B3005,"USD","SOFR",I3005,J3005,0,"Actual360","Simple","Annual","Annual","Annual")</f>
        <v/>
      </c>
      <c r="F3005" s="8">
        <f>QS.TRADE.CREATE("trade.3003",C3005,E3005,A3005,"Receive")</f>
        <v/>
      </c>
      <c r="G3005" s="5"/>
      <c r="H3005" s="7" t="s">
        <v>2397</v>
      </c>
      <c r="I3005" s="9">
        <v>1300300</v>
      </c>
      <c r="J3005" s="10">
        <v>0.0353</v>
      </c>
    </row>
    <row r="3006" spans="1:10">
      <c r="A3006" s="7" t="s">
        <v>2385</v>
      </c>
      <c r="B3006" s="7" t="s">
        <v>4873</v>
      </c>
      <c r="C3006" s="8">
        <f>QS.CONTEXT.CREATE("market.3004",A3006,"USD","SOFR")</f>
        <v/>
      </c>
      <c r="D3006" s="8">
        <f>QS.CONTEXT.ADD.CURVE(C3006,"SOFR",$K$2:$K$7,$L$2:$L$7,,,"Actual360","LogLinear",TRUE)</f>
        <v/>
      </c>
      <c r="E3006" s="8">
        <f>QS.INSTRUMENT.SWAP("swap.3004",C3006,H3006,B3006,"USD","SOFR",I3006,J3006,0,"Actual360","Simple","Annual","Annual","Annual")</f>
        <v/>
      </c>
      <c r="F3006" s="8">
        <f>QS.TRADE.CREATE("trade.3004",C3006,E3006,A3006,"Receive")</f>
        <v/>
      </c>
      <c r="G3006" s="5"/>
      <c r="H3006" s="7" t="s">
        <v>2399</v>
      </c>
      <c r="I3006" s="9">
        <v>1300400</v>
      </c>
      <c r="J3006" s="10">
        <v>0.0354</v>
      </c>
    </row>
    <row r="3007" spans="1:10">
      <c r="A3007" s="7" t="s">
        <v>2387</v>
      </c>
      <c r="B3007" s="7" t="s">
        <v>4874</v>
      </c>
      <c r="C3007" s="8">
        <f>QS.CONTEXT.CREATE("market.3005",A3007,"USD","SOFR")</f>
        <v/>
      </c>
      <c r="D3007" s="8">
        <f>QS.CONTEXT.ADD.CURVE(C3007,"SOFR",$K$2:$K$7,$L$2:$L$7,,,"Actual360","LogLinear",TRUE)</f>
        <v/>
      </c>
      <c r="E3007" s="8">
        <f>QS.INSTRUMENT.SWAP("swap.3005",C3007,H3007,B3007,"USD","SOFR",I3007,J3007,0,"Actual360","Simple","Annual","Annual","Annual")</f>
        <v/>
      </c>
      <c r="F3007" s="8">
        <f>QS.TRADE.CREATE("trade.3005",C3007,E3007,A3007,"Receive")</f>
        <v/>
      </c>
      <c r="G3007" s="5"/>
      <c r="H3007" s="7" t="s">
        <v>2401</v>
      </c>
      <c r="I3007" s="9">
        <v>1300500</v>
      </c>
      <c r="J3007" s="10">
        <v>0.0355</v>
      </c>
    </row>
    <row r="3008" spans="1:10">
      <c r="A3008" s="7" t="s">
        <v>2389</v>
      </c>
      <c r="B3008" s="7" t="s">
        <v>4875</v>
      </c>
      <c r="C3008" s="8">
        <f>QS.CONTEXT.CREATE("market.3006",A3008,"USD","SOFR")</f>
        <v/>
      </c>
      <c r="D3008" s="8">
        <f>QS.CONTEXT.ADD.CURVE(C3008,"SOFR",$K$2:$K$7,$L$2:$L$7,,,"Actual360","LogLinear",TRUE)</f>
        <v/>
      </c>
      <c r="E3008" s="8">
        <f>QS.INSTRUMENT.SWAP("swap.3006",C3008,H3008,B3008,"USD","SOFR",I3008,J3008,0,"Actual360","Simple","Annual","Annual","Annual")</f>
        <v/>
      </c>
      <c r="F3008" s="8">
        <f>QS.TRADE.CREATE("trade.3006",C3008,E3008,A3008,"Receive")</f>
        <v/>
      </c>
      <c r="G3008" s="5"/>
      <c r="H3008" s="7" t="s">
        <v>2403</v>
      </c>
      <c r="I3008" s="9">
        <v>1300600</v>
      </c>
      <c r="J3008" s="10">
        <v>0.03560000000000001</v>
      </c>
    </row>
    <row r="3009" spans="1:10">
      <c r="A3009" s="7" t="s">
        <v>2391</v>
      </c>
      <c r="B3009" s="7" t="s">
        <v>4876</v>
      </c>
      <c r="C3009" s="8">
        <f>QS.CONTEXT.CREATE("market.3007",A3009,"USD","SOFR")</f>
        <v/>
      </c>
      <c r="D3009" s="8">
        <f>QS.CONTEXT.ADD.CURVE(C3009,"SOFR",$K$2:$K$7,$L$2:$L$7,,,"Actual360","LogLinear",TRUE)</f>
        <v/>
      </c>
      <c r="E3009" s="8">
        <f>QS.INSTRUMENT.SWAP("swap.3007",C3009,H3009,B3009,"USD","SOFR",I3009,J3009,0,"Actual360","Simple","Annual","Annual","Annual")</f>
        <v/>
      </c>
      <c r="F3009" s="8">
        <f>QS.TRADE.CREATE("trade.3007",C3009,E3009,A3009,"Receive")</f>
        <v/>
      </c>
      <c r="G3009" s="5"/>
      <c r="H3009" s="7" t="s">
        <v>2405</v>
      </c>
      <c r="I3009" s="9">
        <v>1300700</v>
      </c>
      <c r="J3009" s="10">
        <v>0.0357</v>
      </c>
    </row>
    <row r="3010" spans="1:10">
      <c r="A3010" s="7" t="s">
        <v>2393</v>
      </c>
      <c r="B3010" s="7" t="s">
        <v>4877</v>
      </c>
      <c r="C3010" s="8">
        <f>QS.CONTEXT.CREATE("market.3008",A3010,"USD","SOFR")</f>
        <v/>
      </c>
      <c r="D3010" s="8">
        <f>QS.CONTEXT.ADD.CURVE(C3010,"SOFR",$K$2:$K$7,$L$2:$L$7,,,"Actual360","LogLinear",TRUE)</f>
        <v/>
      </c>
      <c r="E3010" s="8">
        <f>QS.INSTRUMENT.SWAP("swap.3008",C3010,H3010,B3010,"USD","SOFR",I3010,J3010,0,"Actual360","Simple","Annual","Annual","Annual")</f>
        <v/>
      </c>
      <c r="F3010" s="8">
        <f>QS.TRADE.CREATE("trade.3008",C3010,E3010,A3010,"Receive")</f>
        <v/>
      </c>
      <c r="G3010" s="5"/>
      <c r="H3010" s="7" t="s">
        <v>2407</v>
      </c>
      <c r="I3010" s="9">
        <v>1300800</v>
      </c>
      <c r="J3010" s="10">
        <v>0.03580000000000001</v>
      </c>
    </row>
    <row r="3011" spans="1:10">
      <c r="A3011" s="7" t="s">
        <v>2395</v>
      </c>
      <c r="B3011" s="7" t="s">
        <v>4878</v>
      </c>
      <c r="C3011" s="8">
        <f>QS.CONTEXT.CREATE("market.3009",A3011,"USD","SOFR")</f>
        <v/>
      </c>
      <c r="D3011" s="8">
        <f>QS.CONTEXT.ADD.CURVE(C3011,"SOFR",$K$2:$K$7,$L$2:$L$7,,,"Actual360","LogLinear",TRUE)</f>
        <v/>
      </c>
      <c r="E3011" s="8">
        <f>QS.INSTRUMENT.SWAP("swap.3009",C3011,H3011,B3011,"USD","SOFR",I3011,J3011,0,"Actual360","Simple","Annual","Annual","Annual")</f>
        <v/>
      </c>
      <c r="F3011" s="8">
        <f>QS.TRADE.CREATE("trade.3009",C3011,E3011,A3011,"Receive")</f>
        <v/>
      </c>
      <c r="G3011" s="5"/>
      <c r="H3011" s="7" t="s">
        <v>2409</v>
      </c>
      <c r="I3011" s="9">
        <v>1300900</v>
      </c>
      <c r="J3011" s="10">
        <v>0.0359</v>
      </c>
    </row>
    <row r="3012" spans="1:10">
      <c r="A3012" s="7" t="s">
        <v>2397</v>
      </c>
      <c r="B3012" s="7" t="s">
        <v>4879</v>
      </c>
      <c r="C3012" s="8">
        <f>QS.CONTEXT.CREATE("market.3010",A3012,"USD","SOFR")</f>
        <v/>
      </c>
      <c r="D3012" s="8">
        <f>QS.CONTEXT.ADD.CURVE(C3012,"SOFR",$K$2:$K$7,$L$2:$L$7,,,"Actual360","LogLinear",TRUE)</f>
        <v/>
      </c>
      <c r="E3012" s="8">
        <f>QS.INSTRUMENT.SWAP("swap.3010",C3012,H3012,B3012,"USD","SOFR",I3012,J3012,0,"Actual360","Simple","Annual","Annual","Annual")</f>
        <v/>
      </c>
      <c r="F3012" s="8">
        <f>QS.TRADE.CREATE("trade.3010",C3012,E3012,A3012,"Receive")</f>
        <v/>
      </c>
      <c r="G3012" s="5"/>
      <c r="H3012" s="7" t="s">
        <v>2411</v>
      </c>
      <c r="I3012" s="9">
        <v>1301000</v>
      </c>
      <c r="J3012" s="10">
        <v>0.036</v>
      </c>
    </row>
    <row r="3013" spans="1:10">
      <c r="A3013" s="7" t="s">
        <v>2399</v>
      </c>
      <c r="B3013" s="7" t="s">
        <v>4880</v>
      </c>
      <c r="C3013" s="8">
        <f>QS.CONTEXT.CREATE("market.3011",A3013,"USD","SOFR")</f>
        <v/>
      </c>
      <c r="D3013" s="8">
        <f>QS.CONTEXT.ADD.CURVE(C3013,"SOFR",$K$2:$K$7,$L$2:$L$7,,,"Actual360","LogLinear",TRUE)</f>
        <v/>
      </c>
      <c r="E3013" s="8">
        <f>QS.INSTRUMENT.SWAP("swap.3011",C3013,H3013,B3013,"USD","SOFR",I3013,J3013,0,"Actual360","Simple","Annual","Annual","Annual")</f>
        <v/>
      </c>
      <c r="F3013" s="8">
        <f>QS.TRADE.CREATE("trade.3011",C3013,E3013,A3013,"Receive")</f>
        <v/>
      </c>
      <c r="G3013" s="5"/>
      <c r="H3013" s="7" t="s">
        <v>2413</v>
      </c>
      <c r="I3013" s="9">
        <v>1301100</v>
      </c>
      <c r="J3013" s="10">
        <v>0.0361</v>
      </c>
    </row>
    <row r="3014" spans="1:10">
      <c r="A3014" s="7" t="s">
        <v>2401</v>
      </c>
      <c r="B3014" s="7" t="s">
        <v>4881</v>
      </c>
      <c r="C3014" s="8">
        <f>QS.CONTEXT.CREATE("market.3012",A3014,"USD","SOFR")</f>
        <v/>
      </c>
      <c r="D3014" s="8">
        <f>QS.CONTEXT.ADD.CURVE(C3014,"SOFR",$K$2:$K$7,$L$2:$L$7,,,"Actual360","LogLinear",TRUE)</f>
        <v/>
      </c>
      <c r="E3014" s="8">
        <f>QS.INSTRUMENT.SWAP("swap.3012",C3014,H3014,B3014,"USD","SOFR",I3014,J3014,0,"Actual360","Simple","Annual","Annual","Annual")</f>
        <v/>
      </c>
      <c r="F3014" s="8">
        <f>QS.TRADE.CREATE("trade.3012",C3014,E3014,A3014,"Receive")</f>
        <v/>
      </c>
      <c r="G3014" s="5"/>
      <c r="H3014" s="7" t="s">
        <v>2415</v>
      </c>
      <c r="I3014" s="9">
        <v>1301200</v>
      </c>
      <c r="J3014" s="10">
        <v>0.0362</v>
      </c>
    </row>
    <row r="3015" spans="1:10">
      <c r="A3015" s="7" t="s">
        <v>2403</v>
      </c>
      <c r="B3015" s="7" t="s">
        <v>4882</v>
      </c>
      <c r="C3015" s="8">
        <f>QS.CONTEXT.CREATE("market.3013",A3015,"USD","SOFR")</f>
        <v/>
      </c>
      <c r="D3015" s="8">
        <f>QS.CONTEXT.ADD.CURVE(C3015,"SOFR",$K$2:$K$7,$L$2:$L$7,,,"Actual360","LogLinear",TRUE)</f>
        <v/>
      </c>
      <c r="E3015" s="8">
        <f>QS.INSTRUMENT.SWAP("swap.3013",C3015,H3015,B3015,"USD","SOFR",I3015,J3015,0,"Actual360","Simple","Annual","Annual","Annual")</f>
        <v/>
      </c>
      <c r="F3015" s="8">
        <f>QS.TRADE.CREATE("trade.3013",C3015,E3015,A3015,"Receive")</f>
        <v/>
      </c>
      <c r="G3015" s="5"/>
      <c r="H3015" s="7" t="s">
        <v>2417</v>
      </c>
      <c r="I3015" s="9">
        <v>1301300</v>
      </c>
      <c r="J3015" s="10">
        <v>0.03630000000000001</v>
      </c>
    </row>
    <row r="3016" spans="1:10">
      <c r="A3016" s="7" t="s">
        <v>2405</v>
      </c>
      <c r="B3016" s="7" t="s">
        <v>4883</v>
      </c>
      <c r="C3016" s="8">
        <f>QS.CONTEXT.CREATE("market.3014",A3016,"USD","SOFR")</f>
        <v/>
      </c>
      <c r="D3016" s="8">
        <f>QS.CONTEXT.ADD.CURVE(C3016,"SOFR",$K$2:$K$7,$L$2:$L$7,,,"Actual360","LogLinear",TRUE)</f>
        <v/>
      </c>
      <c r="E3016" s="8">
        <f>QS.INSTRUMENT.SWAP("swap.3014",C3016,H3016,B3016,"USD","SOFR",I3016,J3016,0,"Actual360","Simple","Annual","Annual","Annual")</f>
        <v/>
      </c>
      <c r="F3016" s="8">
        <f>QS.TRADE.CREATE("trade.3014",C3016,E3016,A3016,"Receive")</f>
        <v/>
      </c>
      <c r="G3016" s="5"/>
      <c r="H3016" s="7" t="s">
        <v>2419</v>
      </c>
      <c r="I3016" s="9">
        <v>1301400</v>
      </c>
      <c r="J3016" s="10">
        <v>0.0364</v>
      </c>
    </row>
    <row r="3017" spans="1:10">
      <c r="A3017" s="7" t="s">
        <v>2407</v>
      </c>
      <c r="B3017" s="7" t="s">
        <v>4884</v>
      </c>
      <c r="C3017" s="8">
        <f>QS.CONTEXT.CREATE("market.3015",A3017,"USD","SOFR")</f>
        <v/>
      </c>
      <c r="D3017" s="8">
        <f>QS.CONTEXT.ADD.CURVE(C3017,"SOFR",$K$2:$K$7,$L$2:$L$7,,,"Actual360","LogLinear",TRUE)</f>
        <v/>
      </c>
      <c r="E3017" s="8">
        <f>QS.INSTRUMENT.SWAP("swap.3015",C3017,H3017,B3017,"USD","SOFR",I3017,J3017,0,"Actual360","Simple","Annual","Annual","Annual")</f>
        <v/>
      </c>
      <c r="F3017" s="8">
        <f>QS.TRADE.CREATE("trade.3015",C3017,E3017,A3017,"Receive")</f>
        <v/>
      </c>
      <c r="G3017" s="5"/>
      <c r="H3017" s="7" t="s">
        <v>2421</v>
      </c>
      <c r="I3017" s="9">
        <v>1301500</v>
      </c>
      <c r="J3017" s="10">
        <v>0.0365</v>
      </c>
    </row>
    <row r="3018" spans="1:10">
      <c r="A3018" s="7" t="s">
        <v>2409</v>
      </c>
      <c r="B3018" s="7" t="s">
        <v>4885</v>
      </c>
      <c r="C3018" s="8">
        <f>QS.CONTEXT.CREATE("market.3016",A3018,"USD","SOFR")</f>
        <v/>
      </c>
      <c r="D3018" s="8">
        <f>QS.CONTEXT.ADD.CURVE(C3018,"SOFR",$K$2:$K$7,$L$2:$L$7,,,"Actual360","LogLinear",TRUE)</f>
        <v/>
      </c>
      <c r="E3018" s="8">
        <f>QS.INSTRUMENT.SWAP("swap.3016",C3018,H3018,B3018,"USD","SOFR",I3018,J3018,0,"Actual360","Simple","Annual","Annual","Annual")</f>
        <v/>
      </c>
      <c r="F3018" s="8">
        <f>QS.TRADE.CREATE("trade.3016",C3018,E3018,A3018,"Receive")</f>
        <v/>
      </c>
      <c r="G3018" s="5"/>
      <c r="H3018" s="7" t="s">
        <v>2423</v>
      </c>
      <c r="I3018" s="9">
        <v>1301600</v>
      </c>
      <c r="J3018" s="10">
        <v>0.0366</v>
      </c>
    </row>
    <row r="3019" spans="1:10">
      <c r="A3019" s="7" t="s">
        <v>2411</v>
      </c>
      <c r="B3019" s="7" t="s">
        <v>4886</v>
      </c>
      <c r="C3019" s="8">
        <f>QS.CONTEXT.CREATE("market.3017",A3019,"USD","SOFR")</f>
        <v/>
      </c>
      <c r="D3019" s="8">
        <f>QS.CONTEXT.ADD.CURVE(C3019,"SOFR",$K$2:$K$7,$L$2:$L$7,,,"Actual360","LogLinear",TRUE)</f>
        <v/>
      </c>
      <c r="E3019" s="8">
        <f>QS.INSTRUMENT.SWAP("swap.3017",C3019,H3019,B3019,"USD","SOFR",I3019,J3019,0,"Actual360","Simple","Annual","Annual","Annual")</f>
        <v/>
      </c>
      <c r="F3019" s="8">
        <f>QS.TRADE.CREATE("trade.3017",C3019,E3019,A3019,"Receive")</f>
        <v/>
      </c>
      <c r="G3019" s="5"/>
      <c r="H3019" s="7" t="s">
        <v>2425</v>
      </c>
      <c r="I3019" s="9">
        <v>1301700</v>
      </c>
      <c r="J3019" s="10">
        <v>0.0367</v>
      </c>
    </row>
    <row r="3020" spans="1:10">
      <c r="A3020" s="7" t="s">
        <v>2413</v>
      </c>
      <c r="B3020" s="7" t="s">
        <v>4887</v>
      </c>
      <c r="C3020" s="8">
        <f>QS.CONTEXT.CREATE("market.3018",A3020,"USD","SOFR")</f>
        <v/>
      </c>
      <c r="D3020" s="8">
        <f>QS.CONTEXT.ADD.CURVE(C3020,"SOFR",$K$2:$K$7,$L$2:$L$7,,,"Actual360","LogLinear",TRUE)</f>
        <v/>
      </c>
      <c r="E3020" s="8">
        <f>QS.INSTRUMENT.SWAP("swap.3018",C3020,H3020,B3020,"USD","SOFR",I3020,J3020,0,"Actual360","Simple","Annual","Annual","Annual")</f>
        <v/>
      </c>
      <c r="F3020" s="8">
        <f>QS.TRADE.CREATE("trade.3018",C3020,E3020,A3020,"Receive")</f>
        <v/>
      </c>
      <c r="G3020" s="5"/>
      <c r="H3020" s="7" t="s">
        <v>2427</v>
      </c>
      <c r="I3020" s="9">
        <v>1301800</v>
      </c>
      <c r="J3020" s="10">
        <v>0.03680000000000001</v>
      </c>
    </row>
    <row r="3021" spans="1:10">
      <c r="A3021" s="7" t="s">
        <v>2415</v>
      </c>
      <c r="B3021" s="7" t="s">
        <v>4888</v>
      </c>
      <c r="C3021" s="8">
        <f>QS.CONTEXT.CREATE("market.3019",A3021,"USD","SOFR")</f>
        <v/>
      </c>
      <c r="D3021" s="8">
        <f>QS.CONTEXT.ADD.CURVE(C3021,"SOFR",$K$2:$K$7,$L$2:$L$7,,,"Actual360","LogLinear",TRUE)</f>
        <v/>
      </c>
      <c r="E3021" s="8">
        <f>QS.INSTRUMENT.SWAP("swap.3019",C3021,H3021,B3021,"USD","SOFR",I3021,J3021,0,"Actual360","Simple","Annual","Annual","Annual")</f>
        <v/>
      </c>
      <c r="F3021" s="8">
        <f>QS.TRADE.CREATE("trade.3019",C3021,E3021,A3021,"Receive")</f>
        <v/>
      </c>
      <c r="G3021" s="5"/>
      <c r="H3021" s="7" t="s">
        <v>2429</v>
      </c>
      <c r="I3021" s="9">
        <v>1301900</v>
      </c>
      <c r="J3021" s="10">
        <v>0.0369</v>
      </c>
    </row>
    <row r="3022" spans="1:10">
      <c r="A3022" s="7" t="s">
        <v>2417</v>
      </c>
      <c r="B3022" s="7" t="s">
        <v>4889</v>
      </c>
      <c r="C3022" s="8">
        <f>QS.CONTEXT.CREATE("market.3020",A3022,"USD","SOFR")</f>
        <v/>
      </c>
      <c r="D3022" s="8">
        <f>QS.CONTEXT.ADD.CURVE(C3022,"SOFR",$K$2:$K$7,$L$2:$L$7,,,"Actual360","LogLinear",TRUE)</f>
        <v/>
      </c>
      <c r="E3022" s="8">
        <f>QS.INSTRUMENT.SWAP("swap.3020",C3022,H3022,B3022,"USD","SOFR",I3022,J3022,0,"Actual360","Simple","Annual","Annual","Annual")</f>
        <v/>
      </c>
      <c r="F3022" s="8">
        <f>QS.TRADE.CREATE("trade.3020",C3022,E3022,A3022,"Receive")</f>
        <v/>
      </c>
      <c r="G3022" s="5"/>
      <c r="H3022" s="7" t="s">
        <v>2431</v>
      </c>
      <c r="I3022" s="9">
        <v>1302000</v>
      </c>
      <c r="J3022" s="10">
        <v>0.03700000000000001</v>
      </c>
    </row>
    <row r="3023" spans="1:10">
      <c r="A3023" s="7" t="s">
        <v>2419</v>
      </c>
      <c r="B3023" s="7" t="s">
        <v>4890</v>
      </c>
      <c r="C3023" s="8">
        <f>QS.CONTEXT.CREATE("market.3021",A3023,"USD","SOFR")</f>
        <v/>
      </c>
      <c r="D3023" s="8">
        <f>QS.CONTEXT.ADD.CURVE(C3023,"SOFR",$K$2:$K$7,$L$2:$L$7,,,"Actual360","LogLinear",TRUE)</f>
        <v/>
      </c>
      <c r="E3023" s="8">
        <f>QS.INSTRUMENT.SWAP("swap.3021",C3023,H3023,B3023,"USD","SOFR",I3023,J3023,0,"Actual360","Simple","Annual","Annual","Annual")</f>
        <v/>
      </c>
      <c r="F3023" s="8">
        <f>QS.TRADE.CREATE("trade.3021",C3023,E3023,A3023,"Receive")</f>
        <v/>
      </c>
      <c r="G3023" s="5"/>
      <c r="H3023" s="7" t="s">
        <v>2433</v>
      </c>
      <c r="I3023" s="9">
        <v>1302100</v>
      </c>
      <c r="J3023" s="10">
        <v>0.0371</v>
      </c>
    </row>
    <row r="3024" spans="1:10">
      <c r="A3024" s="7" t="s">
        <v>2421</v>
      </c>
      <c r="B3024" s="7" t="s">
        <v>4891</v>
      </c>
      <c r="C3024" s="8">
        <f>QS.CONTEXT.CREATE("market.3022",A3024,"USD","SOFR")</f>
        <v/>
      </c>
      <c r="D3024" s="8">
        <f>QS.CONTEXT.ADD.CURVE(C3024,"SOFR",$K$2:$K$7,$L$2:$L$7,,,"Actual360","LogLinear",TRUE)</f>
        <v/>
      </c>
      <c r="E3024" s="8">
        <f>QS.INSTRUMENT.SWAP("swap.3022",C3024,H3024,B3024,"USD","SOFR",I3024,J3024,0,"Actual360","Simple","Annual","Annual","Annual")</f>
        <v/>
      </c>
      <c r="F3024" s="8">
        <f>QS.TRADE.CREATE("trade.3022",C3024,E3024,A3024,"Receive")</f>
        <v/>
      </c>
      <c r="G3024" s="5"/>
      <c r="H3024" s="7" t="s">
        <v>2435</v>
      </c>
      <c r="I3024" s="9">
        <v>1302200</v>
      </c>
      <c r="J3024" s="10">
        <v>0.0372</v>
      </c>
    </row>
    <row r="3025" spans="1:10">
      <c r="A3025" s="7" t="s">
        <v>2423</v>
      </c>
      <c r="B3025" s="7" t="s">
        <v>4892</v>
      </c>
      <c r="C3025" s="8">
        <f>QS.CONTEXT.CREATE("market.3023",A3025,"USD","SOFR")</f>
        <v/>
      </c>
      <c r="D3025" s="8">
        <f>QS.CONTEXT.ADD.CURVE(C3025,"SOFR",$K$2:$K$7,$L$2:$L$7,,,"Actual360","LogLinear",TRUE)</f>
        <v/>
      </c>
      <c r="E3025" s="8">
        <f>QS.INSTRUMENT.SWAP("swap.3023",C3025,H3025,B3025,"USD","SOFR",I3025,J3025,0,"Actual360","Simple","Annual","Annual","Annual")</f>
        <v/>
      </c>
      <c r="F3025" s="8">
        <f>QS.TRADE.CREATE("trade.3023",C3025,E3025,A3025,"Receive")</f>
        <v/>
      </c>
      <c r="G3025" s="5"/>
      <c r="H3025" s="7" t="s">
        <v>2437</v>
      </c>
      <c r="I3025" s="9">
        <v>1302300</v>
      </c>
      <c r="J3025" s="10">
        <v>0.0373</v>
      </c>
    </row>
    <row r="3026" spans="1:10">
      <c r="A3026" s="7" t="s">
        <v>2425</v>
      </c>
      <c r="B3026" s="7" t="s">
        <v>4893</v>
      </c>
      <c r="C3026" s="8">
        <f>QS.CONTEXT.CREATE("market.3024",A3026,"USD","SOFR")</f>
        <v/>
      </c>
      <c r="D3026" s="8">
        <f>QS.CONTEXT.ADD.CURVE(C3026,"SOFR",$K$2:$K$7,$L$2:$L$7,,,"Actual360","LogLinear",TRUE)</f>
        <v/>
      </c>
      <c r="E3026" s="8">
        <f>QS.INSTRUMENT.SWAP("swap.3024",C3026,H3026,B3026,"USD","SOFR",I3026,J3026,0,"Actual360","Simple","Annual","Annual","Annual")</f>
        <v/>
      </c>
      <c r="F3026" s="8">
        <f>QS.TRADE.CREATE("trade.3024",C3026,E3026,A3026,"Receive")</f>
        <v/>
      </c>
      <c r="G3026" s="5"/>
      <c r="H3026" s="7" t="s">
        <v>2439</v>
      </c>
      <c r="I3026" s="9">
        <v>1302400</v>
      </c>
      <c r="J3026" s="10">
        <v>0.0374</v>
      </c>
    </row>
    <row r="3027" spans="1:10">
      <c r="A3027" s="7" t="s">
        <v>2427</v>
      </c>
      <c r="B3027" s="7" t="s">
        <v>4894</v>
      </c>
      <c r="C3027" s="8">
        <f>QS.CONTEXT.CREATE("market.3025",A3027,"USD","SOFR")</f>
        <v/>
      </c>
      <c r="D3027" s="8">
        <f>QS.CONTEXT.ADD.CURVE(C3027,"SOFR",$K$2:$K$7,$L$2:$L$7,,,"Actual360","LogLinear",TRUE)</f>
        <v/>
      </c>
      <c r="E3027" s="8">
        <f>QS.INSTRUMENT.SWAP("swap.3025",C3027,H3027,B3027,"USD","SOFR",I3027,J3027,0,"Actual360","Simple","Annual","Annual","Annual")</f>
        <v/>
      </c>
      <c r="F3027" s="8">
        <f>QS.TRADE.CREATE("trade.3025",C3027,E3027,A3027,"Receive")</f>
        <v/>
      </c>
      <c r="G3027" s="5"/>
      <c r="H3027" s="7" t="s">
        <v>2441</v>
      </c>
      <c r="I3027" s="9">
        <v>1302500</v>
      </c>
      <c r="J3027" s="10">
        <v>0.03750000000000001</v>
      </c>
    </row>
    <row r="3028" spans="1:10">
      <c r="A3028" s="7" t="s">
        <v>2429</v>
      </c>
      <c r="B3028" s="7" t="s">
        <v>4895</v>
      </c>
      <c r="C3028" s="8">
        <f>QS.CONTEXT.CREATE("market.3026",A3028,"USD","SOFR")</f>
        <v/>
      </c>
      <c r="D3028" s="8">
        <f>QS.CONTEXT.ADD.CURVE(C3028,"SOFR",$K$2:$K$7,$L$2:$L$7,,,"Actual360","LogLinear",TRUE)</f>
        <v/>
      </c>
      <c r="E3028" s="8">
        <f>QS.INSTRUMENT.SWAP("swap.3026",C3028,H3028,B3028,"USD","SOFR",I3028,J3028,0,"Actual360","Simple","Annual","Annual","Annual")</f>
        <v/>
      </c>
      <c r="F3028" s="8">
        <f>QS.TRADE.CREATE("trade.3026",C3028,E3028,A3028,"Receive")</f>
        <v/>
      </c>
      <c r="G3028" s="5"/>
      <c r="H3028" s="7" t="s">
        <v>2443</v>
      </c>
      <c r="I3028" s="9">
        <v>1302600</v>
      </c>
      <c r="J3028" s="10">
        <v>0.0376</v>
      </c>
    </row>
    <row r="3029" spans="1:10">
      <c r="A3029" s="7" t="s">
        <v>2431</v>
      </c>
      <c r="B3029" s="7" t="s">
        <v>4896</v>
      </c>
      <c r="C3029" s="8">
        <f>QS.CONTEXT.CREATE("market.3027",A3029,"USD","SOFR")</f>
        <v/>
      </c>
      <c r="D3029" s="8">
        <f>QS.CONTEXT.ADD.CURVE(C3029,"SOFR",$K$2:$K$7,$L$2:$L$7,,,"Actual360","LogLinear",TRUE)</f>
        <v/>
      </c>
      <c r="E3029" s="8">
        <f>QS.INSTRUMENT.SWAP("swap.3027",C3029,H3029,B3029,"USD","SOFR",I3029,J3029,0,"Actual360","Simple","Annual","Annual","Annual")</f>
        <v/>
      </c>
      <c r="F3029" s="8">
        <f>QS.TRADE.CREATE("trade.3027",C3029,E3029,A3029,"Receive")</f>
        <v/>
      </c>
      <c r="G3029" s="5"/>
      <c r="H3029" s="7" t="s">
        <v>2445</v>
      </c>
      <c r="I3029" s="9">
        <v>1302700</v>
      </c>
      <c r="J3029" s="10">
        <v>0.0377</v>
      </c>
    </row>
    <row r="3030" spans="1:10">
      <c r="A3030" s="7" t="s">
        <v>2433</v>
      </c>
      <c r="B3030" s="7" t="s">
        <v>4897</v>
      </c>
      <c r="C3030" s="8">
        <f>QS.CONTEXT.CREATE("market.3028",A3030,"USD","SOFR")</f>
        <v/>
      </c>
      <c r="D3030" s="8">
        <f>QS.CONTEXT.ADD.CURVE(C3030,"SOFR",$K$2:$K$7,$L$2:$L$7,,,"Actual360","LogLinear",TRUE)</f>
        <v/>
      </c>
      <c r="E3030" s="8">
        <f>QS.INSTRUMENT.SWAP("swap.3028",C3030,H3030,B3030,"USD","SOFR",I3030,J3030,0,"Actual360","Simple","Annual","Annual","Annual")</f>
        <v/>
      </c>
      <c r="F3030" s="8">
        <f>QS.TRADE.CREATE("trade.3028",C3030,E3030,A3030,"Receive")</f>
        <v/>
      </c>
      <c r="G3030" s="5"/>
      <c r="H3030" s="7" t="s">
        <v>2447</v>
      </c>
      <c r="I3030" s="9">
        <v>1302800</v>
      </c>
      <c r="J3030" s="10">
        <v>0.0378</v>
      </c>
    </row>
    <row r="3031" spans="1:10">
      <c r="A3031" s="7" t="s">
        <v>2435</v>
      </c>
      <c r="B3031" s="7" t="s">
        <v>4898</v>
      </c>
      <c r="C3031" s="8">
        <f>QS.CONTEXT.CREATE("market.3029",A3031,"USD","SOFR")</f>
        <v/>
      </c>
      <c r="D3031" s="8">
        <f>QS.CONTEXT.ADD.CURVE(C3031,"SOFR",$K$2:$K$7,$L$2:$L$7,,,"Actual360","LogLinear",TRUE)</f>
        <v/>
      </c>
      <c r="E3031" s="8">
        <f>QS.INSTRUMENT.SWAP("swap.3029",C3031,H3031,B3031,"USD","SOFR",I3031,J3031,0,"Actual360","Simple","Annual","Annual","Annual")</f>
        <v/>
      </c>
      <c r="F3031" s="8">
        <f>QS.TRADE.CREATE("trade.3029",C3031,E3031,A3031,"Receive")</f>
        <v/>
      </c>
      <c r="G3031" s="5"/>
      <c r="H3031" s="7" t="s">
        <v>2449</v>
      </c>
      <c r="I3031" s="9">
        <v>1302900</v>
      </c>
      <c r="J3031" s="10">
        <v>0.0379</v>
      </c>
    </row>
    <row r="3032" spans="1:10">
      <c r="A3032" s="7" t="s">
        <v>2437</v>
      </c>
      <c r="B3032" s="7" t="s">
        <v>4899</v>
      </c>
      <c r="C3032" s="8">
        <f>QS.CONTEXT.CREATE("market.3030",A3032,"USD","SOFR")</f>
        <v/>
      </c>
      <c r="D3032" s="8">
        <f>QS.CONTEXT.ADD.CURVE(C3032,"SOFR",$K$2:$K$7,$L$2:$L$7,,,"Actual360","LogLinear",TRUE)</f>
        <v/>
      </c>
      <c r="E3032" s="8">
        <f>QS.INSTRUMENT.SWAP("swap.3030",C3032,H3032,B3032,"USD","SOFR",I3032,J3032,0,"Actual360","Simple","Annual","Annual","Annual")</f>
        <v/>
      </c>
      <c r="F3032" s="8">
        <f>QS.TRADE.CREATE("trade.3030",C3032,E3032,A3032,"Receive")</f>
        <v/>
      </c>
      <c r="G3032" s="5"/>
      <c r="H3032" s="7" t="s">
        <v>2451</v>
      </c>
      <c r="I3032" s="9">
        <v>1303000</v>
      </c>
      <c r="J3032" s="10">
        <v>0.03800000000000001</v>
      </c>
    </row>
    <row r="3033" spans="1:10">
      <c r="A3033" s="7" t="s">
        <v>2439</v>
      </c>
      <c r="B3033" s="7" t="s">
        <v>4900</v>
      </c>
      <c r="C3033" s="8">
        <f>QS.CONTEXT.CREATE("market.3031",A3033,"USD","SOFR")</f>
        <v/>
      </c>
      <c r="D3033" s="8">
        <f>QS.CONTEXT.ADD.CURVE(C3033,"SOFR",$K$2:$K$7,$L$2:$L$7,,,"Actual360","LogLinear",TRUE)</f>
        <v/>
      </c>
      <c r="E3033" s="8">
        <f>QS.INSTRUMENT.SWAP("swap.3031",C3033,H3033,B3033,"USD","SOFR",I3033,J3033,0,"Actual360","Simple","Annual","Annual","Annual")</f>
        <v/>
      </c>
      <c r="F3033" s="8">
        <f>QS.TRADE.CREATE("trade.3031",C3033,E3033,A3033,"Receive")</f>
        <v/>
      </c>
      <c r="G3033" s="5"/>
      <c r="H3033" s="7" t="s">
        <v>2453</v>
      </c>
      <c r="I3033" s="9">
        <v>1303100</v>
      </c>
      <c r="J3033" s="10">
        <v>0.0381</v>
      </c>
    </row>
    <row r="3034" spans="1:10">
      <c r="A3034" s="7" t="s">
        <v>2441</v>
      </c>
      <c r="B3034" s="7" t="s">
        <v>4901</v>
      </c>
      <c r="C3034" s="8">
        <f>QS.CONTEXT.CREATE("market.3032",A3034,"USD","SOFR")</f>
        <v/>
      </c>
      <c r="D3034" s="8">
        <f>QS.CONTEXT.ADD.CURVE(C3034,"SOFR",$K$2:$K$7,$L$2:$L$7,,,"Actual360","LogLinear",TRUE)</f>
        <v/>
      </c>
      <c r="E3034" s="8">
        <f>QS.INSTRUMENT.SWAP("swap.3032",C3034,H3034,B3034,"USD","SOFR",I3034,J3034,0,"Actual360","Simple","Annual","Annual","Annual")</f>
        <v/>
      </c>
      <c r="F3034" s="8">
        <f>QS.TRADE.CREATE("trade.3032",C3034,E3034,A3034,"Receive")</f>
        <v/>
      </c>
      <c r="G3034" s="5"/>
      <c r="H3034" s="7" t="s">
        <v>2455</v>
      </c>
      <c r="I3034" s="9">
        <v>1303200</v>
      </c>
      <c r="J3034" s="10">
        <v>0.0382</v>
      </c>
    </row>
    <row r="3035" spans="1:10">
      <c r="A3035" s="7" t="s">
        <v>2443</v>
      </c>
      <c r="B3035" s="7" t="s">
        <v>4902</v>
      </c>
      <c r="C3035" s="8">
        <f>QS.CONTEXT.CREATE("market.3033",A3035,"USD","SOFR")</f>
        <v/>
      </c>
      <c r="D3035" s="8">
        <f>QS.CONTEXT.ADD.CURVE(C3035,"SOFR",$K$2:$K$7,$L$2:$L$7,,,"Actual360","LogLinear",TRUE)</f>
        <v/>
      </c>
      <c r="E3035" s="8">
        <f>QS.INSTRUMENT.SWAP("swap.3033",C3035,H3035,B3035,"USD","SOFR",I3035,J3035,0,"Actual360","Simple","Annual","Annual","Annual")</f>
        <v/>
      </c>
      <c r="F3035" s="8">
        <f>QS.TRADE.CREATE("trade.3033",C3035,E3035,A3035,"Receive")</f>
        <v/>
      </c>
      <c r="G3035" s="5"/>
      <c r="H3035" s="7" t="s">
        <v>2457</v>
      </c>
      <c r="I3035" s="9">
        <v>1303300</v>
      </c>
      <c r="J3035" s="10">
        <v>0.0383</v>
      </c>
    </row>
    <row r="3036" spans="1:10">
      <c r="A3036" s="7" t="s">
        <v>2445</v>
      </c>
      <c r="B3036" s="7" t="s">
        <v>4903</v>
      </c>
      <c r="C3036" s="8">
        <f>QS.CONTEXT.CREATE("market.3034",A3036,"USD","SOFR")</f>
        <v/>
      </c>
      <c r="D3036" s="8">
        <f>QS.CONTEXT.ADD.CURVE(C3036,"SOFR",$K$2:$K$7,$L$2:$L$7,,,"Actual360","LogLinear",TRUE)</f>
        <v/>
      </c>
      <c r="E3036" s="8">
        <f>QS.INSTRUMENT.SWAP("swap.3034",C3036,H3036,B3036,"USD","SOFR",I3036,J3036,0,"Actual360","Simple","Annual","Annual","Annual")</f>
        <v/>
      </c>
      <c r="F3036" s="8">
        <f>QS.TRADE.CREATE("trade.3034",C3036,E3036,A3036,"Receive")</f>
        <v/>
      </c>
      <c r="G3036" s="5"/>
      <c r="H3036" s="7" t="s">
        <v>2459</v>
      </c>
      <c r="I3036" s="9">
        <v>1303400</v>
      </c>
      <c r="J3036" s="10">
        <v>0.0384</v>
      </c>
    </row>
    <row r="3037" spans="1:10">
      <c r="A3037" s="7" t="s">
        <v>2447</v>
      </c>
      <c r="B3037" s="7" t="s">
        <v>4904</v>
      </c>
      <c r="C3037" s="8">
        <f>QS.CONTEXT.CREATE("market.3035",A3037,"USD","SOFR")</f>
        <v/>
      </c>
      <c r="D3037" s="8">
        <f>QS.CONTEXT.ADD.CURVE(C3037,"SOFR",$K$2:$K$7,$L$2:$L$7,,,"Actual360","LogLinear",TRUE)</f>
        <v/>
      </c>
      <c r="E3037" s="8">
        <f>QS.INSTRUMENT.SWAP("swap.3035",C3037,H3037,B3037,"USD","SOFR",I3037,J3037,0,"Actual360","Simple","Annual","Annual","Annual")</f>
        <v/>
      </c>
      <c r="F3037" s="8">
        <f>QS.TRADE.CREATE("trade.3035",C3037,E3037,A3037,"Receive")</f>
        <v/>
      </c>
      <c r="G3037" s="5"/>
      <c r="H3037" s="7" t="s">
        <v>2461</v>
      </c>
      <c r="I3037" s="9">
        <v>1303500</v>
      </c>
      <c r="J3037" s="10">
        <v>0.03850000000000001</v>
      </c>
    </row>
    <row r="3038" spans="1:10">
      <c r="A3038" s="7" t="s">
        <v>2449</v>
      </c>
      <c r="B3038" s="7" t="s">
        <v>4905</v>
      </c>
      <c r="C3038" s="8">
        <f>QS.CONTEXT.CREATE("market.3036",A3038,"USD","SOFR")</f>
        <v/>
      </c>
      <c r="D3038" s="8">
        <f>QS.CONTEXT.ADD.CURVE(C3038,"SOFR",$K$2:$K$7,$L$2:$L$7,,,"Actual360","LogLinear",TRUE)</f>
        <v/>
      </c>
      <c r="E3038" s="8">
        <f>QS.INSTRUMENT.SWAP("swap.3036",C3038,H3038,B3038,"USD","SOFR",I3038,J3038,0,"Actual360","Simple","Annual","Annual","Annual")</f>
        <v/>
      </c>
      <c r="F3038" s="8">
        <f>QS.TRADE.CREATE("trade.3036",C3038,E3038,A3038,"Receive")</f>
        <v/>
      </c>
      <c r="G3038" s="5"/>
      <c r="H3038" s="7" t="s">
        <v>2463</v>
      </c>
      <c r="I3038" s="9">
        <v>1303600</v>
      </c>
      <c r="J3038" s="10">
        <v>0.0386</v>
      </c>
    </row>
    <row r="3039" spans="1:10">
      <c r="A3039" s="7" t="s">
        <v>2451</v>
      </c>
      <c r="B3039" s="7" t="s">
        <v>4906</v>
      </c>
      <c r="C3039" s="8">
        <f>QS.CONTEXT.CREATE("market.3037",A3039,"USD","SOFR")</f>
        <v/>
      </c>
      <c r="D3039" s="8">
        <f>QS.CONTEXT.ADD.CURVE(C3039,"SOFR",$K$2:$K$7,$L$2:$L$7,,,"Actual360","LogLinear",TRUE)</f>
        <v/>
      </c>
      <c r="E3039" s="8">
        <f>QS.INSTRUMENT.SWAP("swap.3037",C3039,H3039,B3039,"USD","SOFR",I3039,J3039,0,"Actual360","Simple","Annual","Annual","Annual")</f>
        <v/>
      </c>
      <c r="F3039" s="8">
        <f>QS.TRADE.CREATE("trade.3037",C3039,E3039,A3039,"Receive")</f>
        <v/>
      </c>
      <c r="G3039" s="5"/>
      <c r="H3039" s="7" t="s">
        <v>2465</v>
      </c>
      <c r="I3039" s="9">
        <v>1303700</v>
      </c>
      <c r="J3039" s="10">
        <v>0.03870000000000001</v>
      </c>
    </row>
    <row r="3040" spans="1:10">
      <c r="A3040" s="7" t="s">
        <v>2453</v>
      </c>
      <c r="B3040" s="7" t="s">
        <v>4907</v>
      </c>
      <c r="C3040" s="8">
        <f>QS.CONTEXT.CREATE("market.3038",A3040,"USD","SOFR")</f>
        <v/>
      </c>
      <c r="D3040" s="8">
        <f>QS.CONTEXT.ADD.CURVE(C3040,"SOFR",$K$2:$K$7,$L$2:$L$7,,,"Actual360","LogLinear",TRUE)</f>
        <v/>
      </c>
      <c r="E3040" s="8">
        <f>QS.INSTRUMENT.SWAP("swap.3038",C3040,H3040,B3040,"USD","SOFR",I3040,J3040,0,"Actual360","Simple","Annual","Annual","Annual")</f>
        <v/>
      </c>
      <c r="F3040" s="8">
        <f>QS.TRADE.CREATE("trade.3038",C3040,E3040,A3040,"Receive")</f>
        <v/>
      </c>
      <c r="G3040" s="5"/>
      <c r="H3040" s="7" t="s">
        <v>2467</v>
      </c>
      <c r="I3040" s="9">
        <v>1303800</v>
      </c>
      <c r="J3040" s="10">
        <v>0.0388</v>
      </c>
    </row>
    <row r="3041" spans="1:10">
      <c r="A3041" s="7" t="s">
        <v>2455</v>
      </c>
      <c r="B3041" s="7" t="s">
        <v>4908</v>
      </c>
      <c r="C3041" s="8">
        <f>QS.CONTEXT.CREATE("market.3039",A3041,"USD","SOFR")</f>
        <v/>
      </c>
      <c r="D3041" s="8">
        <f>QS.CONTEXT.ADD.CURVE(C3041,"SOFR",$K$2:$K$7,$L$2:$L$7,,,"Actual360","LogLinear",TRUE)</f>
        <v/>
      </c>
      <c r="E3041" s="8">
        <f>QS.INSTRUMENT.SWAP("swap.3039",C3041,H3041,B3041,"USD","SOFR",I3041,J3041,0,"Actual360","Simple","Annual","Annual","Annual")</f>
        <v/>
      </c>
      <c r="F3041" s="8">
        <f>QS.TRADE.CREATE("trade.3039",C3041,E3041,A3041,"Receive")</f>
        <v/>
      </c>
      <c r="G3041" s="5"/>
      <c r="H3041" s="7" t="s">
        <v>2469</v>
      </c>
      <c r="I3041" s="9">
        <v>1303900</v>
      </c>
      <c r="J3041" s="10">
        <v>0.0389</v>
      </c>
    </row>
    <row r="3042" spans="1:10">
      <c r="A3042" s="7" t="s">
        <v>2457</v>
      </c>
      <c r="B3042" s="7" t="s">
        <v>4909</v>
      </c>
      <c r="C3042" s="8">
        <f>QS.CONTEXT.CREATE("market.3040",A3042,"USD","SOFR")</f>
        <v/>
      </c>
      <c r="D3042" s="8">
        <f>QS.CONTEXT.ADD.CURVE(C3042,"SOFR",$K$2:$K$7,$L$2:$L$7,,,"Actual360","LogLinear",TRUE)</f>
        <v/>
      </c>
      <c r="E3042" s="8">
        <f>QS.INSTRUMENT.SWAP("swap.3040",C3042,H3042,B3042,"USD","SOFR",I3042,J3042,0,"Actual360","Simple","Annual","Annual","Annual")</f>
        <v/>
      </c>
      <c r="F3042" s="8">
        <f>QS.TRADE.CREATE("trade.3040",C3042,E3042,A3042,"Receive")</f>
        <v/>
      </c>
      <c r="G3042" s="5"/>
      <c r="H3042" s="7" t="s">
        <v>2471</v>
      </c>
      <c r="I3042" s="9">
        <v>1304000</v>
      </c>
      <c r="J3042" s="10">
        <v>0.03900000000000001</v>
      </c>
    </row>
    <row r="3043" spans="1:10">
      <c r="A3043" s="7" t="s">
        <v>2459</v>
      </c>
      <c r="B3043" s="7" t="s">
        <v>4910</v>
      </c>
      <c r="C3043" s="8">
        <f>QS.CONTEXT.CREATE("market.3041",A3043,"USD","SOFR")</f>
        <v/>
      </c>
      <c r="D3043" s="8">
        <f>QS.CONTEXT.ADD.CURVE(C3043,"SOFR",$K$2:$K$7,$L$2:$L$7,,,"Actual360","LogLinear",TRUE)</f>
        <v/>
      </c>
      <c r="E3043" s="8">
        <f>QS.INSTRUMENT.SWAP("swap.3041",C3043,H3043,B3043,"USD","SOFR",I3043,J3043,0,"Actual360","Simple","Annual","Annual","Annual")</f>
        <v/>
      </c>
      <c r="F3043" s="8">
        <f>QS.TRADE.CREATE("trade.3041",C3043,E3043,A3043,"Receive")</f>
        <v/>
      </c>
      <c r="G3043" s="5"/>
      <c r="H3043" s="7" t="s">
        <v>2473</v>
      </c>
      <c r="I3043" s="9">
        <v>1304100</v>
      </c>
      <c r="J3043" s="10">
        <v>0.0391</v>
      </c>
    </row>
    <row r="3044" spans="1:10">
      <c r="A3044" s="7" t="s">
        <v>2461</v>
      </c>
      <c r="B3044" s="7" t="s">
        <v>4911</v>
      </c>
      <c r="C3044" s="8">
        <f>QS.CONTEXT.CREATE("market.3042",A3044,"USD","SOFR")</f>
        <v/>
      </c>
      <c r="D3044" s="8">
        <f>QS.CONTEXT.ADD.CURVE(C3044,"SOFR",$K$2:$K$7,$L$2:$L$7,,,"Actual360","LogLinear",TRUE)</f>
        <v/>
      </c>
      <c r="E3044" s="8">
        <f>QS.INSTRUMENT.SWAP("swap.3042",C3044,H3044,B3044,"USD","SOFR",I3044,J3044,0,"Actual360","Simple","Annual","Annual","Annual")</f>
        <v/>
      </c>
      <c r="F3044" s="8">
        <f>QS.TRADE.CREATE("trade.3042",C3044,E3044,A3044,"Receive")</f>
        <v/>
      </c>
      <c r="G3044" s="5"/>
      <c r="H3044" s="7" t="s">
        <v>2475</v>
      </c>
      <c r="I3044" s="9">
        <v>1304200</v>
      </c>
      <c r="J3044" s="10">
        <v>0.03920000000000001</v>
      </c>
    </row>
    <row r="3045" spans="1:10">
      <c r="A3045" s="7" t="s">
        <v>2463</v>
      </c>
      <c r="B3045" s="7" t="s">
        <v>4912</v>
      </c>
      <c r="C3045" s="8">
        <f>QS.CONTEXT.CREATE("market.3043",A3045,"USD","SOFR")</f>
        <v/>
      </c>
      <c r="D3045" s="8">
        <f>QS.CONTEXT.ADD.CURVE(C3045,"SOFR",$K$2:$K$7,$L$2:$L$7,,,"Actual360","LogLinear",TRUE)</f>
        <v/>
      </c>
      <c r="E3045" s="8">
        <f>QS.INSTRUMENT.SWAP("swap.3043",C3045,H3045,B3045,"USD","SOFR",I3045,J3045,0,"Actual360","Simple","Annual","Annual","Annual")</f>
        <v/>
      </c>
      <c r="F3045" s="8">
        <f>QS.TRADE.CREATE("trade.3043",C3045,E3045,A3045,"Receive")</f>
        <v/>
      </c>
      <c r="G3045" s="5"/>
      <c r="H3045" s="7" t="s">
        <v>2477</v>
      </c>
      <c r="I3045" s="9">
        <v>1304300</v>
      </c>
      <c r="J3045" s="10">
        <v>0.0393</v>
      </c>
    </row>
    <row r="3046" spans="1:10">
      <c r="A3046" s="7" t="s">
        <v>2465</v>
      </c>
      <c r="B3046" s="7" t="s">
        <v>4913</v>
      </c>
      <c r="C3046" s="8">
        <f>QS.CONTEXT.CREATE("market.3044",A3046,"USD","SOFR")</f>
        <v/>
      </c>
      <c r="D3046" s="8">
        <f>QS.CONTEXT.ADD.CURVE(C3046,"SOFR",$K$2:$K$7,$L$2:$L$7,,,"Actual360","LogLinear",TRUE)</f>
        <v/>
      </c>
      <c r="E3046" s="8">
        <f>QS.INSTRUMENT.SWAP("swap.3044",C3046,H3046,B3046,"USD","SOFR",I3046,J3046,0,"Actual360","Simple","Annual","Annual","Annual")</f>
        <v/>
      </c>
      <c r="F3046" s="8">
        <f>QS.TRADE.CREATE("trade.3044",C3046,E3046,A3046,"Receive")</f>
        <v/>
      </c>
      <c r="G3046" s="5"/>
      <c r="H3046" s="7" t="s">
        <v>2479</v>
      </c>
      <c r="I3046" s="9">
        <v>1304400</v>
      </c>
      <c r="J3046" s="10">
        <v>0.0394</v>
      </c>
    </row>
    <row r="3047" spans="1:10">
      <c r="A3047" s="7" t="s">
        <v>2467</v>
      </c>
      <c r="B3047" s="7" t="s">
        <v>4914</v>
      </c>
      <c r="C3047" s="8">
        <f>QS.CONTEXT.CREATE("market.3045",A3047,"USD","SOFR")</f>
        <v/>
      </c>
      <c r="D3047" s="8">
        <f>QS.CONTEXT.ADD.CURVE(C3047,"SOFR",$K$2:$K$7,$L$2:$L$7,,,"Actual360","LogLinear",TRUE)</f>
        <v/>
      </c>
      <c r="E3047" s="8">
        <f>QS.INSTRUMENT.SWAP("swap.3045",C3047,H3047,B3047,"USD","SOFR",I3047,J3047,0,"Actual360","Simple","Annual","Annual","Annual")</f>
        <v/>
      </c>
      <c r="F3047" s="8">
        <f>QS.TRADE.CREATE("trade.3045",C3047,E3047,A3047,"Receive")</f>
        <v/>
      </c>
      <c r="G3047" s="5"/>
      <c r="H3047" s="7" t="s">
        <v>2481</v>
      </c>
      <c r="I3047" s="9">
        <v>1304500</v>
      </c>
      <c r="J3047" s="10">
        <v>0.03950000000000001</v>
      </c>
    </row>
    <row r="3048" spans="1:10">
      <c r="A3048" s="7" t="s">
        <v>2469</v>
      </c>
      <c r="B3048" s="7" t="s">
        <v>4915</v>
      </c>
      <c r="C3048" s="8">
        <f>QS.CONTEXT.CREATE("market.3046",A3048,"USD","SOFR")</f>
        <v/>
      </c>
      <c r="D3048" s="8">
        <f>QS.CONTEXT.ADD.CURVE(C3048,"SOFR",$K$2:$K$7,$L$2:$L$7,,,"Actual360","LogLinear",TRUE)</f>
        <v/>
      </c>
      <c r="E3048" s="8">
        <f>QS.INSTRUMENT.SWAP("swap.3046",C3048,H3048,B3048,"USD","SOFR",I3048,J3048,0,"Actual360","Simple","Annual","Annual","Annual")</f>
        <v/>
      </c>
      <c r="F3048" s="8">
        <f>QS.TRADE.CREATE("trade.3046",C3048,E3048,A3048,"Receive")</f>
        <v/>
      </c>
      <c r="G3048" s="5"/>
      <c r="H3048" s="7" t="s">
        <v>2483</v>
      </c>
      <c r="I3048" s="9">
        <v>1304600</v>
      </c>
      <c r="J3048" s="10">
        <v>0.0396</v>
      </c>
    </row>
    <row r="3049" spans="1:10">
      <c r="A3049" s="7" t="s">
        <v>2471</v>
      </c>
      <c r="B3049" s="7" t="s">
        <v>4916</v>
      </c>
      <c r="C3049" s="8">
        <f>QS.CONTEXT.CREATE("market.3047",A3049,"USD","SOFR")</f>
        <v/>
      </c>
      <c r="D3049" s="8">
        <f>QS.CONTEXT.ADD.CURVE(C3049,"SOFR",$K$2:$K$7,$L$2:$L$7,,,"Actual360","LogLinear",TRUE)</f>
        <v/>
      </c>
      <c r="E3049" s="8">
        <f>QS.INSTRUMENT.SWAP("swap.3047",C3049,H3049,B3049,"USD","SOFR",I3049,J3049,0,"Actual360","Simple","Annual","Annual","Annual")</f>
        <v/>
      </c>
      <c r="F3049" s="8">
        <f>QS.TRADE.CREATE("trade.3047",C3049,E3049,A3049,"Receive")</f>
        <v/>
      </c>
      <c r="G3049" s="5"/>
      <c r="H3049" s="7" t="s">
        <v>2485</v>
      </c>
      <c r="I3049" s="9">
        <v>1304700</v>
      </c>
      <c r="J3049" s="10">
        <v>0.03970000000000001</v>
      </c>
    </row>
    <row r="3050" spans="1:10">
      <c r="A3050" s="7" t="s">
        <v>2473</v>
      </c>
      <c r="B3050" s="7" t="s">
        <v>4917</v>
      </c>
      <c r="C3050" s="8">
        <f>QS.CONTEXT.CREATE("market.3048",A3050,"USD","SOFR")</f>
        <v/>
      </c>
      <c r="D3050" s="8">
        <f>QS.CONTEXT.ADD.CURVE(C3050,"SOFR",$K$2:$K$7,$L$2:$L$7,,,"Actual360","LogLinear",TRUE)</f>
        <v/>
      </c>
      <c r="E3050" s="8">
        <f>QS.INSTRUMENT.SWAP("swap.3048",C3050,H3050,B3050,"USD","SOFR",I3050,J3050,0,"Actual360","Simple","Annual","Annual","Annual")</f>
        <v/>
      </c>
      <c r="F3050" s="8">
        <f>QS.TRADE.CREATE("trade.3048",C3050,E3050,A3050,"Receive")</f>
        <v/>
      </c>
      <c r="G3050" s="5"/>
      <c r="H3050" s="7" t="s">
        <v>2487</v>
      </c>
      <c r="I3050" s="9">
        <v>1304800</v>
      </c>
      <c r="J3050" s="10">
        <v>0.0398</v>
      </c>
    </row>
    <row r="3051" spans="1:10">
      <c r="A3051" s="7" t="s">
        <v>2475</v>
      </c>
      <c r="B3051" s="7" t="s">
        <v>4918</v>
      </c>
      <c r="C3051" s="8">
        <f>QS.CONTEXT.CREATE("market.3049",A3051,"USD","SOFR")</f>
        <v/>
      </c>
      <c r="D3051" s="8">
        <f>QS.CONTEXT.ADD.CURVE(C3051,"SOFR",$K$2:$K$7,$L$2:$L$7,,,"Actual360","LogLinear",TRUE)</f>
        <v/>
      </c>
      <c r="E3051" s="8">
        <f>QS.INSTRUMENT.SWAP("swap.3049",C3051,H3051,B3051,"USD","SOFR",I3051,J3051,0,"Actual360","Simple","Annual","Annual","Annual")</f>
        <v/>
      </c>
      <c r="F3051" s="8">
        <f>QS.TRADE.CREATE("trade.3049",C3051,E3051,A3051,"Receive")</f>
        <v/>
      </c>
      <c r="G3051" s="5"/>
      <c r="H3051" s="7" t="s">
        <v>2489</v>
      </c>
      <c r="I3051" s="9">
        <v>1304900</v>
      </c>
      <c r="J3051" s="10">
        <v>0.0399</v>
      </c>
    </row>
    <row r="3052" spans="1:10">
      <c r="A3052" s="7" t="s">
        <v>2477</v>
      </c>
      <c r="B3052" s="7" t="s">
        <v>4919</v>
      </c>
      <c r="C3052" s="8">
        <f>QS.CONTEXT.CREATE("market.3050",A3052,"USD","SOFR")</f>
        <v/>
      </c>
      <c r="D3052" s="8">
        <f>QS.CONTEXT.ADD.CURVE(C3052,"SOFR",$K$2:$K$7,$L$2:$L$7,,,"Actual360","LogLinear",TRUE)</f>
        <v/>
      </c>
      <c r="E3052" s="8">
        <f>QS.INSTRUMENT.SWAP("swap.3050",C3052,H3052,B3052,"USD","SOFR",I3052,J3052,0,"Actual360","Simple","Annual","Annual","Annual")</f>
        <v/>
      </c>
      <c r="F3052" s="8">
        <f>QS.TRADE.CREATE("trade.3050",C3052,E3052,A3052,"Receive")</f>
        <v/>
      </c>
      <c r="G3052" s="5"/>
      <c r="H3052" s="7" t="s">
        <v>2491</v>
      </c>
      <c r="I3052" s="9">
        <v>1305000</v>
      </c>
      <c r="J3052" s="10">
        <v>0.035</v>
      </c>
    </row>
    <row r="3053" spans="1:10">
      <c r="A3053" s="7" t="s">
        <v>2479</v>
      </c>
      <c r="B3053" s="7" t="s">
        <v>4920</v>
      </c>
      <c r="C3053" s="8">
        <f>QS.CONTEXT.CREATE("market.3051",A3053,"USD","SOFR")</f>
        <v/>
      </c>
      <c r="D3053" s="8">
        <f>QS.CONTEXT.ADD.CURVE(C3053,"SOFR",$K$2:$K$7,$L$2:$L$7,,,"Actual360","LogLinear",TRUE)</f>
        <v/>
      </c>
      <c r="E3053" s="8">
        <f>QS.INSTRUMENT.SWAP("swap.3051",C3053,H3053,B3053,"USD","SOFR",I3053,J3053,0,"Actual360","Simple","Annual","Annual","Annual")</f>
        <v/>
      </c>
      <c r="F3053" s="8">
        <f>QS.TRADE.CREATE("trade.3051",C3053,E3053,A3053,"Receive")</f>
        <v/>
      </c>
      <c r="G3053" s="5"/>
      <c r="H3053" s="7" t="s">
        <v>2493</v>
      </c>
      <c r="I3053" s="9">
        <v>1305100</v>
      </c>
      <c r="J3053" s="10">
        <v>0.03510000000000001</v>
      </c>
    </row>
    <row r="3054" spans="1:10">
      <c r="A3054" s="7" t="s">
        <v>2481</v>
      </c>
      <c r="B3054" s="7" t="s">
        <v>4921</v>
      </c>
      <c r="C3054" s="8">
        <f>QS.CONTEXT.CREATE("market.3052",A3054,"USD","SOFR")</f>
        <v/>
      </c>
      <c r="D3054" s="8">
        <f>QS.CONTEXT.ADD.CURVE(C3054,"SOFR",$K$2:$K$7,$L$2:$L$7,,,"Actual360","LogLinear",TRUE)</f>
        <v/>
      </c>
      <c r="E3054" s="8">
        <f>QS.INSTRUMENT.SWAP("swap.3052",C3054,H3054,B3054,"USD","SOFR",I3054,J3054,0,"Actual360","Simple","Annual","Annual","Annual")</f>
        <v/>
      </c>
      <c r="F3054" s="8">
        <f>QS.TRADE.CREATE("trade.3052",C3054,E3054,A3054,"Receive")</f>
        <v/>
      </c>
      <c r="G3054" s="5"/>
      <c r="H3054" s="7" t="s">
        <v>2495</v>
      </c>
      <c r="I3054" s="9">
        <v>1305200</v>
      </c>
      <c r="J3054" s="10">
        <v>0.0352</v>
      </c>
    </row>
    <row r="3055" spans="1:10">
      <c r="A3055" s="7" t="s">
        <v>2483</v>
      </c>
      <c r="B3055" s="7" t="s">
        <v>4922</v>
      </c>
      <c r="C3055" s="8">
        <f>QS.CONTEXT.CREATE("market.3053",A3055,"USD","SOFR")</f>
        <v/>
      </c>
      <c r="D3055" s="8">
        <f>QS.CONTEXT.ADD.CURVE(C3055,"SOFR",$K$2:$K$7,$L$2:$L$7,,,"Actual360","LogLinear",TRUE)</f>
        <v/>
      </c>
      <c r="E3055" s="8">
        <f>QS.INSTRUMENT.SWAP("swap.3053",C3055,H3055,B3055,"USD","SOFR",I3055,J3055,0,"Actual360","Simple","Annual","Annual","Annual")</f>
        <v/>
      </c>
      <c r="F3055" s="8">
        <f>QS.TRADE.CREATE("trade.3053",C3055,E3055,A3055,"Receive")</f>
        <v/>
      </c>
      <c r="G3055" s="5"/>
      <c r="H3055" s="7" t="s">
        <v>2497</v>
      </c>
      <c r="I3055" s="9">
        <v>1305300</v>
      </c>
      <c r="J3055" s="10">
        <v>0.0353</v>
      </c>
    </row>
    <row r="3056" spans="1:10">
      <c r="A3056" s="7" t="s">
        <v>2485</v>
      </c>
      <c r="B3056" s="7" t="s">
        <v>4923</v>
      </c>
      <c r="C3056" s="8">
        <f>QS.CONTEXT.CREATE("market.3054",A3056,"USD","SOFR")</f>
        <v/>
      </c>
      <c r="D3056" s="8">
        <f>QS.CONTEXT.ADD.CURVE(C3056,"SOFR",$K$2:$K$7,$L$2:$L$7,,,"Actual360","LogLinear",TRUE)</f>
        <v/>
      </c>
      <c r="E3056" s="8">
        <f>QS.INSTRUMENT.SWAP("swap.3054",C3056,H3056,B3056,"USD","SOFR",I3056,J3056,0,"Actual360","Simple","Annual","Annual","Annual")</f>
        <v/>
      </c>
      <c r="F3056" s="8">
        <f>QS.TRADE.CREATE("trade.3054",C3056,E3056,A3056,"Receive")</f>
        <v/>
      </c>
      <c r="G3056" s="5"/>
      <c r="H3056" s="7" t="s">
        <v>2499</v>
      </c>
      <c r="I3056" s="9">
        <v>1305400</v>
      </c>
      <c r="J3056" s="10">
        <v>0.0354</v>
      </c>
    </row>
    <row r="3057" spans="1:10">
      <c r="A3057" s="7" t="s">
        <v>2487</v>
      </c>
      <c r="B3057" s="7" t="s">
        <v>4924</v>
      </c>
      <c r="C3057" s="8">
        <f>QS.CONTEXT.CREATE("market.3055",A3057,"USD","SOFR")</f>
        <v/>
      </c>
      <c r="D3057" s="8">
        <f>QS.CONTEXT.ADD.CURVE(C3057,"SOFR",$K$2:$K$7,$L$2:$L$7,,,"Actual360","LogLinear",TRUE)</f>
        <v/>
      </c>
      <c r="E3057" s="8">
        <f>QS.INSTRUMENT.SWAP("swap.3055",C3057,H3057,B3057,"USD","SOFR",I3057,J3057,0,"Actual360","Simple","Annual","Annual","Annual")</f>
        <v/>
      </c>
      <c r="F3057" s="8">
        <f>QS.TRADE.CREATE("trade.3055",C3057,E3057,A3057,"Receive")</f>
        <v/>
      </c>
      <c r="G3057" s="5"/>
      <c r="H3057" s="7" t="s">
        <v>2501</v>
      </c>
      <c r="I3057" s="9">
        <v>1305500</v>
      </c>
      <c r="J3057" s="10">
        <v>0.0355</v>
      </c>
    </row>
    <row r="3058" spans="1:10">
      <c r="A3058" s="7" t="s">
        <v>2489</v>
      </c>
      <c r="B3058" s="7" t="s">
        <v>4925</v>
      </c>
      <c r="C3058" s="8">
        <f>QS.CONTEXT.CREATE("market.3056",A3058,"USD","SOFR")</f>
        <v/>
      </c>
      <c r="D3058" s="8">
        <f>QS.CONTEXT.ADD.CURVE(C3058,"SOFR",$K$2:$K$7,$L$2:$L$7,,,"Actual360","LogLinear",TRUE)</f>
        <v/>
      </c>
      <c r="E3058" s="8">
        <f>QS.INSTRUMENT.SWAP("swap.3056",C3058,H3058,B3058,"USD","SOFR",I3058,J3058,0,"Actual360","Simple","Annual","Annual","Annual")</f>
        <v/>
      </c>
      <c r="F3058" s="8">
        <f>QS.TRADE.CREATE("trade.3056",C3058,E3058,A3058,"Receive")</f>
        <v/>
      </c>
      <c r="G3058" s="5"/>
      <c r="H3058" s="7" t="s">
        <v>2503</v>
      </c>
      <c r="I3058" s="9">
        <v>1305600</v>
      </c>
      <c r="J3058" s="10">
        <v>0.03560000000000001</v>
      </c>
    </row>
    <row r="3059" spans="1:10">
      <c r="A3059" s="7" t="s">
        <v>2491</v>
      </c>
      <c r="B3059" s="7" t="s">
        <v>4926</v>
      </c>
      <c r="C3059" s="8">
        <f>QS.CONTEXT.CREATE("market.3057",A3059,"USD","SOFR")</f>
        <v/>
      </c>
      <c r="D3059" s="8">
        <f>QS.CONTEXT.ADD.CURVE(C3059,"SOFR",$K$2:$K$7,$L$2:$L$7,,,"Actual360","LogLinear",TRUE)</f>
        <v/>
      </c>
      <c r="E3059" s="8">
        <f>QS.INSTRUMENT.SWAP("swap.3057",C3059,H3059,B3059,"USD","SOFR",I3059,J3059,0,"Actual360","Simple","Annual","Annual","Annual")</f>
        <v/>
      </c>
      <c r="F3059" s="8">
        <f>QS.TRADE.CREATE("trade.3057",C3059,E3059,A3059,"Receive")</f>
        <v/>
      </c>
      <c r="G3059" s="5"/>
      <c r="H3059" s="7" t="s">
        <v>2505</v>
      </c>
      <c r="I3059" s="9">
        <v>1305700</v>
      </c>
      <c r="J3059" s="10">
        <v>0.0357</v>
      </c>
    </row>
    <row r="3060" spans="1:10">
      <c r="A3060" s="7" t="s">
        <v>2493</v>
      </c>
      <c r="B3060" s="7" t="s">
        <v>4927</v>
      </c>
      <c r="C3060" s="8">
        <f>QS.CONTEXT.CREATE("market.3058",A3060,"USD","SOFR")</f>
        <v/>
      </c>
      <c r="D3060" s="8">
        <f>QS.CONTEXT.ADD.CURVE(C3060,"SOFR",$K$2:$K$7,$L$2:$L$7,,,"Actual360","LogLinear",TRUE)</f>
        <v/>
      </c>
      <c r="E3060" s="8">
        <f>QS.INSTRUMENT.SWAP("swap.3058",C3060,H3060,B3060,"USD","SOFR",I3060,J3060,0,"Actual360","Simple","Annual","Annual","Annual")</f>
        <v/>
      </c>
      <c r="F3060" s="8">
        <f>QS.TRADE.CREATE("trade.3058",C3060,E3060,A3060,"Receive")</f>
        <v/>
      </c>
      <c r="G3060" s="5"/>
      <c r="H3060" s="7" t="s">
        <v>2507</v>
      </c>
      <c r="I3060" s="9">
        <v>1305800</v>
      </c>
      <c r="J3060" s="10">
        <v>0.03580000000000001</v>
      </c>
    </row>
    <row r="3061" spans="1:10">
      <c r="A3061" s="7" t="s">
        <v>2495</v>
      </c>
      <c r="B3061" s="7" t="s">
        <v>4928</v>
      </c>
      <c r="C3061" s="8">
        <f>QS.CONTEXT.CREATE("market.3059",A3061,"USD","SOFR")</f>
        <v/>
      </c>
      <c r="D3061" s="8">
        <f>QS.CONTEXT.ADD.CURVE(C3061,"SOFR",$K$2:$K$7,$L$2:$L$7,,,"Actual360","LogLinear",TRUE)</f>
        <v/>
      </c>
      <c r="E3061" s="8">
        <f>QS.INSTRUMENT.SWAP("swap.3059",C3061,H3061,B3061,"USD","SOFR",I3061,J3061,0,"Actual360","Simple","Annual","Annual","Annual")</f>
        <v/>
      </c>
      <c r="F3061" s="8">
        <f>QS.TRADE.CREATE("trade.3059",C3061,E3061,A3061,"Receive")</f>
        <v/>
      </c>
      <c r="G3061" s="5"/>
      <c r="H3061" s="7" t="s">
        <v>2509</v>
      </c>
      <c r="I3061" s="9">
        <v>1305900</v>
      </c>
      <c r="J3061" s="10">
        <v>0.0359</v>
      </c>
    </row>
    <row r="3062" spans="1:10">
      <c r="A3062" s="7" t="s">
        <v>2497</v>
      </c>
      <c r="B3062" s="7" t="s">
        <v>4929</v>
      </c>
      <c r="C3062" s="8">
        <f>QS.CONTEXT.CREATE("market.3060",A3062,"USD","SOFR")</f>
        <v/>
      </c>
      <c r="D3062" s="8">
        <f>QS.CONTEXT.ADD.CURVE(C3062,"SOFR",$K$2:$K$7,$L$2:$L$7,,,"Actual360","LogLinear",TRUE)</f>
        <v/>
      </c>
      <c r="E3062" s="8">
        <f>QS.INSTRUMENT.SWAP("swap.3060",C3062,H3062,B3062,"USD","SOFR",I3062,J3062,0,"Actual360","Simple","Annual","Annual","Annual")</f>
        <v/>
      </c>
      <c r="F3062" s="8">
        <f>QS.TRADE.CREATE("trade.3060",C3062,E3062,A3062,"Receive")</f>
        <v/>
      </c>
      <c r="G3062" s="5"/>
      <c r="H3062" s="7" t="s">
        <v>2511</v>
      </c>
      <c r="I3062" s="9">
        <v>1306000</v>
      </c>
      <c r="J3062" s="10">
        <v>0.036</v>
      </c>
    </row>
    <row r="3063" spans="1:10">
      <c r="A3063" s="7" t="s">
        <v>2499</v>
      </c>
      <c r="B3063" s="7" t="s">
        <v>4930</v>
      </c>
      <c r="C3063" s="8">
        <f>QS.CONTEXT.CREATE("market.3061",A3063,"USD","SOFR")</f>
        <v/>
      </c>
      <c r="D3063" s="8">
        <f>QS.CONTEXT.ADD.CURVE(C3063,"SOFR",$K$2:$K$7,$L$2:$L$7,,,"Actual360","LogLinear",TRUE)</f>
        <v/>
      </c>
      <c r="E3063" s="8">
        <f>QS.INSTRUMENT.SWAP("swap.3061",C3063,H3063,B3063,"USD","SOFR",I3063,J3063,0,"Actual360","Simple","Annual","Annual","Annual")</f>
        <v/>
      </c>
      <c r="F3063" s="8">
        <f>QS.TRADE.CREATE("trade.3061",C3063,E3063,A3063,"Receive")</f>
        <v/>
      </c>
      <c r="G3063" s="5"/>
      <c r="H3063" s="7" t="s">
        <v>2513</v>
      </c>
      <c r="I3063" s="9">
        <v>1306100</v>
      </c>
      <c r="J3063" s="10">
        <v>0.0361</v>
      </c>
    </row>
    <row r="3064" spans="1:10">
      <c r="A3064" s="7" t="s">
        <v>2501</v>
      </c>
      <c r="B3064" s="7" t="s">
        <v>4931</v>
      </c>
      <c r="C3064" s="8">
        <f>QS.CONTEXT.CREATE("market.3062",A3064,"USD","SOFR")</f>
        <v/>
      </c>
      <c r="D3064" s="8">
        <f>QS.CONTEXT.ADD.CURVE(C3064,"SOFR",$K$2:$K$7,$L$2:$L$7,,,"Actual360","LogLinear",TRUE)</f>
        <v/>
      </c>
      <c r="E3064" s="8">
        <f>QS.INSTRUMENT.SWAP("swap.3062",C3064,H3064,B3064,"USD","SOFR",I3064,J3064,0,"Actual360","Simple","Annual","Annual","Annual")</f>
        <v/>
      </c>
      <c r="F3064" s="8">
        <f>QS.TRADE.CREATE("trade.3062",C3064,E3064,A3064,"Receive")</f>
        <v/>
      </c>
      <c r="G3064" s="5"/>
      <c r="H3064" s="7" t="s">
        <v>2515</v>
      </c>
      <c r="I3064" s="9">
        <v>1306200</v>
      </c>
      <c r="J3064" s="10">
        <v>0.0362</v>
      </c>
    </row>
    <row r="3065" spans="1:10">
      <c r="A3065" s="7" t="s">
        <v>2503</v>
      </c>
      <c r="B3065" s="7" t="s">
        <v>4932</v>
      </c>
      <c r="C3065" s="8">
        <f>QS.CONTEXT.CREATE("market.3063",A3065,"USD","SOFR")</f>
        <v/>
      </c>
      <c r="D3065" s="8">
        <f>QS.CONTEXT.ADD.CURVE(C3065,"SOFR",$K$2:$K$7,$L$2:$L$7,,,"Actual360","LogLinear",TRUE)</f>
        <v/>
      </c>
      <c r="E3065" s="8">
        <f>QS.INSTRUMENT.SWAP("swap.3063",C3065,H3065,B3065,"USD","SOFR",I3065,J3065,0,"Actual360","Simple","Annual","Annual","Annual")</f>
        <v/>
      </c>
      <c r="F3065" s="8">
        <f>QS.TRADE.CREATE("trade.3063",C3065,E3065,A3065,"Receive")</f>
        <v/>
      </c>
      <c r="G3065" s="5"/>
      <c r="H3065" s="7" t="s">
        <v>2517</v>
      </c>
      <c r="I3065" s="9">
        <v>1306300</v>
      </c>
      <c r="J3065" s="10">
        <v>0.03630000000000001</v>
      </c>
    </row>
    <row r="3066" spans="1:10">
      <c r="A3066" s="7" t="s">
        <v>2505</v>
      </c>
      <c r="B3066" s="7" t="s">
        <v>4933</v>
      </c>
      <c r="C3066" s="8">
        <f>QS.CONTEXT.CREATE("market.3064",A3066,"USD","SOFR")</f>
        <v/>
      </c>
      <c r="D3066" s="8">
        <f>QS.CONTEXT.ADD.CURVE(C3066,"SOFR",$K$2:$K$7,$L$2:$L$7,,,"Actual360","LogLinear",TRUE)</f>
        <v/>
      </c>
      <c r="E3066" s="8">
        <f>QS.INSTRUMENT.SWAP("swap.3064",C3066,H3066,B3066,"USD","SOFR",I3066,J3066,0,"Actual360","Simple","Annual","Annual","Annual")</f>
        <v/>
      </c>
      <c r="F3066" s="8">
        <f>QS.TRADE.CREATE("trade.3064",C3066,E3066,A3066,"Receive")</f>
        <v/>
      </c>
      <c r="G3066" s="5"/>
      <c r="H3066" s="7" t="s">
        <v>2519</v>
      </c>
      <c r="I3066" s="9">
        <v>1306400</v>
      </c>
      <c r="J3066" s="10">
        <v>0.0364</v>
      </c>
    </row>
    <row r="3067" spans="1:10">
      <c r="A3067" s="7" t="s">
        <v>2507</v>
      </c>
      <c r="B3067" s="7" t="s">
        <v>4934</v>
      </c>
      <c r="C3067" s="8">
        <f>QS.CONTEXT.CREATE("market.3065",A3067,"USD","SOFR")</f>
        <v/>
      </c>
      <c r="D3067" s="8">
        <f>QS.CONTEXT.ADD.CURVE(C3067,"SOFR",$K$2:$K$7,$L$2:$L$7,,,"Actual360","LogLinear",TRUE)</f>
        <v/>
      </c>
      <c r="E3067" s="8">
        <f>QS.INSTRUMENT.SWAP("swap.3065",C3067,H3067,B3067,"USD","SOFR",I3067,J3067,0,"Actual360","Simple","Annual","Annual","Annual")</f>
        <v/>
      </c>
      <c r="F3067" s="8">
        <f>QS.TRADE.CREATE("trade.3065",C3067,E3067,A3067,"Receive")</f>
        <v/>
      </c>
      <c r="G3067" s="5"/>
      <c r="H3067" s="7" t="s">
        <v>2521</v>
      </c>
      <c r="I3067" s="9">
        <v>1306500</v>
      </c>
      <c r="J3067" s="10">
        <v>0.0365</v>
      </c>
    </row>
    <row r="3068" spans="1:10">
      <c r="A3068" s="7" t="s">
        <v>2509</v>
      </c>
      <c r="B3068" s="7" t="s">
        <v>4935</v>
      </c>
      <c r="C3068" s="8">
        <f>QS.CONTEXT.CREATE("market.3066",A3068,"USD","SOFR")</f>
        <v/>
      </c>
      <c r="D3068" s="8">
        <f>QS.CONTEXT.ADD.CURVE(C3068,"SOFR",$K$2:$K$7,$L$2:$L$7,,,"Actual360","LogLinear",TRUE)</f>
        <v/>
      </c>
      <c r="E3068" s="8">
        <f>QS.INSTRUMENT.SWAP("swap.3066",C3068,H3068,B3068,"USD","SOFR",I3068,J3068,0,"Actual360","Simple","Annual","Annual","Annual")</f>
        <v/>
      </c>
      <c r="F3068" s="8">
        <f>QS.TRADE.CREATE("trade.3066",C3068,E3068,A3068,"Receive")</f>
        <v/>
      </c>
      <c r="G3068" s="5"/>
      <c r="H3068" s="7" t="s">
        <v>2523</v>
      </c>
      <c r="I3068" s="9">
        <v>1306600</v>
      </c>
      <c r="J3068" s="10">
        <v>0.0366</v>
      </c>
    </row>
    <row r="3069" spans="1:10">
      <c r="A3069" s="7" t="s">
        <v>2511</v>
      </c>
      <c r="B3069" s="7" t="s">
        <v>4936</v>
      </c>
      <c r="C3069" s="8">
        <f>QS.CONTEXT.CREATE("market.3067",A3069,"USD","SOFR")</f>
        <v/>
      </c>
      <c r="D3069" s="8">
        <f>QS.CONTEXT.ADD.CURVE(C3069,"SOFR",$K$2:$K$7,$L$2:$L$7,,,"Actual360","LogLinear",TRUE)</f>
        <v/>
      </c>
      <c r="E3069" s="8">
        <f>QS.INSTRUMENT.SWAP("swap.3067",C3069,H3069,B3069,"USD","SOFR",I3069,J3069,0,"Actual360","Simple","Annual","Annual","Annual")</f>
        <v/>
      </c>
      <c r="F3069" s="8">
        <f>QS.TRADE.CREATE("trade.3067",C3069,E3069,A3069,"Receive")</f>
        <v/>
      </c>
      <c r="G3069" s="5"/>
      <c r="H3069" s="7" t="s">
        <v>2525</v>
      </c>
      <c r="I3069" s="9">
        <v>1306700</v>
      </c>
      <c r="J3069" s="10">
        <v>0.0367</v>
      </c>
    </row>
    <row r="3070" spans="1:10">
      <c r="A3070" s="7" t="s">
        <v>2513</v>
      </c>
      <c r="B3070" s="7" t="s">
        <v>4937</v>
      </c>
      <c r="C3070" s="8">
        <f>QS.CONTEXT.CREATE("market.3068",A3070,"USD","SOFR")</f>
        <v/>
      </c>
      <c r="D3070" s="8">
        <f>QS.CONTEXT.ADD.CURVE(C3070,"SOFR",$K$2:$K$7,$L$2:$L$7,,,"Actual360","LogLinear",TRUE)</f>
        <v/>
      </c>
      <c r="E3070" s="8">
        <f>QS.INSTRUMENT.SWAP("swap.3068",C3070,H3070,B3070,"USD","SOFR",I3070,J3070,0,"Actual360","Simple","Annual","Annual","Annual")</f>
        <v/>
      </c>
      <c r="F3070" s="8">
        <f>QS.TRADE.CREATE("trade.3068",C3070,E3070,A3070,"Receive")</f>
        <v/>
      </c>
      <c r="G3070" s="5"/>
      <c r="H3070" s="7" t="s">
        <v>2527</v>
      </c>
      <c r="I3070" s="9">
        <v>1306800</v>
      </c>
      <c r="J3070" s="10">
        <v>0.03680000000000001</v>
      </c>
    </row>
    <row r="3071" spans="1:10">
      <c r="A3071" s="7" t="s">
        <v>2515</v>
      </c>
      <c r="B3071" s="7" t="s">
        <v>4938</v>
      </c>
      <c r="C3071" s="8">
        <f>QS.CONTEXT.CREATE("market.3069",A3071,"USD","SOFR")</f>
        <v/>
      </c>
      <c r="D3071" s="8">
        <f>QS.CONTEXT.ADD.CURVE(C3071,"SOFR",$K$2:$K$7,$L$2:$L$7,,,"Actual360","LogLinear",TRUE)</f>
        <v/>
      </c>
      <c r="E3071" s="8">
        <f>QS.INSTRUMENT.SWAP("swap.3069",C3071,H3071,B3071,"USD","SOFR",I3071,J3071,0,"Actual360","Simple","Annual","Annual","Annual")</f>
        <v/>
      </c>
      <c r="F3071" s="8">
        <f>QS.TRADE.CREATE("trade.3069",C3071,E3071,A3071,"Receive")</f>
        <v/>
      </c>
      <c r="G3071" s="5"/>
      <c r="H3071" s="7" t="s">
        <v>2529</v>
      </c>
      <c r="I3071" s="9">
        <v>1306900</v>
      </c>
      <c r="J3071" s="10">
        <v>0.0369</v>
      </c>
    </row>
    <row r="3072" spans="1:10">
      <c r="A3072" s="7" t="s">
        <v>2517</v>
      </c>
      <c r="B3072" s="7" t="s">
        <v>4939</v>
      </c>
      <c r="C3072" s="8">
        <f>QS.CONTEXT.CREATE("market.3070",A3072,"USD","SOFR")</f>
        <v/>
      </c>
      <c r="D3072" s="8">
        <f>QS.CONTEXT.ADD.CURVE(C3072,"SOFR",$K$2:$K$7,$L$2:$L$7,,,"Actual360","LogLinear",TRUE)</f>
        <v/>
      </c>
      <c r="E3072" s="8">
        <f>QS.INSTRUMENT.SWAP("swap.3070",C3072,H3072,B3072,"USD","SOFR",I3072,J3072,0,"Actual360","Simple","Annual","Annual","Annual")</f>
        <v/>
      </c>
      <c r="F3072" s="8">
        <f>QS.TRADE.CREATE("trade.3070",C3072,E3072,A3072,"Receive")</f>
        <v/>
      </c>
      <c r="G3072" s="5"/>
      <c r="H3072" s="7" t="s">
        <v>2531</v>
      </c>
      <c r="I3072" s="9">
        <v>1307000</v>
      </c>
      <c r="J3072" s="10">
        <v>0.03700000000000001</v>
      </c>
    </row>
    <row r="3073" spans="1:10">
      <c r="A3073" s="7" t="s">
        <v>2519</v>
      </c>
      <c r="B3073" s="7" t="s">
        <v>4940</v>
      </c>
      <c r="C3073" s="8">
        <f>QS.CONTEXT.CREATE("market.3071",A3073,"USD","SOFR")</f>
        <v/>
      </c>
      <c r="D3073" s="8">
        <f>QS.CONTEXT.ADD.CURVE(C3073,"SOFR",$K$2:$K$7,$L$2:$L$7,,,"Actual360","LogLinear",TRUE)</f>
        <v/>
      </c>
      <c r="E3073" s="8">
        <f>QS.INSTRUMENT.SWAP("swap.3071",C3073,H3073,B3073,"USD","SOFR",I3073,J3073,0,"Actual360","Simple","Annual","Annual","Annual")</f>
        <v/>
      </c>
      <c r="F3073" s="8">
        <f>QS.TRADE.CREATE("trade.3071",C3073,E3073,A3073,"Receive")</f>
        <v/>
      </c>
      <c r="G3073" s="5"/>
      <c r="H3073" s="7" t="s">
        <v>2533</v>
      </c>
      <c r="I3073" s="9">
        <v>1307100</v>
      </c>
      <c r="J3073" s="10">
        <v>0.0371</v>
      </c>
    </row>
    <row r="3074" spans="1:10">
      <c r="A3074" s="7" t="s">
        <v>2521</v>
      </c>
      <c r="B3074" s="7" t="s">
        <v>4941</v>
      </c>
      <c r="C3074" s="8">
        <f>QS.CONTEXT.CREATE("market.3072",A3074,"USD","SOFR")</f>
        <v/>
      </c>
      <c r="D3074" s="8">
        <f>QS.CONTEXT.ADD.CURVE(C3074,"SOFR",$K$2:$K$7,$L$2:$L$7,,,"Actual360","LogLinear",TRUE)</f>
        <v/>
      </c>
      <c r="E3074" s="8">
        <f>QS.INSTRUMENT.SWAP("swap.3072",C3074,H3074,B3074,"USD","SOFR",I3074,J3074,0,"Actual360","Simple","Annual","Annual","Annual")</f>
        <v/>
      </c>
      <c r="F3074" s="8">
        <f>QS.TRADE.CREATE("trade.3072",C3074,E3074,A3074,"Receive")</f>
        <v/>
      </c>
      <c r="G3074" s="5"/>
      <c r="H3074" s="7" t="s">
        <v>2535</v>
      </c>
      <c r="I3074" s="9">
        <v>1307200</v>
      </c>
      <c r="J3074" s="10">
        <v>0.0372</v>
      </c>
    </row>
    <row r="3075" spans="1:10">
      <c r="A3075" s="7" t="s">
        <v>2523</v>
      </c>
      <c r="B3075" s="7" t="s">
        <v>4942</v>
      </c>
      <c r="C3075" s="8">
        <f>QS.CONTEXT.CREATE("market.3073",A3075,"USD","SOFR")</f>
        <v/>
      </c>
      <c r="D3075" s="8">
        <f>QS.CONTEXT.ADD.CURVE(C3075,"SOFR",$K$2:$K$7,$L$2:$L$7,,,"Actual360","LogLinear",TRUE)</f>
        <v/>
      </c>
      <c r="E3075" s="8">
        <f>QS.INSTRUMENT.SWAP("swap.3073",C3075,H3075,B3075,"USD","SOFR",I3075,J3075,0,"Actual360","Simple","Annual","Annual","Annual")</f>
        <v/>
      </c>
      <c r="F3075" s="8">
        <f>QS.TRADE.CREATE("trade.3073",C3075,E3075,A3075,"Receive")</f>
        <v/>
      </c>
      <c r="G3075" s="5"/>
      <c r="H3075" s="7" t="s">
        <v>2537</v>
      </c>
      <c r="I3075" s="9">
        <v>1307300</v>
      </c>
      <c r="J3075" s="10">
        <v>0.0373</v>
      </c>
    </row>
    <row r="3076" spans="1:10">
      <c r="A3076" s="7" t="s">
        <v>2525</v>
      </c>
      <c r="B3076" s="7" t="s">
        <v>4943</v>
      </c>
      <c r="C3076" s="8">
        <f>QS.CONTEXT.CREATE("market.3074",A3076,"USD","SOFR")</f>
        <v/>
      </c>
      <c r="D3076" s="8">
        <f>QS.CONTEXT.ADD.CURVE(C3076,"SOFR",$K$2:$K$7,$L$2:$L$7,,,"Actual360","LogLinear",TRUE)</f>
        <v/>
      </c>
      <c r="E3076" s="8">
        <f>QS.INSTRUMENT.SWAP("swap.3074",C3076,H3076,B3076,"USD","SOFR",I3076,J3076,0,"Actual360","Simple","Annual","Annual","Annual")</f>
        <v/>
      </c>
      <c r="F3076" s="8">
        <f>QS.TRADE.CREATE("trade.3074",C3076,E3076,A3076,"Receive")</f>
        <v/>
      </c>
      <c r="G3076" s="5"/>
      <c r="H3076" s="7" t="s">
        <v>2539</v>
      </c>
      <c r="I3076" s="9">
        <v>1307400</v>
      </c>
      <c r="J3076" s="10">
        <v>0.0374</v>
      </c>
    </row>
    <row r="3077" spans="1:10">
      <c r="A3077" s="7" t="s">
        <v>2527</v>
      </c>
      <c r="B3077" s="7" t="s">
        <v>4944</v>
      </c>
      <c r="C3077" s="8">
        <f>QS.CONTEXT.CREATE("market.3075",A3077,"USD","SOFR")</f>
        <v/>
      </c>
      <c r="D3077" s="8">
        <f>QS.CONTEXT.ADD.CURVE(C3077,"SOFR",$K$2:$K$7,$L$2:$L$7,,,"Actual360","LogLinear",TRUE)</f>
        <v/>
      </c>
      <c r="E3077" s="8">
        <f>QS.INSTRUMENT.SWAP("swap.3075",C3077,H3077,B3077,"USD","SOFR",I3077,J3077,0,"Actual360","Simple","Annual","Annual","Annual")</f>
        <v/>
      </c>
      <c r="F3077" s="8">
        <f>QS.TRADE.CREATE("trade.3075",C3077,E3077,A3077,"Receive")</f>
        <v/>
      </c>
      <c r="G3077" s="5"/>
      <c r="H3077" s="7" t="s">
        <v>2541</v>
      </c>
      <c r="I3077" s="9">
        <v>1307500</v>
      </c>
      <c r="J3077" s="10">
        <v>0.03750000000000001</v>
      </c>
    </row>
    <row r="3078" spans="1:10">
      <c r="A3078" s="7" t="s">
        <v>2529</v>
      </c>
      <c r="B3078" s="7" t="s">
        <v>4945</v>
      </c>
      <c r="C3078" s="8">
        <f>QS.CONTEXT.CREATE("market.3076",A3078,"USD","SOFR")</f>
        <v/>
      </c>
      <c r="D3078" s="8">
        <f>QS.CONTEXT.ADD.CURVE(C3078,"SOFR",$K$2:$K$7,$L$2:$L$7,,,"Actual360","LogLinear",TRUE)</f>
        <v/>
      </c>
      <c r="E3078" s="8">
        <f>QS.INSTRUMENT.SWAP("swap.3076",C3078,H3078,B3078,"USD","SOFR",I3078,J3078,0,"Actual360","Simple","Annual","Annual","Annual")</f>
        <v/>
      </c>
      <c r="F3078" s="8">
        <f>QS.TRADE.CREATE("trade.3076",C3078,E3078,A3078,"Receive")</f>
        <v/>
      </c>
      <c r="G3078" s="5"/>
      <c r="H3078" s="7" t="s">
        <v>2543</v>
      </c>
      <c r="I3078" s="9">
        <v>1307600</v>
      </c>
      <c r="J3078" s="10">
        <v>0.0376</v>
      </c>
    </row>
    <row r="3079" spans="1:10">
      <c r="A3079" s="7" t="s">
        <v>2531</v>
      </c>
      <c r="B3079" s="7" t="s">
        <v>4946</v>
      </c>
      <c r="C3079" s="8">
        <f>QS.CONTEXT.CREATE("market.3077",A3079,"USD","SOFR")</f>
        <v/>
      </c>
      <c r="D3079" s="8">
        <f>QS.CONTEXT.ADD.CURVE(C3079,"SOFR",$K$2:$K$7,$L$2:$L$7,,,"Actual360","LogLinear",TRUE)</f>
        <v/>
      </c>
      <c r="E3079" s="8">
        <f>QS.INSTRUMENT.SWAP("swap.3077",C3079,H3079,B3079,"USD","SOFR",I3079,J3079,0,"Actual360","Simple","Annual","Annual","Annual")</f>
        <v/>
      </c>
      <c r="F3079" s="8">
        <f>QS.TRADE.CREATE("trade.3077",C3079,E3079,A3079,"Receive")</f>
        <v/>
      </c>
      <c r="G3079" s="5"/>
      <c r="H3079" s="7" t="s">
        <v>2545</v>
      </c>
      <c r="I3079" s="9">
        <v>1307700</v>
      </c>
      <c r="J3079" s="10">
        <v>0.0377</v>
      </c>
    </row>
    <row r="3080" spans="1:10">
      <c r="A3080" s="7" t="s">
        <v>2533</v>
      </c>
      <c r="B3080" s="7" t="s">
        <v>4947</v>
      </c>
      <c r="C3080" s="8">
        <f>QS.CONTEXT.CREATE("market.3078",A3080,"USD","SOFR")</f>
        <v/>
      </c>
      <c r="D3080" s="8">
        <f>QS.CONTEXT.ADD.CURVE(C3080,"SOFR",$K$2:$K$7,$L$2:$L$7,,,"Actual360","LogLinear",TRUE)</f>
        <v/>
      </c>
      <c r="E3080" s="8">
        <f>QS.INSTRUMENT.SWAP("swap.3078",C3080,H3080,B3080,"USD","SOFR",I3080,J3080,0,"Actual360","Simple","Annual","Annual","Annual")</f>
        <v/>
      </c>
      <c r="F3080" s="8">
        <f>QS.TRADE.CREATE("trade.3078",C3080,E3080,A3080,"Receive")</f>
        <v/>
      </c>
      <c r="G3080" s="5"/>
      <c r="H3080" s="7" t="s">
        <v>2547</v>
      </c>
      <c r="I3080" s="9">
        <v>1307800</v>
      </c>
      <c r="J3080" s="10">
        <v>0.0378</v>
      </c>
    </row>
    <row r="3081" spans="1:10">
      <c r="A3081" s="7" t="s">
        <v>2535</v>
      </c>
      <c r="B3081" s="7" t="s">
        <v>4948</v>
      </c>
      <c r="C3081" s="8">
        <f>QS.CONTEXT.CREATE("market.3079",A3081,"USD","SOFR")</f>
        <v/>
      </c>
      <c r="D3081" s="8">
        <f>QS.CONTEXT.ADD.CURVE(C3081,"SOFR",$K$2:$K$7,$L$2:$L$7,,,"Actual360","LogLinear",TRUE)</f>
        <v/>
      </c>
      <c r="E3081" s="8">
        <f>QS.INSTRUMENT.SWAP("swap.3079",C3081,H3081,B3081,"USD","SOFR",I3081,J3081,0,"Actual360","Simple","Annual","Annual","Annual")</f>
        <v/>
      </c>
      <c r="F3081" s="8">
        <f>QS.TRADE.CREATE("trade.3079",C3081,E3081,A3081,"Receive")</f>
        <v/>
      </c>
      <c r="G3081" s="5"/>
      <c r="H3081" s="7" t="s">
        <v>2549</v>
      </c>
      <c r="I3081" s="9">
        <v>1307900</v>
      </c>
      <c r="J3081" s="10">
        <v>0.0379</v>
      </c>
    </row>
    <row r="3082" spans="1:10">
      <c r="A3082" s="7" t="s">
        <v>2537</v>
      </c>
      <c r="B3082" s="7" t="s">
        <v>4949</v>
      </c>
      <c r="C3082" s="8">
        <f>QS.CONTEXT.CREATE("market.3080",A3082,"USD","SOFR")</f>
        <v/>
      </c>
      <c r="D3082" s="8">
        <f>QS.CONTEXT.ADD.CURVE(C3082,"SOFR",$K$2:$K$7,$L$2:$L$7,,,"Actual360","LogLinear",TRUE)</f>
        <v/>
      </c>
      <c r="E3082" s="8">
        <f>QS.INSTRUMENT.SWAP("swap.3080",C3082,H3082,B3082,"USD","SOFR",I3082,J3082,0,"Actual360","Simple","Annual","Annual","Annual")</f>
        <v/>
      </c>
      <c r="F3082" s="8">
        <f>QS.TRADE.CREATE("trade.3080",C3082,E3082,A3082,"Receive")</f>
        <v/>
      </c>
      <c r="G3082" s="5"/>
      <c r="H3082" s="7" t="s">
        <v>2551</v>
      </c>
      <c r="I3082" s="9">
        <v>1308000</v>
      </c>
      <c r="J3082" s="10">
        <v>0.03800000000000001</v>
      </c>
    </row>
    <row r="3083" spans="1:10">
      <c r="A3083" s="7" t="s">
        <v>2539</v>
      </c>
      <c r="B3083" s="7" t="s">
        <v>4950</v>
      </c>
      <c r="C3083" s="8">
        <f>QS.CONTEXT.CREATE("market.3081",A3083,"USD","SOFR")</f>
        <v/>
      </c>
      <c r="D3083" s="8">
        <f>QS.CONTEXT.ADD.CURVE(C3083,"SOFR",$K$2:$K$7,$L$2:$L$7,,,"Actual360","LogLinear",TRUE)</f>
        <v/>
      </c>
      <c r="E3083" s="8">
        <f>QS.INSTRUMENT.SWAP("swap.3081",C3083,H3083,B3083,"USD","SOFR",I3083,J3083,0,"Actual360","Simple","Annual","Annual","Annual")</f>
        <v/>
      </c>
      <c r="F3083" s="8">
        <f>QS.TRADE.CREATE("trade.3081",C3083,E3083,A3083,"Receive")</f>
        <v/>
      </c>
      <c r="G3083" s="5"/>
      <c r="H3083" s="7" t="s">
        <v>2553</v>
      </c>
      <c r="I3083" s="9">
        <v>1308100</v>
      </c>
      <c r="J3083" s="10">
        <v>0.0381</v>
      </c>
    </row>
    <row r="3084" spans="1:10">
      <c r="A3084" s="7" t="s">
        <v>2541</v>
      </c>
      <c r="B3084" s="7" t="s">
        <v>4951</v>
      </c>
      <c r="C3084" s="8">
        <f>QS.CONTEXT.CREATE("market.3082",A3084,"USD","SOFR")</f>
        <v/>
      </c>
      <c r="D3084" s="8">
        <f>QS.CONTEXT.ADD.CURVE(C3084,"SOFR",$K$2:$K$7,$L$2:$L$7,,,"Actual360","LogLinear",TRUE)</f>
        <v/>
      </c>
      <c r="E3084" s="8">
        <f>QS.INSTRUMENT.SWAP("swap.3082",C3084,H3084,B3084,"USD","SOFR",I3084,J3084,0,"Actual360","Simple","Annual","Annual","Annual")</f>
        <v/>
      </c>
      <c r="F3084" s="8">
        <f>QS.TRADE.CREATE("trade.3082",C3084,E3084,A3084,"Receive")</f>
        <v/>
      </c>
      <c r="G3084" s="5"/>
      <c r="H3084" s="7" t="s">
        <v>2555</v>
      </c>
      <c r="I3084" s="9">
        <v>1308200</v>
      </c>
      <c r="J3084" s="10">
        <v>0.0382</v>
      </c>
    </row>
    <row r="3085" spans="1:10">
      <c r="A3085" s="7" t="s">
        <v>2543</v>
      </c>
      <c r="B3085" s="7" t="s">
        <v>4952</v>
      </c>
      <c r="C3085" s="8">
        <f>QS.CONTEXT.CREATE("market.3083",A3085,"USD","SOFR")</f>
        <v/>
      </c>
      <c r="D3085" s="8">
        <f>QS.CONTEXT.ADD.CURVE(C3085,"SOFR",$K$2:$K$7,$L$2:$L$7,,,"Actual360","LogLinear",TRUE)</f>
        <v/>
      </c>
      <c r="E3085" s="8">
        <f>QS.INSTRUMENT.SWAP("swap.3083",C3085,H3085,B3085,"USD","SOFR",I3085,J3085,0,"Actual360","Simple","Annual","Annual","Annual")</f>
        <v/>
      </c>
      <c r="F3085" s="8">
        <f>QS.TRADE.CREATE("trade.3083",C3085,E3085,A3085,"Receive")</f>
        <v/>
      </c>
      <c r="G3085" s="5"/>
      <c r="H3085" s="7" t="s">
        <v>2557</v>
      </c>
      <c r="I3085" s="9">
        <v>1308300</v>
      </c>
      <c r="J3085" s="10">
        <v>0.0383</v>
      </c>
    </row>
    <row r="3086" spans="1:10">
      <c r="A3086" s="7" t="s">
        <v>2545</v>
      </c>
      <c r="B3086" s="7" t="s">
        <v>4953</v>
      </c>
      <c r="C3086" s="8">
        <f>QS.CONTEXT.CREATE("market.3084",A3086,"USD","SOFR")</f>
        <v/>
      </c>
      <c r="D3086" s="8">
        <f>QS.CONTEXT.ADD.CURVE(C3086,"SOFR",$K$2:$K$7,$L$2:$L$7,,,"Actual360","LogLinear",TRUE)</f>
        <v/>
      </c>
      <c r="E3086" s="8">
        <f>QS.INSTRUMENT.SWAP("swap.3084",C3086,H3086,B3086,"USD","SOFR",I3086,J3086,0,"Actual360","Simple","Annual","Annual","Annual")</f>
        <v/>
      </c>
      <c r="F3086" s="8">
        <f>QS.TRADE.CREATE("trade.3084",C3086,E3086,A3086,"Receive")</f>
        <v/>
      </c>
      <c r="G3086" s="5"/>
      <c r="H3086" s="7" t="s">
        <v>2559</v>
      </c>
      <c r="I3086" s="9">
        <v>1308400</v>
      </c>
      <c r="J3086" s="10">
        <v>0.0384</v>
      </c>
    </row>
    <row r="3087" spans="1:10">
      <c r="A3087" s="7" t="s">
        <v>2547</v>
      </c>
      <c r="B3087" s="7" t="s">
        <v>4954</v>
      </c>
      <c r="C3087" s="8">
        <f>QS.CONTEXT.CREATE("market.3085",A3087,"USD","SOFR")</f>
        <v/>
      </c>
      <c r="D3087" s="8">
        <f>QS.CONTEXT.ADD.CURVE(C3087,"SOFR",$K$2:$K$7,$L$2:$L$7,,,"Actual360","LogLinear",TRUE)</f>
        <v/>
      </c>
      <c r="E3087" s="8">
        <f>QS.INSTRUMENT.SWAP("swap.3085",C3087,H3087,B3087,"USD","SOFR",I3087,J3087,0,"Actual360","Simple","Annual","Annual","Annual")</f>
        <v/>
      </c>
      <c r="F3087" s="8">
        <f>QS.TRADE.CREATE("trade.3085",C3087,E3087,A3087,"Receive")</f>
        <v/>
      </c>
      <c r="G3087" s="5"/>
      <c r="H3087" s="7" t="s">
        <v>2561</v>
      </c>
      <c r="I3087" s="9">
        <v>1308500</v>
      </c>
      <c r="J3087" s="10">
        <v>0.03850000000000001</v>
      </c>
    </row>
    <row r="3088" spans="1:10">
      <c r="A3088" s="7" t="s">
        <v>2549</v>
      </c>
      <c r="B3088" s="7" t="s">
        <v>4955</v>
      </c>
      <c r="C3088" s="8">
        <f>QS.CONTEXT.CREATE("market.3086",A3088,"USD","SOFR")</f>
        <v/>
      </c>
      <c r="D3088" s="8">
        <f>QS.CONTEXT.ADD.CURVE(C3088,"SOFR",$K$2:$K$7,$L$2:$L$7,,,"Actual360","LogLinear",TRUE)</f>
        <v/>
      </c>
      <c r="E3088" s="8">
        <f>QS.INSTRUMENT.SWAP("swap.3086",C3088,H3088,B3088,"USD","SOFR",I3088,J3088,0,"Actual360","Simple","Annual","Annual","Annual")</f>
        <v/>
      </c>
      <c r="F3088" s="8">
        <f>QS.TRADE.CREATE("trade.3086",C3088,E3088,A3088,"Receive")</f>
        <v/>
      </c>
      <c r="G3088" s="5"/>
      <c r="H3088" s="7" t="s">
        <v>2563</v>
      </c>
      <c r="I3088" s="9">
        <v>1308600</v>
      </c>
      <c r="J3088" s="10">
        <v>0.0386</v>
      </c>
    </row>
    <row r="3089" spans="1:10">
      <c r="A3089" s="7" t="s">
        <v>2551</v>
      </c>
      <c r="B3089" s="7" t="s">
        <v>4956</v>
      </c>
      <c r="C3089" s="8">
        <f>QS.CONTEXT.CREATE("market.3087",A3089,"USD","SOFR")</f>
        <v/>
      </c>
      <c r="D3089" s="8">
        <f>QS.CONTEXT.ADD.CURVE(C3089,"SOFR",$K$2:$K$7,$L$2:$L$7,,,"Actual360","LogLinear",TRUE)</f>
        <v/>
      </c>
      <c r="E3089" s="8">
        <f>QS.INSTRUMENT.SWAP("swap.3087",C3089,H3089,B3089,"USD","SOFR",I3089,J3089,0,"Actual360","Simple","Annual","Annual","Annual")</f>
        <v/>
      </c>
      <c r="F3089" s="8">
        <f>QS.TRADE.CREATE("trade.3087",C3089,E3089,A3089,"Receive")</f>
        <v/>
      </c>
      <c r="G3089" s="5"/>
      <c r="H3089" s="7" t="s">
        <v>2565</v>
      </c>
      <c r="I3089" s="9">
        <v>1308700</v>
      </c>
      <c r="J3089" s="10">
        <v>0.03870000000000001</v>
      </c>
    </row>
    <row r="3090" spans="1:10">
      <c r="A3090" s="7" t="s">
        <v>2553</v>
      </c>
      <c r="B3090" s="7" t="s">
        <v>4957</v>
      </c>
      <c r="C3090" s="8">
        <f>QS.CONTEXT.CREATE("market.3088",A3090,"USD","SOFR")</f>
        <v/>
      </c>
      <c r="D3090" s="8">
        <f>QS.CONTEXT.ADD.CURVE(C3090,"SOFR",$K$2:$K$7,$L$2:$L$7,,,"Actual360","LogLinear",TRUE)</f>
        <v/>
      </c>
      <c r="E3090" s="8">
        <f>QS.INSTRUMENT.SWAP("swap.3088",C3090,H3090,B3090,"USD","SOFR",I3090,J3090,0,"Actual360","Simple","Annual","Annual","Annual")</f>
        <v/>
      </c>
      <c r="F3090" s="8">
        <f>QS.TRADE.CREATE("trade.3088",C3090,E3090,A3090,"Receive")</f>
        <v/>
      </c>
      <c r="G3090" s="5"/>
      <c r="H3090" s="7" t="s">
        <v>2567</v>
      </c>
      <c r="I3090" s="9">
        <v>1308800</v>
      </c>
      <c r="J3090" s="10">
        <v>0.0388</v>
      </c>
    </row>
    <row r="3091" spans="1:10">
      <c r="A3091" s="7" t="s">
        <v>2555</v>
      </c>
      <c r="B3091" s="7" t="s">
        <v>4958</v>
      </c>
      <c r="C3091" s="8">
        <f>QS.CONTEXT.CREATE("market.3089",A3091,"USD","SOFR")</f>
        <v/>
      </c>
      <c r="D3091" s="8">
        <f>QS.CONTEXT.ADD.CURVE(C3091,"SOFR",$K$2:$K$7,$L$2:$L$7,,,"Actual360","LogLinear",TRUE)</f>
        <v/>
      </c>
      <c r="E3091" s="8">
        <f>QS.INSTRUMENT.SWAP("swap.3089",C3091,H3091,B3091,"USD","SOFR",I3091,J3091,0,"Actual360","Simple","Annual","Annual","Annual")</f>
        <v/>
      </c>
      <c r="F3091" s="8">
        <f>QS.TRADE.CREATE("trade.3089",C3091,E3091,A3091,"Receive")</f>
        <v/>
      </c>
      <c r="G3091" s="5"/>
      <c r="H3091" s="7" t="s">
        <v>2569</v>
      </c>
      <c r="I3091" s="9">
        <v>1308900</v>
      </c>
      <c r="J3091" s="10">
        <v>0.0389</v>
      </c>
    </row>
    <row r="3092" spans="1:10">
      <c r="A3092" s="7" t="s">
        <v>2557</v>
      </c>
      <c r="B3092" s="7" t="s">
        <v>4959</v>
      </c>
      <c r="C3092" s="8">
        <f>QS.CONTEXT.CREATE("market.3090",A3092,"USD","SOFR")</f>
        <v/>
      </c>
      <c r="D3092" s="8">
        <f>QS.CONTEXT.ADD.CURVE(C3092,"SOFR",$K$2:$K$7,$L$2:$L$7,,,"Actual360","LogLinear",TRUE)</f>
        <v/>
      </c>
      <c r="E3092" s="8">
        <f>QS.INSTRUMENT.SWAP("swap.3090",C3092,H3092,B3092,"USD","SOFR",I3092,J3092,0,"Actual360","Simple","Annual","Annual","Annual")</f>
        <v/>
      </c>
      <c r="F3092" s="8">
        <f>QS.TRADE.CREATE("trade.3090",C3092,E3092,A3092,"Receive")</f>
        <v/>
      </c>
      <c r="G3092" s="5"/>
      <c r="H3092" s="7" t="s">
        <v>2571</v>
      </c>
      <c r="I3092" s="9">
        <v>1309000</v>
      </c>
      <c r="J3092" s="10">
        <v>0.03900000000000001</v>
      </c>
    </row>
    <row r="3093" spans="1:10">
      <c r="A3093" s="7" t="s">
        <v>2559</v>
      </c>
      <c r="B3093" s="7" t="s">
        <v>4960</v>
      </c>
      <c r="C3093" s="8">
        <f>QS.CONTEXT.CREATE("market.3091",A3093,"USD","SOFR")</f>
        <v/>
      </c>
      <c r="D3093" s="8">
        <f>QS.CONTEXT.ADD.CURVE(C3093,"SOFR",$K$2:$K$7,$L$2:$L$7,,,"Actual360","LogLinear",TRUE)</f>
        <v/>
      </c>
      <c r="E3093" s="8">
        <f>QS.INSTRUMENT.SWAP("swap.3091",C3093,H3093,B3093,"USD","SOFR",I3093,J3093,0,"Actual360","Simple","Annual","Annual","Annual")</f>
        <v/>
      </c>
      <c r="F3093" s="8">
        <f>QS.TRADE.CREATE("trade.3091",C3093,E3093,A3093,"Receive")</f>
        <v/>
      </c>
      <c r="G3093" s="5"/>
      <c r="H3093" s="7" t="s">
        <v>2573</v>
      </c>
      <c r="I3093" s="9">
        <v>1309100</v>
      </c>
      <c r="J3093" s="10">
        <v>0.0391</v>
      </c>
    </row>
    <row r="3094" spans="1:10">
      <c r="A3094" s="7" t="s">
        <v>2561</v>
      </c>
      <c r="B3094" s="7" t="s">
        <v>4961</v>
      </c>
      <c r="C3094" s="8">
        <f>QS.CONTEXT.CREATE("market.3092",A3094,"USD","SOFR")</f>
        <v/>
      </c>
      <c r="D3094" s="8">
        <f>QS.CONTEXT.ADD.CURVE(C3094,"SOFR",$K$2:$K$7,$L$2:$L$7,,,"Actual360","LogLinear",TRUE)</f>
        <v/>
      </c>
      <c r="E3094" s="8">
        <f>QS.INSTRUMENT.SWAP("swap.3092",C3094,H3094,B3094,"USD","SOFR",I3094,J3094,0,"Actual360","Simple","Annual","Annual","Annual")</f>
        <v/>
      </c>
      <c r="F3094" s="8">
        <f>QS.TRADE.CREATE("trade.3092",C3094,E3094,A3094,"Receive")</f>
        <v/>
      </c>
      <c r="G3094" s="5"/>
      <c r="H3094" s="7" t="s">
        <v>2575</v>
      </c>
      <c r="I3094" s="9">
        <v>1309200</v>
      </c>
      <c r="J3094" s="10">
        <v>0.03920000000000001</v>
      </c>
    </row>
    <row r="3095" spans="1:10">
      <c r="A3095" s="7" t="s">
        <v>2563</v>
      </c>
      <c r="B3095" s="7" t="s">
        <v>4962</v>
      </c>
      <c r="C3095" s="8">
        <f>QS.CONTEXT.CREATE("market.3093",A3095,"USD","SOFR")</f>
        <v/>
      </c>
      <c r="D3095" s="8">
        <f>QS.CONTEXT.ADD.CURVE(C3095,"SOFR",$K$2:$K$7,$L$2:$L$7,,,"Actual360","LogLinear",TRUE)</f>
        <v/>
      </c>
      <c r="E3095" s="8">
        <f>QS.INSTRUMENT.SWAP("swap.3093",C3095,H3095,B3095,"USD","SOFR",I3095,J3095,0,"Actual360","Simple","Annual","Annual","Annual")</f>
        <v/>
      </c>
      <c r="F3095" s="8">
        <f>QS.TRADE.CREATE("trade.3093",C3095,E3095,A3095,"Receive")</f>
        <v/>
      </c>
      <c r="G3095" s="5"/>
      <c r="H3095" s="7" t="s">
        <v>2577</v>
      </c>
      <c r="I3095" s="9">
        <v>1309300</v>
      </c>
      <c r="J3095" s="10">
        <v>0.0393</v>
      </c>
    </row>
    <row r="3096" spans="1:10">
      <c r="A3096" s="7" t="s">
        <v>2565</v>
      </c>
      <c r="B3096" s="7" t="s">
        <v>4963</v>
      </c>
      <c r="C3096" s="8">
        <f>QS.CONTEXT.CREATE("market.3094",A3096,"USD","SOFR")</f>
        <v/>
      </c>
      <c r="D3096" s="8">
        <f>QS.CONTEXT.ADD.CURVE(C3096,"SOFR",$K$2:$K$7,$L$2:$L$7,,,"Actual360","LogLinear",TRUE)</f>
        <v/>
      </c>
      <c r="E3096" s="8">
        <f>QS.INSTRUMENT.SWAP("swap.3094",C3096,H3096,B3096,"USD","SOFR",I3096,J3096,0,"Actual360","Simple","Annual","Annual","Annual")</f>
        <v/>
      </c>
      <c r="F3096" s="8">
        <f>QS.TRADE.CREATE("trade.3094",C3096,E3096,A3096,"Receive")</f>
        <v/>
      </c>
      <c r="G3096" s="5"/>
      <c r="H3096" s="7" t="s">
        <v>2579</v>
      </c>
      <c r="I3096" s="9">
        <v>1309400</v>
      </c>
      <c r="J3096" s="10">
        <v>0.0394</v>
      </c>
    </row>
    <row r="3097" spans="1:10">
      <c r="A3097" s="7" t="s">
        <v>2567</v>
      </c>
      <c r="B3097" s="7" t="s">
        <v>4964</v>
      </c>
      <c r="C3097" s="8">
        <f>QS.CONTEXT.CREATE("market.3095",A3097,"USD","SOFR")</f>
        <v/>
      </c>
      <c r="D3097" s="8">
        <f>QS.CONTEXT.ADD.CURVE(C3097,"SOFR",$K$2:$K$7,$L$2:$L$7,,,"Actual360","LogLinear",TRUE)</f>
        <v/>
      </c>
      <c r="E3097" s="8">
        <f>QS.INSTRUMENT.SWAP("swap.3095",C3097,H3097,B3097,"USD","SOFR",I3097,J3097,0,"Actual360","Simple","Annual","Annual","Annual")</f>
        <v/>
      </c>
      <c r="F3097" s="8">
        <f>QS.TRADE.CREATE("trade.3095",C3097,E3097,A3097,"Receive")</f>
        <v/>
      </c>
      <c r="G3097" s="5"/>
      <c r="H3097" s="7" t="s">
        <v>2581</v>
      </c>
      <c r="I3097" s="9">
        <v>1309500</v>
      </c>
      <c r="J3097" s="10">
        <v>0.03950000000000001</v>
      </c>
    </row>
    <row r="3098" spans="1:10">
      <c r="A3098" s="7" t="s">
        <v>2569</v>
      </c>
      <c r="B3098" s="7" t="s">
        <v>4965</v>
      </c>
      <c r="C3098" s="8">
        <f>QS.CONTEXT.CREATE("market.3096",A3098,"USD","SOFR")</f>
        <v/>
      </c>
      <c r="D3098" s="8">
        <f>QS.CONTEXT.ADD.CURVE(C3098,"SOFR",$K$2:$K$7,$L$2:$L$7,,,"Actual360","LogLinear",TRUE)</f>
        <v/>
      </c>
      <c r="E3098" s="8">
        <f>QS.INSTRUMENT.SWAP("swap.3096",C3098,H3098,B3098,"USD","SOFR",I3098,J3098,0,"Actual360","Simple","Annual","Annual","Annual")</f>
        <v/>
      </c>
      <c r="F3098" s="8">
        <f>QS.TRADE.CREATE("trade.3096",C3098,E3098,A3098,"Receive")</f>
        <v/>
      </c>
      <c r="G3098" s="5"/>
      <c r="H3098" s="7" t="s">
        <v>2583</v>
      </c>
      <c r="I3098" s="9">
        <v>1309600</v>
      </c>
      <c r="J3098" s="10">
        <v>0.0396</v>
      </c>
    </row>
    <row r="3099" spans="1:10">
      <c r="A3099" s="7" t="s">
        <v>2571</v>
      </c>
      <c r="B3099" s="7" t="s">
        <v>4966</v>
      </c>
      <c r="C3099" s="8">
        <f>QS.CONTEXT.CREATE("market.3097",A3099,"USD","SOFR")</f>
        <v/>
      </c>
      <c r="D3099" s="8">
        <f>QS.CONTEXT.ADD.CURVE(C3099,"SOFR",$K$2:$K$7,$L$2:$L$7,,,"Actual360","LogLinear",TRUE)</f>
        <v/>
      </c>
      <c r="E3099" s="8">
        <f>QS.INSTRUMENT.SWAP("swap.3097",C3099,H3099,B3099,"USD","SOFR",I3099,J3099,0,"Actual360","Simple","Annual","Annual","Annual")</f>
        <v/>
      </c>
      <c r="F3099" s="8">
        <f>QS.TRADE.CREATE("trade.3097",C3099,E3099,A3099,"Receive")</f>
        <v/>
      </c>
      <c r="G3099" s="5"/>
      <c r="H3099" s="7" t="s">
        <v>2585</v>
      </c>
      <c r="I3099" s="9">
        <v>1309700</v>
      </c>
      <c r="J3099" s="10">
        <v>0.03970000000000001</v>
      </c>
    </row>
    <row r="3100" spans="1:10">
      <c r="A3100" s="7" t="s">
        <v>2573</v>
      </c>
      <c r="B3100" s="7" t="s">
        <v>4967</v>
      </c>
      <c r="C3100" s="8">
        <f>QS.CONTEXT.CREATE("market.3098",A3100,"USD","SOFR")</f>
        <v/>
      </c>
      <c r="D3100" s="8">
        <f>QS.CONTEXT.ADD.CURVE(C3100,"SOFR",$K$2:$K$7,$L$2:$L$7,,,"Actual360","LogLinear",TRUE)</f>
        <v/>
      </c>
      <c r="E3100" s="8">
        <f>QS.INSTRUMENT.SWAP("swap.3098",C3100,H3100,B3100,"USD","SOFR",I3100,J3100,0,"Actual360","Simple","Annual","Annual","Annual")</f>
        <v/>
      </c>
      <c r="F3100" s="8">
        <f>QS.TRADE.CREATE("trade.3098",C3100,E3100,A3100,"Receive")</f>
        <v/>
      </c>
      <c r="G3100" s="5"/>
      <c r="H3100" s="7" t="s">
        <v>2587</v>
      </c>
      <c r="I3100" s="9">
        <v>1309800</v>
      </c>
      <c r="J3100" s="10">
        <v>0.0398</v>
      </c>
    </row>
    <row r="3101" spans="1:10">
      <c r="A3101" s="7" t="s">
        <v>2575</v>
      </c>
      <c r="B3101" s="7" t="s">
        <v>4968</v>
      </c>
      <c r="C3101" s="8">
        <f>QS.CONTEXT.CREATE("market.3099",A3101,"USD","SOFR")</f>
        <v/>
      </c>
      <c r="D3101" s="8">
        <f>QS.CONTEXT.ADD.CURVE(C3101,"SOFR",$K$2:$K$7,$L$2:$L$7,,,"Actual360","LogLinear",TRUE)</f>
        <v/>
      </c>
      <c r="E3101" s="8">
        <f>QS.INSTRUMENT.SWAP("swap.3099",C3101,H3101,B3101,"USD","SOFR",I3101,J3101,0,"Actual360","Simple","Annual","Annual","Annual")</f>
        <v/>
      </c>
      <c r="F3101" s="8">
        <f>QS.TRADE.CREATE("trade.3099",C3101,E3101,A3101,"Receive")</f>
        <v/>
      </c>
      <c r="G3101" s="5"/>
      <c r="H3101" s="7" t="s">
        <v>2589</v>
      </c>
      <c r="I3101" s="9">
        <v>1309900</v>
      </c>
      <c r="J3101" s="10">
        <v>0.0399</v>
      </c>
    </row>
    <row r="3102" spans="1:10">
      <c r="A3102" s="7" t="s">
        <v>2577</v>
      </c>
      <c r="B3102" s="7" t="s">
        <v>4969</v>
      </c>
      <c r="C3102" s="8">
        <f>QS.CONTEXT.CREATE("market.3100",A3102,"USD","SOFR")</f>
        <v/>
      </c>
      <c r="D3102" s="8">
        <f>QS.CONTEXT.ADD.CURVE(C3102,"SOFR",$K$2:$K$7,$L$2:$L$7,,,"Actual360","LogLinear",TRUE)</f>
        <v/>
      </c>
      <c r="E3102" s="8">
        <f>QS.INSTRUMENT.SWAP("swap.3100",C3102,H3102,B3102,"USD","SOFR",I3102,J3102,0,"Actual360","Simple","Annual","Annual","Annual")</f>
        <v/>
      </c>
      <c r="F3102" s="8">
        <f>QS.TRADE.CREATE("trade.3100",C3102,E3102,A3102,"Receive")</f>
        <v/>
      </c>
      <c r="G3102" s="5"/>
      <c r="H3102" s="7" t="s">
        <v>2591</v>
      </c>
      <c r="I3102" s="9">
        <v>1310000</v>
      </c>
      <c r="J3102" s="10">
        <v>0.035</v>
      </c>
    </row>
    <row r="3103" spans="1:10">
      <c r="A3103" s="7" t="s">
        <v>2579</v>
      </c>
      <c r="B3103" s="7" t="s">
        <v>4970</v>
      </c>
      <c r="C3103" s="8">
        <f>QS.CONTEXT.CREATE("market.3101",A3103,"USD","SOFR")</f>
        <v/>
      </c>
      <c r="D3103" s="8">
        <f>QS.CONTEXT.ADD.CURVE(C3103,"SOFR",$K$2:$K$7,$L$2:$L$7,,,"Actual360","LogLinear",TRUE)</f>
        <v/>
      </c>
      <c r="E3103" s="8">
        <f>QS.INSTRUMENT.SWAP("swap.3101",C3103,H3103,B3103,"USD","SOFR",I3103,J3103,0,"Actual360","Simple","Annual","Annual","Annual")</f>
        <v/>
      </c>
      <c r="F3103" s="8">
        <f>QS.TRADE.CREATE("trade.3101",C3103,E3103,A3103,"Receive")</f>
        <v/>
      </c>
      <c r="G3103" s="5"/>
      <c r="H3103" s="7" t="s">
        <v>2593</v>
      </c>
      <c r="I3103" s="9">
        <v>1310100</v>
      </c>
      <c r="J3103" s="10">
        <v>0.03510000000000001</v>
      </c>
    </row>
    <row r="3104" spans="1:10">
      <c r="A3104" s="7" t="s">
        <v>2581</v>
      </c>
      <c r="B3104" s="7" t="s">
        <v>4971</v>
      </c>
      <c r="C3104" s="8">
        <f>QS.CONTEXT.CREATE("market.3102",A3104,"USD","SOFR")</f>
        <v/>
      </c>
      <c r="D3104" s="8">
        <f>QS.CONTEXT.ADD.CURVE(C3104,"SOFR",$K$2:$K$7,$L$2:$L$7,,,"Actual360","LogLinear",TRUE)</f>
        <v/>
      </c>
      <c r="E3104" s="8">
        <f>QS.INSTRUMENT.SWAP("swap.3102",C3104,H3104,B3104,"USD","SOFR",I3104,J3104,0,"Actual360","Simple","Annual","Annual","Annual")</f>
        <v/>
      </c>
      <c r="F3104" s="8">
        <f>QS.TRADE.CREATE("trade.3102",C3104,E3104,A3104,"Receive")</f>
        <v/>
      </c>
      <c r="G3104" s="5"/>
      <c r="H3104" s="7" t="s">
        <v>2595</v>
      </c>
      <c r="I3104" s="9">
        <v>1310200</v>
      </c>
      <c r="J3104" s="10">
        <v>0.0352</v>
      </c>
    </row>
    <row r="3105" spans="1:10">
      <c r="A3105" s="7" t="s">
        <v>2583</v>
      </c>
      <c r="B3105" s="7" t="s">
        <v>4972</v>
      </c>
      <c r="C3105" s="8">
        <f>QS.CONTEXT.CREATE("market.3103",A3105,"USD","SOFR")</f>
        <v/>
      </c>
      <c r="D3105" s="8">
        <f>QS.CONTEXT.ADD.CURVE(C3105,"SOFR",$K$2:$K$7,$L$2:$L$7,,,"Actual360","LogLinear",TRUE)</f>
        <v/>
      </c>
      <c r="E3105" s="8">
        <f>QS.INSTRUMENT.SWAP("swap.3103",C3105,H3105,B3105,"USD","SOFR",I3105,J3105,0,"Actual360","Simple","Annual","Annual","Annual")</f>
        <v/>
      </c>
      <c r="F3105" s="8">
        <f>QS.TRADE.CREATE("trade.3103",C3105,E3105,A3105,"Receive")</f>
        <v/>
      </c>
      <c r="G3105" s="5"/>
      <c r="H3105" s="7" t="s">
        <v>2597</v>
      </c>
      <c r="I3105" s="9">
        <v>1310300</v>
      </c>
      <c r="J3105" s="10">
        <v>0.0353</v>
      </c>
    </row>
    <row r="3106" spans="1:10">
      <c r="A3106" s="7" t="s">
        <v>2585</v>
      </c>
      <c r="B3106" s="7" t="s">
        <v>4973</v>
      </c>
      <c r="C3106" s="8">
        <f>QS.CONTEXT.CREATE("market.3104",A3106,"USD","SOFR")</f>
        <v/>
      </c>
      <c r="D3106" s="8">
        <f>QS.CONTEXT.ADD.CURVE(C3106,"SOFR",$K$2:$K$7,$L$2:$L$7,,,"Actual360","LogLinear",TRUE)</f>
        <v/>
      </c>
      <c r="E3106" s="8">
        <f>QS.INSTRUMENT.SWAP("swap.3104",C3106,H3106,B3106,"USD","SOFR",I3106,J3106,0,"Actual360","Simple","Annual","Annual","Annual")</f>
        <v/>
      </c>
      <c r="F3106" s="8">
        <f>QS.TRADE.CREATE("trade.3104",C3106,E3106,A3106,"Receive")</f>
        <v/>
      </c>
      <c r="G3106" s="5"/>
      <c r="H3106" s="7" t="s">
        <v>2599</v>
      </c>
      <c r="I3106" s="9">
        <v>1310400</v>
      </c>
      <c r="J3106" s="10">
        <v>0.0354</v>
      </c>
    </row>
    <row r="3107" spans="1:10">
      <c r="A3107" s="7" t="s">
        <v>2587</v>
      </c>
      <c r="B3107" s="7" t="s">
        <v>4974</v>
      </c>
      <c r="C3107" s="8">
        <f>QS.CONTEXT.CREATE("market.3105",A3107,"USD","SOFR")</f>
        <v/>
      </c>
      <c r="D3107" s="8">
        <f>QS.CONTEXT.ADD.CURVE(C3107,"SOFR",$K$2:$K$7,$L$2:$L$7,,,"Actual360","LogLinear",TRUE)</f>
        <v/>
      </c>
      <c r="E3107" s="8">
        <f>QS.INSTRUMENT.SWAP("swap.3105",C3107,H3107,B3107,"USD","SOFR",I3107,J3107,0,"Actual360","Simple","Annual","Annual","Annual")</f>
        <v/>
      </c>
      <c r="F3107" s="8">
        <f>QS.TRADE.CREATE("trade.3105",C3107,E3107,A3107,"Receive")</f>
        <v/>
      </c>
      <c r="G3107" s="5"/>
      <c r="H3107" s="7" t="s">
        <v>2601</v>
      </c>
      <c r="I3107" s="9">
        <v>1310500</v>
      </c>
      <c r="J3107" s="10">
        <v>0.0355</v>
      </c>
    </row>
    <row r="3108" spans="1:10">
      <c r="A3108" s="7" t="s">
        <v>2589</v>
      </c>
      <c r="B3108" s="7" t="s">
        <v>4975</v>
      </c>
      <c r="C3108" s="8">
        <f>QS.CONTEXT.CREATE("market.3106",A3108,"USD","SOFR")</f>
        <v/>
      </c>
      <c r="D3108" s="8">
        <f>QS.CONTEXT.ADD.CURVE(C3108,"SOFR",$K$2:$K$7,$L$2:$L$7,,,"Actual360","LogLinear",TRUE)</f>
        <v/>
      </c>
      <c r="E3108" s="8">
        <f>QS.INSTRUMENT.SWAP("swap.3106",C3108,H3108,B3108,"USD","SOFR",I3108,J3108,0,"Actual360","Simple","Annual","Annual","Annual")</f>
        <v/>
      </c>
      <c r="F3108" s="8">
        <f>QS.TRADE.CREATE("trade.3106",C3108,E3108,A3108,"Receive")</f>
        <v/>
      </c>
      <c r="G3108" s="5"/>
      <c r="H3108" s="7" t="s">
        <v>2603</v>
      </c>
      <c r="I3108" s="9">
        <v>1310600</v>
      </c>
      <c r="J3108" s="10">
        <v>0.03560000000000001</v>
      </c>
    </row>
    <row r="3109" spans="1:10">
      <c r="A3109" s="7" t="s">
        <v>2591</v>
      </c>
      <c r="B3109" s="7" t="s">
        <v>4976</v>
      </c>
      <c r="C3109" s="8">
        <f>QS.CONTEXT.CREATE("market.3107",A3109,"USD","SOFR")</f>
        <v/>
      </c>
      <c r="D3109" s="8">
        <f>QS.CONTEXT.ADD.CURVE(C3109,"SOFR",$K$2:$K$7,$L$2:$L$7,,,"Actual360","LogLinear",TRUE)</f>
        <v/>
      </c>
      <c r="E3109" s="8">
        <f>QS.INSTRUMENT.SWAP("swap.3107",C3109,H3109,B3109,"USD","SOFR",I3109,J3109,0,"Actual360","Simple","Annual","Annual","Annual")</f>
        <v/>
      </c>
      <c r="F3109" s="8">
        <f>QS.TRADE.CREATE("trade.3107",C3109,E3109,A3109,"Receive")</f>
        <v/>
      </c>
      <c r="G3109" s="5"/>
      <c r="H3109" s="7" t="s">
        <v>2605</v>
      </c>
      <c r="I3109" s="9">
        <v>1310700</v>
      </c>
      <c r="J3109" s="10">
        <v>0.0357</v>
      </c>
    </row>
    <row r="3110" spans="1:10">
      <c r="A3110" s="7" t="s">
        <v>2593</v>
      </c>
      <c r="B3110" s="7" t="s">
        <v>4977</v>
      </c>
      <c r="C3110" s="8">
        <f>QS.CONTEXT.CREATE("market.3108",A3110,"USD","SOFR")</f>
        <v/>
      </c>
      <c r="D3110" s="8">
        <f>QS.CONTEXT.ADD.CURVE(C3110,"SOFR",$K$2:$K$7,$L$2:$L$7,,,"Actual360","LogLinear",TRUE)</f>
        <v/>
      </c>
      <c r="E3110" s="8">
        <f>QS.INSTRUMENT.SWAP("swap.3108",C3110,H3110,B3110,"USD","SOFR",I3110,J3110,0,"Actual360","Simple","Annual","Annual","Annual")</f>
        <v/>
      </c>
      <c r="F3110" s="8">
        <f>QS.TRADE.CREATE("trade.3108",C3110,E3110,A3110,"Receive")</f>
        <v/>
      </c>
      <c r="G3110" s="5"/>
      <c r="H3110" s="7" t="s">
        <v>2607</v>
      </c>
      <c r="I3110" s="9">
        <v>1310800</v>
      </c>
      <c r="J3110" s="10">
        <v>0.03580000000000001</v>
      </c>
    </row>
    <row r="3111" spans="1:10">
      <c r="A3111" s="7" t="s">
        <v>2595</v>
      </c>
      <c r="B3111" s="7" t="s">
        <v>4978</v>
      </c>
      <c r="C3111" s="8">
        <f>QS.CONTEXT.CREATE("market.3109",A3111,"USD","SOFR")</f>
        <v/>
      </c>
      <c r="D3111" s="8">
        <f>QS.CONTEXT.ADD.CURVE(C3111,"SOFR",$K$2:$K$7,$L$2:$L$7,,,"Actual360","LogLinear",TRUE)</f>
        <v/>
      </c>
      <c r="E3111" s="8">
        <f>QS.INSTRUMENT.SWAP("swap.3109",C3111,H3111,B3111,"USD","SOFR",I3111,J3111,0,"Actual360","Simple","Annual","Annual","Annual")</f>
        <v/>
      </c>
      <c r="F3111" s="8">
        <f>QS.TRADE.CREATE("trade.3109",C3111,E3111,A3111,"Receive")</f>
        <v/>
      </c>
      <c r="G3111" s="5"/>
      <c r="H3111" s="7" t="s">
        <v>2609</v>
      </c>
      <c r="I3111" s="9">
        <v>1310900</v>
      </c>
      <c r="J3111" s="10">
        <v>0.0359</v>
      </c>
    </row>
    <row r="3112" spans="1:10">
      <c r="A3112" s="7" t="s">
        <v>2597</v>
      </c>
      <c r="B3112" s="7" t="s">
        <v>4979</v>
      </c>
      <c r="C3112" s="8">
        <f>QS.CONTEXT.CREATE("market.3110",A3112,"USD","SOFR")</f>
        <v/>
      </c>
      <c r="D3112" s="8">
        <f>QS.CONTEXT.ADD.CURVE(C3112,"SOFR",$K$2:$K$7,$L$2:$L$7,,,"Actual360","LogLinear",TRUE)</f>
        <v/>
      </c>
      <c r="E3112" s="8">
        <f>QS.INSTRUMENT.SWAP("swap.3110",C3112,H3112,B3112,"USD","SOFR",I3112,J3112,0,"Actual360","Simple","Annual","Annual","Annual")</f>
        <v/>
      </c>
      <c r="F3112" s="8">
        <f>QS.TRADE.CREATE("trade.3110",C3112,E3112,A3112,"Receive")</f>
        <v/>
      </c>
      <c r="G3112" s="5"/>
      <c r="H3112" s="7" t="s">
        <v>2611</v>
      </c>
      <c r="I3112" s="9">
        <v>1311000</v>
      </c>
      <c r="J3112" s="10">
        <v>0.036</v>
      </c>
    </row>
    <row r="3113" spans="1:10">
      <c r="A3113" s="7" t="s">
        <v>2599</v>
      </c>
      <c r="B3113" s="7" t="s">
        <v>4980</v>
      </c>
      <c r="C3113" s="8">
        <f>QS.CONTEXT.CREATE("market.3111",A3113,"USD","SOFR")</f>
        <v/>
      </c>
      <c r="D3113" s="8">
        <f>QS.CONTEXT.ADD.CURVE(C3113,"SOFR",$K$2:$K$7,$L$2:$L$7,,,"Actual360","LogLinear",TRUE)</f>
        <v/>
      </c>
      <c r="E3113" s="8">
        <f>QS.INSTRUMENT.SWAP("swap.3111",C3113,H3113,B3113,"USD","SOFR",I3113,J3113,0,"Actual360","Simple","Annual","Annual","Annual")</f>
        <v/>
      </c>
      <c r="F3113" s="8">
        <f>QS.TRADE.CREATE("trade.3111",C3113,E3113,A3113,"Receive")</f>
        <v/>
      </c>
      <c r="G3113" s="5"/>
      <c r="H3113" s="7" t="s">
        <v>2613</v>
      </c>
      <c r="I3113" s="9">
        <v>1311100</v>
      </c>
      <c r="J3113" s="10">
        <v>0.0361</v>
      </c>
    </row>
    <row r="3114" spans="1:10">
      <c r="A3114" s="7" t="s">
        <v>2601</v>
      </c>
      <c r="B3114" s="7" t="s">
        <v>4981</v>
      </c>
      <c r="C3114" s="8">
        <f>QS.CONTEXT.CREATE("market.3112",A3114,"USD","SOFR")</f>
        <v/>
      </c>
      <c r="D3114" s="8">
        <f>QS.CONTEXT.ADD.CURVE(C3114,"SOFR",$K$2:$K$7,$L$2:$L$7,,,"Actual360","LogLinear",TRUE)</f>
        <v/>
      </c>
      <c r="E3114" s="8">
        <f>QS.INSTRUMENT.SWAP("swap.3112",C3114,H3114,B3114,"USD","SOFR",I3114,J3114,0,"Actual360","Simple","Annual","Annual","Annual")</f>
        <v/>
      </c>
      <c r="F3114" s="8">
        <f>QS.TRADE.CREATE("trade.3112",C3114,E3114,A3114,"Receive")</f>
        <v/>
      </c>
      <c r="G3114" s="5"/>
      <c r="H3114" s="7" t="s">
        <v>2615</v>
      </c>
      <c r="I3114" s="9">
        <v>1311200</v>
      </c>
      <c r="J3114" s="10">
        <v>0.0362</v>
      </c>
    </row>
    <row r="3115" spans="1:10">
      <c r="A3115" s="7" t="s">
        <v>2603</v>
      </c>
      <c r="B3115" s="7" t="s">
        <v>4982</v>
      </c>
      <c r="C3115" s="8">
        <f>QS.CONTEXT.CREATE("market.3113",A3115,"USD","SOFR")</f>
        <v/>
      </c>
      <c r="D3115" s="8">
        <f>QS.CONTEXT.ADD.CURVE(C3115,"SOFR",$K$2:$K$7,$L$2:$L$7,,,"Actual360","LogLinear",TRUE)</f>
        <v/>
      </c>
      <c r="E3115" s="8">
        <f>QS.INSTRUMENT.SWAP("swap.3113",C3115,H3115,B3115,"USD","SOFR",I3115,J3115,0,"Actual360","Simple","Annual","Annual","Annual")</f>
        <v/>
      </c>
      <c r="F3115" s="8">
        <f>QS.TRADE.CREATE("trade.3113",C3115,E3115,A3115,"Receive")</f>
        <v/>
      </c>
      <c r="G3115" s="5"/>
      <c r="H3115" s="7" t="s">
        <v>2617</v>
      </c>
      <c r="I3115" s="9">
        <v>1311300</v>
      </c>
      <c r="J3115" s="10">
        <v>0.03630000000000001</v>
      </c>
    </row>
    <row r="3116" spans="1:10">
      <c r="A3116" s="7" t="s">
        <v>2605</v>
      </c>
      <c r="B3116" s="7" t="s">
        <v>4983</v>
      </c>
      <c r="C3116" s="8">
        <f>QS.CONTEXT.CREATE("market.3114",A3116,"USD","SOFR")</f>
        <v/>
      </c>
      <c r="D3116" s="8">
        <f>QS.CONTEXT.ADD.CURVE(C3116,"SOFR",$K$2:$K$7,$L$2:$L$7,,,"Actual360","LogLinear",TRUE)</f>
        <v/>
      </c>
      <c r="E3116" s="8">
        <f>QS.INSTRUMENT.SWAP("swap.3114",C3116,H3116,B3116,"USD","SOFR",I3116,J3116,0,"Actual360","Simple","Annual","Annual","Annual")</f>
        <v/>
      </c>
      <c r="F3116" s="8">
        <f>QS.TRADE.CREATE("trade.3114",C3116,E3116,A3116,"Receive")</f>
        <v/>
      </c>
      <c r="G3116" s="5"/>
      <c r="H3116" s="7" t="s">
        <v>2619</v>
      </c>
      <c r="I3116" s="9">
        <v>1311400</v>
      </c>
      <c r="J3116" s="10">
        <v>0.0364</v>
      </c>
    </row>
    <row r="3117" spans="1:10">
      <c r="A3117" s="7" t="s">
        <v>2607</v>
      </c>
      <c r="B3117" s="7" t="s">
        <v>4984</v>
      </c>
      <c r="C3117" s="8">
        <f>QS.CONTEXT.CREATE("market.3115",A3117,"USD","SOFR")</f>
        <v/>
      </c>
      <c r="D3117" s="8">
        <f>QS.CONTEXT.ADD.CURVE(C3117,"SOFR",$K$2:$K$7,$L$2:$L$7,,,"Actual360","LogLinear",TRUE)</f>
        <v/>
      </c>
      <c r="E3117" s="8">
        <f>QS.INSTRUMENT.SWAP("swap.3115",C3117,H3117,B3117,"USD","SOFR",I3117,J3117,0,"Actual360","Simple","Annual","Annual","Annual")</f>
        <v/>
      </c>
      <c r="F3117" s="8">
        <f>QS.TRADE.CREATE("trade.3115",C3117,E3117,A3117,"Receive")</f>
        <v/>
      </c>
      <c r="G3117" s="5"/>
      <c r="H3117" s="7" t="s">
        <v>2621</v>
      </c>
      <c r="I3117" s="9">
        <v>1311500</v>
      </c>
      <c r="J3117" s="10">
        <v>0.0365</v>
      </c>
    </row>
    <row r="3118" spans="1:10">
      <c r="A3118" s="7" t="s">
        <v>2609</v>
      </c>
      <c r="B3118" s="7" t="s">
        <v>4985</v>
      </c>
      <c r="C3118" s="8">
        <f>QS.CONTEXT.CREATE("market.3116",A3118,"USD","SOFR")</f>
        <v/>
      </c>
      <c r="D3118" s="8">
        <f>QS.CONTEXT.ADD.CURVE(C3118,"SOFR",$K$2:$K$7,$L$2:$L$7,,,"Actual360","LogLinear",TRUE)</f>
        <v/>
      </c>
      <c r="E3118" s="8">
        <f>QS.INSTRUMENT.SWAP("swap.3116",C3118,H3118,B3118,"USD","SOFR",I3118,J3118,0,"Actual360","Simple","Annual","Annual","Annual")</f>
        <v/>
      </c>
      <c r="F3118" s="8">
        <f>QS.TRADE.CREATE("trade.3116",C3118,E3118,A3118,"Receive")</f>
        <v/>
      </c>
      <c r="G3118" s="5"/>
      <c r="H3118" s="7" t="s">
        <v>2623</v>
      </c>
      <c r="I3118" s="9">
        <v>1311600</v>
      </c>
      <c r="J3118" s="10">
        <v>0.0366</v>
      </c>
    </row>
    <row r="3119" spans="1:10">
      <c r="A3119" s="7" t="s">
        <v>2611</v>
      </c>
      <c r="B3119" s="7" t="s">
        <v>4986</v>
      </c>
      <c r="C3119" s="8">
        <f>QS.CONTEXT.CREATE("market.3117",A3119,"USD","SOFR")</f>
        <v/>
      </c>
      <c r="D3119" s="8">
        <f>QS.CONTEXT.ADD.CURVE(C3119,"SOFR",$K$2:$K$7,$L$2:$L$7,,,"Actual360","LogLinear",TRUE)</f>
        <v/>
      </c>
      <c r="E3119" s="8">
        <f>QS.INSTRUMENT.SWAP("swap.3117",C3119,H3119,B3119,"USD","SOFR",I3119,J3119,0,"Actual360","Simple","Annual","Annual","Annual")</f>
        <v/>
      </c>
      <c r="F3119" s="8">
        <f>QS.TRADE.CREATE("trade.3117",C3119,E3119,A3119,"Receive")</f>
        <v/>
      </c>
      <c r="G3119" s="5"/>
      <c r="H3119" s="7" t="s">
        <v>2625</v>
      </c>
      <c r="I3119" s="9">
        <v>1311700</v>
      </c>
      <c r="J3119" s="10">
        <v>0.0367</v>
      </c>
    </row>
    <row r="3120" spans="1:10">
      <c r="A3120" s="7" t="s">
        <v>2613</v>
      </c>
      <c r="B3120" s="7" t="s">
        <v>4987</v>
      </c>
      <c r="C3120" s="8">
        <f>QS.CONTEXT.CREATE("market.3118",A3120,"USD","SOFR")</f>
        <v/>
      </c>
      <c r="D3120" s="8">
        <f>QS.CONTEXT.ADD.CURVE(C3120,"SOFR",$K$2:$K$7,$L$2:$L$7,,,"Actual360","LogLinear",TRUE)</f>
        <v/>
      </c>
      <c r="E3120" s="8">
        <f>QS.INSTRUMENT.SWAP("swap.3118",C3120,H3120,B3120,"USD","SOFR",I3120,J3120,0,"Actual360","Simple","Annual","Annual","Annual")</f>
        <v/>
      </c>
      <c r="F3120" s="8">
        <f>QS.TRADE.CREATE("trade.3118",C3120,E3120,A3120,"Receive")</f>
        <v/>
      </c>
      <c r="G3120" s="5"/>
      <c r="H3120" s="7" t="s">
        <v>2627</v>
      </c>
      <c r="I3120" s="9">
        <v>1311800</v>
      </c>
      <c r="J3120" s="10">
        <v>0.03680000000000001</v>
      </c>
    </row>
    <row r="3121" spans="1:10">
      <c r="A3121" s="7" t="s">
        <v>2615</v>
      </c>
      <c r="B3121" s="7" t="s">
        <v>4988</v>
      </c>
      <c r="C3121" s="8">
        <f>QS.CONTEXT.CREATE("market.3119",A3121,"USD","SOFR")</f>
        <v/>
      </c>
      <c r="D3121" s="8">
        <f>QS.CONTEXT.ADD.CURVE(C3121,"SOFR",$K$2:$K$7,$L$2:$L$7,,,"Actual360","LogLinear",TRUE)</f>
        <v/>
      </c>
      <c r="E3121" s="8">
        <f>QS.INSTRUMENT.SWAP("swap.3119",C3121,H3121,B3121,"USD","SOFR",I3121,J3121,0,"Actual360","Simple","Annual","Annual","Annual")</f>
        <v/>
      </c>
      <c r="F3121" s="8">
        <f>QS.TRADE.CREATE("trade.3119",C3121,E3121,A3121,"Receive")</f>
        <v/>
      </c>
      <c r="G3121" s="5"/>
      <c r="H3121" s="7" t="s">
        <v>2629</v>
      </c>
      <c r="I3121" s="9">
        <v>1311900</v>
      </c>
      <c r="J3121" s="10">
        <v>0.0369</v>
      </c>
    </row>
    <row r="3122" spans="1:10">
      <c r="A3122" s="7" t="s">
        <v>2617</v>
      </c>
      <c r="B3122" s="7" t="s">
        <v>4989</v>
      </c>
      <c r="C3122" s="8">
        <f>QS.CONTEXT.CREATE("market.3120",A3122,"USD","SOFR")</f>
        <v/>
      </c>
      <c r="D3122" s="8">
        <f>QS.CONTEXT.ADD.CURVE(C3122,"SOFR",$K$2:$K$7,$L$2:$L$7,,,"Actual360","LogLinear",TRUE)</f>
        <v/>
      </c>
      <c r="E3122" s="8">
        <f>QS.INSTRUMENT.SWAP("swap.3120",C3122,H3122,B3122,"USD","SOFR",I3122,J3122,0,"Actual360","Simple","Annual","Annual","Annual")</f>
        <v/>
      </c>
      <c r="F3122" s="8">
        <f>QS.TRADE.CREATE("trade.3120",C3122,E3122,A3122,"Receive")</f>
        <v/>
      </c>
      <c r="G3122" s="5"/>
      <c r="H3122" s="7" t="s">
        <v>2631</v>
      </c>
      <c r="I3122" s="9">
        <v>1312000</v>
      </c>
      <c r="J3122" s="10">
        <v>0.03700000000000001</v>
      </c>
    </row>
    <row r="3123" spans="1:10">
      <c r="A3123" s="7" t="s">
        <v>2619</v>
      </c>
      <c r="B3123" s="7" t="s">
        <v>4990</v>
      </c>
      <c r="C3123" s="8">
        <f>QS.CONTEXT.CREATE("market.3121",A3123,"USD","SOFR")</f>
        <v/>
      </c>
      <c r="D3123" s="8">
        <f>QS.CONTEXT.ADD.CURVE(C3123,"SOFR",$K$2:$K$7,$L$2:$L$7,,,"Actual360","LogLinear",TRUE)</f>
        <v/>
      </c>
      <c r="E3123" s="8">
        <f>QS.INSTRUMENT.SWAP("swap.3121",C3123,H3123,B3123,"USD","SOFR",I3123,J3123,0,"Actual360","Simple","Annual","Annual","Annual")</f>
        <v/>
      </c>
      <c r="F3123" s="8">
        <f>QS.TRADE.CREATE("trade.3121",C3123,E3123,A3123,"Receive")</f>
        <v/>
      </c>
      <c r="G3123" s="5"/>
      <c r="H3123" s="7" t="s">
        <v>2633</v>
      </c>
      <c r="I3123" s="9">
        <v>1312100</v>
      </c>
      <c r="J3123" s="10">
        <v>0.0371</v>
      </c>
    </row>
    <row r="3124" spans="1:10">
      <c r="A3124" s="7" t="s">
        <v>2621</v>
      </c>
      <c r="B3124" s="7" t="s">
        <v>4991</v>
      </c>
      <c r="C3124" s="8">
        <f>QS.CONTEXT.CREATE("market.3122",A3124,"USD","SOFR")</f>
        <v/>
      </c>
      <c r="D3124" s="8">
        <f>QS.CONTEXT.ADD.CURVE(C3124,"SOFR",$K$2:$K$7,$L$2:$L$7,,,"Actual360","LogLinear",TRUE)</f>
        <v/>
      </c>
      <c r="E3124" s="8">
        <f>QS.INSTRUMENT.SWAP("swap.3122",C3124,H3124,B3124,"USD","SOFR",I3124,J3124,0,"Actual360","Simple","Annual","Annual","Annual")</f>
        <v/>
      </c>
      <c r="F3124" s="8">
        <f>QS.TRADE.CREATE("trade.3122",C3124,E3124,A3124,"Receive")</f>
        <v/>
      </c>
      <c r="G3124" s="5"/>
      <c r="H3124" s="7" t="s">
        <v>2635</v>
      </c>
      <c r="I3124" s="9">
        <v>1312200</v>
      </c>
      <c r="J3124" s="10">
        <v>0.0372</v>
      </c>
    </row>
    <row r="3125" spans="1:10">
      <c r="A3125" s="7" t="s">
        <v>2623</v>
      </c>
      <c r="B3125" s="7" t="s">
        <v>4992</v>
      </c>
      <c r="C3125" s="8">
        <f>QS.CONTEXT.CREATE("market.3123",A3125,"USD","SOFR")</f>
        <v/>
      </c>
      <c r="D3125" s="8">
        <f>QS.CONTEXT.ADD.CURVE(C3125,"SOFR",$K$2:$K$7,$L$2:$L$7,,,"Actual360","LogLinear",TRUE)</f>
        <v/>
      </c>
      <c r="E3125" s="8">
        <f>QS.INSTRUMENT.SWAP("swap.3123",C3125,H3125,B3125,"USD","SOFR",I3125,J3125,0,"Actual360","Simple","Annual","Annual","Annual")</f>
        <v/>
      </c>
      <c r="F3125" s="8">
        <f>QS.TRADE.CREATE("trade.3123",C3125,E3125,A3125,"Receive")</f>
        <v/>
      </c>
      <c r="G3125" s="5"/>
      <c r="H3125" s="7" t="s">
        <v>2637</v>
      </c>
      <c r="I3125" s="9">
        <v>1312300</v>
      </c>
      <c r="J3125" s="10">
        <v>0.0373</v>
      </c>
    </row>
    <row r="3126" spans="1:10">
      <c r="A3126" s="7" t="s">
        <v>2625</v>
      </c>
      <c r="B3126" s="7" t="s">
        <v>4993</v>
      </c>
      <c r="C3126" s="8">
        <f>QS.CONTEXT.CREATE("market.3124",A3126,"USD","SOFR")</f>
        <v/>
      </c>
      <c r="D3126" s="8">
        <f>QS.CONTEXT.ADD.CURVE(C3126,"SOFR",$K$2:$K$7,$L$2:$L$7,,,"Actual360","LogLinear",TRUE)</f>
        <v/>
      </c>
      <c r="E3126" s="8">
        <f>QS.INSTRUMENT.SWAP("swap.3124",C3126,H3126,B3126,"USD","SOFR",I3126,J3126,0,"Actual360","Simple","Annual","Annual","Annual")</f>
        <v/>
      </c>
      <c r="F3126" s="8">
        <f>QS.TRADE.CREATE("trade.3124",C3126,E3126,A3126,"Receive")</f>
        <v/>
      </c>
      <c r="G3126" s="5"/>
      <c r="H3126" s="7" t="s">
        <v>2639</v>
      </c>
      <c r="I3126" s="9">
        <v>1312400</v>
      </c>
      <c r="J3126" s="10">
        <v>0.0374</v>
      </c>
    </row>
    <row r="3127" spans="1:10">
      <c r="A3127" s="7" t="s">
        <v>2627</v>
      </c>
      <c r="B3127" s="7" t="s">
        <v>4994</v>
      </c>
      <c r="C3127" s="8">
        <f>QS.CONTEXT.CREATE("market.3125",A3127,"USD","SOFR")</f>
        <v/>
      </c>
      <c r="D3127" s="8">
        <f>QS.CONTEXT.ADD.CURVE(C3127,"SOFR",$K$2:$K$7,$L$2:$L$7,,,"Actual360","LogLinear",TRUE)</f>
        <v/>
      </c>
      <c r="E3127" s="8">
        <f>QS.INSTRUMENT.SWAP("swap.3125",C3127,H3127,B3127,"USD","SOFR",I3127,J3127,0,"Actual360","Simple","Annual","Annual","Annual")</f>
        <v/>
      </c>
      <c r="F3127" s="8">
        <f>QS.TRADE.CREATE("trade.3125",C3127,E3127,A3127,"Receive")</f>
        <v/>
      </c>
      <c r="G3127" s="5"/>
      <c r="H3127" s="7" t="s">
        <v>2641</v>
      </c>
      <c r="I3127" s="9">
        <v>1312500</v>
      </c>
      <c r="J3127" s="10">
        <v>0.03750000000000001</v>
      </c>
    </row>
    <row r="3128" spans="1:10">
      <c r="A3128" s="7" t="s">
        <v>2629</v>
      </c>
      <c r="B3128" s="7" t="s">
        <v>4995</v>
      </c>
      <c r="C3128" s="8">
        <f>QS.CONTEXT.CREATE("market.3126",A3128,"USD","SOFR")</f>
        <v/>
      </c>
      <c r="D3128" s="8">
        <f>QS.CONTEXT.ADD.CURVE(C3128,"SOFR",$K$2:$K$7,$L$2:$L$7,,,"Actual360","LogLinear",TRUE)</f>
        <v/>
      </c>
      <c r="E3128" s="8">
        <f>QS.INSTRUMENT.SWAP("swap.3126",C3128,H3128,B3128,"USD","SOFR",I3128,J3128,0,"Actual360","Simple","Annual","Annual","Annual")</f>
        <v/>
      </c>
      <c r="F3128" s="8">
        <f>QS.TRADE.CREATE("trade.3126",C3128,E3128,A3128,"Receive")</f>
        <v/>
      </c>
      <c r="G3128" s="5"/>
      <c r="H3128" s="7" t="s">
        <v>2643</v>
      </c>
      <c r="I3128" s="9">
        <v>1312600</v>
      </c>
      <c r="J3128" s="10">
        <v>0.0376</v>
      </c>
    </row>
    <row r="3129" spans="1:10">
      <c r="A3129" s="7" t="s">
        <v>2631</v>
      </c>
      <c r="B3129" s="7" t="s">
        <v>4996</v>
      </c>
      <c r="C3129" s="8">
        <f>QS.CONTEXT.CREATE("market.3127",A3129,"USD","SOFR")</f>
        <v/>
      </c>
      <c r="D3129" s="8">
        <f>QS.CONTEXT.ADD.CURVE(C3129,"SOFR",$K$2:$K$7,$L$2:$L$7,,,"Actual360","LogLinear",TRUE)</f>
        <v/>
      </c>
      <c r="E3129" s="8">
        <f>QS.INSTRUMENT.SWAP("swap.3127",C3129,H3129,B3129,"USD","SOFR",I3129,J3129,0,"Actual360","Simple","Annual","Annual","Annual")</f>
        <v/>
      </c>
      <c r="F3129" s="8">
        <f>QS.TRADE.CREATE("trade.3127",C3129,E3129,A3129,"Receive")</f>
        <v/>
      </c>
      <c r="G3129" s="5"/>
      <c r="H3129" s="7" t="s">
        <v>2645</v>
      </c>
      <c r="I3129" s="9">
        <v>1312700</v>
      </c>
      <c r="J3129" s="10">
        <v>0.0377</v>
      </c>
    </row>
    <row r="3130" spans="1:10">
      <c r="A3130" s="7" t="s">
        <v>2633</v>
      </c>
      <c r="B3130" s="7" t="s">
        <v>4997</v>
      </c>
      <c r="C3130" s="8">
        <f>QS.CONTEXT.CREATE("market.3128",A3130,"USD","SOFR")</f>
        <v/>
      </c>
      <c r="D3130" s="8">
        <f>QS.CONTEXT.ADD.CURVE(C3130,"SOFR",$K$2:$K$7,$L$2:$L$7,,,"Actual360","LogLinear",TRUE)</f>
        <v/>
      </c>
      <c r="E3130" s="8">
        <f>QS.INSTRUMENT.SWAP("swap.3128",C3130,H3130,B3130,"USD","SOFR",I3130,J3130,0,"Actual360","Simple","Annual","Annual","Annual")</f>
        <v/>
      </c>
      <c r="F3130" s="8">
        <f>QS.TRADE.CREATE("trade.3128",C3130,E3130,A3130,"Receive")</f>
        <v/>
      </c>
      <c r="G3130" s="5"/>
      <c r="H3130" s="7" t="s">
        <v>2647</v>
      </c>
      <c r="I3130" s="9">
        <v>1312800</v>
      </c>
      <c r="J3130" s="10">
        <v>0.0378</v>
      </c>
    </row>
    <row r="3131" spans="1:10">
      <c r="A3131" s="7" t="s">
        <v>2635</v>
      </c>
      <c r="B3131" s="7" t="s">
        <v>4998</v>
      </c>
      <c r="C3131" s="8">
        <f>QS.CONTEXT.CREATE("market.3129",A3131,"USD","SOFR")</f>
        <v/>
      </c>
      <c r="D3131" s="8">
        <f>QS.CONTEXT.ADD.CURVE(C3131,"SOFR",$K$2:$K$7,$L$2:$L$7,,,"Actual360","LogLinear",TRUE)</f>
        <v/>
      </c>
      <c r="E3131" s="8">
        <f>QS.INSTRUMENT.SWAP("swap.3129",C3131,H3131,B3131,"USD","SOFR",I3131,J3131,0,"Actual360","Simple","Annual","Annual","Annual")</f>
        <v/>
      </c>
      <c r="F3131" s="8">
        <f>QS.TRADE.CREATE("trade.3129",C3131,E3131,A3131,"Receive")</f>
        <v/>
      </c>
      <c r="G3131" s="5"/>
      <c r="H3131" s="7" t="s">
        <v>2649</v>
      </c>
      <c r="I3131" s="9">
        <v>1312900</v>
      </c>
      <c r="J3131" s="10">
        <v>0.0379</v>
      </c>
    </row>
    <row r="3132" spans="1:10">
      <c r="A3132" s="7" t="s">
        <v>2637</v>
      </c>
      <c r="B3132" s="7" t="s">
        <v>4999</v>
      </c>
      <c r="C3132" s="8">
        <f>QS.CONTEXT.CREATE("market.3130",A3132,"USD","SOFR")</f>
        <v/>
      </c>
      <c r="D3132" s="8">
        <f>QS.CONTEXT.ADD.CURVE(C3132,"SOFR",$K$2:$K$7,$L$2:$L$7,,,"Actual360","LogLinear",TRUE)</f>
        <v/>
      </c>
      <c r="E3132" s="8">
        <f>QS.INSTRUMENT.SWAP("swap.3130",C3132,H3132,B3132,"USD","SOFR",I3132,J3132,0,"Actual360","Simple","Annual","Annual","Annual")</f>
        <v/>
      </c>
      <c r="F3132" s="8">
        <f>QS.TRADE.CREATE("trade.3130",C3132,E3132,A3132,"Receive")</f>
        <v/>
      </c>
      <c r="G3132" s="5"/>
      <c r="H3132" s="7" t="s">
        <v>2651</v>
      </c>
      <c r="I3132" s="9">
        <v>1313000</v>
      </c>
      <c r="J3132" s="10">
        <v>0.03800000000000001</v>
      </c>
    </row>
    <row r="3133" spans="1:10">
      <c r="A3133" s="7" t="s">
        <v>2639</v>
      </c>
      <c r="B3133" s="7" t="s">
        <v>5000</v>
      </c>
      <c r="C3133" s="8">
        <f>QS.CONTEXT.CREATE("market.3131",A3133,"USD","SOFR")</f>
        <v/>
      </c>
      <c r="D3133" s="8">
        <f>QS.CONTEXT.ADD.CURVE(C3133,"SOFR",$K$2:$K$7,$L$2:$L$7,,,"Actual360","LogLinear",TRUE)</f>
        <v/>
      </c>
      <c r="E3133" s="8">
        <f>QS.INSTRUMENT.SWAP("swap.3131",C3133,H3133,B3133,"USD","SOFR",I3133,J3133,0,"Actual360","Simple","Annual","Annual","Annual")</f>
        <v/>
      </c>
      <c r="F3133" s="8">
        <f>QS.TRADE.CREATE("trade.3131",C3133,E3133,A3133,"Receive")</f>
        <v/>
      </c>
      <c r="G3133" s="5"/>
      <c r="H3133" s="7" t="s">
        <v>2653</v>
      </c>
      <c r="I3133" s="9">
        <v>1313100</v>
      </c>
      <c r="J3133" s="10">
        <v>0.0381</v>
      </c>
    </row>
    <row r="3134" spans="1:10">
      <c r="A3134" s="7" t="s">
        <v>2641</v>
      </c>
      <c r="B3134" s="7" t="s">
        <v>5001</v>
      </c>
      <c r="C3134" s="8">
        <f>QS.CONTEXT.CREATE("market.3132",A3134,"USD","SOFR")</f>
        <v/>
      </c>
      <c r="D3134" s="8">
        <f>QS.CONTEXT.ADD.CURVE(C3134,"SOFR",$K$2:$K$7,$L$2:$L$7,,,"Actual360","LogLinear",TRUE)</f>
        <v/>
      </c>
      <c r="E3134" s="8">
        <f>QS.INSTRUMENT.SWAP("swap.3132",C3134,H3134,B3134,"USD","SOFR",I3134,J3134,0,"Actual360","Simple","Annual","Annual","Annual")</f>
        <v/>
      </c>
      <c r="F3134" s="8">
        <f>QS.TRADE.CREATE("trade.3132",C3134,E3134,A3134,"Receive")</f>
        <v/>
      </c>
      <c r="G3134" s="5"/>
      <c r="H3134" s="7" t="s">
        <v>2655</v>
      </c>
      <c r="I3134" s="9">
        <v>1313200</v>
      </c>
      <c r="J3134" s="10">
        <v>0.0382</v>
      </c>
    </row>
    <row r="3135" spans="1:10">
      <c r="A3135" s="7" t="s">
        <v>2643</v>
      </c>
      <c r="B3135" s="7" t="s">
        <v>5002</v>
      </c>
      <c r="C3135" s="8">
        <f>QS.CONTEXT.CREATE("market.3133",A3135,"USD","SOFR")</f>
        <v/>
      </c>
      <c r="D3135" s="8">
        <f>QS.CONTEXT.ADD.CURVE(C3135,"SOFR",$K$2:$K$7,$L$2:$L$7,,,"Actual360","LogLinear",TRUE)</f>
        <v/>
      </c>
      <c r="E3135" s="8">
        <f>QS.INSTRUMENT.SWAP("swap.3133",C3135,H3135,B3135,"USD","SOFR",I3135,J3135,0,"Actual360","Simple","Annual","Annual","Annual")</f>
        <v/>
      </c>
      <c r="F3135" s="8">
        <f>QS.TRADE.CREATE("trade.3133",C3135,E3135,A3135,"Receive")</f>
        <v/>
      </c>
      <c r="G3135" s="5"/>
      <c r="H3135" s="7" t="s">
        <v>2657</v>
      </c>
      <c r="I3135" s="9">
        <v>1313300</v>
      </c>
      <c r="J3135" s="10">
        <v>0.0383</v>
      </c>
    </row>
    <row r="3136" spans="1:10">
      <c r="A3136" s="7" t="s">
        <v>2645</v>
      </c>
      <c r="B3136" s="7" t="s">
        <v>5003</v>
      </c>
      <c r="C3136" s="8">
        <f>QS.CONTEXT.CREATE("market.3134",A3136,"USD","SOFR")</f>
        <v/>
      </c>
      <c r="D3136" s="8">
        <f>QS.CONTEXT.ADD.CURVE(C3136,"SOFR",$K$2:$K$7,$L$2:$L$7,,,"Actual360","LogLinear",TRUE)</f>
        <v/>
      </c>
      <c r="E3136" s="8">
        <f>QS.INSTRUMENT.SWAP("swap.3134",C3136,H3136,B3136,"USD","SOFR",I3136,J3136,0,"Actual360","Simple","Annual","Annual","Annual")</f>
        <v/>
      </c>
      <c r="F3136" s="8">
        <f>QS.TRADE.CREATE("trade.3134",C3136,E3136,A3136,"Receive")</f>
        <v/>
      </c>
      <c r="G3136" s="5"/>
      <c r="H3136" s="7" t="s">
        <v>2659</v>
      </c>
      <c r="I3136" s="9">
        <v>1313400</v>
      </c>
      <c r="J3136" s="10">
        <v>0.0384</v>
      </c>
    </row>
    <row r="3137" spans="1:10">
      <c r="A3137" s="7" t="s">
        <v>2647</v>
      </c>
      <c r="B3137" s="7" t="s">
        <v>5004</v>
      </c>
      <c r="C3137" s="8">
        <f>QS.CONTEXT.CREATE("market.3135",A3137,"USD","SOFR")</f>
        <v/>
      </c>
      <c r="D3137" s="8">
        <f>QS.CONTEXT.ADD.CURVE(C3137,"SOFR",$K$2:$K$7,$L$2:$L$7,,,"Actual360","LogLinear",TRUE)</f>
        <v/>
      </c>
      <c r="E3137" s="8">
        <f>QS.INSTRUMENT.SWAP("swap.3135",C3137,H3137,B3137,"USD","SOFR",I3137,J3137,0,"Actual360","Simple","Annual","Annual","Annual")</f>
        <v/>
      </c>
      <c r="F3137" s="8">
        <f>QS.TRADE.CREATE("trade.3135",C3137,E3137,A3137,"Receive")</f>
        <v/>
      </c>
      <c r="G3137" s="5"/>
      <c r="H3137" s="7" t="s">
        <v>2661</v>
      </c>
      <c r="I3137" s="9">
        <v>1313500</v>
      </c>
      <c r="J3137" s="10">
        <v>0.03850000000000001</v>
      </c>
    </row>
    <row r="3138" spans="1:10">
      <c r="A3138" s="7" t="s">
        <v>2649</v>
      </c>
      <c r="B3138" s="7" t="s">
        <v>5005</v>
      </c>
      <c r="C3138" s="8">
        <f>QS.CONTEXT.CREATE("market.3136",A3138,"USD","SOFR")</f>
        <v/>
      </c>
      <c r="D3138" s="8">
        <f>QS.CONTEXT.ADD.CURVE(C3138,"SOFR",$K$2:$K$7,$L$2:$L$7,,,"Actual360","LogLinear",TRUE)</f>
        <v/>
      </c>
      <c r="E3138" s="8">
        <f>QS.INSTRUMENT.SWAP("swap.3136",C3138,H3138,B3138,"USD","SOFR",I3138,J3138,0,"Actual360","Simple","Annual","Annual","Annual")</f>
        <v/>
      </c>
      <c r="F3138" s="8">
        <f>QS.TRADE.CREATE("trade.3136",C3138,E3138,A3138,"Receive")</f>
        <v/>
      </c>
      <c r="G3138" s="5"/>
      <c r="H3138" s="7" t="s">
        <v>2663</v>
      </c>
      <c r="I3138" s="9">
        <v>1313600</v>
      </c>
      <c r="J3138" s="10">
        <v>0.0386</v>
      </c>
    </row>
    <row r="3139" spans="1:10">
      <c r="A3139" s="7" t="s">
        <v>2651</v>
      </c>
      <c r="B3139" s="7" t="s">
        <v>5006</v>
      </c>
      <c r="C3139" s="8">
        <f>QS.CONTEXT.CREATE("market.3137",A3139,"USD","SOFR")</f>
        <v/>
      </c>
      <c r="D3139" s="8">
        <f>QS.CONTEXT.ADD.CURVE(C3139,"SOFR",$K$2:$K$7,$L$2:$L$7,,,"Actual360","LogLinear",TRUE)</f>
        <v/>
      </c>
      <c r="E3139" s="8">
        <f>QS.INSTRUMENT.SWAP("swap.3137",C3139,H3139,B3139,"USD","SOFR",I3139,J3139,0,"Actual360","Simple","Annual","Annual","Annual")</f>
        <v/>
      </c>
      <c r="F3139" s="8">
        <f>QS.TRADE.CREATE("trade.3137",C3139,E3139,A3139,"Receive")</f>
        <v/>
      </c>
      <c r="G3139" s="5"/>
      <c r="H3139" s="7" t="s">
        <v>2665</v>
      </c>
      <c r="I3139" s="9">
        <v>1313700</v>
      </c>
      <c r="J3139" s="10">
        <v>0.03870000000000001</v>
      </c>
    </row>
    <row r="3140" spans="1:10">
      <c r="A3140" s="7" t="s">
        <v>2653</v>
      </c>
      <c r="B3140" s="7" t="s">
        <v>5007</v>
      </c>
      <c r="C3140" s="8">
        <f>QS.CONTEXT.CREATE("market.3138",A3140,"USD","SOFR")</f>
        <v/>
      </c>
      <c r="D3140" s="8">
        <f>QS.CONTEXT.ADD.CURVE(C3140,"SOFR",$K$2:$K$7,$L$2:$L$7,,,"Actual360","LogLinear",TRUE)</f>
        <v/>
      </c>
      <c r="E3140" s="8">
        <f>QS.INSTRUMENT.SWAP("swap.3138",C3140,H3140,B3140,"USD","SOFR",I3140,J3140,0,"Actual360","Simple","Annual","Annual","Annual")</f>
        <v/>
      </c>
      <c r="F3140" s="8">
        <f>QS.TRADE.CREATE("trade.3138",C3140,E3140,A3140,"Receive")</f>
        <v/>
      </c>
      <c r="G3140" s="5"/>
      <c r="H3140" s="7" t="s">
        <v>2667</v>
      </c>
      <c r="I3140" s="9">
        <v>1313800</v>
      </c>
      <c r="J3140" s="10">
        <v>0.0388</v>
      </c>
    </row>
    <row r="3141" spans="1:10">
      <c r="A3141" s="7" t="s">
        <v>2655</v>
      </c>
      <c r="B3141" s="7" t="s">
        <v>5008</v>
      </c>
      <c r="C3141" s="8">
        <f>QS.CONTEXT.CREATE("market.3139",A3141,"USD","SOFR")</f>
        <v/>
      </c>
      <c r="D3141" s="8">
        <f>QS.CONTEXT.ADD.CURVE(C3141,"SOFR",$K$2:$K$7,$L$2:$L$7,,,"Actual360","LogLinear",TRUE)</f>
        <v/>
      </c>
      <c r="E3141" s="8">
        <f>QS.INSTRUMENT.SWAP("swap.3139",C3141,H3141,B3141,"USD","SOFR",I3141,J3141,0,"Actual360","Simple","Annual","Annual","Annual")</f>
        <v/>
      </c>
      <c r="F3141" s="8">
        <f>QS.TRADE.CREATE("trade.3139",C3141,E3141,A3141,"Receive")</f>
        <v/>
      </c>
      <c r="G3141" s="5"/>
      <c r="H3141" s="7" t="s">
        <v>2669</v>
      </c>
      <c r="I3141" s="9">
        <v>1313900</v>
      </c>
      <c r="J3141" s="10">
        <v>0.0389</v>
      </c>
    </row>
    <row r="3142" spans="1:10">
      <c r="A3142" s="7" t="s">
        <v>2657</v>
      </c>
      <c r="B3142" s="7" t="s">
        <v>5009</v>
      </c>
      <c r="C3142" s="8">
        <f>QS.CONTEXT.CREATE("market.3140",A3142,"USD","SOFR")</f>
        <v/>
      </c>
      <c r="D3142" s="8">
        <f>QS.CONTEXT.ADD.CURVE(C3142,"SOFR",$K$2:$K$7,$L$2:$L$7,,,"Actual360","LogLinear",TRUE)</f>
        <v/>
      </c>
      <c r="E3142" s="8">
        <f>QS.INSTRUMENT.SWAP("swap.3140",C3142,H3142,B3142,"USD","SOFR",I3142,J3142,0,"Actual360","Simple","Annual","Annual","Annual")</f>
        <v/>
      </c>
      <c r="F3142" s="8">
        <f>QS.TRADE.CREATE("trade.3140",C3142,E3142,A3142,"Receive")</f>
        <v/>
      </c>
      <c r="G3142" s="5"/>
      <c r="H3142" s="7" t="s">
        <v>2671</v>
      </c>
      <c r="I3142" s="9">
        <v>1314000</v>
      </c>
      <c r="J3142" s="10">
        <v>0.03900000000000001</v>
      </c>
    </row>
    <row r="3143" spans="1:10">
      <c r="A3143" s="7" t="s">
        <v>2659</v>
      </c>
      <c r="B3143" s="7" t="s">
        <v>5010</v>
      </c>
      <c r="C3143" s="8">
        <f>QS.CONTEXT.CREATE("market.3141",A3143,"USD","SOFR")</f>
        <v/>
      </c>
      <c r="D3143" s="8">
        <f>QS.CONTEXT.ADD.CURVE(C3143,"SOFR",$K$2:$K$7,$L$2:$L$7,,,"Actual360","LogLinear",TRUE)</f>
        <v/>
      </c>
      <c r="E3143" s="8">
        <f>QS.INSTRUMENT.SWAP("swap.3141",C3143,H3143,B3143,"USD","SOFR",I3143,J3143,0,"Actual360","Simple","Annual","Annual","Annual")</f>
        <v/>
      </c>
      <c r="F3143" s="8">
        <f>QS.TRADE.CREATE("trade.3141",C3143,E3143,A3143,"Receive")</f>
        <v/>
      </c>
      <c r="G3143" s="5"/>
      <c r="H3143" s="7" t="s">
        <v>2673</v>
      </c>
      <c r="I3143" s="9">
        <v>1314100</v>
      </c>
      <c r="J3143" s="10">
        <v>0.0391</v>
      </c>
    </row>
    <row r="3144" spans="1:10">
      <c r="A3144" s="7" t="s">
        <v>2661</v>
      </c>
      <c r="B3144" s="7" t="s">
        <v>5011</v>
      </c>
      <c r="C3144" s="8">
        <f>QS.CONTEXT.CREATE("market.3142",A3144,"USD","SOFR")</f>
        <v/>
      </c>
      <c r="D3144" s="8">
        <f>QS.CONTEXT.ADD.CURVE(C3144,"SOFR",$K$2:$K$7,$L$2:$L$7,,,"Actual360","LogLinear",TRUE)</f>
        <v/>
      </c>
      <c r="E3144" s="8">
        <f>QS.INSTRUMENT.SWAP("swap.3142",C3144,H3144,B3144,"USD","SOFR",I3144,J3144,0,"Actual360","Simple","Annual","Annual","Annual")</f>
        <v/>
      </c>
      <c r="F3144" s="8">
        <f>QS.TRADE.CREATE("trade.3142",C3144,E3144,A3144,"Receive")</f>
        <v/>
      </c>
      <c r="G3144" s="5"/>
      <c r="H3144" s="7" t="s">
        <v>2675</v>
      </c>
      <c r="I3144" s="9">
        <v>1314200</v>
      </c>
      <c r="J3144" s="10">
        <v>0.03920000000000001</v>
      </c>
    </row>
    <row r="3145" spans="1:10">
      <c r="A3145" s="7" t="s">
        <v>2663</v>
      </c>
      <c r="B3145" s="7" t="s">
        <v>5012</v>
      </c>
      <c r="C3145" s="8">
        <f>QS.CONTEXT.CREATE("market.3143",A3145,"USD","SOFR")</f>
        <v/>
      </c>
      <c r="D3145" s="8">
        <f>QS.CONTEXT.ADD.CURVE(C3145,"SOFR",$K$2:$K$7,$L$2:$L$7,,,"Actual360","LogLinear",TRUE)</f>
        <v/>
      </c>
      <c r="E3145" s="8">
        <f>QS.INSTRUMENT.SWAP("swap.3143",C3145,H3145,B3145,"USD","SOFR",I3145,J3145,0,"Actual360","Simple","Annual","Annual","Annual")</f>
        <v/>
      </c>
      <c r="F3145" s="8">
        <f>QS.TRADE.CREATE("trade.3143",C3145,E3145,A3145,"Receive")</f>
        <v/>
      </c>
      <c r="G3145" s="5"/>
      <c r="H3145" s="7" t="s">
        <v>2677</v>
      </c>
      <c r="I3145" s="9">
        <v>1314300</v>
      </c>
      <c r="J3145" s="10">
        <v>0.0393</v>
      </c>
    </row>
    <row r="3146" spans="1:10">
      <c r="A3146" s="7" t="s">
        <v>2665</v>
      </c>
      <c r="B3146" s="7" t="s">
        <v>5013</v>
      </c>
      <c r="C3146" s="8">
        <f>QS.CONTEXT.CREATE("market.3144",A3146,"USD","SOFR")</f>
        <v/>
      </c>
      <c r="D3146" s="8">
        <f>QS.CONTEXT.ADD.CURVE(C3146,"SOFR",$K$2:$K$7,$L$2:$L$7,,,"Actual360","LogLinear",TRUE)</f>
        <v/>
      </c>
      <c r="E3146" s="8">
        <f>QS.INSTRUMENT.SWAP("swap.3144",C3146,H3146,B3146,"USD","SOFR",I3146,J3146,0,"Actual360","Simple","Annual","Annual","Annual")</f>
        <v/>
      </c>
      <c r="F3146" s="8">
        <f>QS.TRADE.CREATE("trade.3144",C3146,E3146,A3146,"Receive")</f>
        <v/>
      </c>
      <c r="G3146" s="5"/>
      <c r="H3146" s="7" t="s">
        <v>2679</v>
      </c>
      <c r="I3146" s="9">
        <v>1314400</v>
      </c>
      <c r="J3146" s="10">
        <v>0.0394</v>
      </c>
    </row>
    <row r="3147" spans="1:10">
      <c r="A3147" s="7" t="s">
        <v>2667</v>
      </c>
      <c r="B3147" s="7" t="s">
        <v>5014</v>
      </c>
      <c r="C3147" s="8">
        <f>QS.CONTEXT.CREATE("market.3145",A3147,"USD","SOFR")</f>
        <v/>
      </c>
      <c r="D3147" s="8">
        <f>QS.CONTEXT.ADD.CURVE(C3147,"SOFR",$K$2:$K$7,$L$2:$L$7,,,"Actual360","LogLinear",TRUE)</f>
        <v/>
      </c>
      <c r="E3147" s="8">
        <f>QS.INSTRUMENT.SWAP("swap.3145",C3147,H3147,B3147,"USD","SOFR",I3147,J3147,0,"Actual360","Simple","Annual","Annual","Annual")</f>
        <v/>
      </c>
      <c r="F3147" s="8">
        <f>QS.TRADE.CREATE("trade.3145",C3147,E3147,A3147,"Receive")</f>
        <v/>
      </c>
      <c r="G3147" s="5"/>
      <c r="H3147" s="7" t="s">
        <v>2681</v>
      </c>
      <c r="I3147" s="9">
        <v>1314500</v>
      </c>
      <c r="J3147" s="10">
        <v>0.03950000000000001</v>
      </c>
    </row>
    <row r="3148" spans="1:10">
      <c r="A3148" s="7" t="s">
        <v>2669</v>
      </c>
      <c r="B3148" s="7" t="s">
        <v>5015</v>
      </c>
      <c r="C3148" s="8">
        <f>QS.CONTEXT.CREATE("market.3146",A3148,"USD","SOFR")</f>
        <v/>
      </c>
      <c r="D3148" s="8">
        <f>QS.CONTEXT.ADD.CURVE(C3148,"SOFR",$K$2:$K$7,$L$2:$L$7,,,"Actual360","LogLinear",TRUE)</f>
        <v/>
      </c>
      <c r="E3148" s="8">
        <f>QS.INSTRUMENT.SWAP("swap.3146",C3148,H3148,B3148,"USD","SOFR",I3148,J3148,0,"Actual360","Simple","Annual","Annual","Annual")</f>
        <v/>
      </c>
      <c r="F3148" s="8">
        <f>QS.TRADE.CREATE("trade.3146",C3148,E3148,A3148,"Receive")</f>
        <v/>
      </c>
      <c r="G3148" s="5"/>
      <c r="H3148" s="7" t="s">
        <v>2683</v>
      </c>
      <c r="I3148" s="9">
        <v>1314600</v>
      </c>
      <c r="J3148" s="10">
        <v>0.0396</v>
      </c>
    </row>
    <row r="3149" spans="1:10">
      <c r="A3149" s="7" t="s">
        <v>2671</v>
      </c>
      <c r="B3149" s="7" t="s">
        <v>5016</v>
      </c>
      <c r="C3149" s="8">
        <f>QS.CONTEXT.CREATE("market.3147",A3149,"USD","SOFR")</f>
        <v/>
      </c>
      <c r="D3149" s="8">
        <f>QS.CONTEXT.ADD.CURVE(C3149,"SOFR",$K$2:$K$7,$L$2:$L$7,,,"Actual360","LogLinear",TRUE)</f>
        <v/>
      </c>
      <c r="E3149" s="8">
        <f>QS.INSTRUMENT.SWAP("swap.3147",C3149,H3149,B3149,"USD","SOFR",I3149,J3149,0,"Actual360","Simple","Annual","Annual","Annual")</f>
        <v/>
      </c>
      <c r="F3149" s="8">
        <f>QS.TRADE.CREATE("trade.3147",C3149,E3149,A3149,"Receive")</f>
        <v/>
      </c>
      <c r="G3149" s="5"/>
      <c r="H3149" s="7" t="s">
        <v>2685</v>
      </c>
      <c r="I3149" s="9">
        <v>1314700</v>
      </c>
      <c r="J3149" s="10">
        <v>0.03970000000000001</v>
      </c>
    </row>
    <row r="3150" spans="1:10">
      <c r="A3150" s="7" t="s">
        <v>2673</v>
      </c>
      <c r="B3150" s="7" t="s">
        <v>5017</v>
      </c>
      <c r="C3150" s="8">
        <f>QS.CONTEXT.CREATE("market.3148",A3150,"USD","SOFR")</f>
        <v/>
      </c>
      <c r="D3150" s="8">
        <f>QS.CONTEXT.ADD.CURVE(C3150,"SOFR",$K$2:$K$7,$L$2:$L$7,,,"Actual360","LogLinear",TRUE)</f>
        <v/>
      </c>
      <c r="E3150" s="8">
        <f>QS.INSTRUMENT.SWAP("swap.3148",C3150,H3150,B3150,"USD","SOFR",I3150,J3150,0,"Actual360","Simple","Annual","Annual","Annual")</f>
        <v/>
      </c>
      <c r="F3150" s="8">
        <f>QS.TRADE.CREATE("trade.3148",C3150,E3150,A3150,"Receive")</f>
        <v/>
      </c>
      <c r="G3150" s="5"/>
      <c r="H3150" s="7" t="s">
        <v>2687</v>
      </c>
      <c r="I3150" s="9">
        <v>1314800</v>
      </c>
      <c r="J3150" s="10">
        <v>0.0398</v>
      </c>
    </row>
    <row r="3151" spans="1:10">
      <c r="A3151" s="7" t="s">
        <v>2675</v>
      </c>
      <c r="B3151" s="7" t="s">
        <v>5018</v>
      </c>
      <c r="C3151" s="8">
        <f>QS.CONTEXT.CREATE("market.3149",A3151,"USD","SOFR")</f>
        <v/>
      </c>
      <c r="D3151" s="8">
        <f>QS.CONTEXT.ADD.CURVE(C3151,"SOFR",$K$2:$K$7,$L$2:$L$7,,,"Actual360","LogLinear",TRUE)</f>
        <v/>
      </c>
      <c r="E3151" s="8">
        <f>QS.INSTRUMENT.SWAP("swap.3149",C3151,H3151,B3151,"USD","SOFR",I3151,J3151,0,"Actual360","Simple","Annual","Annual","Annual")</f>
        <v/>
      </c>
      <c r="F3151" s="8">
        <f>QS.TRADE.CREATE("trade.3149",C3151,E3151,A3151,"Receive")</f>
        <v/>
      </c>
      <c r="G3151" s="5"/>
      <c r="H3151" s="7" t="s">
        <v>2689</v>
      </c>
      <c r="I3151" s="9">
        <v>1314900</v>
      </c>
      <c r="J3151" s="10">
        <v>0.0399</v>
      </c>
    </row>
    <row r="3152" spans="1:10">
      <c r="A3152" s="7" t="s">
        <v>2677</v>
      </c>
      <c r="B3152" s="7" t="s">
        <v>5019</v>
      </c>
      <c r="C3152" s="8">
        <f>QS.CONTEXT.CREATE("market.3150",A3152,"USD","SOFR")</f>
        <v/>
      </c>
      <c r="D3152" s="8">
        <f>QS.CONTEXT.ADD.CURVE(C3152,"SOFR",$K$2:$K$7,$L$2:$L$7,,,"Actual360","LogLinear",TRUE)</f>
        <v/>
      </c>
      <c r="E3152" s="8">
        <f>QS.INSTRUMENT.SWAP("swap.3150",C3152,H3152,B3152,"USD","SOFR",I3152,J3152,0,"Actual360","Simple","Annual","Annual","Annual")</f>
        <v/>
      </c>
      <c r="F3152" s="8">
        <f>QS.TRADE.CREATE("trade.3150",C3152,E3152,A3152,"Receive")</f>
        <v/>
      </c>
      <c r="G3152" s="5"/>
      <c r="H3152" s="7" t="s">
        <v>2691</v>
      </c>
      <c r="I3152" s="9">
        <v>1315000</v>
      </c>
      <c r="J3152" s="10">
        <v>0.035</v>
      </c>
    </row>
    <row r="3153" spans="1:10">
      <c r="A3153" s="7" t="s">
        <v>2679</v>
      </c>
      <c r="B3153" s="7" t="s">
        <v>5020</v>
      </c>
      <c r="C3153" s="8">
        <f>QS.CONTEXT.CREATE("market.3151",A3153,"USD","SOFR")</f>
        <v/>
      </c>
      <c r="D3153" s="8">
        <f>QS.CONTEXT.ADD.CURVE(C3153,"SOFR",$K$2:$K$7,$L$2:$L$7,,,"Actual360","LogLinear",TRUE)</f>
        <v/>
      </c>
      <c r="E3153" s="8">
        <f>QS.INSTRUMENT.SWAP("swap.3151",C3153,H3153,B3153,"USD","SOFR",I3153,J3153,0,"Actual360","Simple","Annual","Annual","Annual")</f>
        <v/>
      </c>
      <c r="F3153" s="8">
        <f>QS.TRADE.CREATE("trade.3151",C3153,E3153,A3153,"Receive")</f>
        <v/>
      </c>
      <c r="G3153" s="5"/>
      <c r="H3153" s="7" t="s">
        <v>2693</v>
      </c>
      <c r="I3153" s="9">
        <v>1315100</v>
      </c>
      <c r="J3153" s="10">
        <v>0.03510000000000001</v>
      </c>
    </row>
    <row r="3154" spans="1:10">
      <c r="A3154" s="7" t="s">
        <v>2681</v>
      </c>
      <c r="B3154" s="7" t="s">
        <v>5021</v>
      </c>
      <c r="C3154" s="8">
        <f>QS.CONTEXT.CREATE("market.3152",A3154,"USD","SOFR")</f>
        <v/>
      </c>
      <c r="D3154" s="8">
        <f>QS.CONTEXT.ADD.CURVE(C3154,"SOFR",$K$2:$K$7,$L$2:$L$7,,,"Actual360","LogLinear",TRUE)</f>
        <v/>
      </c>
      <c r="E3154" s="8">
        <f>QS.INSTRUMENT.SWAP("swap.3152",C3154,H3154,B3154,"USD","SOFR",I3154,J3154,0,"Actual360","Simple","Annual","Annual","Annual")</f>
        <v/>
      </c>
      <c r="F3154" s="8">
        <f>QS.TRADE.CREATE("trade.3152",C3154,E3154,A3154,"Receive")</f>
        <v/>
      </c>
      <c r="G3154" s="5"/>
      <c r="H3154" s="7" t="s">
        <v>2695</v>
      </c>
      <c r="I3154" s="9">
        <v>1315200</v>
      </c>
      <c r="J3154" s="10">
        <v>0.0352</v>
      </c>
    </row>
    <row r="3155" spans="1:10">
      <c r="A3155" s="7" t="s">
        <v>2683</v>
      </c>
      <c r="B3155" s="7" t="s">
        <v>5022</v>
      </c>
      <c r="C3155" s="8">
        <f>QS.CONTEXT.CREATE("market.3153",A3155,"USD","SOFR")</f>
        <v/>
      </c>
      <c r="D3155" s="8">
        <f>QS.CONTEXT.ADD.CURVE(C3155,"SOFR",$K$2:$K$7,$L$2:$L$7,,,"Actual360","LogLinear",TRUE)</f>
        <v/>
      </c>
      <c r="E3155" s="8">
        <f>QS.INSTRUMENT.SWAP("swap.3153",C3155,H3155,B3155,"USD","SOFR",I3155,J3155,0,"Actual360","Simple","Annual","Annual","Annual")</f>
        <v/>
      </c>
      <c r="F3155" s="8">
        <f>QS.TRADE.CREATE("trade.3153",C3155,E3155,A3155,"Receive")</f>
        <v/>
      </c>
      <c r="G3155" s="5"/>
      <c r="H3155" s="7" t="s">
        <v>2697</v>
      </c>
      <c r="I3155" s="9">
        <v>1315300</v>
      </c>
      <c r="J3155" s="10">
        <v>0.0353</v>
      </c>
    </row>
    <row r="3156" spans="1:10">
      <c r="A3156" s="7" t="s">
        <v>2685</v>
      </c>
      <c r="B3156" s="7" t="s">
        <v>5023</v>
      </c>
      <c r="C3156" s="8">
        <f>QS.CONTEXT.CREATE("market.3154",A3156,"USD","SOFR")</f>
        <v/>
      </c>
      <c r="D3156" s="8">
        <f>QS.CONTEXT.ADD.CURVE(C3156,"SOFR",$K$2:$K$7,$L$2:$L$7,,,"Actual360","LogLinear",TRUE)</f>
        <v/>
      </c>
      <c r="E3156" s="8">
        <f>QS.INSTRUMENT.SWAP("swap.3154",C3156,H3156,B3156,"USD","SOFR",I3156,J3156,0,"Actual360","Simple","Annual","Annual","Annual")</f>
        <v/>
      </c>
      <c r="F3156" s="8">
        <f>QS.TRADE.CREATE("trade.3154",C3156,E3156,A3156,"Receive")</f>
        <v/>
      </c>
      <c r="G3156" s="5"/>
      <c r="H3156" s="7" t="s">
        <v>2699</v>
      </c>
      <c r="I3156" s="9">
        <v>1315400</v>
      </c>
      <c r="J3156" s="10">
        <v>0.0354</v>
      </c>
    </row>
    <row r="3157" spans="1:10">
      <c r="A3157" s="7" t="s">
        <v>2687</v>
      </c>
      <c r="B3157" s="7" t="s">
        <v>5024</v>
      </c>
      <c r="C3157" s="8">
        <f>QS.CONTEXT.CREATE("market.3155",A3157,"USD","SOFR")</f>
        <v/>
      </c>
      <c r="D3157" s="8">
        <f>QS.CONTEXT.ADD.CURVE(C3157,"SOFR",$K$2:$K$7,$L$2:$L$7,,,"Actual360","LogLinear",TRUE)</f>
        <v/>
      </c>
      <c r="E3157" s="8">
        <f>QS.INSTRUMENT.SWAP("swap.3155",C3157,H3157,B3157,"USD","SOFR",I3157,J3157,0,"Actual360","Simple","Annual","Annual","Annual")</f>
        <v/>
      </c>
      <c r="F3157" s="8">
        <f>QS.TRADE.CREATE("trade.3155",C3157,E3157,A3157,"Receive")</f>
        <v/>
      </c>
      <c r="G3157" s="5"/>
      <c r="H3157" s="7" t="s">
        <v>2701</v>
      </c>
      <c r="I3157" s="9">
        <v>1315500</v>
      </c>
      <c r="J3157" s="10">
        <v>0.0355</v>
      </c>
    </row>
    <row r="3158" spans="1:10">
      <c r="A3158" s="7" t="s">
        <v>2689</v>
      </c>
      <c r="B3158" s="7" t="s">
        <v>5025</v>
      </c>
      <c r="C3158" s="8">
        <f>QS.CONTEXT.CREATE("market.3156",A3158,"USD","SOFR")</f>
        <v/>
      </c>
      <c r="D3158" s="8">
        <f>QS.CONTEXT.ADD.CURVE(C3158,"SOFR",$K$2:$K$7,$L$2:$L$7,,,"Actual360","LogLinear",TRUE)</f>
        <v/>
      </c>
      <c r="E3158" s="8">
        <f>QS.INSTRUMENT.SWAP("swap.3156",C3158,H3158,B3158,"USD","SOFR",I3158,J3158,0,"Actual360","Simple","Annual","Annual","Annual")</f>
        <v/>
      </c>
      <c r="F3158" s="8">
        <f>QS.TRADE.CREATE("trade.3156",C3158,E3158,A3158,"Receive")</f>
        <v/>
      </c>
      <c r="G3158" s="5"/>
      <c r="H3158" s="7" t="s">
        <v>2703</v>
      </c>
      <c r="I3158" s="9">
        <v>1315600</v>
      </c>
      <c r="J3158" s="10">
        <v>0.03560000000000001</v>
      </c>
    </row>
    <row r="3159" spans="1:10">
      <c r="A3159" s="7" t="s">
        <v>2691</v>
      </c>
      <c r="B3159" s="7" t="s">
        <v>5026</v>
      </c>
      <c r="C3159" s="8">
        <f>QS.CONTEXT.CREATE("market.3157",A3159,"USD","SOFR")</f>
        <v/>
      </c>
      <c r="D3159" s="8">
        <f>QS.CONTEXT.ADD.CURVE(C3159,"SOFR",$K$2:$K$7,$L$2:$L$7,,,"Actual360","LogLinear",TRUE)</f>
        <v/>
      </c>
      <c r="E3159" s="8">
        <f>QS.INSTRUMENT.SWAP("swap.3157",C3159,H3159,B3159,"USD","SOFR",I3159,J3159,0,"Actual360","Simple","Annual","Annual","Annual")</f>
        <v/>
      </c>
      <c r="F3159" s="8">
        <f>QS.TRADE.CREATE("trade.3157",C3159,E3159,A3159,"Receive")</f>
        <v/>
      </c>
      <c r="G3159" s="5"/>
      <c r="H3159" s="7" t="s">
        <v>2705</v>
      </c>
      <c r="I3159" s="9">
        <v>1315700</v>
      </c>
      <c r="J3159" s="10">
        <v>0.0357</v>
      </c>
    </row>
    <row r="3160" spans="1:10">
      <c r="A3160" s="7" t="s">
        <v>2693</v>
      </c>
      <c r="B3160" s="7" t="s">
        <v>5027</v>
      </c>
      <c r="C3160" s="8">
        <f>QS.CONTEXT.CREATE("market.3158",A3160,"USD","SOFR")</f>
        <v/>
      </c>
      <c r="D3160" s="8">
        <f>QS.CONTEXT.ADD.CURVE(C3160,"SOFR",$K$2:$K$7,$L$2:$L$7,,,"Actual360","LogLinear",TRUE)</f>
        <v/>
      </c>
      <c r="E3160" s="8">
        <f>QS.INSTRUMENT.SWAP("swap.3158",C3160,H3160,B3160,"USD","SOFR",I3160,J3160,0,"Actual360","Simple","Annual","Annual","Annual")</f>
        <v/>
      </c>
      <c r="F3160" s="8">
        <f>QS.TRADE.CREATE("trade.3158",C3160,E3160,A3160,"Receive")</f>
        <v/>
      </c>
      <c r="G3160" s="5"/>
      <c r="H3160" s="7" t="s">
        <v>2707</v>
      </c>
      <c r="I3160" s="9">
        <v>1315800</v>
      </c>
      <c r="J3160" s="10">
        <v>0.03580000000000001</v>
      </c>
    </row>
    <row r="3161" spans="1:10">
      <c r="A3161" s="7" t="s">
        <v>2695</v>
      </c>
      <c r="B3161" s="7" t="s">
        <v>5028</v>
      </c>
      <c r="C3161" s="8">
        <f>QS.CONTEXT.CREATE("market.3159",A3161,"USD","SOFR")</f>
        <v/>
      </c>
      <c r="D3161" s="8">
        <f>QS.CONTEXT.ADD.CURVE(C3161,"SOFR",$K$2:$K$7,$L$2:$L$7,,,"Actual360","LogLinear",TRUE)</f>
        <v/>
      </c>
      <c r="E3161" s="8">
        <f>QS.INSTRUMENT.SWAP("swap.3159",C3161,H3161,B3161,"USD","SOFR",I3161,J3161,0,"Actual360","Simple","Annual","Annual","Annual")</f>
        <v/>
      </c>
      <c r="F3161" s="8">
        <f>QS.TRADE.CREATE("trade.3159",C3161,E3161,A3161,"Receive")</f>
        <v/>
      </c>
      <c r="G3161" s="5"/>
      <c r="H3161" s="7" t="s">
        <v>2709</v>
      </c>
      <c r="I3161" s="9">
        <v>1315900</v>
      </c>
      <c r="J3161" s="10">
        <v>0.0359</v>
      </c>
    </row>
    <row r="3162" spans="1:10">
      <c r="A3162" s="7" t="s">
        <v>2697</v>
      </c>
      <c r="B3162" s="7" t="s">
        <v>5029</v>
      </c>
      <c r="C3162" s="8">
        <f>QS.CONTEXT.CREATE("market.3160",A3162,"USD","SOFR")</f>
        <v/>
      </c>
      <c r="D3162" s="8">
        <f>QS.CONTEXT.ADD.CURVE(C3162,"SOFR",$K$2:$K$7,$L$2:$L$7,,,"Actual360","LogLinear",TRUE)</f>
        <v/>
      </c>
      <c r="E3162" s="8">
        <f>QS.INSTRUMENT.SWAP("swap.3160",C3162,H3162,B3162,"USD","SOFR",I3162,J3162,0,"Actual360","Simple","Annual","Annual","Annual")</f>
        <v/>
      </c>
      <c r="F3162" s="8">
        <f>QS.TRADE.CREATE("trade.3160",C3162,E3162,A3162,"Receive")</f>
        <v/>
      </c>
      <c r="G3162" s="5"/>
      <c r="H3162" s="7" t="s">
        <v>2711</v>
      </c>
      <c r="I3162" s="9">
        <v>1316000</v>
      </c>
      <c r="J3162" s="10">
        <v>0.036</v>
      </c>
    </row>
    <row r="3163" spans="1:10">
      <c r="A3163" s="7" t="s">
        <v>2699</v>
      </c>
      <c r="B3163" s="7" t="s">
        <v>5030</v>
      </c>
      <c r="C3163" s="8">
        <f>QS.CONTEXT.CREATE("market.3161",A3163,"USD","SOFR")</f>
        <v/>
      </c>
      <c r="D3163" s="8">
        <f>QS.CONTEXT.ADD.CURVE(C3163,"SOFR",$K$2:$K$7,$L$2:$L$7,,,"Actual360","LogLinear",TRUE)</f>
        <v/>
      </c>
      <c r="E3163" s="8">
        <f>QS.INSTRUMENT.SWAP("swap.3161",C3163,H3163,B3163,"USD","SOFR",I3163,J3163,0,"Actual360","Simple","Annual","Annual","Annual")</f>
        <v/>
      </c>
      <c r="F3163" s="8">
        <f>QS.TRADE.CREATE("trade.3161",C3163,E3163,A3163,"Receive")</f>
        <v/>
      </c>
      <c r="G3163" s="5"/>
      <c r="H3163" s="7" t="s">
        <v>2713</v>
      </c>
      <c r="I3163" s="9">
        <v>1316100</v>
      </c>
      <c r="J3163" s="10">
        <v>0.0361</v>
      </c>
    </row>
    <row r="3164" spans="1:10">
      <c r="A3164" s="7" t="s">
        <v>2701</v>
      </c>
      <c r="B3164" s="7" t="s">
        <v>5031</v>
      </c>
      <c r="C3164" s="8">
        <f>QS.CONTEXT.CREATE("market.3162",A3164,"USD","SOFR")</f>
        <v/>
      </c>
      <c r="D3164" s="8">
        <f>QS.CONTEXT.ADD.CURVE(C3164,"SOFR",$K$2:$K$7,$L$2:$L$7,,,"Actual360","LogLinear",TRUE)</f>
        <v/>
      </c>
      <c r="E3164" s="8">
        <f>QS.INSTRUMENT.SWAP("swap.3162",C3164,H3164,B3164,"USD","SOFR",I3164,J3164,0,"Actual360","Simple","Annual","Annual","Annual")</f>
        <v/>
      </c>
      <c r="F3164" s="8">
        <f>QS.TRADE.CREATE("trade.3162",C3164,E3164,A3164,"Receive")</f>
        <v/>
      </c>
      <c r="G3164" s="5"/>
      <c r="H3164" s="7" t="s">
        <v>2715</v>
      </c>
      <c r="I3164" s="9">
        <v>1316200</v>
      </c>
      <c r="J3164" s="10">
        <v>0.0362</v>
      </c>
    </row>
    <row r="3165" spans="1:10">
      <c r="A3165" s="7" t="s">
        <v>2703</v>
      </c>
      <c r="B3165" s="7" t="s">
        <v>5032</v>
      </c>
      <c r="C3165" s="8">
        <f>QS.CONTEXT.CREATE("market.3163",A3165,"USD","SOFR")</f>
        <v/>
      </c>
      <c r="D3165" s="8">
        <f>QS.CONTEXT.ADD.CURVE(C3165,"SOFR",$K$2:$K$7,$L$2:$L$7,,,"Actual360","LogLinear",TRUE)</f>
        <v/>
      </c>
      <c r="E3165" s="8">
        <f>QS.INSTRUMENT.SWAP("swap.3163",C3165,H3165,B3165,"USD","SOFR",I3165,J3165,0,"Actual360","Simple","Annual","Annual","Annual")</f>
        <v/>
      </c>
      <c r="F3165" s="8">
        <f>QS.TRADE.CREATE("trade.3163",C3165,E3165,A3165,"Receive")</f>
        <v/>
      </c>
      <c r="G3165" s="5"/>
      <c r="H3165" s="7" t="s">
        <v>2717</v>
      </c>
      <c r="I3165" s="9">
        <v>1316300</v>
      </c>
      <c r="J3165" s="10">
        <v>0.03630000000000001</v>
      </c>
    </row>
    <row r="3166" spans="1:10">
      <c r="A3166" s="7" t="s">
        <v>2705</v>
      </c>
      <c r="B3166" s="7" t="s">
        <v>5033</v>
      </c>
      <c r="C3166" s="8">
        <f>QS.CONTEXT.CREATE("market.3164",A3166,"USD","SOFR")</f>
        <v/>
      </c>
      <c r="D3166" s="8">
        <f>QS.CONTEXT.ADD.CURVE(C3166,"SOFR",$K$2:$K$7,$L$2:$L$7,,,"Actual360","LogLinear",TRUE)</f>
        <v/>
      </c>
      <c r="E3166" s="8">
        <f>QS.INSTRUMENT.SWAP("swap.3164",C3166,H3166,B3166,"USD","SOFR",I3166,J3166,0,"Actual360","Simple","Annual","Annual","Annual")</f>
        <v/>
      </c>
      <c r="F3166" s="8">
        <f>QS.TRADE.CREATE("trade.3164",C3166,E3166,A3166,"Receive")</f>
        <v/>
      </c>
      <c r="G3166" s="5"/>
      <c r="H3166" s="7" t="s">
        <v>2719</v>
      </c>
      <c r="I3166" s="9">
        <v>1316400</v>
      </c>
      <c r="J3166" s="10">
        <v>0.0364</v>
      </c>
    </row>
    <row r="3167" spans="1:10">
      <c r="A3167" s="7" t="s">
        <v>2707</v>
      </c>
      <c r="B3167" s="7" t="s">
        <v>5034</v>
      </c>
      <c r="C3167" s="8">
        <f>QS.CONTEXT.CREATE("market.3165",A3167,"USD","SOFR")</f>
        <v/>
      </c>
      <c r="D3167" s="8">
        <f>QS.CONTEXT.ADD.CURVE(C3167,"SOFR",$K$2:$K$7,$L$2:$L$7,,,"Actual360","LogLinear",TRUE)</f>
        <v/>
      </c>
      <c r="E3167" s="8">
        <f>QS.INSTRUMENT.SWAP("swap.3165",C3167,H3167,B3167,"USD","SOFR",I3167,J3167,0,"Actual360","Simple","Annual","Annual","Annual")</f>
        <v/>
      </c>
      <c r="F3167" s="8">
        <f>QS.TRADE.CREATE("trade.3165",C3167,E3167,A3167,"Receive")</f>
        <v/>
      </c>
      <c r="G3167" s="5"/>
      <c r="H3167" s="7" t="s">
        <v>2721</v>
      </c>
      <c r="I3167" s="9">
        <v>1316500</v>
      </c>
      <c r="J3167" s="10">
        <v>0.0365</v>
      </c>
    </row>
    <row r="3168" spans="1:10">
      <c r="A3168" s="7" t="s">
        <v>2709</v>
      </c>
      <c r="B3168" s="7" t="s">
        <v>5035</v>
      </c>
      <c r="C3168" s="8">
        <f>QS.CONTEXT.CREATE("market.3166",A3168,"USD","SOFR")</f>
        <v/>
      </c>
      <c r="D3168" s="8">
        <f>QS.CONTEXT.ADD.CURVE(C3168,"SOFR",$K$2:$K$7,$L$2:$L$7,,,"Actual360","LogLinear",TRUE)</f>
        <v/>
      </c>
      <c r="E3168" s="8">
        <f>QS.INSTRUMENT.SWAP("swap.3166",C3168,H3168,B3168,"USD","SOFR",I3168,J3168,0,"Actual360","Simple","Annual","Annual","Annual")</f>
        <v/>
      </c>
      <c r="F3168" s="8">
        <f>QS.TRADE.CREATE("trade.3166",C3168,E3168,A3168,"Receive")</f>
        <v/>
      </c>
      <c r="G3168" s="5"/>
      <c r="H3168" s="7" t="s">
        <v>2723</v>
      </c>
      <c r="I3168" s="9">
        <v>1316600</v>
      </c>
      <c r="J3168" s="10">
        <v>0.0366</v>
      </c>
    </row>
    <row r="3169" spans="1:10">
      <c r="A3169" s="7" t="s">
        <v>2711</v>
      </c>
      <c r="B3169" s="7" t="s">
        <v>5036</v>
      </c>
      <c r="C3169" s="8">
        <f>QS.CONTEXT.CREATE("market.3167",A3169,"USD","SOFR")</f>
        <v/>
      </c>
      <c r="D3169" s="8">
        <f>QS.CONTEXT.ADD.CURVE(C3169,"SOFR",$K$2:$K$7,$L$2:$L$7,,,"Actual360","LogLinear",TRUE)</f>
        <v/>
      </c>
      <c r="E3169" s="8">
        <f>QS.INSTRUMENT.SWAP("swap.3167",C3169,H3169,B3169,"USD","SOFR",I3169,J3169,0,"Actual360","Simple","Annual","Annual","Annual")</f>
        <v/>
      </c>
      <c r="F3169" s="8">
        <f>QS.TRADE.CREATE("trade.3167",C3169,E3169,A3169,"Receive")</f>
        <v/>
      </c>
      <c r="G3169" s="5"/>
      <c r="H3169" s="7" t="s">
        <v>2725</v>
      </c>
      <c r="I3169" s="9">
        <v>1316700</v>
      </c>
      <c r="J3169" s="10">
        <v>0.0367</v>
      </c>
    </row>
    <row r="3170" spans="1:10">
      <c r="A3170" s="7" t="s">
        <v>2713</v>
      </c>
      <c r="B3170" s="7" t="s">
        <v>5037</v>
      </c>
      <c r="C3170" s="8">
        <f>QS.CONTEXT.CREATE("market.3168",A3170,"USD","SOFR")</f>
        <v/>
      </c>
      <c r="D3170" s="8">
        <f>QS.CONTEXT.ADD.CURVE(C3170,"SOFR",$K$2:$K$7,$L$2:$L$7,,,"Actual360","LogLinear",TRUE)</f>
        <v/>
      </c>
      <c r="E3170" s="8">
        <f>QS.INSTRUMENT.SWAP("swap.3168",C3170,H3170,B3170,"USD","SOFR",I3170,J3170,0,"Actual360","Simple","Annual","Annual","Annual")</f>
        <v/>
      </c>
      <c r="F3170" s="8">
        <f>QS.TRADE.CREATE("trade.3168",C3170,E3170,A3170,"Receive")</f>
        <v/>
      </c>
      <c r="G3170" s="5"/>
      <c r="H3170" s="7" t="s">
        <v>2727</v>
      </c>
      <c r="I3170" s="9">
        <v>1316800</v>
      </c>
      <c r="J3170" s="10">
        <v>0.03680000000000001</v>
      </c>
    </row>
    <row r="3171" spans="1:10">
      <c r="A3171" s="7" t="s">
        <v>2715</v>
      </c>
      <c r="B3171" s="7" t="s">
        <v>5038</v>
      </c>
      <c r="C3171" s="8">
        <f>QS.CONTEXT.CREATE("market.3169",A3171,"USD","SOFR")</f>
        <v/>
      </c>
      <c r="D3171" s="8">
        <f>QS.CONTEXT.ADD.CURVE(C3171,"SOFR",$K$2:$K$7,$L$2:$L$7,,,"Actual360","LogLinear",TRUE)</f>
        <v/>
      </c>
      <c r="E3171" s="8">
        <f>QS.INSTRUMENT.SWAP("swap.3169",C3171,H3171,B3171,"USD","SOFR",I3171,J3171,0,"Actual360","Simple","Annual","Annual","Annual")</f>
        <v/>
      </c>
      <c r="F3171" s="8">
        <f>QS.TRADE.CREATE("trade.3169",C3171,E3171,A3171,"Receive")</f>
        <v/>
      </c>
      <c r="G3171" s="5"/>
      <c r="H3171" s="7" t="s">
        <v>2729</v>
      </c>
      <c r="I3171" s="9">
        <v>1316900</v>
      </c>
      <c r="J3171" s="10">
        <v>0.0369</v>
      </c>
    </row>
    <row r="3172" spans="1:10">
      <c r="A3172" s="7" t="s">
        <v>2717</v>
      </c>
      <c r="B3172" s="7" t="s">
        <v>5039</v>
      </c>
      <c r="C3172" s="8">
        <f>QS.CONTEXT.CREATE("market.3170",A3172,"USD","SOFR")</f>
        <v/>
      </c>
      <c r="D3172" s="8">
        <f>QS.CONTEXT.ADD.CURVE(C3172,"SOFR",$K$2:$K$7,$L$2:$L$7,,,"Actual360","LogLinear",TRUE)</f>
        <v/>
      </c>
      <c r="E3172" s="8">
        <f>QS.INSTRUMENT.SWAP("swap.3170",C3172,H3172,B3172,"USD","SOFR",I3172,J3172,0,"Actual360","Simple","Annual","Annual","Annual")</f>
        <v/>
      </c>
      <c r="F3172" s="8">
        <f>QS.TRADE.CREATE("trade.3170",C3172,E3172,A3172,"Receive")</f>
        <v/>
      </c>
      <c r="G3172" s="5"/>
      <c r="H3172" s="7" t="s">
        <v>2731</v>
      </c>
      <c r="I3172" s="9">
        <v>1317000</v>
      </c>
      <c r="J3172" s="10">
        <v>0.03700000000000001</v>
      </c>
    </row>
    <row r="3173" spans="1:10">
      <c r="A3173" s="7" t="s">
        <v>2719</v>
      </c>
      <c r="B3173" s="7" t="s">
        <v>5040</v>
      </c>
      <c r="C3173" s="8">
        <f>QS.CONTEXT.CREATE("market.3171",A3173,"USD","SOFR")</f>
        <v/>
      </c>
      <c r="D3173" s="8">
        <f>QS.CONTEXT.ADD.CURVE(C3173,"SOFR",$K$2:$K$7,$L$2:$L$7,,,"Actual360","LogLinear",TRUE)</f>
        <v/>
      </c>
      <c r="E3173" s="8">
        <f>QS.INSTRUMENT.SWAP("swap.3171",C3173,H3173,B3173,"USD","SOFR",I3173,J3173,0,"Actual360","Simple","Annual","Annual","Annual")</f>
        <v/>
      </c>
      <c r="F3173" s="8">
        <f>QS.TRADE.CREATE("trade.3171",C3173,E3173,A3173,"Receive")</f>
        <v/>
      </c>
      <c r="G3173" s="5"/>
      <c r="H3173" s="7" t="s">
        <v>2733</v>
      </c>
      <c r="I3173" s="9">
        <v>1317100</v>
      </c>
      <c r="J3173" s="10">
        <v>0.0371</v>
      </c>
    </row>
    <row r="3174" spans="1:10">
      <c r="A3174" s="7" t="s">
        <v>2721</v>
      </c>
      <c r="B3174" s="7" t="s">
        <v>5041</v>
      </c>
      <c r="C3174" s="8">
        <f>QS.CONTEXT.CREATE("market.3172",A3174,"USD","SOFR")</f>
        <v/>
      </c>
      <c r="D3174" s="8">
        <f>QS.CONTEXT.ADD.CURVE(C3174,"SOFR",$K$2:$K$7,$L$2:$L$7,,,"Actual360","LogLinear",TRUE)</f>
        <v/>
      </c>
      <c r="E3174" s="8">
        <f>QS.INSTRUMENT.SWAP("swap.3172",C3174,H3174,B3174,"USD","SOFR",I3174,J3174,0,"Actual360","Simple","Annual","Annual","Annual")</f>
        <v/>
      </c>
      <c r="F3174" s="8">
        <f>QS.TRADE.CREATE("trade.3172",C3174,E3174,A3174,"Receive")</f>
        <v/>
      </c>
      <c r="G3174" s="5"/>
      <c r="H3174" s="7" t="s">
        <v>2735</v>
      </c>
      <c r="I3174" s="9">
        <v>1317200</v>
      </c>
      <c r="J3174" s="10">
        <v>0.0372</v>
      </c>
    </row>
    <row r="3175" spans="1:10">
      <c r="A3175" s="7" t="s">
        <v>2723</v>
      </c>
      <c r="B3175" s="7" t="s">
        <v>5042</v>
      </c>
      <c r="C3175" s="8">
        <f>QS.CONTEXT.CREATE("market.3173",A3175,"USD","SOFR")</f>
        <v/>
      </c>
      <c r="D3175" s="8">
        <f>QS.CONTEXT.ADD.CURVE(C3175,"SOFR",$K$2:$K$7,$L$2:$L$7,,,"Actual360","LogLinear",TRUE)</f>
        <v/>
      </c>
      <c r="E3175" s="8">
        <f>QS.INSTRUMENT.SWAP("swap.3173",C3175,H3175,B3175,"USD","SOFR",I3175,J3175,0,"Actual360","Simple","Annual","Annual","Annual")</f>
        <v/>
      </c>
      <c r="F3175" s="8">
        <f>QS.TRADE.CREATE("trade.3173",C3175,E3175,A3175,"Receive")</f>
        <v/>
      </c>
      <c r="G3175" s="5"/>
      <c r="H3175" s="7" t="s">
        <v>2737</v>
      </c>
      <c r="I3175" s="9">
        <v>1317300</v>
      </c>
      <c r="J3175" s="10">
        <v>0.0373</v>
      </c>
    </row>
    <row r="3176" spans="1:10">
      <c r="A3176" s="7" t="s">
        <v>2725</v>
      </c>
      <c r="B3176" s="7" t="s">
        <v>5043</v>
      </c>
      <c r="C3176" s="8">
        <f>QS.CONTEXT.CREATE("market.3174",A3176,"USD","SOFR")</f>
        <v/>
      </c>
      <c r="D3176" s="8">
        <f>QS.CONTEXT.ADD.CURVE(C3176,"SOFR",$K$2:$K$7,$L$2:$L$7,,,"Actual360","LogLinear",TRUE)</f>
        <v/>
      </c>
      <c r="E3176" s="8">
        <f>QS.INSTRUMENT.SWAP("swap.3174",C3176,H3176,B3176,"USD","SOFR",I3176,J3176,0,"Actual360","Simple","Annual","Annual","Annual")</f>
        <v/>
      </c>
      <c r="F3176" s="8">
        <f>QS.TRADE.CREATE("trade.3174",C3176,E3176,A3176,"Receive")</f>
        <v/>
      </c>
      <c r="G3176" s="5"/>
      <c r="H3176" s="7" t="s">
        <v>2739</v>
      </c>
      <c r="I3176" s="9">
        <v>1317400</v>
      </c>
      <c r="J3176" s="10">
        <v>0.0374</v>
      </c>
    </row>
    <row r="3177" spans="1:10">
      <c r="A3177" s="7" t="s">
        <v>2727</v>
      </c>
      <c r="B3177" s="7" t="s">
        <v>5044</v>
      </c>
      <c r="C3177" s="8">
        <f>QS.CONTEXT.CREATE("market.3175",A3177,"USD","SOFR")</f>
        <v/>
      </c>
      <c r="D3177" s="8">
        <f>QS.CONTEXT.ADD.CURVE(C3177,"SOFR",$K$2:$K$7,$L$2:$L$7,,,"Actual360","LogLinear",TRUE)</f>
        <v/>
      </c>
      <c r="E3177" s="8">
        <f>QS.INSTRUMENT.SWAP("swap.3175",C3177,H3177,B3177,"USD","SOFR",I3177,J3177,0,"Actual360","Simple","Annual","Annual","Annual")</f>
        <v/>
      </c>
      <c r="F3177" s="8">
        <f>QS.TRADE.CREATE("trade.3175",C3177,E3177,A3177,"Receive")</f>
        <v/>
      </c>
      <c r="G3177" s="5"/>
      <c r="H3177" s="7" t="s">
        <v>2741</v>
      </c>
      <c r="I3177" s="9">
        <v>1317500</v>
      </c>
      <c r="J3177" s="10">
        <v>0.03750000000000001</v>
      </c>
    </row>
    <row r="3178" spans="1:10">
      <c r="A3178" s="7" t="s">
        <v>2729</v>
      </c>
      <c r="B3178" s="7" t="s">
        <v>5045</v>
      </c>
      <c r="C3178" s="8">
        <f>QS.CONTEXT.CREATE("market.3176",A3178,"USD","SOFR")</f>
        <v/>
      </c>
      <c r="D3178" s="8">
        <f>QS.CONTEXT.ADD.CURVE(C3178,"SOFR",$K$2:$K$7,$L$2:$L$7,,,"Actual360","LogLinear",TRUE)</f>
        <v/>
      </c>
      <c r="E3178" s="8">
        <f>QS.INSTRUMENT.SWAP("swap.3176",C3178,H3178,B3178,"USD","SOFR",I3178,J3178,0,"Actual360","Simple","Annual","Annual","Annual")</f>
        <v/>
      </c>
      <c r="F3178" s="8">
        <f>QS.TRADE.CREATE("trade.3176",C3178,E3178,A3178,"Receive")</f>
        <v/>
      </c>
      <c r="G3178" s="5"/>
      <c r="H3178" s="7" t="s">
        <v>2743</v>
      </c>
      <c r="I3178" s="9">
        <v>1317600</v>
      </c>
      <c r="J3178" s="10">
        <v>0.0376</v>
      </c>
    </row>
    <row r="3179" spans="1:10">
      <c r="A3179" s="7" t="s">
        <v>2731</v>
      </c>
      <c r="B3179" s="7" t="s">
        <v>5046</v>
      </c>
      <c r="C3179" s="8">
        <f>QS.CONTEXT.CREATE("market.3177",A3179,"USD","SOFR")</f>
        <v/>
      </c>
      <c r="D3179" s="8">
        <f>QS.CONTEXT.ADD.CURVE(C3179,"SOFR",$K$2:$K$7,$L$2:$L$7,,,"Actual360","LogLinear",TRUE)</f>
        <v/>
      </c>
      <c r="E3179" s="8">
        <f>QS.INSTRUMENT.SWAP("swap.3177",C3179,H3179,B3179,"USD","SOFR",I3179,J3179,0,"Actual360","Simple","Annual","Annual","Annual")</f>
        <v/>
      </c>
      <c r="F3179" s="8">
        <f>QS.TRADE.CREATE("trade.3177",C3179,E3179,A3179,"Receive")</f>
        <v/>
      </c>
      <c r="G3179" s="5"/>
      <c r="H3179" s="7" t="s">
        <v>2745</v>
      </c>
      <c r="I3179" s="9">
        <v>1317700</v>
      </c>
      <c r="J3179" s="10">
        <v>0.0377</v>
      </c>
    </row>
    <row r="3180" spans="1:10">
      <c r="A3180" s="7" t="s">
        <v>2733</v>
      </c>
      <c r="B3180" s="7" t="s">
        <v>5047</v>
      </c>
      <c r="C3180" s="8">
        <f>QS.CONTEXT.CREATE("market.3178",A3180,"USD","SOFR")</f>
        <v/>
      </c>
      <c r="D3180" s="8">
        <f>QS.CONTEXT.ADD.CURVE(C3180,"SOFR",$K$2:$K$7,$L$2:$L$7,,,"Actual360","LogLinear",TRUE)</f>
        <v/>
      </c>
      <c r="E3180" s="8">
        <f>QS.INSTRUMENT.SWAP("swap.3178",C3180,H3180,B3180,"USD","SOFR",I3180,J3180,0,"Actual360","Simple","Annual","Annual","Annual")</f>
        <v/>
      </c>
      <c r="F3180" s="8">
        <f>QS.TRADE.CREATE("trade.3178",C3180,E3180,A3180,"Receive")</f>
        <v/>
      </c>
      <c r="G3180" s="5"/>
      <c r="H3180" s="7" t="s">
        <v>2747</v>
      </c>
      <c r="I3180" s="9">
        <v>1317800</v>
      </c>
      <c r="J3180" s="10">
        <v>0.0378</v>
      </c>
    </row>
    <row r="3181" spans="1:10">
      <c r="A3181" s="7" t="s">
        <v>2735</v>
      </c>
      <c r="B3181" s="7" t="s">
        <v>5048</v>
      </c>
      <c r="C3181" s="8">
        <f>QS.CONTEXT.CREATE("market.3179",A3181,"USD","SOFR")</f>
        <v/>
      </c>
      <c r="D3181" s="8">
        <f>QS.CONTEXT.ADD.CURVE(C3181,"SOFR",$K$2:$K$7,$L$2:$L$7,,,"Actual360","LogLinear",TRUE)</f>
        <v/>
      </c>
      <c r="E3181" s="8">
        <f>QS.INSTRUMENT.SWAP("swap.3179",C3181,H3181,B3181,"USD","SOFR",I3181,J3181,0,"Actual360","Simple","Annual","Annual","Annual")</f>
        <v/>
      </c>
      <c r="F3181" s="8">
        <f>QS.TRADE.CREATE("trade.3179",C3181,E3181,A3181,"Receive")</f>
        <v/>
      </c>
      <c r="G3181" s="5"/>
      <c r="H3181" s="7" t="s">
        <v>2749</v>
      </c>
      <c r="I3181" s="9">
        <v>1317900</v>
      </c>
      <c r="J3181" s="10">
        <v>0.0379</v>
      </c>
    </row>
    <row r="3182" spans="1:10">
      <c r="A3182" s="7" t="s">
        <v>2737</v>
      </c>
      <c r="B3182" s="7" t="s">
        <v>5049</v>
      </c>
      <c r="C3182" s="8">
        <f>QS.CONTEXT.CREATE("market.3180",A3182,"USD","SOFR")</f>
        <v/>
      </c>
      <c r="D3182" s="8">
        <f>QS.CONTEXT.ADD.CURVE(C3182,"SOFR",$K$2:$K$7,$L$2:$L$7,,,"Actual360","LogLinear",TRUE)</f>
        <v/>
      </c>
      <c r="E3182" s="8">
        <f>QS.INSTRUMENT.SWAP("swap.3180",C3182,H3182,B3182,"USD","SOFR",I3182,J3182,0,"Actual360","Simple","Annual","Annual","Annual")</f>
        <v/>
      </c>
      <c r="F3182" s="8">
        <f>QS.TRADE.CREATE("trade.3180",C3182,E3182,A3182,"Receive")</f>
        <v/>
      </c>
      <c r="G3182" s="5"/>
      <c r="H3182" s="7" t="s">
        <v>2751</v>
      </c>
      <c r="I3182" s="9">
        <v>1318000</v>
      </c>
      <c r="J3182" s="10">
        <v>0.03800000000000001</v>
      </c>
    </row>
    <row r="3183" spans="1:10">
      <c r="A3183" s="7" t="s">
        <v>2739</v>
      </c>
      <c r="B3183" s="7" t="s">
        <v>5050</v>
      </c>
      <c r="C3183" s="8">
        <f>QS.CONTEXT.CREATE("market.3181",A3183,"USD","SOFR")</f>
        <v/>
      </c>
      <c r="D3183" s="8">
        <f>QS.CONTEXT.ADD.CURVE(C3183,"SOFR",$K$2:$K$7,$L$2:$L$7,,,"Actual360","LogLinear",TRUE)</f>
        <v/>
      </c>
      <c r="E3183" s="8">
        <f>QS.INSTRUMENT.SWAP("swap.3181",C3183,H3183,B3183,"USD","SOFR",I3183,J3183,0,"Actual360","Simple","Annual","Annual","Annual")</f>
        <v/>
      </c>
      <c r="F3183" s="8">
        <f>QS.TRADE.CREATE("trade.3181",C3183,E3183,A3183,"Receive")</f>
        <v/>
      </c>
      <c r="G3183" s="5"/>
      <c r="H3183" s="7" t="s">
        <v>2753</v>
      </c>
      <c r="I3183" s="9">
        <v>1318100</v>
      </c>
      <c r="J3183" s="10">
        <v>0.0381</v>
      </c>
    </row>
    <row r="3184" spans="1:10">
      <c r="A3184" s="7" t="s">
        <v>2741</v>
      </c>
      <c r="B3184" s="7" t="s">
        <v>5051</v>
      </c>
      <c r="C3184" s="8">
        <f>QS.CONTEXT.CREATE("market.3182",A3184,"USD","SOFR")</f>
        <v/>
      </c>
      <c r="D3184" s="8">
        <f>QS.CONTEXT.ADD.CURVE(C3184,"SOFR",$K$2:$K$7,$L$2:$L$7,,,"Actual360","LogLinear",TRUE)</f>
        <v/>
      </c>
      <c r="E3184" s="8">
        <f>QS.INSTRUMENT.SWAP("swap.3182",C3184,H3184,B3184,"USD","SOFR",I3184,J3184,0,"Actual360","Simple","Annual","Annual","Annual")</f>
        <v/>
      </c>
      <c r="F3184" s="8">
        <f>QS.TRADE.CREATE("trade.3182",C3184,E3184,A3184,"Receive")</f>
        <v/>
      </c>
      <c r="G3184" s="5"/>
      <c r="H3184" s="7" t="s">
        <v>2755</v>
      </c>
      <c r="I3184" s="9">
        <v>1318200</v>
      </c>
      <c r="J3184" s="10">
        <v>0.0382</v>
      </c>
    </row>
    <row r="3185" spans="1:10">
      <c r="A3185" s="7" t="s">
        <v>2743</v>
      </c>
      <c r="B3185" s="7" t="s">
        <v>5052</v>
      </c>
      <c r="C3185" s="8">
        <f>QS.CONTEXT.CREATE("market.3183",A3185,"USD","SOFR")</f>
        <v/>
      </c>
      <c r="D3185" s="8">
        <f>QS.CONTEXT.ADD.CURVE(C3185,"SOFR",$K$2:$K$7,$L$2:$L$7,,,"Actual360","LogLinear",TRUE)</f>
        <v/>
      </c>
      <c r="E3185" s="8">
        <f>QS.INSTRUMENT.SWAP("swap.3183",C3185,H3185,B3185,"USD","SOFR",I3185,J3185,0,"Actual360","Simple","Annual","Annual","Annual")</f>
        <v/>
      </c>
      <c r="F3185" s="8">
        <f>QS.TRADE.CREATE("trade.3183",C3185,E3185,A3185,"Receive")</f>
        <v/>
      </c>
      <c r="G3185" s="5"/>
      <c r="H3185" s="7" t="s">
        <v>2757</v>
      </c>
      <c r="I3185" s="9">
        <v>1318300</v>
      </c>
      <c r="J3185" s="10">
        <v>0.0383</v>
      </c>
    </row>
    <row r="3186" spans="1:10">
      <c r="A3186" s="7" t="s">
        <v>2745</v>
      </c>
      <c r="B3186" s="7" t="s">
        <v>5053</v>
      </c>
      <c r="C3186" s="8">
        <f>QS.CONTEXT.CREATE("market.3184",A3186,"USD","SOFR")</f>
        <v/>
      </c>
      <c r="D3186" s="8">
        <f>QS.CONTEXT.ADD.CURVE(C3186,"SOFR",$K$2:$K$7,$L$2:$L$7,,,"Actual360","LogLinear",TRUE)</f>
        <v/>
      </c>
      <c r="E3186" s="8">
        <f>QS.INSTRUMENT.SWAP("swap.3184",C3186,H3186,B3186,"USD","SOFR",I3186,J3186,0,"Actual360","Simple","Annual","Annual","Annual")</f>
        <v/>
      </c>
      <c r="F3186" s="8">
        <f>QS.TRADE.CREATE("trade.3184",C3186,E3186,A3186,"Receive")</f>
        <v/>
      </c>
      <c r="G3186" s="5"/>
      <c r="H3186" s="7" t="s">
        <v>2759</v>
      </c>
      <c r="I3186" s="9">
        <v>1318400</v>
      </c>
      <c r="J3186" s="10">
        <v>0.0384</v>
      </c>
    </row>
    <row r="3187" spans="1:10">
      <c r="A3187" s="7" t="s">
        <v>2747</v>
      </c>
      <c r="B3187" s="7" t="s">
        <v>5054</v>
      </c>
      <c r="C3187" s="8">
        <f>QS.CONTEXT.CREATE("market.3185",A3187,"USD","SOFR")</f>
        <v/>
      </c>
      <c r="D3187" s="8">
        <f>QS.CONTEXT.ADD.CURVE(C3187,"SOFR",$K$2:$K$7,$L$2:$L$7,,,"Actual360","LogLinear",TRUE)</f>
        <v/>
      </c>
      <c r="E3187" s="8">
        <f>QS.INSTRUMENT.SWAP("swap.3185",C3187,H3187,B3187,"USD","SOFR",I3187,J3187,0,"Actual360","Simple","Annual","Annual","Annual")</f>
        <v/>
      </c>
      <c r="F3187" s="8">
        <f>QS.TRADE.CREATE("trade.3185",C3187,E3187,A3187,"Receive")</f>
        <v/>
      </c>
      <c r="G3187" s="5"/>
      <c r="H3187" s="7" t="s">
        <v>2761</v>
      </c>
      <c r="I3187" s="9">
        <v>1318500</v>
      </c>
      <c r="J3187" s="10">
        <v>0.03850000000000001</v>
      </c>
    </row>
    <row r="3188" spans="1:10">
      <c r="A3188" s="7" t="s">
        <v>2749</v>
      </c>
      <c r="B3188" s="7" t="s">
        <v>5055</v>
      </c>
      <c r="C3188" s="8">
        <f>QS.CONTEXT.CREATE("market.3186",A3188,"USD","SOFR")</f>
        <v/>
      </c>
      <c r="D3188" s="8">
        <f>QS.CONTEXT.ADD.CURVE(C3188,"SOFR",$K$2:$K$7,$L$2:$L$7,,,"Actual360","LogLinear",TRUE)</f>
        <v/>
      </c>
      <c r="E3188" s="8">
        <f>QS.INSTRUMENT.SWAP("swap.3186",C3188,H3188,B3188,"USD","SOFR",I3188,J3188,0,"Actual360","Simple","Annual","Annual","Annual")</f>
        <v/>
      </c>
      <c r="F3188" s="8">
        <f>QS.TRADE.CREATE("trade.3186",C3188,E3188,A3188,"Receive")</f>
        <v/>
      </c>
      <c r="G3188" s="5"/>
      <c r="H3188" s="7" t="s">
        <v>2763</v>
      </c>
      <c r="I3188" s="9">
        <v>1318600</v>
      </c>
      <c r="J3188" s="10">
        <v>0.0386</v>
      </c>
    </row>
    <row r="3189" spans="1:10">
      <c r="A3189" s="7" t="s">
        <v>2751</v>
      </c>
      <c r="B3189" s="7" t="s">
        <v>5056</v>
      </c>
      <c r="C3189" s="8">
        <f>QS.CONTEXT.CREATE("market.3187",A3189,"USD","SOFR")</f>
        <v/>
      </c>
      <c r="D3189" s="8">
        <f>QS.CONTEXT.ADD.CURVE(C3189,"SOFR",$K$2:$K$7,$L$2:$L$7,,,"Actual360","LogLinear",TRUE)</f>
        <v/>
      </c>
      <c r="E3189" s="8">
        <f>QS.INSTRUMENT.SWAP("swap.3187",C3189,H3189,B3189,"USD","SOFR",I3189,J3189,0,"Actual360","Simple","Annual","Annual","Annual")</f>
        <v/>
      </c>
      <c r="F3189" s="8">
        <f>QS.TRADE.CREATE("trade.3187",C3189,E3189,A3189,"Receive")</f>
        <v/>
      </c>
      <c r="G3189" s="5"/>
      <c r="H3189" s="7" t="s">
        <v>2765</v>
      </c>
      <c r="I3189" s="9">
        <v>1318700</v>
      </c>
      <c r="J3189" s="10">
        <v>0.03870000000000001</v>
      </c>
    </row>
    <row r="3190" spans="1:10">
      <c r="A3190" s="7" t="s">
        <v>2753</v>
      </c>
      <c r="B3190" s="7" t="s">
        <v>5057</v>
      </c>
      <c r="C3190" s="8">
        <f>QS.CONTEXT.CREATE("market.3188",A3190,"USD","SOFR")</f>
        <v/>
      </c>
      <c r="D3190" s="8">
        <f>QS.CONTEXT.ADD.CURVE(C3190,"SOFR",$K$2:$K$7,$L$2:$L$7,,,"Actual360","LogLinear",TRUE)</f>
        <v/>
      </c>
      <c r="E3190" s="8">
        <f>QS.INSTRUMENT.SWAP("swap.3188",C3190,H3190,B3190,"USD","SOFR",I3190,J3190,0,"Actual360","Simple","Annual","Annual","Annual")</f>
        <v/>
      </c>
      <c r="F3190" s="8">
        <f>QS.TRADE.CREATE("trade.3188",C3190,E3190,A3190,"Receive")</f>
        <v/>
      </c>
      <c r="G3190" s="5"/>
      <c r="H3190" s="7" t="s">
        <v>2767</v>
      </c>
      <c r="I3190" s="9">
        <v>1318800</v>
      </c>
      <c r="J3190" s="10">
        <v>0.0388</v>
      </c>
    </row>
    <row r="3191" spans="1:10">
      <c r="A3191" s="7" t="s">
        <v>2755</v>
      </c>
      <c r="B3191" s="7" t="s">
        <v>5058</v>
      </c>
      <c r="C3191" s="8">
        <f>QS.CONTEXT.CREATE("market.3189",A3191,"USD","SOFR")</f>
        <v/>
      </c>
      <c r="D3191" s="8">
        <f>QS.CONTEXT.ADD.CURVE(C3191,"SOFR",$K$2:$K$7,$L$2:$L$7,,,"Actual360","LogLinear",TRUE)</f>
        <v/>
      </c>
      <c r="E3191" s="8">
        <f>QS.INSTRUMENT.SWAP("swap.3189",C3191,H3191,B3191,"USD","SOFR",I3191,J3191,0,"Actual360","Simple","Annual","Annual","Annual")</f>
        <v/>
      </c>
      <c r="F3191" s="8">
        <f>QS.TRADE.CREATE("trade.3189",C3191,E3191,A3191,"Receive")</f>
        <v/>
      </c>
      <c r="G3191" s="5"/>
      <c r="H3191" s="7" t="s">
        <v>2769</v>
      </c>
      <c r="I3191" s="9">
        <v>1318900</v>
      </c>
      <c r="J3191" s="10">
        <v>0.0389</v>
      </c>
    </row>
    <row r="3192" spans="1:10">
      <c r="A3192" s="7" t="s">
        <v>2757</v>
      </c>
      <c r="B3192" s="7" t="s">
        <v>5059</v>
      </c>
      <c r="C3192" s="8">
        <f>QS.CONTEXT.CREATE("market.3190",A3192,"USD","SOFR")</f>
        <v/>
      </c>
      <c r="D3192" s="8">
        <f>QS.CONTEXT.ADD.CURVE(C3192,"SOFR",$K$2:$K$7,$L$2:$L$7,,,"Actual360","LogLinear",TRUE)</f>
        <v/>
      </c>
      <c r="E3192" s="8">
        <f>QS.INSTRUMENT.SWAP("swap.3190",C3192,H3192,B3192,"USD","SOFR",I3192,J3192,0,"Actual360","Simple","Annual","Annual","Annual")</f>
        <v/>
      </c>
      <c r="F3192" s="8">
        <f>QS.TRADE.CREATE("trade.3190",C3192,E3192,A3192,"Receive")</f>
        <v/>
      </c>
      <c r="G3192" s="5"/>
      <c r="H3192" s="7" t="s">
        <v>2771</v>
      </c>
      <c r="I3192" s="9">
        <v>1319000</v>
      </c>
      <c r="J3192" s="10">
        <v>0.03900000000000001</v>
      </c>
    </row>
    <row r="3193" spans="1:10">
      <c r="A3193" s="7" t="s">
        <v>2759</v>
      </c>
      <c r="B3193" s="7" t="s">
        <v>5060</v>
      </c>
      <c r="C3193" s="8">
        <f>QS.CONTEXT.CREATE("market.3191",A3193,"USD","SOFR")</f>
        <v/>
      </c>
      <c r="D3193" s="8">
        <f>QS.CONTEXT.ADD.CURVE(C3193,"SOFR",$K$2:$K$7,$L$2:$L$7,,,"Actual360","LogLinear",TRUE)</f>
        <v/>
      </c>
      <c r="E3193" s="8">
        <f>QS.INSTRUMENT.SWAP("swap.3191",C3193,H3193,B3193,"USD","SOFR",I3193,J3193,0,"Actual360","Simple","Annual","Annual","Annual")</f>
        <v/>
      </c>
      <c r="F3193" s="8">
        <f>QS.TRADE.CREATE("trade.3191",C3193,E3193,A3193,"Receive")</f>
        <v/>
      </c>
      <c r="G3193" s="5"/>
      <c r="H3193" s="7" t="s">
        <v>2773</v>
      </c>
      <c r="I3193" s="9">
        <v>1319100</v>
      </c>
      <c r="J3193" s="10">
        <v>0.0391</v>
      </c>
    </row>
    <row r="3194" spans="1:10">
      <c r="A3194" s="7" t="s">
        <v>2761</v>
      </c>
      <c r="B3194" s="7" t="s">
        <v>5061</v>
      </c>
      <c r="C3194" s="8">
        <f>QS.CONTEXT.CREATE("market.3192",A3194,"USD","SOFR")</f>
        <v/>
      </c>
      <c r="D3194" s="8">
        <f>QS.CONTEXT.ADD.CURVE(C3194,"SOFR",$K$2:$K$7,$L$2:$L$7,,,"Actual360","LogLinear",TRUE)</f>
        <v/>
      </c>
      <c r="E3194" s="8">
        <f>QS.INSTRUMENT.SWAP("swap.3192",C3194,H3194,B3194,"USD","SOFR",I3194,J3194,0,"Actual360","Simple","Annual","Annual","Annual")</f>
        <v/>
      </c>
      <c r="F3194" s="8">
        <f>QS.TRADE.CREATE("trade.3192",C3194,E3194,A3194,"Receive")</f>
        <v/>
      </c>
      <c r="G3194" s="5"/>
      <c r="H3194" s="7" t="s">
        <v>2775</v>
      </c>
      <c r="I3194" s="9">
        <v>1319200</v>
      </c>
      <c r="J3194" s="10">
        <v>0.03920000000000001</v>
      </c>
    </row>
    <row r="3195" spans="1:10">
      <c r="A3195" s="7" t="s">
        <v>2763</v>
      </c>
      <c r="B3195" s="7" t="s">
        <v>5062</v>
      </c>
      <c r="C3195" s="8">
        <f>QS.CONTEXT.CREATE("market.3193",A3195,"USD","SOFR")</f>
        <v/>
      </c>
      <c r="D3195" s="8">
        <f>QS.CONTEXT.ADD.CURVE(C3195,"SOFR",$K$2:$K$7,$L$2:$L$7,,,"Actual360","LogLinear",TRUE)</f>
        <v/>
      </c>
      <c r="E3195" s="8">
        <f>QS.INSTRUMENT.SWAP("swap.3193",C3195,H3195,B3195,"USD","SOFR",I3195,J3195,0,"Actual360","Simple","Annual","Annual","Annual")</f>
        <v/>
      </c>
      <c r="F3195" s="8">
        <f>QS.TRADE.CREATE("trade.3193",C3195,E3195,A3195,"Receive")</f>
        <v/>
      </c>
      <c r="G3195" s="5"/>
      <c r="H3195" s="7" t="s">
        <v>2777</v>
      </c>
      <c r="I3195" s="9">
        <v>1319300</v>
      </c>
      <c r="J3195" s="10">
        <v>0.0393</v>
      </c>
    </row>
    <row r="3196" spans="1:10">
      <c r="A3196" s="7" t="s">
        <v>2765</v>
      </c>
      <c r="B3196" s="7" t="s">
        <v>5063</v>
      </c>
      <c r="C3196" s="8">
        <f>QS.CONTEXT.CREATE("market.3194",A3196,"USD","SOFR")</f>
        <v/>
      </c>
      <c r="D3196" s="8">
        <f>QS.CONTEXT.ADD.CURVE(C3196,"SOFR",$K$2:$K$7,$L$2:$L$7,,,"Actual360","LogLinear",TRUE)</f>
        <v/>
      </c>
      <c r="E3196" s="8">
        <f>QS.INSTRUMENT.SWAP("swap.3194",C3196,H3196,B3196,"USD","SOFR",I3196,J3196,0,"Actual360","Simple","Annual","Annual","Annual")</f>
        <v/>
      </c>
      <c r="F3196" s="8">
        <f>QS.TRADE.CREATE("trade.3194",C3196,E3196,A3196,"Receive")</f>
        <v/>
      </c>
      <c r="G3196" s="5"/>
      <c r="H3196" s="7" t="s">
        <v>2779</v>
      </c>
      <c r="I3196" s="9">
        <v>1319400</v>
      </c>
      <c r="J3196" s="10">
        <v>0.0394</v>
      </c>
    </row>
    <row r="3197" spans="1:10">
      <c r="A3197" s="7" t="s">
        <v>2767</v>
      </c>
      <c r="B3197" s="7" t="s">
        <v>5064</v>
      </c>
      <c r="C3197" s="8">
        <f>QS.CONTEXT.CREATE("market.3195",A3197,"USD","SOFR")</f>
        <v/>
      </c>
      <c r="D3197" s="8">
        <f>QS.CONTEXT.ADD.CURVE(C3197,"SOFR",$K$2:$K$7,$L$2:$L$7,,,"Actual360","LogLinear",TRUE)</f>
        <v/>
      </c>
      <c r="E3197" s="8">
        <f>QS.INSTRUMENT.SWAP("swap.3195",C3197,H3197,B3197,"USD","SOFR",I3197,J3197,0,"Actual360","Simple","Annual","Annual","Annual")</f>
        <v/>
      </c>
      <c r="F3197" s="8">
        <f>QS.TRADE.CREATE("trade.3195",C3197,E3197,A3197,"Receive")</f>
        <v/>
      </c>
      <c r="G3197" s="5"/>
      <c r="H3197" s="7" t="s">
        <v>2781</v>
      </c>
      <c r="I3197" s="9">
        <v>1319500</v>
      </c>
      <c r="J3197" s="10">
        <v>0.03950000000000001</v>
      </c>
    </row>
    <row r="3198" spans="1:10">
      <c r="A3198" s="7" t="s">
        <v>2769</v>
      </c>
      <c r="B3198" s="7" t="s">
        <v>5065</v>
      </c>
      <c r="C3198" s="8">
        <f>QS.CONTEXT.CREATE("market.3196",A3198,"USD","SOFR")</f>
        <v/>
      </c>
      <c r="D3198" s="8">
        <f>QS.CONTEXT.ADD.CURVE(C3198,"SOFR",$K$2:$K$7,$L$2:$L$7,,,"Actual360","LogLinear",TRUE)</f>
        <v/>
      </c>
      <c r="E3198" s="8">
        <f>QS.INSTRUMENT.SWAP("swap.3196",C3198,H3198,B3198,"USD","SOFR",I3198,J3198,0,"Actual360","Simple","Annual","Annual","Annual")</f>
        <v/>
      </c>
      <c r="F3198" s="8">
        <f>QS.TRADE.CREATE("trade.3196",C3198,E3198,A3198,"Receive")</f>
        <v/>
      </c>
      <c r="G3198" s="5"/>
      <c r="H3198" s="7" t="s">
        <v>2783</v>
      </c>
      <c r="I3198" s="9">
        <v>1319600</v>
      </c>
      <c r="J3198" s="10">
        <v>0.0396</v>
      </c>
    </row>
    <row r="3199" spans="1:10">
      <c r="A3199" s="7" t="s">
        <v>2771</v>
      </c>
      <c r="B3199" s="7" t="s">
        <v>5066</v>
      </c>
      <c r="C3199" s="8">
        <f>QS.CONTEXT.CREATE("market.3197",A3199,"USD","SOFR")</f>
        <v/>
      </c>
      <c r="D3199" s="8">
        <f>QS.CONTEXT.ADD.CURVE(C3199,"SOFR",$K$2:$K$7,$L$2:$L$7,,,"Actual360","LogLinear",TRUE)</f>
        <v/>
      </c>
      <c r="E3199" s="8">
        <f>QS.INSTRUMENT.SWAP("swap.3197",C3199,H3199,B3199,"USD","SOFR",I3199,J3199,0,"Actual360","Simple","Annual","Annual","Annual")</f>
        <v/>
      </c>
      <c r="F3199" s="8">
        <f>QS.TRADE.CREATE("trade.3197",C3199,E3199,A3199,"Receive")</f>
        <v/>
      </c>
      <c r="G3199" s="5"/>
      <c r="H3199" s="7" t="s">
        <v>2785</v>
      </c>
      <c r="I3199" s="9">
        <v>1319700</v>
      </c>
      <c r="J3199" s="10">
        <v>0.03970000000000001</v>
      </c>
    </row>
    <row r="3200" spans="1:10">
      <c r="A3200" s="7" t="s">
        <v>2773</v>
      </c>
      <c r="B3200" s="7" t="s">
        <v>5067</v>
      </c>
      <c r="C3200" s="8">
        <f>QS.CONTEXT.CREATE("market.3198",A3200,"USD","SOFR")</f>
        <v/>
      </c>
      <c r="D3200" s="8">
        <f>QS.CONTEXT.ADD.CURVE(C3200,"SOFR",$K$2:$K$7,$L$2:$L$7,,,"Actual360","LogLinear",TRUE)</f>
        <v/>
      </c>
      <c r="E3200" s="8">
        <f>QS.INSTRUMENT.SWAP("swap.3198",C3200,H3200,B3200,"USD","SOFR",I3200,J3200,0,"Actual360","Simple","Annual","Annual","Annual")</f>
        <v/>
      </c>
      <c r="F3200" s="8">
        <f>QS.TRADE.CREATE("trade.3198",C3200,E3200,A3200,"Receive")</f>
        <v/>
      </c>
      <c r="G3200" s="5"/>
      <c r="H3200" s="7" t="s">
        <v>2787</v>
      </c>
      <c r="I3200" s="9">
        <v>1319800</v>
      </c>
      <c r="J3200" s="10">
        <v>0.0398</v>
      </c>
    </row>
    <row r="3201" spans="1:10">
      <c r="A3201" s="7" t="s">
        <v>2775</v>
      </c>
      <c r="B3201" s="7" t="s">
        <v>5068</v>
      </c>
      <c r="C3201" s="8">
        <f>QS.CONTEXT.CREATE("market.3199",A3201,"USD","SOFR")</f>
        <v/>
      </c>
      <c r="D3201" s="8">
        <f>QS.CONTEXT.ADD.CURVE(C3201,"SOFR",$K$2:$K$7,$L$2:$L$7,,,"Actual360","LogLinear",TRUE)</f>
        <v/>
      </c>
      <c r="E3201" s="8">
        <f>QS.INSTRUMENT.SWAP("swap.3199",C3201,H3201,B3201,"USD","SOFR",I3201,J3201,0,"Actual360","Simple","Annual","Annual","Annual")</f>
        <v/>
      </c>
      <c r="F3201" s="8">
        <f>QS.TRADE.CREATE("trade.3199",C3201,E3201,A3201,"Receive")</f>
        <v/>
      </c>
      <c r="G3201" s="5"/>
      <c r="H3201" s="7" t="s">
        <v>2789</v>
      </c>
      <c r="I3201" s="9">
        <v>1319900</v>
      </c>
      <c r="J3201" s="10">
        <v>0.0399</v>
      </c>
    </row>
    <row r="3202" spans="1:10">
      <c r="A3202" s="7" t="s">
        <v>2777</v>
      </c>
      <c r="B3202" s="7" t="s">
        <v>5069</v>
      </c>
      <c r="C3202" s="8">
        <f>QS.CONTEXT.CREATE("market.3200",A3202,"USD","SOFR")</f>
        <v/>
      </c>
      <c r="D3202" s="8">
        <f>QS.CONTEXT.ADD.CURVE(C3202,"SOFR",$K$2:$K$7,$L$2:$L$7,,,"Actual360","LogLinear",TRUE)</f>
        <v/>
      </c>
      <c r="E3202" s="8">
        <f>QS.INSTRUMENT.SWAP("swap.3200",C3202,H3202,B3202,"USD","SOFR",I3202,J3202,0,"Actual360","Simple","Annual","Annual","Annual")</f>
        <v/>
      </c>
      <c r="F3202" s="8">
        <f>QS.TRADE.CREATE("trade.3200",C3202,E3202,A3202,"Receive")</f>
        <v/>
      </c>
      <c r="G3202" s="5"/>
      <c r="H3202" s="7" t="s">
        <v>2791</v>
      </c>
      <c r="I3202" s="9">
        <v>1320000</v>
      </c>
      <c r="J3202" s="10">
        <v>0.035</v>
      </c>
    </row>
    <row r="3203" spans="1:10">
      <c r="A3203" s="7" t="s">
        <v>2779</v>
      </c>
      <c r="B3203" s="7" t="s">
        <v>5070</v>
      </c>
      <c r="C3203" s="8">
        <f>QS.CONTEXT.CREATE("market.3201",A3203,"USD","SOFR")</f>
        <v/>
      </c>
      <c r="D3203" s="8">
        <f>QS.CONTEXT.ADD.CURVE(C3203,"SOFR",$K$2:$K$7,$L$2:$L$7,,,"Actual360","LogLinear",TRUE)</f>
        <v/>
      </c>
      <c r="E3203" s="8">
        <f>QS.INSTRUMENT.SWAP("swap.3201",C3203,H3203,B3203,"USD","SOFR",I3203,J3203,0,"Actual360","Simple","Annual","Annual","Annual")</f>
        <v/>
      </c>
      <c r="F3203" s="8">
        <f>QS.TRADE.CREATE("trade.3201",C3203,E3203,A3203,"Receive")</f>
        <v/>
      </c>
      <c r="G3203" s="5"/>
      <c r="H3203" s="7" t="s">
        <v>2793</v>
      </c>
      <c r="I3203" s="9">
        <v>1320100</v>
      </c>
      <c r="J3203" s="10">
        <v>0.03510000000000001</v>
      </c>
    </row>
    <row r="3204" spans="1:10">
      <c r="A3204" s="7" t="s">
        <v>2781</v>
      </c>
      <c r="B3204" s="7" t="s">
        <v>5071</v>
      </c>
      <c r="C3204" s="8">
        <f>QS.CONTEXT.CREATE("market.3202",A3204,"USD","SOFR")</f>
        <v/>
      </c>
      <c r="D3204" s="8">
        <f>QS.CONTEXT.ADD.CURVE(C3204,"SOFR",$K$2:$K$7,$L$2:$L$7,,,"Actual360","LogLinear",TRUE)</f>
        <v/>
      </c>
      <c r="E3204" s="8">
        <f>QS.INSTRUMENT.SWAP("swap.3202",C3204,H3204,B3204,"USD","SOFR",I3204,J3204,0,"Actual360","Simple","Annual","Annual","Annual")</f>
        <v/>
      </c>
      <c r="F3204" s="8">
        <f>QS.TRADE.CREATE("trade.3202",C3204,E3204,A3204,"Receive")</f>
        <v/>
      </c>
      <c r="G3204" s="5"/>
      <c r="H3204" s="7" t="s">
        <v>2795</v>
      </c>
      <c r="I3204" s="9">
        <v>1320200</v>
      </c>
      <c r="J3204" s="10">
        <v>0.0352</v>
      </c>
    </row>
    <row r="3205" spans="1:10">
      <c r="A3205" s="7" t="s">
        <v>2783</v>
      </c>
      <c r="B3205" s="7" t="s">
        <v>5072</v>
      </c>
      <c r="C3205" s="8">
        <f>QS.CONTEXT.CREATE("market.3203",A3205,"USD","SOFR")</f>
        <v/>
      </c>
      <c r="D3205" s="8">
        <f>QS.CONTEXT.ADD.CURVE(C3205,"SOFR",$K$2:$K$7,$L$2:$L$7,,,"Actual360","LogLinear",TRUE)</f>
        <v/>
      </c>
      <c r="E3205" s="8">
        <f>QS.INSTRUMENT.SWAP("swap.3203",C3205,H3205,B3205,"USD","SOFR",I3205,J3205,0,"Actual360","Simple","Annual","Annual","Annual")</f>
        <v/>
      </c>
      <c r="F3205" s="8">
        <f>QS.TRADE.CREATE("trade.3203",C3205,E3205,A3205,"Receive")</f>
        <v/>
      </c>
      <c r="G3205" s="5"/>
      <c r="H3205" s="7" t="s">
        <v>2797</v>
      </c>
      <c r="I3205" s="9">
        <v>1320300</v>
      </c>
      <c r="J3205" s="10">
        <v>0.0353</v>
      </c>
    </row>
    <row r="3206" spans="1:10">
      <c r="A3206" s="7" t="s">
        <v>2785</v>
      </c>
      <c r="B3206" s="7" t="s">
        <v>5073</v>
      </c>
      <c r="C3206" s="8">
        <f>QS.CONTEXT.CREATE("market.3204",A3206,"USD","SOFR")</f>
        <v/>
      </c>
      <c r="D3206" s="8">
        <f>QS.CONTEXT.ADD.CURVE(C3206,"SOFR",$K$2:$K$7,$L$2:$L$7,,,"Actual360","LogLinear",TRUE)</f>
        <v/>
      </c>
      <c r="E3206" s="8">
        <f>QS.INSTRUMENT.SWAP("swap.3204",C3206,H3206,B3206,"USD","SOFR",I3206,J3206,0,"Actual360","Simple","Annual","Annual","Annual")</f>
        <v/>
      </c>
      <c r="F3206" s="8">
        <f>QS.TRADE.CREATE("trade.3204",C3206,E3206,A3206,"Receive")</f>
        <v/>
      </c>
      <c r="G3206" s="5"/>
      <c r="H3206" s="7" t="s">
        <v>2799</v>
      </c>
      <c r="I3206" s="9">
        <v>1320400</v>
      </c>
      <c r="J3206" s="10">
        <v>0.0354</v>
      </c>
    </row>
    <row r="3207" spans="1:10">
      <c r="A3207" s="7" t="s">
        <v>2787</v>
      </c>
      <c r="B3207" s="7" t="s">
        <v>5074</v>
      </c>
      <c r="C3207" s="8">
        <f>QS.CONTEXT.CREATE("market.3205",A3207,"USD","SOFR")</f>
        <v/>
      </c>
      <c r="D3207" s="8">
        <f>QS.CONTEXT.ADD.CURVE(C3207,"SOFR",$K$2:$K$7,$L$2:$L$7,,,"Actual360","LogLinear",TRUE)</f>
        <v/>
      </c>
      <c r="E3207" s="8">
        <f>QS.INSTRUMENT.SWAP("swap.3205",C3207,H3207,B3207,"USD","SOFR",I3207,J3207,0,"Actual360","Simple","Annual","Annual","Annual")</f>
        <v/>
      </c>
      <c r="F3207" s="8">
        <f>QS.TRADE.CREATE("trade.3205",C3207,E3207,A3207,"Receive")</f>
        <v/>
      </c>
      <c r="G3207" s="5"/>
      <c r="H3207" s="7" t="s">
        <v>2801</v>
      </c>
      <c r="I3207" s="9">
        <v>1320500</v>
      </c>
      <c r="J3207" s="10">
        <v>0.0355</v>
      </c>
    </row>
    <row r="3208" spans="1:10">
      <c r="A3208" s="7" t="s">
        <v>2789</v>
      </c>
      <c r="B3208" s="7" t="s">
        <v>5075</v>
      </c>
      <c r="C3208" s="8">
        <f>QS.CONTEXT.CREATE("market.3206",A3208,"USD","SOFR")</f>
        <v/>
      </c>
      <c r="D3208" s="8">
        <f>QS.CONTEXT.ADD.CURVE(C3208,"SOFR",$K$2:$K$7,$L$2:$L$7,,,"Actual360","LogLinear",TRUE)</f>
        <v/>
      </c>
      <c r="E3208" s="8">
        <f>QS.INSTRUMENT.SWAP("swap.3206",C3208,H3208,B3208,"USD","SOFR",I3208,J3208,0,"Actual360","Simple","Annual","Annual","Annual")</f>
        <v/>
      </c>
      <c r="F3208" s="8">
        <f>QS.TRADE.CREATE("trade.3206",C3208,E3208,A3208,"Receive")</f>
        <v/>
      </c>
      <c r="G3208" s="5"/>
      <c r="H3208" s="7" t="s">
        <v>2803</v>
      </c>
      <c r="I3208" s="9">
        <v>1320600</v>
      </c>
      <c r="J3208" s="10">
        <v>0.03560000000000001</v>
      </c>
    </row>
    <row r="3209" spans="1:10">
      <c r="A3209" s="7" t="s">
        <v>2791</v>
      </c>
      <c r="B3209" s="7" t="s">
        <v>5076</v>
      </c>
      <c r="C3209" s="8">
        <f>QS.CONTEXT.CREATE("market.3207",A3209,"USD","SOFR")</f>
        <v/>
      </c>
      <c r="D3209" s="8">
        <f>QS.CONTEXT.ADD.CURVE(C3209,"SOFR",$K$2:$K$7,$L$2:$L$7,,,"Actual360","LogLinear",TRUE)</f>
        <v/>
      </c>
      <c r="E3209" s="8">
        <f>QS.INSTRUMENT.SWAP("swap.3207",C3209,H3209,B3209,"USD","SOFR",I3209,J3209,0,"Actual360","Simple","Annual","Annual","Annual")</f>
        <v/>
      </c>
      <c r="F3209" s="8">
        <f>QS.TRADE.CREATE("trade.3207",C3209,E3209,A3209,"Receive")</f>
        <v/>
      </c>
      <c r="G3209" s="5"/>
      <c r="H3209" s="7" t="s">
        <v>2805</v>
      </c>
      <c r="I3209" s="9">
        <v>1320700</v>
      </c>
      <c r="J3209" s="10">
        <v>0.0357</v>
      </c>
    </row>
    <row r="3210" spans="1:10">
      <c r="A3210" s="7" t="s">
        <v>2793</v>
      </c>
      <c r="B3210" s="7" t="s">
        <v>5077</v>
      </c>
      <c r="C3210" s="8">
        <f>QS.CONTEXT.CREATE("market.3208",A3210,"USD","SOFR")</f>
        <v/>
      </c>
      <c r="D3210" s="8">
        <f>QS.CONTEXT.ADD.CURVE(C3210,"SOFR",$K$2:$K$7,$L$2:$L$7,,,"Actual360","LogLinear",TRUE)</f>
        <v/>
      </c>
      <c r="E3210" s="8">
        <f>QS.INSTRUMENT.SWAP("swap.3208",C3210,H3210,B3210,"USD","SOFR",I3210,J3210,0,"Actual360","Simple","Annual","Annual","Annual")</f>
        <v/>
      </c>
      <c r="F3210" s="8">
        <f>QS.TRADE.CREATE("trade.3208",C3210,E3210,A3210,"Receive")</f>
        <v/>
      </c>
      <c r="G3210" s="5"/>
      <c r="H3210" s="7" t="s">
        <v>2807</v>
      </c>
      <c r="I3210" s="9">
        <v>1320800</v>
      </c>
      <c r="J3210" s="10">
        <v>0.03580000000000001</v>
      </c>
    </row>
    <row r="3211" spans="1:10">
      <c r="A3211" s="7" t="s">
        <v>2795</v>
      </c>
      <c r="B3211" s="7" t="s">
        <v>5078</v>
      </c>
      <c r="C3211" s="8">
        <f>QS.CONTEXT.CREATE("market.3209",A3211,"USD","SOFR")</f>
        <v/>
      </c>
      <c r="D3211" s="8">
        <f>QS.CONTEXT.ADD.CURVE(C3211,"SOFR",$K$2:$K$7,$L$2:$L$7,,,"Actual360","LogLinear",TRUE)</f>
        <v/>
      </c>
      <c r="E3211" s="8">
        <f>QS.INSTRUMENT.SWAP("swap.3209",C3211,H3211,B3211,"USD","SOFR",I3211,J3211,0,"Actual360","Simple","Annual","Annual","Annual")</f>
        <v/>
      </c>
      <c r="F3211" s="8">
        <f>QS.TRADE.CREATE("trade.3209",C3211,E3211,A3211,"Receive")</f>
        <v/>
      </c>
      <c r="G3211" s="5"/>
      <c r="H3211" s="7" t="s">
        <v>2809</v>
      </c>
      <c r="I3211" s="9">
        <v>1320900</v>
      </c>
      <c r="J3211" s="10">
        <v>0.0359</v>
      </c>
    </row>
    <row r="3212" spans="1:10">
      <c r="A3212" s="7" t="s">
        <v>2797</v>
      </c>
      <c r="B3212" s="7" t="s">
        <v>5079</v>
      </c>
      <c r="C3212" s="8">
        <f>QS.CONTEXT.CREATE("market.3210",A3212,"USD","SOFR")</f>
        <v/>
      </c>
      <c r="D3212" s="8">
        <f>QS.CONTEXT.ADD.CURVE(C3212,"SOFR",$K$2:$K$7,$L$2:$L$7,,,"Actual360","LogLinear",TRUE)</f>
        <v/>
      </c>
      <c r="E3212" s="8">
        <f>QS.INSTRUMENT.SWAP("swap.3210",C3212,H3212,B3212,"USD","SOFR",I3212,J3212,0,"Actual360","Simple","Annual","Annual","Annual")</f>
        <v/>
      </c>
      <c r="F3212" s="8">
        <f>QS.TRADE.CREATE("trade.3210",C3212,E3212,A3212,"Receive")</f>
        <v/>
      </c>
      <c r="G3212" s="5"/>
      <c r="H3212" s="7" t="s">
        <v>2811</v>
      </c>
      <c r="I3212" s="9">
        <v>1321000</v>
      </c>
      <c r="J3212" s="10">
        <v>0.036</v>
      </c>
    </row>
    <row r="3213" spans="1:10">
      <c r="A3213" s="7" t="s">
        <v>2799</v>
      </c>
      <c r="B3213" s="7" t="s">
        <v>5080</v>
      </c>
      <c r="C3213" s="8">
        <f>QS.CONTEXT.CREATE("market.3211",A3213,"USD","SOFR")</f>
        <v/>
      </c>
      <c r="D3213" s="8">
        <f>QS.CONTEXT.ADD.CURVE(C3213,"SOFR",$K$2:$K$7,$L$2:$L$7,,,"Actual360","LogLinear",TRUE)</f>
        <v/>
      </c>
      <c r="E3213" s="8">
        <f>QS.INSTRUMENT.SWAP("swap.3211",C3213,H3213,B3213,"USD","SOFR",I3213,J3213,0,"Actual360","Simple","Annual","Annual","Annual")</f>
        <v/>
      </c>
      <c r="F3213" s="8">
        <f>QS.TRADE.CREATE("trade.3211",C3213,E3213,A3213,"Receive")</f>
        <v/>
      </c>
      <c r="G3213" s="5"/>
      <c r="H3213" s="7" t="s">
        <v>2813</v>
      </c>
      <c r="I3213" s="9">
        <v>1321100</v>
      </c>
      <c r="J3213" s="10">
        <v>0.0361</v>
      </c>
    </row>
    <row r="3214" spans="1:10">
      <c r="A3214" s="7" t="s">
        <v>2801</v>
      </c>
      <c r="B3214" s="7" t="s">
        <v>5081</v>
      </c>
      <c r="C3214" s="8">
        <f>QS.CONTEXT.CREATE("market.3212",A3214,"USD","SOFR")</f>
        <v/>
      </c>
      <c r="D3214" s="8">
        <f>QS.CONTEXT.ADD.CURVE(C3214,"SOFR",$K$2:$K$7,$L$2:$L$7,,,"Actual360","LogLinear",TRUE)</f>
        <v/>
      </c>
      <c r="E3214" s="8">
        <f>QS.INSTRUMENT.SWAP("swap.3212",C3214,H3214,B3214,"USD","SOFR",I3214,J3214,0,"Actual360","Simple","Annual","Annual","Annual")</f>
        <v/>
      </c>
      <c r="F3214" s="8">
        <f>QS.TRADE.CREATE("trade.3212",C3214,E3214,A3214,"Receive")</f>
        <v/>
      </c>
      <c r="G3214" s="5"/>
      <c r="H3214" s="7" t="s">
        <v>2815</v>
      </c>
      <c r="I3214" s="9">
        <v>1321200</v>
      </c>
      <c r="J3214" s="10">
        <v>0.0362</v>
      </c>
    </row>
    <row r="3215" spans="1:10">
      <c r="A3215" s="7" t="s">
        <v>2803</v>
      </c>
      <c r="B3215" s="7" t="s">
        <v>5082</v>
      </c>
      <c r="C3215" s="8">
        <f>QS.CONTEXT.CREATE("market.3213",A3215,"USD","SOFR")</f>
        <v/>
      </c>
      <c r="D3215" s="8">
        <f>QS.CONTEXT.ADD.CURVE(C3215,"SOFR",$K$2:$K$7,$L$2:$L$7,,,"Actual360","LogLinear",TRUE)</f>
        <v/>
      </c>
      <c r="E3215" s="8">
        <f>QS.INSTRUMENT.SWAP("swap.3213",C3215,H3215,B3215,"USD","SOFR",I3215,J3215,0,"Actual360","Simple","Annual","Annual","Annual")</f>
        <v/>
      </c>
      <c r="F3215" s="8">
        <f>QS.TRADE.CREATE("trade.3213",C3215,E3215,A3215,"Receive")</f>
        <v/>
      </c>
      <c r="G3215" s="5"/>
      <c r="H3215" s="7" t="s">
        <v>2817</v>
      </c>
      <c r="I3215" s="9">
        <v>1321300</v>
      </c>
      <c r="J3215" s="10">
        <v>0.03630000000000001</v>
      </c>
    </row>
    <row r="3216" spans="1:10">
      <c r="A3216" s="7" t="s">
        <v>2805</v>
      </c>
      <c r="B3216" s="7" t="s">
        <v>5083</v>
      </c>
      <c r="C3216" s="8">
        <f>QS.CONTEXT.CREATE("market.3214",A3216,"USD","SOFR")</f>
        <v/>
      </c>
      <c r="D3216" s="8">
        <f>QS.CONTEXT.ADD.CURVE(C3216,"SOFR",$K$2:$K$7,$L$2:$L$7,,,"Actual360","LogLinear",TRUE)</f>
        <v/>
      </c>
      <c r="E3216" s="8">
        <f>QS.INSTRUMENT.SWAP("swap.3214",C3216,H3216,B3216,"USD","SOFR",I3216,J3216,0,"Actual360","Simple","Annual","Annual","Annual")</f>
        <v/>
      </c>
      <c r="F3216" s="8">
        <f>QS.TRADE.CREATE("trade.3214",C3216,E3216,A3216,"Receive")</f>
        <v/>
      </c>
      <c r="G3216" s="5"/>
      <c r="H3216" s="7" t="s">
        <v>2819</v>
      </c>
      <c r="I3216" s="9">
        <v>1321400</v>
      </c>
      <c r="J3216" s="10">
        <v>0.0364</v>
      </c>
    </row>
    <row r="3217" spans="1:10">
      <c r="A3217" s="7" t="s">
        <v>2807</v>
      </c>
      <c r="B3217" s="7" t="s">
        <v>5084</v>
      </c>
      <c r="C3217" s="8">
        <f>QS.CONTEXT.CREATE("market.3215",A3217,"USD","SOFR")</f>
        <v/>
      </c>
      <c r="D3217" s="8">
        <f>QS.CONTEXT.ADD.CURVE(C3217,"SOFR",$K$2:$K$7,$L$2:$L$7,,,"Actual360","LogLinear",TRUE)</f>
        <v/>
      </c>
      <c r="E3217" s="8">
        <f>QS.INSTRUMENT.SWAP("swap.3215",C3217,H3217,B3217,"USD","SOFR",I3217,J3217,0,"Actual360","Simple","Annual","Annual","Annual")</f>
        <v/>
      </c>
      <c r="F3217" s="8">
        <f>QS.TRADE.CREATE("trade.3215",C3217,E3217,A3217,"Receive")</f>
        <v/>
      </c>
      <c r="G3217" s="5"/>
      <c r="H3217" s="7" t="s">
        <v>2821</v>
      </c>
      <c r="I3217" s="9">
        <v>1321500</v>
      </c>
      <c r="J3217" s="10">
        <v>0.0365</v>
      </c>
    </row>
    <row r="3218" spans="1:10">
      <c r="A3218" s="7" t="s">
        <v>2809</v>
      </c>
      <c r="B3218" s="7" t="s">
        <v>5085</v>
      </c>
      <c r="C3218" s="8">
        <f>QS.CONTEXT.CREATE("market.3216",A3218,"USD","SOFR")</f>
        <v/>
      </c>
      <c r="D3218" s="8">
        <f>QS.CONTEXT.ADD.CURVE(C3218,"SOFR",$K$2:$K$7,$L$2:$L$7,,,"Actual360","LogLinear",TRUE)</f>
        <v/>
      </c>
      <c r="E3218" s="8">
        <f>QS.INSTRUMENT.SWAP("swap.3216",C3218,H3218,B3218,"USD","SOFR",I3218,J3218,0,"Actual360","Simple","Annual","Annual","Annual")</f>
        <v/>
      </c>
      <c r="F3218" s="8">
        <f>QS.TRADE.CREATE("trade.3216",C3218,E3218,A3218,"Receive")</f>
        <v/>
      </c>
      <c r="G3218" s="5"/>
      <c r="H3218" s="7" t="s">
        <v>2823</v>
      </c>
      <c r="I3218" s="9">
        <v>1321600</v>
      </c>
      <c r="J3218" s="10">
        <v>0.0366</v>
      </c>
    </row>
    <row r="3219" spans="1:10">
      <c r="A3219" s="7" t="s">
        <v>2811</v>
      </c>
      <c r="B3219" s="7" t="s">
        <v>5086</v>
      </c>
      <c r="C3219" s="8">
        <f>QS.CONTEXT.CREATE("market.3217",A3219,"USD","SOFR")</f>
        <v/>
      </c>
      <c r="D3219" s="8">
        <f>QS.CONTEXT.ADD.CURVE(C3219,"SOFR",$K$2:$K$7,$L$2:$L$7,,,"Actual360","LogLinear",TRUE)</f>
        <v/>
      </c>
      <c r="E3219" s="8">
        <f>QS.INSTRUMENT.SWAP("swap.3217",C3219,H3219,B3219,"USD","SOFR",I3219,J3219,0,"Actual360","Simple","Annual","Annual","Annual")</f>
        <v/>
      </c>
      <c r="F3219" s="8">
        <f>QS.TRADE.CREATE("trade.3217",C3219,E3219,A3219,"Receive")</f>
        <v/>
      </c>
      <c r="G3219" s="5"/>
      <c r="H3219" s="7" t="s">
        <v>2825</v>
      </c>
      <c r="I3219" s="9">
        <v>1321700</v>
      </c>
      <c r="J3219" s="10">
        <v>0.0367</v>
      </c>
    </row>
    <row r="3220" spans="1:10">
      <c r="A3220" s="7" t="s">
        <v>2813</v>
      </c>
      <c r="B3220" s="7" t="s">
        <v>5087</v>
      </c>
      <c r="C3220" s="8">
        <f>QS.CONTEXT.CREATE("market.3218",A3220,"USD","SOFR")</f>
        <v/>
      </c>
      <c r="D3220" s="8">
        <f>QS.CONTEXT.ADD.CURVE(C3220,"SOFR",$K$2:$K$7,$L$2:$L$7,,,"Actual360","LogLinear",TRUE)</f>
        <v/>
      </c>
      <c r="E3220" s="8">
        <f>QS.INSTRUMENT.SWAP("swap.3218",C3220,H3220,B3220,"USD","SOFR",I3220,J3220,0,"Actual360","Simple","Annual","Annual","Annual")</f>
        <v/>
      </c>
      <c r="F3220" s="8">
        <f>QS.TRADE.CREATE("trade.3218",C3220,E3220,A3220,"Receive")</f>
        <v/>
      </c>
      <c r="G3220" s="5"/>
      <c r="H3220" s="7" t="s">
        <v>2827</v>
      </c>
      <c r="I3220" s="9">
        <v>1321800</v>
      </c>
      <c r="J3220" s="10">
        <v>0.03680000000000001</v>
      </c>
    </row>
    <row r="3221" spans="1:10">
      <c r="A3221" s="7" t="s">
        <v>2815</v>
      </c>
      <c r="B3221" s="7" t="s">
        <v>5088</v>
      </c>
      <c r="C3221" s="8">
        <f>QS.CONTEXT.CREATE("market.3219",A3221,"USD","SOFR")</f>
        <v/>
      </c>
      <c r="D3221" s="8">
        <f>QS.CONTEXT.ADD.CURVE(C3221,"SOFR",$K$2:$K$7,$L$2:$L$7,,,"Actual360","LogLinear",TRUE)</f>
        <v/>
      </c>
      <c r="E3221" s="8">
        <f>QS.INSTRUMENT.SWAP("swap.3219",C3221,H3221,B3221,"USD","SOFR",I3221,J3221,0,"Actual360","Simple","Annual","Annual","Annual")</f>
        <v/>
      </c>
      <c r="F3221" s="8">
        <f>QS.TRADE.CREATE("trade.3219",C3221,E3221,A3221,"Receive")</f>
        <v/>
      </c>
      <c r="G3221" s="5"/>
      <c r="H3221" s="7" t="s">
        <v>2829</v>
      </c>
      <c r="I3221" s="9">
        <v>1321900</v>
      </c>
      <c r="J3221" s="10">
        <v>0.0369</v>
      </c>
    </row>
    <row r="3222" spans="1:10">
      <c r="A3222" s="7" t="s">
        <v>2817</v>
      </c>
      <c r="B3222" s="7" t="s">
        <v>5089</v>
      </c>
      <c r="C3222" s="8">
        <f>QS.CONTEXT.CREATE("market.3220",A3222,"USD","SOFR")</f>
        <v/>
      </c>
      <c r="D3222" s="8">
        <f>QS.CONTEXT.ADD.CURVE(C3222,"SOFR",$K$2:$K$7,$L$2:$L$7,,,"Actual360","LogLinear",TRUE)</f>
        <v/>
      </c>
      <c r="E3222" s="8">
        <f>QS.INSTRUMENT.SWAP("swap.3220",C3222,H3222,B3222,"USD","SOFR",I3222,J3222,0,"Actual360","Simple","Annual","Annual","Annual")</f>
        <v/>
      </c>
      <c r="F3222" s="8">
        <f>QS.TRADE.CREATE("trade.3220",C3222,E3222,A3222,"Receive")</f>
        <v/>
      </c>
      <c r="G3222" s="5"/>
      <c r="H3222" s="7" t="s">
        <v>2831</v>
      </c>
      <c r="I3222" s="9">
        <v>1322000</v>
      </c>
      <c r="J3222" s="10">
        <v>0.03700000000000001</v>
      </c>
    </row>
    <row r="3223" spans="1:10">
      <c r="A3223" s="7" t="s">
        <v>2819</v>
      </c>
      <c r="B3223" s="7" t="s">
        <v>5090</v>
      </c>
      <c r="C3223" s="8">
        <f>QS.CONTEXT.CREATE("market.3221",A3223,"USD","SOFR")</f>
        <v/>
      </c>
      <c r="D3223" s="8">
        <f>QS.CONTEXT.ADD.CURVE(C3223,"SOFR",$K$2:$K$7,$L$2:$L$7,,,"Actual360","LogLinear",TRUE)</f>
        <v/>
      </c>
      <c r="E3223" s="8">
        <f>QS.INSTRUMENT.SWAP("swap.3221",C3223,H3223,B3223,"USD","SOFR",I3223,J3223,0,"Actual360","Simple","Annual","Annual","Annual")</f>
        <v/>
      </c>
      <c r="F3223" s="8">
        <f>QS.TRADE.CREATE("trade.3221",C3223,E3223,A3223,"Receive")</f>
        <v/>
      </c>
      <c r="G3223" s="5"/>
      <c r="H3223" s="7" t="s">
        <v>2833</v>
      </c>
      <c r="I3223" s="9">
        <v>1322100</v>
      </c>
      <c r="J3223" s="10">
        <v>0.0371</v>
      </c>
    </row>
    <row r="3224" spans="1:10">
      <c r="A3224" s="7" t="s">
        <v>2821</v>
      </c>
      <c r="B3224" s="7" t="s">
        <v>5091</v>
      </c>
      <c r="C3224" s="8">
        <f>QS.CONTEXT.CREATE("market.3222",A3224,"USD","SOFR")</f>
        <v/>
      </c>
      <c r="D3224" s="8">
        <f>QS.CONTEXT.ADD.CURVE(C3224,"SOFR",$K$2:$K$7,$L$2:$L$7,,,"Actual360","LogLinear",TRUE)</f>
        <v/>
      </c>
      <c r="E3224" s="8">
        <f>QS.INSTRUMENT.SWAP("swap.3222",C3224,H3224,B3224,"USD","SOFR",I3224,J3224,0,"Actual360","Simple","Annual","Annual","Annual")</f>
        <v/>
      </c>
      <c r="F3224" s="8">
        <f>QS.TRADE.CREATE("trade.3222",C3224,E3224,A3224,"Receive")</f>
        <v/>
      </c>
      <c r="G3224" s="5"/>
      <c r="H3224" s="7" t="s">
        <v>2835</v>
      </c>
      <c r="I3224" s="9">
        <v>1322200</v>
      </c>
      <c r="J3224" s="10">
        <v>0.0372</v>
      </c>
    </row>
    <row r="3225" spans="1:10">
      <c r="A3225" s="7" t="s">
        <v>2823</v>
      </c>
      <c r="B3225" s="7" t="s">
        <v>5092</v>
      </c>
      <c r="C3225" s="8">
        <f>QS.CONTEXT.CREATE("market.3223",A3225,"USD","SOFR")</f>
        <v/>
      </c>
      <c r="D3225" s="8">
        <f>QS.CONTEXT.ADD.CURVE(C3225,"SOFR",$K$2:$K$7,$L$2:$L$7,,,"Actual360","LogLinear",TRUE)</f>
        <v/>
      </c>
      <c r="E3225" s="8">
        <f>QS.INSTRUMENT.SWAP("swap.3223",C3225,H3225,B3225,"USD","SOFR",I3225,J3225,0,"Actual360","Simple","Annual","Annual","Annual")</f>
        <v/>
      </c>
      <c r="F3225" s="8">
        <f>QS.TRADE.CREATE("trade.3223",C3225,E3225,A3225,"Receive")</f>
        <v/>
      </c>
      <c r="G3225" s="5"/>
      <c r="H3225" s="7" t="s">
        <v>2837</v>
      </c>
      <c r="I3225" s="9">
        <v>1322300</v>
      </c>
      <c r="J3225" s="10">
        <v>0.0373</v>
      </c>
    </row>
    <row r="3226" spans="1:10">
      <c r="A3226" s="7" t="s">
        <v>2825</v>
      </c>
      <c r="B3226" s="7" t="s">
        <v>5093</v>
      </c>
      <c r="C3226" s="8">
        <f>QS.CONTEXT.CREATE("market.3224",A3226,"USD","SOFR")</f>
        <v/>
      </c>
      <c r="D3226" s="8">
        <f>QS.CONTEXT.ADD.CURVE(C3226,"SOFR",$K$2:$K$7,$L$2:$L$7,,,"Actual360","LogLinear",TRUE)</f>
        <v/>
      </c>
      <c r="E3226" s="8">
        <f>QS.INSTRUMENT.SWAP("swap.3224",C3226,H3226,B3226,"USD","SOFR",I3226,J3226,0,"Actual360","Simple","Annual","Annual","Annual")</f>
        <v/>
      </c>
      <c r="F3226" s="8">
        <f>QS.TRADE.CREATE("trade.3224",C3226,E3226,A3226,"Receive")</f>
        <v/>
      </c>
      <c r="G3226" s="5"/>
      <c r="H3226" s="7" t="s">
        <v>2839</v>
      </c>
      <c r="I3226" s="9">
        <v>1322400</v>
      </c>
      <c r="J3226" s="10">
        <v>0.0374</v>
      </c>
    </row>
    <row r="3227" spans="1:10">
      <c r="A3227" s="7" t="s">
        <v>2827</v>
      </c>
      <c r="B3227" s="7" t="s">
        <v>5094</v>
      </c>
      <c r="C3227" s="8">
        <f>QS.CONTEXT.CREATE("market.3225",A3227,"USD","SOFR")</f>
        <v/>
      </c>
      <c r="D3227" s="8">
        <f>QS.CONTEXT.ADD.CURVE(C3227,"SOFR",$K$2:$K$7,$L$2:$L$7,,,"Actual360","LogLinear",TRUE)</f>
        <v/>
      </c>
      <c r="E3227" s="8">
        <f>QS.INSTRUMENT.SWAP("swap.3225",C3227,H3227,B3227,"USD","SOFR",I3227,J3227,0,"Actual360","Simple","Annual","Annual","Annual")</f>
        <v/>
      </c>
      <c r="F3227" s="8">
        <f>QS.TRADE.CREATE("trade.3225",C3227,E3227,A3227,"Receive")</f>
        <v/>
      </c>
      <c r="G3227" s="5"/>
      <c r="H3227" s="7" t="s">
        <v>2841</v>
      </c>
      <c r="I3227" s="9">
        <v>1322500</v>
      </c>
      <c r="J3227" s="10">
        <v>0.03750000000000001</v>
      </c>
    </row>
    <row r="3228" spans="1:10">
      <c r="A3228" s="7" t="s">
        <v>2829</v>
      </c>
      <c r="B3228" s="7" t="s">
        <v>5095</v>
      </c>
      <c r="C3228" s="8">
        <f>QS.CONTEXT.CREATE("market.3226",A3228,"USD","SOFR")</f>
        <v/>
      </c>
      <c r="D3228" s="8">
        <f>QS.CONTEXT.ADD.CURVE(C3228,"SOFR",$K$2:$K$7,$L$2:$L$7,,,"Actual360","LogLinear",TRUE)</f>
        <v/>
      </c>
      <c r="E3228" s="8">
        <f>QS.INSTRUMENT.SWAP("swap.3226",C3228,H3228,B3228,"USD","SOFR",I3228,J3228,0,"Actual360","Simple","Annual","Annual","Annual")</f>
        <v/>
      </c>
      <c r="F3228" s="8">
        <f>QS.TRADE.CREATE("trade.3226",C3228,E3228,A3228,"Receive")</f>
        <v/>
      </c>
      <c r="G3228" s="5"/>
      <c r="H3228" s="7" t="s">
        <v>2843</v>
      </c>
      <c r="I3228" s="9">
        <v>1322600</v>
      </c>
      <c r="J3228" s="10">
        <v>0.0376</v>
      </c>
    </row>
    <row r="3229" spans="1:10">
      <c r="A3229" s="7" t="s">
        <v>2831</v>
      </c>
      <c r="B3229" s="7" t="s">
        <v>5096</v>
      </c>
      <c r="C3229" s="8">
        <f>QS.CONTEXT.CREATE("market.3227",A3229,"USD","SOFR")</f>
        <v/>
      </c>
      <c r="D3229" s="8">
        <f>QS.CONTEXT.ADD.CURVE(C3229,"SOFR",$K$2:$K$7,$L$2:$L$7,,,"Actual360","LogLinear",TRUE)</f>
        <v/>
      </c>
      <c r="E3229" s="8">
        <f>QS.INSTRUMENT.SWAP("swap.3227",C3229,H3229,B3229,"USD","SOFR",I3229,J3229,0,"Actual360","Simple","Annual","Annual","Annual")</f>
        <v/>
      </c>
      <c r="F3229" s="8">
        <f>QS.TRADE.CREATE("trade.3227",C3229,E3229,A3229,"Receive")</f>
        <v/>
      </c>
      <c r="G3229" s="5"/>
      <c r="H3229" s="7" t="s">
        <v>2845</v>
      </c>
      <c r="I3229" s="9">
        <v>1322700</v>
      </c>
      <c r="J3229" s="10">
        <v>0.0377</v>
      </c>
    </row>
    <row r="3230" spans="1:10">
      <c r="A3230" s="7" t="s">
        <v>2833</v>
      </c>
      <c r="B3230" s="7" t="s">
        <v>5097</v>
      </c>
      <c r="C3230" s="8">
        <f>QS.CONTEXT.CREATE("market.3228",A3230,"USD","SOFR")</f>
        <v/>
      </c>
      <c r="D3230" s="8">
        <f>QS.CONTEXT.ADD.CURVE(C3230,"SOFR",$K$2:$K$7,$L$2:$L$7,,,"Actual360","LogLinear",TRUE)</f>
        <v/>
      </c>
      <c r="E3230" s="8">
        <f>QS.INSTRUMENT.SWAP("swap.3228",C3230,H3230,B3230,"USD","SOFR",I3230,J3230,0,"Actual360","Simple","Annual","Annual","Annual")</f>
        <v/>
      </c>
      <c r="F3230" s="8">
        <f>QS.TRADE.CREATE("trade.3228",C3230,E3230,A3230,"Receive")</f>
        <v/>
      </c>
      <c r="G3230" s="5"/>
      <c r="H3230" s="7" t="s">
        <v>2847</v>
      </c>
      <c r="I3230" s="9">
        <v>1322800</v>
      </c>
      <c r="J3230" s="10">
        <v>0.0378</v>
      </c>
    </row>
    <row r="3231" spans="1:10">
      <c r="A3231" s="7" t="s">
        <v>2835</v>
      </c>
      <c r="B3231" s="7" t="s">
        <v>5098</v>
      </c>
      <c r="C3231" s="8">
        <f>QS.CONTEXT.CREATE("market.3229",A3231,"USD","SOFR")</f>
        <v/>
      </c>
      <c r="D3231" s="8">
        <f>QS.CONTEXT.ADD.CURVE(C3231,"SOFR",$K$2:$K$7,$L$2:$L$7,,,"Actual360","LogLinear",TRUE)</f>
        <v/>
      </c>
      <c r="E3231" s="8">
        <f>QS.INSTRUMENT.SWAP("swap.3229",C3231,H3231,B3231,"USD","SOFR",I3231,J3231,0,"Actual360","Simple","Annual","Annual","Annual")</f>
        <v/>
      </c>
      <c r="F3231" s="8">
        <f>QS.TRADE.CREATE("trade.3229",C3231,E3231,A3231,"Receive")</f>
        <v/>
      </c>
      <c r="G3231" s="5"/>
      <c r="H3231" s="7" t="s">
        <v>2849</v>
      </c>
      <c r="I3231" s="9">
        <v>1322900</v>
      </c>
      <c r="J3231" s="10">
        <v>0.0379</v>
      </c>
    </row>
    <row r="3232" spans="1:10">
      <c r="A3232" s="7" t="s">
        <v>2837</v>
      </c>
      <c r="B3232" s="7" t="s">
        <v>5099</v>
      </c>
      <c r="C3232" s="8">
        <f>QS.CONTEXT.CREATE("market.3230",A3232,"USD","SOFR")</f>
        <v/>
      </c>
      <c r="D3232" s="8">
        <f>QS.CONTEXT.ADD.CURVE(C3232,"SOFR",$K$2:$K$7,$L$2:$L$7,,,"Actual360","LogLinear",TRUE)</f>
        <v/>
      </c>
      <c r="E3232" s="8">
        <f>QS.INSTRUMENT.SWAP("swap.3230",C3232,H3232,B3232,"USD","SOFR",I3232,J3232,0,"Actual360","Simple","Annual","Annual","Annual")</f>
        <v/>
      </c>
      <c r="F3232" s="8">
        <f>QS.TRADE.CREATE("trade.3230",C3232,E3232,A3232,"Receive")</f>
        <v/>
      </c>
      <c r="G3232" s="5"/>
      <c r="H3232" s="7" t="s">
        <v>2851</v>
      </c>
      <c r="I3232" s="9">
        <v>1323000</v>
      </c>
      <c r="J3232" s="10">
        <v>0.03800000000000001</v>
      </c>
    </row>
    <row r="3233" spans="1:10">
      <c r="A3233" s="7" t="s">
        <v>2839</v>
      </c>
      <c r="B3233" s="7" t="s">
        <v>5100</v>
      </c>
      <c r="C3233" s="8">
        <f>QS.CONTEXT.CREATE("market.3231",A3233,"USD","SOFR")</f>
        <v/>
      </c>
      <c r="D3233" s="8">
        <f>QS.CONTEXT.ADD.CURVE(C3233,"SOFR",$K$2:$K$7,$L$2:$L$7,,,"Actual360","LogLinear",TRUE)</f>
        <v/>
      </c>
      <c r="E3233" s="8">
        <f>QS.INSTRUMENT.SWAP("swap.3231",C3233,H3233,B3233,"USD","SOFR",I3233,J3233,0,"Actual360","Simple","Annual","Annual","Annual")</f>
        <v/>
      </c>
      <c r="F3233" s="8">
        <f>QS.TRADE.CREATE("trade.3231",C3233,E3233,A3233,"Receive")</f>
        <v/>
      </c>
      <c r="G3233" s="5"/>
      <c r="H3233" s="7" t="s">
        <v>2853</v>
      </c>
      <c r="I3233" s="9">
        <v>1323100</v>
      </c>
      <c r="J3233" s="10">
        <v>0.0381</v>
      </c>
    </row>
    <row r="3234" spans="1:10">
      <c r="A3234" s="7" t="s">
        <v>2841</v>
      </c>
      <c r="B3234" s="7" t="s">
        <v>5101</v>
      </c>
      <c r="C3234" s="8">
        <f>QS.CONTEXT.CREATE("market.3232",A3234,"USD","SOFR")</f>
        <v/>
      </c>
      <c r="D3234" s="8">
        <f>QS.CONTEXT.ADD.CURVE(C3234,"SOFR",$K$2:$K$7,$L$2:$L$7,,,"Actual360","LogLinear",TRUE)</f>
        <v/>
      </c>
      <c r="E3234" s="8">
        <f>QS.INSTRUMENT.SWAP("swap.3232",C3234,H3234,B3234,"USD","SOFR",I3234,J3234,0,"Actual360","Simple","Annual","Annual","Annual")</f>
        <v/>
      </c>
      <c r="F3234" s="8">
        <f>QS.TRADE.CREATE("trade.3232",C3234,E3234,A3234,"Receive")</f>
        <v/>
      </c>
      <c r="G3234" s="5"/>
      <c r="H3234" s="7" t="s">
        <v>2855</v>
      </c>
      <c r="I3234" s="9">
        <v>1323200</v>
      </c>
      <c r="J3234" s="10">
        <v>0.0382</v>
      </c>
    </row>
    <row r="3235" spans="1:10">
      <c r="A3235" s="7" t="s">
        <v>2843</v>
      </c>
      <c r="B3235" s="7" t="s">
        <v>5102</v>
      </c>
      <c r="C3235" s="8">
        <f>QS.CONTEXT.CREATE("market.3233",A3235,"USD","SOFR")</f>
        <v/>
      </c>
      <c r="D3235" s="8">
        <f>QS.CONTEXT.ADD.CURVE(C3235,"SOFR",$K$2:$K$7,$L$2:$L$7,,,"Actual360","LogLinear",TRUE)</f>
        <v/>
      </c>
      <c r="E3235" s="8">
        <f>QS.INSTRUMENT.SWAP("swap.3233",C3235,H3235,B3235,"USD","SOFR",I3235,J3235,0,"Actual360","Simple","Annual","Annual","Annual")</f>
        <v/>
      </c>
      <c r="F3235" s="8">
        <f>QS.TRADE.CREATE("trade.3233",C3235,E3235,A3235,"Receive")</f>
        <v/>
      </c>
      <c r="G3235" s="5"/>
      <c r="H3235" s="7" t="s">
        <v>2857</v>
      </c>
      <c r="I3235" s="9">
        <v>1323300</v>
      </c>
      <c r="J3235" s="10">
        <v>0.0383</v>
      </c>
    </row>
    <row r="3236" spans="1:10">
      <c r="A3236" s="7" t="s">
        <v>2845</v>
      </c>
      <c r="B3236" s="7" t="s">
        <v>5103</v>
      </c>
      <c r="C3236" s="8">
        <f>QS.CONTEXT.CREATE("market.3234",A3236,"USD","SOFR")</f>
        <v/>
      </c>
      <c r="D3236" s="8">
        <f>QS.CONTEXT.ADD.CURVE(C3236,"SOFR",$K$2:$K$7,$L$2:$L$7,,,"Actual360","LogLinear",TRUE)</f>
        <v/>
      </c>
      <c r="E3236" s="8">
        <f>QS.INSTRUMENT.SWAP("swap.3234",C3236,H3236,B3236,"USD","SOFR",I3236,J3236,0,"Actual360","Simple","Annual","Annual","Annual")</f>
        <v/>
      </c>
      <c r="F3236" s="8">
        <f>QS.TRADE.CREATE("trade.3234",C3236,E3236,A3236,"Receive")</f>
        <v/>
      </c>
      <c r="G3236" s="5"/>
      <c r="H3236" s="7" t="s">
        <v>2859</v>
      </c>
      <c r="I3236" s="9">
        <v>1323400</v>
      </c>
      <c r="J3236" s="10">
        <v>0.0384</v>
      </c>
    </row>
    <row r="3237" spans="1:10">
      <c r="A3237" s="7" t="s">
        <v>2847</v>
      </c>
      <c r="B3237" s="7" t="s">
        <v>5104</v>
      </c>
      <c r="C3237" s="8">
        <f>QS.CONTEXT.CREATE("market.3235",A3237,"USD","SOFR")</f>
        <v/>
      </c>
      <c r="D3237" s="8">
        <f>QS.CONTEXT.ADD.CURVE(C3237,"SOFR",$K$2:$K$7,$L$2:$L$7,,,"Actual360","LogLinear",TRUE)</f>
        <v/>
      </c>
      <c r="E3237" s="8">
        <f>QS.INSTRUMENT.SWAP("swap.3235",C3237,H3237,B3237,"USD","SOFR",I3237,J3237,0,"Actual360","Simple","Annual","Annual","Annual")</f>
        <v/>
      </c>
      <c r="F3237" s="8">
        <f>QS.TRADE.CREATE("trade.3235",C3237,E3237,A3237,"Receive")</f>
        <v/>
      </c>
      <c r="G3237" s="5"/>
      <c r="H3237" s="7" t="s">
        <v>2861</v>
      </c>
      <c r="I3237" s="9">
        <v>1323500</v>
      </c>
      <c r="J3237" s="10">
        <v>0.03850000000000001</v>
      </c>
    </row>
    <row r="3238" spans="1:10">
      <c r="A3238" s="7" t="s">
        <v>2849</v>
      </c>
      <c r="B3238" s="7" t="s">
        <v>5105</v>
      </c>
      <c r="C3238" s="8">
        <f>QS.CONTEXT.CREATE("market.3236",A3238,"USD","SOFR")</f>
        <v/>
      </c>
      <c r="D3238" s="8">
        <f>QS.CONTEXT.ADD.CURVE(C3238,"SOFR",$K$2:$K$7,$L$2:$L$7,,,"Actual360","LogLinear",TRUE)</f>
        <v/>
      </c>
      <c r="E3238" s="8">
        <f>QS.INSTRUMENT.SWAP("swap.3236",C3238,H3238,B3238,"USD","SOFR",I3238,J3238,0,"Actual360","Simple","Annual","Annual","Annual")</f>
        <v/>
      </c>
      <c r="F3238" s="8">
        <f>QS.TRADE.CREATE("trade.3236",C3238,E3238,A3238,"Receive")</f>
        <v/>
      </c>
      <c r="G3238" s="5"/>
      <c r="H3238" s="7" t="s">
        <v>2863</v>
      </c>
      <c r="I3238" s="9">
        <v>1323600</v>
      </c>
      <c r="J3238" s="10">
        <v>0.0386</v>
      </c>
    </row>
    <row r="3239" spans="1:10">
      <c r="A3239" s="7" t="s">
        <v>2851</v>
      </c>
      <c r="B3239" s="7" t="s">
        <v>5106</v>
      </c>
      <c r="C3239" s="8">
        <f>QS.CONTEXT.CREATE("market.3237",A3239,"USD","SOFR")</f>
        <v/>
      </c>
      <c r="D3239" s="8">
        <f>QS.CONTEXT.ADD.CURVE(C3239,"SOFR",$K$2:$K$7,$L$2:$L$7,,,"Actual360","LogLinear",TRUE)</f>
        <v/>
      </c>
      <c r="E3239" s="8">
        <f>QS.INSTRUMENT.SWAP("swap.3237",C3239,H3239,B3239,"USD","SOFR",I3239,J3239,0,"Actual360","Simple","Annual","Annual","Annual")</f>
        <v/>
      </c>
      <c r="F3239" s="8">
        <f>QS.TRADE.CREATE("trade.3237",C3239,E3239,A3239,"Receive")</f>
        <v/>
      </c>
      <c r="G3239" s="5"/>
      <c r="H3239" s="7" t="s">
        <v>2865</v>
      </c>
      <c r="I3239" s="9">
        <v>1323700</v>
      </c>
      <c r="J3239" s="10">
        <v>0.03870000000000001</v>
      </c>
    </row>
    <row r="3240" spans="1:10">
      <c r="A3240" s="7" t="s">
        <v>2853</v>
      </c>
      <c r="B3240" s="7" t="s">
        <v>5107</v>
      </c>
      <c r="C3240" s="8">
        <f>QS.CONTEXT.CREATE("market.3238",A3240,"USD","SOFR")</f>
        <v/>
      </c>
      <c r="D3240" s="8">
        <f>QS.CONTEXT.ADD.CURVE(C3240,"SOFR",$K$2:$K$7,$L$2:$L$7,,,"Actual360","LogLinear",TRUE)</f>
        <v/>
      </c>
      <c r="E3240" s="8">
        <f>QS.INSTRUMENT.SWAP("swap.3238",C3240,H3240,B3240,"USD","SOFR",I3240,J3240,0,"Actual360","Simple","Annual","Annual","Annual")</f>
        <v/>
      </c>
      <c r="F3240" s="8">
        <f>QS.TRADE.CREATE("trade.3238",C3240,E3240,A3240,"Receive")</f>
        <v/>
      </c>
      <c r="G3240" s="5"/>
      <c r="H3240" s="7" t="s">
        <v>2867</v>
      </c>
      <c r="I3240" s="9">
        <v>1323800</v>
      </c>
      <c r="J3240" s="10">
        <v>0.0388</v>
      </c>
    </row>
    <row r="3241" spans="1:10">
      <c r="A3241" s="7" t="s">
        <v>2855</v>
      </c>
      <c r="B3241" s="7" t="s">
        <v>5108</v>
      </c>
      <c r="C3241" s="8">
        <f>QS.CONTEXT.CREATE("market.3239",A3241,"USD","SOFR")</f>
        <v/>
      </c>
      <c r="D3241" s="8">
        <f>QS.CONTEXT.ADD.CURVE(C3241,"SOFR",$K$2:$K$7,$L$2:$L$7,,,"Actual360","LogLinear",TRUE)</f>
        <v/>
      </c>
      <c r="E3241" s="8">
        <f>QS.INSTRUMENT.SWAP("swap.3239",C3241,H3241,B3241,"USD","SOFR",I3241,J3241,0,"Actual360","Simple","Annual","Annual","Annual")</f>
        <v/>
      </c>
      <c r="F3241" s="8">
        <f>QS.TRADE.CREATE("trade.3239",C3241,E3241,A3241,"Receive")</f>
        <v/>
      </c>
      <c r="G3241" s="5"/>
      <c r="H3241" s="7" t="s">
        <v>2869</v>
      </c>
      <c r="I3241" s="9">
        <v>1323900</v>
      </c>
      <c r="J3241" s="10">
        <v>0.0389</v>
      </c>
    </row>
    <row r="3242" spans="1:10">
      <c r="A3242" s="7" t="s">
        <v>2857</v>
      </c>
      <c r="B3242" s="7" t="s">
        <v>5109</v>
      </c>
      <c r="C3242" s="8">
        <f>QS.CONTEXT.CREATE("market.3240",A3242,"USD","SOFR")</f>
        <v/>
      </c>
      <c r="D3242" s="8">
        <f>QS.CONTEXT.ADD.CURVE(C3242,"SOFR",$K$2:$K$7,$L$2:$L$7,,,"Actual360","LogLinear",TRUE)</f>
        <v/>
      </c>
      <c r="E3242" s="8">
        <f>QS.INSTRUMENT.SWAP("swap.3240",C3242,H3242,B3242,"USD","SOFR",I3242,J3242,0,"Actual360","Simple","Annual","Annual","Annual")</f>
        <v/>
      </c>
      <c r="F3242" s="8">
        <f>QS.TRADE.CREATE("trade.3240",C3242,E3242,A3242,"Receive")</f>
        <v/>
      </c>
      <c r="G3242" s="5"/>
      <c r="H3242" s="7" t="s">
        <v>2871</v>
      </c>
      <c r="I3242" s="9">
        <v>1324000</v>
      </c>
      <c r="J3242" s="10">
        <v>0.03900000000000001</v>
      </c>
    </row>
    <row r="3243" spans="1:10">
      <c r="A3243" s="7" t="s">
        <v>2859</v>
      </c>
      <c r="B3243" s="7" t="s">
        <v>5110</v>
      </c>
      <c r="C3243" s="8">
        <f>QS.CONTEXT.CREATE("market.3241",A3243,"USD","SOFR")</f>
        <v/>
      </c>
      <c r="D3243" s="8">
        <f>QS.CONTEXT.ADD.CURVE(C3243,"SOFR",$K$2:$K$7,$L$2:$L$7,,,"Actual360","LogLinear",TRUE)</f>
        <v/>
      </c>
      <c r="E3243" s="8">
        <f>QS.INSTRUMENT.SWAP("swap.3241",C3243,H3243,B3243,"USD","SOFR",I3243,J3243,0,"Actual360","Simple","Annual","Annual","Annual")</f>
        <v/>
      </c>
      <c r="F3243" s="8">
        <f>QS.TRADE.CREATE("trade.3241",C3243,E3243,A3243,"Receive")</f>
        <v/>
      </c>
      <c r="G3243" s="5"/>
      <c r="H3243" s="7" t="s">
        <v>2873</v>
      </c>
      <c r="I3243" s="9">
        <v>1324100</v>
      </c>
      <c r="J3243" s="10">
        <v>0.0391</v>
      </c>
    </row>
    <row r="3244" spans="1:10">
      <c r="A3244" s="7" t="s">
        <v>2861</v>
      </c>
      <c r="B3244" s="7" t="s">
        <v>5111</v>
      </c>
      <c r="C3244" s="8">
        <f>QS.CONTEXT.CREATE("market.3242",A3244,"USD","SOFR")</f>
        <v/>
      </c>
      <c r="D3244" s="8">
        <f>QS.CONTEXT.ADD.CURVE(C3244,"SOFR",$K$2:$K$7,$L$2:$L$7,,,"Actual360","LogLinear",TRUE)</f>
        <v/>
      </c>
      <c r="E3244" s="8">
        <f>QS.INSTRUMENT.SWAP("swap.3242",C3244,H3244,B3244,"USD","SOFR",I3244,J3244,0,"Actual360","Simple","Annual","Annual","Annual")</f>
        <v/>
      </c>
      <c r="F3244" s="8">
        <f>QS.TRADE.CREATE("trade.3242",C3244,E3244,A3244,"Receive")</f>
        <v/>
      </c>
      <c r="G3244" s="5"/>
      <c r="H3244" s="7" t="s">
        <v>2875</v>
      </c>
      <c r="I3244" s="9">
        <v>1324200</v>
      </c>
      <c r="J3244" s="10">
        <v>0.03920000000000001</v>
      </c>
    </row>
    <row r="3245" spans="1:10">
      <c r="A3245" s="7" t="s">
        <v>2863</v>
      </c>
      <c r="B3245" s="7" t="s">
        <v>5112</v>
      </c>
      <c r="C3245" s="8">
        <f>QS.CONTEXT.CREATE("market.3243",A3245,"USD","SOFR")</f>
        <v/>
      </c>
      <c r="D3245" s="8">
        <f>QS.CONTEXT.ADD.CURVE(C3245,"SOFR",$K$2:$K$7,$L$2:$L$7,,,"Actual360","LogLinear",TRUE)</f>
        <v/>
      </c>
      <c r="E3245" s="8">
        <f>QS.INSTRUMENT.SWAP("swap.3243",C3245,H3245,B3245,"USD","SOFR",I3245,J3245,0,"Actual360","Simple","Annual","Annual","Annual")</f>
        <v/>
      </c>
      <c r="F3245" s="8">
        <f>QS.TRADE.CREATE("trade.3243",C3245,E3245,A3245,"Receive")</f>
        <v/>
      </c>
      <c r="G3245" s="5"/>
      <c r="H3245" s="7" t="s">
        <v>2877</v>
      </c>
      <c r="I3245" s="9">
        <v>1324300</v>
      </c>
      <c r="J3245" s="10">
        <v>0.0393</v>
      </c>
    </row>
    <row r="3246" spans="1:10">
      <c r="A3246" s="7" t="s">
        <v>2865</v>
      </c>
      <c r="B3246" s="7" t="s">
        <v>5113</v>
      </c>
      <c r="C3246" s="8">
        <f>QS.CONTEXT.CREATE("market.3244",A3246,"USD","SOFR")</f>
        <v/>
      </c>
      <c r="D3246" s="8">
        <f>QS.CONTEXT.ADD.CURVE(C3246,"SOFR",$K$2:$K$7,$L$2:$L$7,,,"Actual360","LogLinear",TRUE)</f>
        <v/>
      </c>
      <c r="E3246" s="8">
        <f>QS.INSTRUMENT.SWAP("swap.3244",C3246,H3246,B3246,"USD","SOFR",I3246,J3246,0,"Actual360","Simple","Annual","Annual","Annual")</f>
        <v/>
      </c>
      <c r="F3246" s="8">
        <f>QS.TRADE.CREATE("trade.3244",C3246,E3246,A3246,"Receive")</f>
        <v/>
      </c>
      <c r="G3246" s="5"/>
      <c r="H3246" s="7" t="s">
        <v>2879</v>
      </c>
      <c r="I3246" s="9">
        <v>1324400</v>
      </c>
      <c r="J3246" s="10">
        <v>0.0394</v>
      </c>
    </row>
    <row r="3247" spans="1:10">
      <c r="A3247" s="7" t="s">
        <v>2867</v>
      </c>
      <c r="B3247" s="7" t="s">
        <v>5114</v>
      </c>
      <c r="C3247" s="8">
        <f>QS.CONTEXT.CREATE("market.3245",A3247,"USD","SOFR")</f>
        <v/>
      </c>
      <c r="D3247" s="8">
        <f>QS.CONTEXT.ADD.CURVE(C3247,"SOFR",$K$2:$K$7,$L$2:$L$7,,,"Actual360","LogLinear",TRUE)</f>
        <v/>
      </c>
      <c r="E3247" s="8">
        <f>QS.INSTRUMENT.SWAP("swap.3245",C3247,H3247,B3247,"USD","SOFR",I3247,J3247,0,"Actual360","Simple","Annual","Annual","Annual")</f>
        <v/>
      </c>
      <c r="F3247" s="8">
        <f>QS.TRADE.CREATE("trade.3245",C3247,E3247,A3247,"Receive")</f>
        <v/>
      </c>
      <c r="G3247" s="5"/>
      <c r="H3247" s="7" t="s">
        <v>2881</v>
      </c>
      <c r="I3247" s="9">
        <v>1324500</v>
      </c>
      <c r="J3247" s="10">
        <v>0.03950000000000001</v>
      </c>
    </row>
    <row r="3248" spans="1:10">
      <c r="A3248" s="7" t="s">
        <v>2869</v>
      </c>
      <c r="B3248" s="7" t="s">
        <v>5115</v>
      </c>
      <c r="C3248" s="8">
        <f>QS.CONTEXT.CREATE("market.3246",A3248,"USD","SOFR")</f>
        <v/>
      </c>
      <c r="D3248" s="8">
        <f>QS.CONTEXT.ADD.CURVE(C3248,"SOFR",$K$2:$K$7,$L$2:$L$7,,,"Actual360","LogLinear",TRUE)</f>
        <v/>
      </c>
      <c r="E3248" s="8">
        <f>QS.INSTRUMENT.SWAP("swap.3246",C3248,H3248,B3248,"USD","SOFR",I3248,J3248,0,"Actual360","Simple","Annual","Annual","Annual")</f>
        <v/>
      </c>
      <c r="F3248" s="8">
        <f>QS.TRADE.CREATE("trade.3246",C3248,E3248,A3248,"Receive")</f>
        <v/>
      </c>
      <c r="G3248" s="5"/>
      <c r="H3248" s="7" t="s">
        <v>2883</v>
      </c>
      <c r="I3248" s="9">
        <v>1324600</v>
      </c>
      <c r="J3248" s="10">
        <v>0.0396</v>
      </c>
    </row>
    <row r="3249" spans="1:10">
      <c r="A3249" s="7" t="s">
        <v>2871</v>
      </c>
      <c r="B3249" s="7" t="s">
        <v>5116</v>
      </c>
      <c r="C3249" s="8">
        <f>QS.CONTEXT.CREATE("market.3247",A3249,"USD","SOFR")</f>
        <v/>
      </c>
      <c r="D3249" s="8">
        <f>QS.CONTEXT.ADD.CURVE(C3249,"SOFR",$K$2:$K$7,$L$2:$L$7,,,"Actual360","LogLinear",TRUE)</f>
        <v/>
      </c>
      <c r="E3249" s="8">
        <f>QS.INSTRUMENT.SWAP("swap.3247",C3249,H3249,B3249,"USD","SOFR",I3249,J3249,0,"Actual360","Simple","Annual","Annual","Annual")</f>
        <v/>
      </c>
      <c r="F3249" s="8">
        <f>QS.TRADE.CREATE("trade.3247",C3249,E3249,A3249,"Receive")</f>
        <v/>
      </c>
      <c r="G3249" s="5"/>
      <c r="H3249" s="7" t="s">
        <v>2885</v>
      </c>
      <c r="I3249" s="9">
        <v>1324700</v>
      </c>
      <c r="J3249" s="10">
        <v>0.03970000000000001</v>
      </c>
    </row>
    <row r="3250" spans="1:10">
      <c r="A3250" s="7" t="s">
        <v>2873</v>
      </c>
      <c r="B3250" s="7" t="s">
        <v>5117</v>
      </c>
      <c r="C3250" s="8">
        <f>QS.CONTEXT.CREATE("market.3248",A3250,"USD","SOFR")</f>
        <v/>
      </c>
      <c r="D3250" s="8">
        <f>QS.CONTEXT.ADD.CURVE(C3250,"SOFR",$K$2:$K$7,$L$2:$L$7,,,"Actual360","LogLinear",TRUE)</f>
        <v/>
      </c>
      <c r="E3250" s="8">
        <f>QS.INSTRUMENT.SWAP("swap.3248",C3250,H3250,B3250,"USD","SOFR",I3250,J3250,0,"Actual360","Simple","Annual","Annual","Annual")</f>
        <v/>
      </c>
      <c r="F3250" s="8">
        <f>QS.TRADE.CREATE("trade.3248",C3250,E3250,A3250,"Receive")</f>
        <v/>
      </c>
      <c r="G3250" s="5"/>
      <c r="H3250" s="7" t="s">
        <v>2887</v>
      </c>
      <c r="I3250" s="9">
        <v>1324800</v>
      </c>
      <c r="J3250" s="10">
        <v>0.0398</v>
      </c>
    </row>
    <row r="3251" spans="1:10">
      <c r="A3251" s="7" t="s">
        <v>2875</v>
      </c>
      <c r="B3251" s="7" t="s">
        <v>5118</v>
      </c>
      <c r="C3251" s="8">
        <f>QS.CONTEXT.CREATE("market.3249",A3251,"USD","SOFR")</f>
        <v/>
      </c>
      <c r="D3251" s="8">
        <f>QS.CONTEXT.ADD.CURVE(C3251,"SOFR",$K$2:$K$7,$L$2:$L$7,,,"Actual360","LogLinear",TRUE)</f>
        <v/>
      </c>
      <c r="E3251" s="8">
        <f>QS.INSTRUMENT.SWAP("swap.3249",C3251,H3251,B3251,"USD","SOFR",I3251,J3251,0,"Actual360","Simple","Annual","Annual","Annual")</f>
        <v/>
      </c>
      <c r="F3251" s="8">
        <f>QS.TRADE.CREATE("trade.3249",C3251,E3251,A3251,"Receive")</f>
        <v/>
      </c>
      <c r="G3251" s="5"/>
      <c r="H3251" s="7" t="s">
        <v>2889</v>
      </c>
      <c r="I3251" s="9">
        <v>1324900</v>
      </c>
      <c r="J3251" s="10">
        <v>0.0399</v>
      </c>
    </row>
    <row r="3252" spans="1:10">
      <c r="A3252" s="7" t="s">
        <v>2877</v>
      </c>
      <c r="B3252" s="7" t="s">
        <v>5119</v>
      </c>
      <c r="C3252" s="8">
        <f>QS.CONTEXT.CREATE("market.3250",A3252,"USD","SOFR")</f>
        <v/>
      </c>
      <c r="D3252" s="8">
        <f>QS.CONTEXT.ADD.CURVE(C3252,"SOFR",$K$2:$K$7,$L$2:$L$7,,,"Actual360","LogLinear",TRUE)</f>
        <v/>
      </c>
      <c r="E3252" s="8">
        <f>QS.INSTRUMENT.SWAP("swap.3250",C3252,H3252,B3252,"USD","SOFR",I3252,J3252,0,"Actual360","Simple","Annual","Annual","Annual")</f>
        <v/>
      </c>
      <c r="F3252" s="8">
        <f>QS.TRADE.CREATE("trade.3250",C3252,E3252,A3252,"Receive")</f>
        <v/>
      </c>
      <c r="G3252" s="5"/>
      <c r="H3252" s="7" t="s">
        <v>2891</v>
      </c>
      <c r="I3252" s="9">
        <v>1325000</v>
      </c>
      <c r="J3252" s="10">
        <v>0.035</v>
      </c>
    </row>
    <row r="3253" spans="1:10">
      <c r="A3253" s="7" t="s">
        <v>2879</v>
      </c>
      <c r="B3253" s="7" t="s">
        <v>5120</v>
      </c>
      <c r="C3253" s="8">
        <f>QS.CONTEXT.CREATE("market.3251",A3253,"USD","SOFR")</f>
        <v/>
      </c>
      <c r="D3253" s="8">
        <f>QS.CONTEXT.ADD.CURVE(C3253,"SOFR",$K$2:$K$7,$L$2:$L$7,,,"Actual360","LogLinear",TRUE)</f>
        <v/>
      </c>
      <c r="E3253" s="8">
        <f>QS.INSTRUMENT.SWAP("swap.3251",C3253,H3253,B3253,"USD","SOFR",I3253,J3253,0,"Actual360","Simple","Annual","Annual","Annual")</f>
        <v/>
      </c>
      <c r="F3253" s="8">
        <f>QS.TRADE.CREATE("trade.3251",C3253,E3253,A3253,"Receive")</f>
        <v/>
      </c>
      <c r="G3253" s="5"/>
      <c r="H3253" s="7" t="s">
        <v>2893</v>
      </c>
      <c r="I3253" s="9">
        <v>1325100</v>
      </c>
      <c r="J3253" s="10">
        <v>0.03510000000000001</v>
      </c>
    </row>
    <row r="3254" spans="1:10">
      <c r="A3254" s="7" t="s">
        <v>2881</v>
      </c>
      <c r="B3254" s="7" t="s">
        <v>5121</v>
      </c>
      <c r="C3254" s="8">
        <f>QS.CONTEXT.CREATE("market.3252",A3254,"USD","SOFR")</f>
        <v/>
      </c>
      <c r="D3254" s="8">
        <f>QS.CONTEXT.ADD.CURVE(C3254,"SOFR",$K$2:$K$7,$L$2:$L$7,,,"Actual360","LogLinear",TRUE)</f>
        <v/>
      </c>
      <c r="E3254" s="8">
        <f>QS.INSTRUMENT.SWAP("swap.3252",C3254,H3254,B3254,"USD","SOFR",I3254,J3254,0,"Actual360","Simple","Annual","Annual","Annual")</f>
        <v/>
      </c>
      <c r="F3254" s="8">
        <f>QS.TRADE.CREATE("trade.3252",C3254,E3254,A3254,"Receive")</f>
        <v/>
      </c>
      <c r="G3254" s="5"/>
      <c r="H3254" s="7" t="s">
        <v>2895</v>
      </c>
      <c r="I3254" s="9">
        <v>1325200</v>
      </c>
      <c r="J3254" s="10">
        <v>0.0352</v>
      </c>
    </row>
    <row r="3255" spans="1:10">
      <c r="A3255" s="7" t="s">
        <v>2883</v>
      </c>
      <c r="B3255" s="7" t="s">
        <v>5122</v>
      </c>
      <c r="C3255" s="8">
        <f>QS.CONTEXT.CREATE("market.3253",A3255,"USD","SOFR")</f>
        <v/>
      </c>
      <c r="D3255" s="8">
        <f>QS.CONTEXT.ADD.CURVE(C3255,"SOFR",$K$2:$K$7,$L$2:$L$7,,,"Actual360","LogLinear",TRUE)</f>
        <v/>
      </c>
      <c r="E3255" s="8">
        <f>QS.INSTRUMENT.SWAP("swap.3253",C3255,H3255,B3255,"USD","SOFR",I3255,J3255,0,"Actual360","Simple","Annual","Annual","Annual")</f>
        <v/>
      </c>
      <c r="F3255" s="8">
        <f>QS.TRADE.CREATE("trade.3253",C3255,E3255,A3255,"Receive")</f>
        <v/>
      </c>
      <c r="G3255" s="5"/>
      <c r="H3255" s="7" t="s">
        <v>2897</v>
      </c>
      <c r="I3255" s="9">
        <v>1325300</v>
      </c>
      <c r="J3255" s="10">
        <v>0.0353</v>
      </c>
    </row>
    <row r="3256" spans="1:10">
      <c r="A3256" s="7" t="s">
        <v>2885</v>
      </c>
      <c r="B3256" s="7" t="s">
        <v>5123</v>
      </c>
      <c r="C3256" s="8">
        <f>QS.CONTEXT.CREATE("market.3254",A3256,"USD","SOFR")</f>
        <v/>
      </c>
      <c r="D3256" s="8">
        <f>QS.CONTEXT.ADD.CURVE(C3256,"SOFR",$K$2:$K$7,$L$2:$L$7,,,"Actual360","LogLinear",TRUE)</f>
        <v/>
      </c>
      <c r="E3256" s="8">
        <f>QS.INSTRUMENT.SWAP("swap.3254",C3256,H3256,B3256,"USD","SOFR",I3256,J3256,0,"Actual360","Simple","Annual","Annual","Annual")</f>
        <v/>
      </c>
      <c r="F3256" s="8">
        <f>QS.TRADE.CREATE("trade.3254",C3256,E3256,A3256,"Receive")</f>
        <v/>
      </c>
      <c r="G3256" s="5"/>
      <c r="H3256" s="7" t="s">
        <v>2899</v>
      </c>
      <c r="I3256" s="9">
        <v>1325400</v>
      </c>
      <c r="J3256" s="10">
        <v>0.0354</v>
      </c>
    </row>
    <row r="3257" spans="1:10">
      <c r="A3257" s="7" t="s">
        <v>2887</v>
      </c>
      <c r="B3257" s="7" t="s">
        <v>5124</v>
      </c>
      <c r="C3257" s="8">
        <f>QS.CONTEXT.CREATE("market.3255",A3257,"USD","SOFR")</f>
        <v/>
      </c>
      <c r="D3257" s="8">
        <f>QS.CONTEXT.ADD.CURVE(C3257,"SOFR",$K$2:$K$7,$L$2:$L$7,,,"Actual360","LogLinear",TRUE)</f>
        <v/>
      </c>
      <c r="E3257" s="8">
        <f>QS.INSTRUMENT.SWAP("swap.3255",C3257,H3257,B3257,"USD","SOFR",I3257,J3257,0,"Actual360","Simple","Annual","Annual","Annual")</f>
        <v/>
      </c>
      <c r="F3257" s="8">
        <f>QS.TRADE.CREATE("trade.3255",C3257,E3257,A3257,"Receive")</f>
        <v/>
      </c>
      <c r="G3257" s="5"/>
      <c r="H3257" s="7" t="s">
        <v>2901</v>
      </c>
      <c r="I3257" s="9">
        <v>1325500</v>
      </c>
      <c r="J3257" s="10">
        <v>0.0355</v>
      </c>
    </row>
    <row r="3258" spans="1:10">
      <c r="A3258" s="7" t="s">
        <v>2889</v>
      </c>
      <c r="B3258" s="7" t="s">
        <v>5125</v>
      </c>
      <c r="C3258" s="8">
        <f>QS.CONTEXT.CREATE("market.3256",A3258,"USD","SOFR")</f>
        <v/>
      </c>
      <c r="D3258" s="8">
        <f>QS.CONTEXT.ADD.CURVE(C3258,"SOFR",$K$2:$K$7,$L$2:$L$7,,,"Actual360","LogLinear",TRUE)</f>
        <v/>
      </c>
      <c r="E3258" s="8">
        <f>QS.INSTRUMENT.SWAP("swap.3256",C3258,H3258,B3258,"USD","SOFR",I3258,J3258,0,"Actual360","Simple","Annual","Annual","Annual")</f>
        <v/>
      </c>
      <c r="F3258" s="8">
        <f>QS.TRADE.CREATE("trade.3256",C3258,E3258,A3258,"Receive")</f>
        <v/>
      </c>
      <c r="G3258" s="5"/>
      <c r="H3258" s="7" t="s">
        <v>2903</v>
      </c>
      <c r="I3258" s="9">
        <v>1325600</v>
      </c>
      <c r="J3258" s="10">
        <v>0.03560000000000001</v>
      </c>
    </row>
    <row r="3259" spans="1:10">
      <c r="A3259" s="7" t="s">
        <v>2891</v>
      </c>
      <c r="B3259" s="7" t="s">
        <v>5126</v>
      </c>
      <c r="C3259" s="8">
        <f>QS.CONTEXT.CREATE("market.3257",A3259,"USD","SOFR")</f>
        <v/>
      </c>
      <c r="D3259" s="8">
        <f>QS.CONTEXT.ADD.CURVE(C3259,"SOFR",$K$2:$K$7,$L$2:$L$7,,,"Actual360","LogLinear",TRUE)</f>
        <v/>
      </c>
      <c r="E3259" s="8">
        <f>QS.INSTRUMENT.SWAP("swap.3257",C3259,H3259,B3259,"USD","SOFR",I3259,J3259,0,"Actual360","Simple","Annual","Annual","Annual")</f>
        <v/>
      </c>
      <c r="F3259" s="8">
        <f>QS.TRADE.CREATE("trade.3257",C3259,E3259,A3259,"Receive")</f>
        <v/>
      </c>
      <c r="G3259" s="5"/>
      <c r="H3259" s="7" t="s">
        <v>2905</v>
      </c>
      <c r="I3259" s="9">
        <v>1325700</v>
      </c>
      <c r="J3259" s="10">
        <v>0.0357</v>
      </c>
    </row>
    <row r="3260" spans="1:10">
      <c r="A3260" s="7" t="s">
        <v>2893</v>
      </c>
      <c r="B3260" s="7" t="s">
        <v>5127</v>
      </c>
      <c r="C3260" s="8">
        <f>QS.CONTEXT.CREATE("market.3258",A3260,"USD","SOFR")</f>
        <v/>
      </c>
      <c r="D3260" s="8">
        <f>QS.CONTEXT.ADD.CURVE(C3260,"SOFR",$K$2:$K$7,$L$2:$L$7,,,"Actual360","LogLinear",TRUE)</f>
        <v/>
      </c>
      <c r="E3260" s="8">
        <f>QS.INSTRUMENT.SWAP("swap.3258",C3260,H3260,B3260,"USD","SOFR",I3260,J3260,0,"Actual360","Simple","Annual","Annual","Annual")</f>
        <v/>
      </c>
      <c r="F3260" s="8">
        <f>QS.TRADE.CREATE("trade.3258",C3260,E3260,A3260,"Receive")</f>
        <v/>
      </c>
      <c r="G3260" s="5"/>
      <c r="H3260" s="7" t="s">
        <v>2907</v>
      </c>
      <c r="I3260" s="9">
        <v>1325800</v>
      </c>
      <c r="J3260" s="10">
        <v>0.03580000000000001</v>
      </c>
    </row>
    <row r="3261" spans="1:10">
      <c r="A3261" s="7" t="s">
        <v>2895</v>
      </c>
      <c r="B3261" s="7" t="s">
        <v>5128</v>
      </c>
      <c r="C3261" s="8">
        <f>QS.CONTEXT.CREATE("market.3259",A3261,"USD","SOFR")</f>
        <v/>
      </c>
      <c r="D3261" s="8">
        <f>QS.CONTEXT.ADD.CURVE(C3261,"SOFR",$K$2:$K$7,$L$2:$L$7,,,"Actual360","LogLinear",TRUE)</f>
        <v/>
      </c>
      <c r="E3261" s="8">
        <f>QS.INSTRUMENT.SWAP("swap.3259",C3261,H3261,B3261,"USD","SOFR",I3261,J3261,0,"Actual360","Simple","Annual","Annual","Annual")</f>
        <v/>
      </c>
      <c r="F3261" s="8">
        <f>QS.TRADE.CREATE("trade.3259",C3261,E3261,A3261,"Receive")</f>
        <v/>
      </c>
      <c r="G3261" s="5"/>
      <c r="H3261" s="7" t="s">
        <v>2909</v>
      </c>
      <c r="I3261" s="9">
        <v>1325900</v>
      </c>
      <c r="J3261" s="10">
        <v>0.0359</v>
      </c>
    </row>
    <row r="3262" spans="1:10">
      <c r="A3262" s="7" t="s">
        <v>2897</v>
      </c>
      <c r="B3262" s="7" t="s">
        <v>5129</v>
      </c>
      <c r="C3262" s="8">
        <f>QS.CONTEXT.CREATE("market.3260",A3262,"USD","SOFR")</f>
        <v/>
      </c>
      <c r="D3262" s="8">
        <f>QS.CONTEXT.ADD.CURVE(C3262,"SOFR",$K$2:$K$7,$L$2:$L$7,,,"Actual360","LogLinear",TRUE)</f>
        <v/>
      </c>
      <c r="E3262" s="8">
        <f>QS.INSTRUMENT.SWAP("swap.3260",C3262,H3262,B3262,"USD","SOFR",I3262,J3262,0,"Actual360","Simple","Annual","Annual","Annual")</f>
        <v/>
      </c>
      <c r="F3262" s="8">
        <f>QS.TRADE.CREATE("trade.3260",C3262,E3262,A3262,"Receive")</f>
        <v/>
      </c>
      <c r="G3262" s="5"/>
      <c r="H3262" s="7" t="s">
        <v>2911</v>
      </c>
      <c r="I3262" s="9">
        <v>1326000</v>
      </c>
      <c r="J3262" s="10">
        <v>0.036</v>
      </c>
    </row>
    <row r="3263" spans="1:10">
      <c r="A3263" s="7" t="s">
        <v>2899</v>
      </c>
      <c r="B3263" s="7" t="s">
        <v>5130</v>
      </c>
      <c r="C3263" s="8">
        <f>QS.CONTEXT.CREATE("market.3261",A3263,"USD","SOFR")</f>
        <v/>
      </c>
      <c r="D3263" s="8">
        <f>QS.CONTEXT.ADD.CURVE(C3263,"SOFR",$K$2:$K$7,$L$2:$L$7,,,"Actual360","LogLinear",TRUE)</f>
        <v/>
      </c>
      <c r="E3263" s="8">
        <f>QS.INSTRUMENT.SWAP("swap.3261",C3263,H3263,B3263,"USD","SOFR",I3263,J3263,0,"Actual360","Simple","Annual","Annual","Annual")</f>
        <v/>
      </c>
      <c r="F3263" s="8">
        <f>QS.TRADE.CREATE("trade.3261",C3263,E3263,A3263,"Receive")</f>
        <v/>
      </c>
      <c r="G3263" s="5"/>
      <c r="H3263" s="7" t="s">
        <v>2913</v>
      </c>
      <c r="I3263" s="9">
        <v>1326100</v>
      </c>
      <c r="J3263" s="10">
        <v>0.0361</v>
      </c>
    </row>
    <row r="3264" spans="1:10">
      <c r="A3264" s="7" t="s">
        <v>2901</v>
      </c>
      <c r="B3264" s="7" t="s">
        <v>5131</v>
      </c>
      <c r="C3264" s="8">
        <f>QS.CONTEXT.CREATE("market.3262",A3264,"USD","SOFR")</f>
        <v/>
      </c>
      <c r="D3264" s="8">
        <f>QS.CONTEXT.ADD.CURVE(C3264,"SOFR",$K$2:$K$7,$L$2:$L$7,,,"Actual360","LogLinear",TRUE)</f>
        <v/>
      </c>
      <c r="E3264" s="8">
        <f>QS.INSTRUMENT.SWAP("swap.3262",C3264,H3264,B3264,"USD","SOFR",I3264,J3264,0,"Actual360","Simple","Annual","Annual","Annual")</f>
        <v/>
      </c>
      <c r="F3264" s="8">
        <f>QS.TRADE.CREATE("trade.3262",C3264,E3264,A3264,"Receive")</f>
        <v/>
      </c>
      <c r="G3264" s="5"/>
      <c r="H3264" s="7" t="s">
        <v>2915</v>
      </c>
      <c r="I3264" s="9">
        <v>1326200</v>
      </c>
      <c r="J3264" s="10">
        <v>0.0362</v>
      </c>
    </row>
    <row r="3265" spans="1:10">
      <c r="A3265" s="7" t="s">
        <v>2903</v>
      </c>
      <c r="B3265" s="7" t="s">
        <v>5132</v>
      </c>
      <c r="C3265" s="8">
        <f>QS.CONTEXT.CREATE("market.3263",A3265,"USD","SOFR")</f>
        <v/>
      </c>
      <c r="D3265" s="8">
        <f>QS.CONTEXT.ADD.CURVE(C3265,"SOFR",$K$2:$K$7,$L$2:$L$7,,,"Actual360","LogLinear",TRUE)</f>
        <v/>
      </c>
      <c r="E3265" s="8">
        <f>QS.INSTRUMENT.SWAP("swap.3263",C3265,H3265,B3265,"USD","SOFR",I3265,J3265,0,"Actual360","Simple","Annual","Annual","Annual")</f>
        <v/>
      </c>
      <c r="F3265" s="8">
        <f>QS.TRADE.CREATE("trade.3263",C3265,E3265,A3265,"Receive")</f>
        <v/>
      </c>
      <c r="G3265" s="5"/>
      <c r="H3265" s="7" t="s">
        <v>2917</v>
      </c>
      <c r="I3265" s="9">
        <v>1326300</v>
      </c>
      <c r="J3265" s="10">
        <v>0.03630000000000001</v>
      </c>
    </row>
    <row r="3266" spans="1:10">
      <c r="A3266" s="7" t="s">
        <v>2905</v>
      </c>
      <c r="B3266" s="7" t="s">
        <v>5133</v>
      </c>
      <c r="C3266" s="8">
        <f>QS.CONTEXT.CREATE("market.3264",A3266,"USD","SOFR")</f>
        <v/>
      </c>
      <c r="D3266" s="8">
        <f>QS.CONTEXT.ADD.CURVE(C3266,"SOFR",$K$2:$K$7,$L$2:$L$7,,,"Actual360","LogLinear",TRUE)</f>
        <v/>
      </c>
      <c r="E3266" s="8">
        <f>QS.INSTRUMENT.SWAP("swap.3264",C3266,H3266,B3266,"USD","SOFR",I3266,J3266,0,"Actual360","Simple","Annual","Annual","Annual")</f>
        <v/>
      </c>
      <c r="F3266" s="8">
        <f>QS.TRADE.CREATE("trade.3264",C3266,E3266,A3266,"Receive")</f>
        <v/>
      </c>
      <c r="G3266" s="5"/>
      <c r="H3266" s="7" t="s">
        <v>2919</v>
      </c>
      <c r="I3266" s="9">
        <v>1326400</v>
      </c>
      <c r="J3266" s="10">
        <v>0.0364</v>
      </c>
    </row>
    <row r="3267" spans="1:10">
      <c r="A3267" s="7" t="s">
        <v>2907</v>
      </c>
      <c r="B3267" s="7" t="s">
        <v>5134</v>
      </c>
      <c r="C3267" s="8">
        <f>QS.CONTEXT.CREATE("market.3265",A3267,"USD","SOFR")</f>
        <v/>
      </c>
      <c r="D3267" s="8">
        <f>QS.CONTEXT.ADD.CURVE(C3267,"SOFR",$K$2:$K$7,$L$2:$L$7,,,"Actual360","LogLinear",TRUE)</f>
        <v/>
      </c>
      <c r="E3267" s="8">
        <f>QS.INSTRUMENT.SWAP("swap.3265",C3267,H3267,B3267,"USD","SOFR",I3267,J3267,0,"Actual360","Simple","Annual","Annual","Annual")</f>
        <v/>
      </c>
      <c r="F3267" s="8">
        <f>QS.TRADE.CREATE("trade.3265",C3267,E3267,A3267,"Receive")</f>
        <v/>
      </c>
      <c r="G3267" s="5"/>
      <c r="H3267" s="7" t="s">
        <v>2921</v>
      </c>
      <c r="I3267" s="9">
        <v>1326500</v>
      </c>
      <c r="J3267" s="10">
        <v>0.0365</v>
      </c>
    </row>
    <row r="3268" spans="1:10">
      <c r="A3268" s="7" t="s">
        <v>2909</v>
      </c>
      <c r="B3268" s="7" t="s">
        <v>5135</v>
      </c>
      <c r="C3268" s="8">
        <f>QS.CONTEXT.CREATE("market.3266",A3268,"USD","SOFR")</f>
        <v/>
      </c>
      <c r="D3268" s="8">
        <f>QS.CONTEXT.ADD.CURVE(C3268,"SOFR",$K$2:$K$7,$L$2:$L$7,,,"Actual360","LogLinear",TRUE)</f>
        <v/>
      </c>
      <c r="E3268" s="8">
        <f>QS.INSTRUMENT.SWAP("swap.3266",C3268,H3268,B3268,"USD","SOFR",I3268,J3268,0,"Actual360","Simple","Annual","Annual","Annual")</f>
        <v/>
      </c>
      <c r="F3268" s="8">
        <f>QS.TRADE.CREATE("trade.3266",C3268,E3268,A3268,"Receive")</f>
        <v/>
      </c>
      <c r="G3268" s="5"/>
      <c r="H3268" s="7" t="s">
        <v>2923</v>
      </c>
      <c r="I3268" s="9">
        <v>1326600</v>
      </c>
      <c r="J3268" s="10">
        <v>0.0366</v>
      </c>
    </row>
    <row r="3269" spans="1:10">
      <c r="A3269" s="7" t="s">
        <v>2911</v>
      </c>
      <c r="B3269" s="7" t="s">
        <v>5136</v>
      </c>
      <c r="C3269" s="8">
        <f>QS.CONTEXT.CREATE("market.3267",A3269,"USD","SOFR")</f>
        <v/>
      </c>
      <c r="D3269" s="8">
        <f>QS.CONTEXT.ADD.CURVE(C3269,"SOFR",$K$2:$K$7,$L$2:$L$7,,,"Actual360","LogLinear",TRUE)</f>
        <v/>
      </c>
      <c r="E3269" s="8">
        <f>QS.INSTRUMENT.SWAP("swap.3267",C3269,H3269,B3269,"USD","SOFR",I3269,J3269,0,"Actual360","Simple","Annual","Annual","Annual")</f>
        <v/>
      </c>
      <c r="F3269" s="8">
        <f>QS.TRADE.CREATE("trade.3267",C3269,E3269,A3269,"Receive")</f>
        <v/>
      </c>
      <c r="G3269" s="5"/>
      <c r="H3269" s="7" t="s">
        <v>2925</v>
      </c>
      <c r="I3269" s="9">
        <v>1326700</v>
      </c>
      <c r="J3269" s="10">
        <v>0.0367</v>
      </c>
    </row>
    <row r="3270" spans="1:10">
      <c r="A3270" s="7" t="s">
        <v>2913</v>
      </c>
      <c r="B3270" s="7" t="s">
        <v>5137</v>
      </c>
      <c r="C3270" s="8">
        <f>QS.CONTEXT.CREATE("market.3268",A3270,"USD","SOFR")</f>
        <v/>
      </c>
      <c r="D3270" s="8">
        <f>QS.CONTEXT.ADD.CURVE(C3270,"SOFR",$K$2:$K$7,$L$2:$L$7,,,"Actual360","LogLinear",TRUE)</f>
        <v/>
      </c>
      <c r="E3270" s="8">
        <f>QS.INSTRUMENT.SWAP("swap.3268",C3270,H3270,B3270,"USD","SOFR",I3270,J3270,0,"Actual360","Simple","Annual","Annual","Annual")</f>
        <v/>
      </c>
      <c r="F3270" s="8">
        <f>QS.TRADE.CREATE("trade.3268",C3270,E3270,A3270,"Receive")</f>
        <v/>
      </c>
      <c r="G3270" s="5"/>
      <c r="H3270" s="7" t="s">
        <v>2927</v>
      </c>
      <c r="I3270" s="9">
        <v>1326800</v>
      </c>
      <c r="J3270" s="10">
        <v>0.03680000000000001</v>
      </c>
    </row>
    <row r="3271" spans="1:10">
      <c r="A3271" s="7" t="s">
        <v>2915</v>
      </c>
      <c r="B3271" s="7" t="s">
        <v>5138</v>
      </c>
      <c r="C3271" s="8">
        <f>QS.CONTEXT.CREATE("market.3269",A3271,"USD","SOFR")</f>
        <v/>
      </c>
      <c r="D3271" s="8">
        <f>QS.CONTEXT.ADD.CURVE(C3271,"SOFR",$K$2:$K$7,$L$2:$L$7,,,"Actual360","LogLinear",TRUE)</f>
        <v/>
      </c>
      <c r="E3271" s="8">
        <f>QS.INSTRUMENT.SWAP("swap.3269",C3271,H3271,B3271,"USD","SOFR",I3271,J3271,0,"Actual360","Simple","Annual","Annual","Annual")</f>
        <v/>
      </c>
      <c r="F3271" s="8">
        <f>QS.TRADE.CREATE("trade.3269",C3271,E3271,A3271,"Receive")</f>
        <v/>
      </c>
      <c r="G3271" s="5"/>
      <c r="H3271" s="7" t="s">
        <v>2929</v>
      </c>
      <c r="I3271" s="9">
        <v>1326900</v>
      </c>
      <c r="J3271" s="10">
        <v>0.0369</v>
      </c>
    </row>
    <row r="3272" spans="1:10">
      <c r="A3272" s="7" t="s">
        <v>2917</v>
      </c>
      <c r="B3272" s="7" t="s">
        <v>5139</v>
      </c>
      <c r="C3272" s="8">
        <f>QS.CONTEXT.CREATE("market.3270",A3272,"USD","SOFR")</f>
        <v/>
      </c>
      <c r="D3272" s="8">
        <f>QS.CONTEXT.ADD.CURVE(C3272,"SOFR",$K$2:$K$7,$L$2:$L$7,,,"Actual360","LogLinear",TRUE)</f>
        <v/>
      </c>
      <c r="E3272" s="8">
        <f>QS.INSTRUMENT.SWAP("swap.3270",C3272,H3272,B3272,"USD","SOFR",I3272,J3272,0,"Actual360","Simple","Annual","Annual","Annual")</f>
        <v/>
      </c>
      <c r="F3272" s="8">
        <f>QS.TRADE.CREATE("trade.3270",C3272,E3272,A3272,"Receive")</f>
        <v/>
      </c>
      <c r="G3272" s="5"/>
      <c r="H3272" s="7" t="s">
        <v>2931</v>
      </c>
      <c r="I3272" s="9">
        <v>1327000</v>
      </c>
      <c r="J3272" s="10">
        <v>0.03700000000000001</v>
      </c>
    </row>
    <row r="3273" spans="1:10">
      <c r="A3273" s="7" t="s">
        <v>2919</v>
      </c>
      <c r="B3273" s="7" t="s">
        <v>5140</v>
      </c>
      <c r="C3273" s="8">
        <f>QS.CONTEXT.CREATE("market.3271",A3273,"USD","SOFR")</f>
        <v/>
      </c>
      <c r="D3273" s="8">
        <f>QS.CONTEXT.ADD.CURVE(C3273,"SOFR",$K$2:$K$7,$L$2:$L$7,,,"Actual360","LogLinear",TRUE)</f>
        <v/>
      </c>
      <c r="E3273" s="8">
        <f>QS.INSTRUMENT.SWAP("swap.3271",C3273,H3273,B3273,"USD","SOFR",I3273,J3273,0,"Actual360","Simple","Annual","Annual","Annual")</f>
        <v/>
      </c>
      <c r="F3273" s="8">
        <f>QS.TRADE.CREATE("trade.3271",C3273,E3273,A3273,"Receive")</f>
        <v/>
      </c>
      <c r="G3273" s="5"/>
      <c r="H3273" s="7" t="s">
        <v>2933</v>
      </c>
      <c r="I3273" s="9">
        <v>1327100</v>
      </c>
      <c r="J3273" s="10">
        <v>0.0371</v>
      </c>
    </row>
    <row r="3274" spans="1:10">
      <c r="A3274" s="7" t="s">
        <v>2921</v>
      </c>
      <c r="B3274" s="7" t="s">
        <v>5141</v>
      </c>
      <c r="C3274" s="8">
        <f>QS.CONTEXT.CREATE("market.3272",A3274,"USD","SOFR")</f>
        <v/>
      </c>
      <c r="D3274" s="8">
        <f>QS.CONTEXT.ADD.CURVE(C3274,"SOFR",$K$2:$K$7,$L$2:$L$7,,,"Actual360","LogLinear",TRUE)</f>
        <v/>
      </c>
      <c r="E3274" s="8">
        <f>QS.INSTRUMENT.SWAP("swap.3272",C3274,H3274,B3274,"USD","SOFR",I3274,J3274,0,"Actual360","Simple","Annual","Annual","Annual")</f>
        <v/>
      </c>
      <c r="F3274" s="8">
        <f>QS.TRADE.CREATE("trade.3272",C3274,E3274,A3274,"Receive")</f>
        <v/>
      </c>
      <c r="G3274" s="5"/>
      <c r="H3274" s="7" t="s">
        <v>2935</v>
      </c>
      <c r="I3274" s="9">
        <v>1327200</v>
      </c>
      <c r="J3274" s="10">
        <v>0.0372</v>
      </c>
    </row>
    <row r="3275" spans="1:10">
      <c r="A3275" s="7" t="s">
        <v>2923</v>
      </c>
      <c r="B3275" s="7" t="s">
        <v>5142</v>
      </c>
      <c r="C3275" s="8">
        <f>QS.CONTEXT.CREATE("market.3273",A3275,"USD","SOFR")</f>
        <v/>
      </c>
      <c r="D3275" s="8">
        <f>QS.CONTEXT.ADD.CURVE(C3275,"SOFR",$K$2:$K$7,$L$2:$L$7,,,"Actual360","LogLinear",TRUE)</f>
        <v/>
      </c>
      <c r="E3275" s="8">
        <f>QS.INSTRUMENT.SWAP("swap.3273",C3275,H3275,B3275,"USD","SOFR",I3275,J3275,0,"Actual360","Simple","Annual","Annual","Annual")</f>
        <v/>
      </c>
      <c r="F3275" s="8">
        <f>QS.TRADE.CREATE("trade.3273",C3275,E3275,A3275,"Receive")</f>
        <v/>
      </c>
      <c r="G3275" s="5"/>
      <c r="H3275" s="7" t="s">
        <v>2937</v>
      </c>
      <c r="I3275" s="9">
        <v>1327300</v>
      </c>
      <c r="J3275" s="10">
        <v>0.0373</v>
      </c>
    </row>
    <row r="3276" spans="1:10">
      <c r="A3276" s="7" t="s">
        <v>2925</v>
      </c>
      <c r="B3276" s="7" t="s">
        <v>5143</v>
      </c>
      <c r="C3276" s="8">
        <f>QS.CONTEXT.CREATE("market.3274",A3276,"USD","SOFR")</f>
        <v/>
      </c>
      <c r="D3276" s="8">
        <f>QS.CONTEXT.ADD.CURVE(C3276,"SOFR",$K$2:$K$7,$L$2:$L$7,,,"Actual360","LogLinear",TRUE)</f>
        <v/>
      </c>
      <c r="E3276" s="8">
        <f>QS.INSTRUMENT.SWAP("swap.3274",C3276,H3276,B3276,"USD","SOFR",I3276,J3276,0,"Actual360","Simple","Annual","Annual","Annual")</f>
        <v/>
      </c>
      <c r="F3276" s="8">
        <f>QS.TRADE.CREATE("trade.3274",C3276,E3276,A3276,"Receive")</f>
        <v/>
      </c>
      <c r="G3276" s="5"/>
      <c r="H3276" s="7" t="s">
        <v>2939</v>
      </c>
      <c r="I3276" s="9">
        <v>1327400</v>
      </c>
      <c r="J3276" s="10">
        <v>0.0374</v>
      </c>
    </row>
    <row r="3277" spans="1:10">
      <c r="A3277" s="7" t="s">
        <v>2927</v>
      </c>
      <c r="B3277" s="7" t="s">
        <v>5144</v>
      </c>
      <c r="C3277" s="8">
        <f>QS.CONTEXT.CREATE("market.3275",A3277,"USD","SOFR")</f>
        <v/>
      </c>
      <c r="D3277" s="8">
        <f>QS.CONTEXT.ADD.CURVE(C3277,"SOFR",$K$2:$K$7,$L$2:$L$7,,,"Actual360","LogLinear",TRUE)</f>
        <v/>
      </c>
      <c r="E3277" s="8">
        <f>QS.INSTRUMENT.SWAP("swap.3275",C3277,H3277,B3277,"USD","SOFR",I3277,J3277,0,"Actual360","Simple","Annual","Annual","Annual")</f>
        <v/>
      </c>
      <c r="F3277" s="8">
        <f>QS.TRADE.CREATE("trade.3275",C3277,E3277,A3277,"Receive")</f>
        <v/>
      </c>
      <c r="G3277" s="5"/>
      <c r="H3277" s="7" t="s">
        <v>2941</v>
      </c>
      <c r="I3277" s="9">
        <v>1327500</v>
      </c>
      <c r="J3277" s="10">
        <v>0.03750000000000001</v>
      </c>
    </row>
    <row r="3278" spans="1:10">
      <c r="A3278" s="7" t="s">
        <v>2929</v>
      </c>
      <c r="B3278" s="7" t="s">
        <v>5145</v>
      </c>
      <c r="C3278" s="8">
        <f>QS.CONTEXT.CREATE("market.3276",A3278,"USD","SOFR")</f>
        <v/>
      </c>
      <c r="D3278" s="8">
        <f>QS.CONTEXT.ADD.CURVE(C3278,"SOFR",$K$2:$K$7,$L$2:$L$7,,,"Actual360","LogLinear",TRUE)</f>
        <v/>
      </c>
      <c r="E3278" s="8">
        <f>QS.INSTRUMENT.SWAP("swap.3276",C3278,H3278,B3278,"USD","SOFR",I3278,J3278,0,"Actual360","Simple","Annual","Annual","Annual")</f>
        <v/>
      </c>
      <c r="F3278" s="8">
        <f>QS.TRADE.CREATE("trade.3276",C3278,E3278,A3278,"Receive")</f>
        <v/>
      </c>
      <c r="G3278" s="5"/>
      <c r="H3278" s="7" t="s">
        <v>2943</v>
      </c>
      <c r="I3278" s="9">
        <v>1327600</v>
      </c>
      <c r="J3278" s="10">
        <v>0.0376</v>
      </c>
    </row>
    <row r="3279" spans="1:10">
      <c r="A3279" s="7" t="s">
        <v>2931</v>
      </c>
      <c r="B3279" s="7" t="s">
        <v>5146</v>
      </c>
      <c r="C3279" s="8">
        <f>QS.CONTEXT.CREATE("market.3277",A3279,"USD","SOFR")</f>
        <v/>
      </c>
      <c r="D3279" s="8">
        <f>QS.CONTEXT.ADD.CURVE(C3279,"SOFR",$K$2:$K$7,$L$2:$L$7,,,"Actual360","LogLinear",TRUE)</f>
        <v/>
      </c>
      <c r="E3279" s="8">
        <f>QS.INSTRUMENT.SWAP("swap.3277",C3279,H3279,B3279,"USD","SOFR",I3279,J3279,0,"Actual360","Simple","Annual","Annual","Annual")</f>
        <v/>
      </c>
      <c r="F3279" s="8">
        <f>QS.TRADE.CREATE("trade.3277",C3279,E3279,A3279,"Receive")</f>
        <v/>
      </c>
      <c r="G3279" s="5"/>
      <c r="H3279" s="7" t="s">
        <v>2945</v>
      </c>
      <c r="I3279" s="9">
        <v>1327700</v>
      </c>
      <c r="J3279" s="10">
        <v>0.0377</v>
      </c>
    </row>
    <row r="3280" spans="1:10">
      <c r="A3280" s="7" t="s">
        <v>2933</v>
      </c>
      <c r="B3280" s="7" t="s">
        <v>5147</v>
      </c>
      <c r="C3280" s="8">
        <f>QS.CONTEXT.CREATE("market.3278",A3280,"USD","SOFR")</f>
        <v/>
      </c>
      <c r="D3280" s="8">
        <f>QS.CONTEXT.ADD.CURVE(C3280,"SOFR",$K$2:$K$7,$L$2:$L$7,,,"Actual360","LogLinear",TRUE)</f>
        <v/>
      </c>
      <c r="E3280" s="8">
        <f>QS.INSTRUMENT.SWAP("swap.3278",C3280,H3280,B3280,"USD","SOFR",I3280,J3280,0,"Actual360","Simple","Annual","Annual","Annual")</f>
        <v/>
      </c>
      <c r="F3280" s="8">
        <f>QS.TRADE.CREATE("trade.3278",C3280,E3280,A3280,"Receive")</f>
        <v/>
      </c>
      <c r="G3280" s="5"/>
      <c r="H3280" s="7" t="s">
        <v>2947</v>
      </c>
      <c r="I3280" s="9">
        <v>1327800</v>
      </c>
      <c r="J3280" s="10">
        <v>0.0378</v>
      </c>
    </row>
    <row r="3281" spans="1:10">
      <c r="A3281" s="7" t="s">
        <v>2935</v>
      </c>
      <c r="B3281" s="7" t="s">
        <v>5148</v>
      </c>
      <c r="C3281" s="8">
        <f>QS.CONTEXT.CREATE("market.3279",A3281,"USD","SOFR")</f>
        <v/>
      </c>
      <c r="D3281" s="8">
        <f>QS.CONTEXT.ADD.CURVE(C3281,"SOFR",$K$2:$K$7,$L$2:$L$7,,,"Actual360","LogLinear",TRUE)</f>
        <v/>
      </c>
      <c r="E3281" s="8">
        <f>QS.INSTRUMENT.SWAP("swap.3279",C3281,H3281,B3281,"USD","SOFR",I3281,J3281,0,"Actual360","Simple","Annual","Annual","Annual")</f>
        <v/>
      </c>
      <c r="F3281" s="8">
        <f>QS.TRADE.CREATE("trade.3279",C3281,E3281,A3281,"Receive")</f>
        <v/>
      </c>
      <c r="G3281" s="5"/>
      <c r="H3281" s="7" t="s">
        <v>2949</v>
      </c>
      <c r="I3281" s="9">
        <v>1327900</v>
      </c>
      <c r="J3281" s="10">
        <v>0.0379</v>
      </c>
    </row>
    <row r="3282" spans="1:10">
      <c r="A3282" s="7" t="s">
        <v>2937</v>
      </c>
      <c r="B3282" s="7" t="s">
        <v>5149</v>
      </c>
      <c r="C3282" s="8">
        <f>QS.CONTEXT.CREATE("market.3280",A3282,"USD","SOFR")</f>
        <v/>
      </c>
      <c r="D3282" s="8">
        <f>QS.CONTEXT.ADD.CURVE(C3282,"SOFR",$K$2:$K$7,$L$2:$L$7,,,"Actual360","LogLinear",TRUE)</f>
        <v/>
      </c>
      <c r="E3282" s="8">
        <f>QS.INSTRUMENT.SWAP("swap.3280",C3282,H3282,B3282,"USD","SOFR",I3282,J3282,0,"Actual360","Simple","Annual","Annual","Annual")</f>
        <v/>
      </c>
      <c r="F3282" s="8">
        <f>QS.TRADE.CREATE("trade.3280",C3282,E3282,A3282,"Receive")</f>
        <v/>
      </c>
      <c r="G3282" s="5"/>
      <c r="H3282" s="7" t="s">
        <v>2951</v>
      </c>
      <c r="I3282" s="9">
        <v>1328000</v>
      </c>
      <c r="J3282" s="10">
        <v>0.03800000000000001</v>
      </c>
    </row>
    <row r="3283" spans="1:10">
      <c r="A3283" s="7" t="s">
        <v>2939</v>
      </c>
      <c r="B3283" s="7" t="s">
        <v>5150</v>
      </c>
      <c r="C3283" s="8">
        <f>QS.CONTEXT.CREATE("market.3281",A3283,"USD","SOFR")</f>
        <v/>
      </c>
      <c r="D3283" s="8">
        <f>QS.CONTEXT.ADD.CURVE(C3283,"SOFR",$K$2:$K$7,$L$2:$L$7,,,"Actual360","LogLinear",TRUE)</f>
        <v/>
      </c>
      <c r="E3283" s="8">
        <f>QS.INSTRUMENT.SWAP("swap.3281",C3283,H3283,B3283,"USD","SOFR",I3283,J3283,0,"Actual360","Simple","Annual","Annual","Annual")</f>
        <v/>
      </c>
      <c r="F3283" s="8">
        <f>QS.TRADE.CREATE("trade.3281",C3283,E3283,A3283,"Receive")</f>
        <v/>
      </c>
      <c r="G3283" s="5"/>
      <c r="H3283" s="7" t="s">
        <v>2953</v>
      </c>
      <c r="I3283" s="9">
        <v>1328100</v>
      </c>
      <c r="J3283" s="10">
        <v>0.0381</v>
      </c>
    </row>
    <row r="3284" spans="1:10">
      <c r="A3284" s="7" t="s">
        <v>2941</v>
      </c>
      <c r="B3284" s="7" t="s">
        <v>5151</v>
      </c>
      <c r="C3284" s="8">
        <f>QS.CONTEXT.CREATE("market.3282",A3284,"USD","SOFR")</f>
        <v/>
      </c>
      <c r="D3284" s="8">
        <f>QS.CONTEXT.ADD.CURVE(C3284,"SOFR",$K$2:$K$7,$L$2:$L$7,,,"Actual360","LogLinear",TRUE)</f>
        <v/>
      </c>
      <c r="E3284" s="8">
        <f>QS.INSTRUMENT.SWAP("swap.3282",C3284,H3284,B3284,"USD","SOFR",I3284,J3284,0,"Actual360","Simple","Annual","Annual","Annual")</f>
        <v/>
      </c>
      <c r="F3284" s="8">
        <f>QS.TRADE.CREATE("trade.3282",C3284,E3284,A3284,"Receive")</f>
        <v/>
      </c>
      <c r="G3284" s="5"/>
      <c r="H3284" s="7" t="s">
        <v>2955</v>
      </c>
      <c r="I3284" s="9">
        <v>1328200</v>
      </c>
      <c r="J3284" s="10">
        <v>0.0382</v>
      </c>
    </row>
    <row r="3285" spans="1:10">
      <c r="A3285" s="7" t="s">
        <v>2943</v>
      </c>
      <c r="B3285" s="7" t="s">
        <v>5152</v>
      </c>
      <c r="C3285" s="8">
        <f>QS.CONTEXT.CREATE("market.3283",A3285,"USD","SOFR")</f>
        <v/>
      </c>
      <c r="D3285" s="8">
        <f>QS.CONTEXT.ADD.CURVE(C3285,"SOFR",$K$2:$K$7,$L$2:$L$7,,,"Actual360","LogLinear",TRUE)</f>
        <v/>
      </c>
      <c r="E3285" s="8">
        <f>QS.INSTRUMENT.SWAP("swap.3283",C3285,H3285,B3285,"USD","SOFR",I3285,J3285,0,"Actual360","Simple","Annual","Annual","Annual")</f>
        <v/>
      </c>
      <c r="F3285" s="8">
        <f>QS.TRADE.CREATE("trade.3283",C3285,E3285,A3285,"Receive")</f>
        <v/>
      </c>
      <c r="G3285" s="5"/>
      <c r="H3285" s="7" t="s">
        <v>2957</v>
      </c>
      <c r="I3285" s="9">
        <v>1328300</v>
      </c>
      <c r="J3285" s="10">
        <v>0.0383</v>
      </c>
    </row>
    <row r="3286" spans="1:10">
      <c r="A3286" s="7" t="s">
        <v>2945</v>
      </c>
      <c r="B3286" s="7" t="s">
        <v>5153</v>
      </c>
      <c r="C3286" s="8">
        <f>QS.CONTEXT.CREATE("market.3284",A3286,"USD","SOFR")</f>
        <v/>
      </c>
      <c r="D3286" s="8">
        <f>QS.CONTEXT.ADD.CURVE(C3286,"SOFR",$K$2:$K$7,$L$2:$L$7,,,"Actual360","LogLinear",TRUE)</f>
        <v/>
      </c>
      <c r="E3286" s="8">
        <f>QS.INSTRUMENT.SWAP("swap.3284",C3286,H3286,B3286,"USD","SOFR",I3286,J3286,0,"Actual360","Simple","Annual","Annual","Annual")</f>
        <v/>
      </c>
      <c r="F3286" s="8">
        <f>QS.TRADE.CREATE("trade.3284",C3286,E3286,A3286,"Receive")</f>
        <v/>
      </c>
      <c r="G3286" s="5"/>
      <c r="H3286" s="7" t="s">
        <v>2959</v>
      </c>
      <c r="I3286" s="9">
        <v>1328400</v>
      </c>
      <c r="J3286" s="10">
        <v>0.0384</v>
      </c>
    </row>
    <row r="3287" spans="1:10">
      <c r="A3287" s="7" t="s">
        <v>2947</v>
      </c>
      <c r="B3287" s="7" t="s">
        <v>5154</v>
      </c>
      <c r="C3287" s="8">
        <f>QS.CONTEXT.CREATE("market.3285",A3287,"USD","SOFR")</f>
        <v/>
      </c>
      <c r="D3287" s="8">
        <f>QS.CONTEXT.ADD.CURVE(C3287,"SOFR",$K$2:$K$7,$L$2:$L$7,,,"Actual360","LogLinear",TRUE)</f>
        <v/>
      </c>
      <c r="E3287" s="8">
        <f>QS.INSTRUMENT.SWAP("swap.3285",C3287,H3287,B3287,"USD","SOFR",I3287,J3287,0,"Actual360","Simple","Annual","Annual","Annual")</f>
        <v/>
      </c>
      <c r="F3287" s="8">
        <f>QS.TRADE.CREATE("trade.3285",C3287,E3287,A3287,"Receive")</f>
        <v/>
      </c>
      <c r="G3287" s="5"/>
      <c r="H3287" s="7" t="s">
        <v>2961</v>
      </c>
      <c r="I3287" s="9">
        <v>1328500</v>
      </c>
      <c r="J3287" s="10">
        <v>0.03850000000000001</v>
      </c>
    </row>
    <row r="3288" spans="1:10">
      <c r="A3288" s="7" t="s">
        <v>2949</v>
      </c>
      <c r="B3288" s="7" t="s">
        <v>5155</v>
      </c>
      <c r="C3288" s="8">
        <f>QS.CONTEXT.CREATE("market.3286",A3288,"USD","SOFR")</f>
        <v/>
      </c>
      <c r="D3288" s="8">
        <f>QS.CONTEXT.ADD.CURVE(C3288,"SOFR",$K$2:$K$7,$L$2:$L$7,,,"Actual360","LogLinear",TRUE)</f>
        <v/>
      </c>
      <c r="E3288" s="8">
        <f>QS.INSTRUMENT.SWAP("swap.3286",C3288,H3288,B3288,"USD","SOFR",I3288,J3288,0,"Actual360","Simple","Annual","Annual","Annual")</f>
        <v/>
      </c>
      <c r="F3288" s="8">
        <f>QS.TRADE.CREATE("trade.3286",C3288,E3288,A3288,"Receive")</f>
        <v/>
      </c>
      <c r="G3288" s="5"/>
      <c r="H3288" s="7" t="s">
        <v>2963</v>
      </c>
      <c r="I3288" s="9">
        <v>1328600</v>
      </c>
      <c r="J3288" s="10">
        <v>0.0386</v>
      </c>
    </row>
    <row r="3289" spans="1:10">
      <c r="A3289" s="7" t="s">
        <v>2951</v>
      </c>
      <c r="B3289" s="7" t="s">
        <v>5156</v>
      </c>
      <c r="C3289" s="8">
        <f>QS.CONTEXT.CREATE("market.3287",A3289,"USD","SOFR")</f>
        <v/>
      </c>
      <c r="D3289" s="8">
        <f>QS.CONTEXT.ADD.CURVE(C3289,"SOFR",$K$2:$K$7,$L$2:$L$7,,,"Actual360","LogLinear",TRUE)</f>
        <v/>
      </c>
      <c r="E3289" s="8">
        <f>QS.INSTRUMENT.SWAP("swap.3287",C3289,H3289,B3289,"USD","SOFR",I3289,J3289,0,"Actual360","Simple","Annual","Annual","Annual")</f>
        <v/>
      </c>
      <c r="F3289" s="8">
        <f>QS.TRADE.CREATE("trade.3287",C3289,E3289,A3289,"Receive")</f>
        <v/>
      </c>
      <c r="G3289" s="5"/>
      <c r="H3289" s="7" t="s">
        <v>2965</v>
      </c>
      <c r="I3289" s="9">
        <v>1328700</v>
      </c>
      <c r="J3289" s="10">
        <v>0.03870000000000001</v>
      </c>
    </row>
    <row r="3290" spans="1:10">
      <c r="A3290" s="7" t="s">
        <v>2953</v>
      </c>
      <c r="B3290" s="7" t="s">
        <v>5157</v>
      </c>
      <c r="C3290" s="8">
        <f>QS.CONTEXT.CREATE("market.3288",A3290,"USD","SOFR")</f>
        <v/>
      </c>
      <c r="D3290" s="8">
        <f>QS.CONTEXT.ADD.CURVE(C3290,"SOFR",$K$2:$K$7,$L$2:$L$7,,,"Actual360","LogLinear",TRUE)</f>
        <v/>
      </c>
      <c r="E3290" s="8">
        <f>QS.INSTRUMENT.SWAP("swap.3288",C3290,H3290,B3290,"USD","SOFR",I3290,J3290,0,"Actual360","Simple","Annual","Annual","Annual")</f>
        <v/>
      </c>
      <c r="F3290" s="8">
        <f>QS.TRADE.CREATE("trade.3288",C3290,E3290,A3290,"Receive")</f>
        <v/>
      </c>
      <c r="G3290" s="5"/>
      <c r="H3290" s="7" t="s">
        <v>2967</v>
      </c>
      <c r="I3290" s="9">
        <v>1328800</v>
      </c>
      <c r="J3290" s="10">
        <v>0.0388</v>
      </c>
    </row>
    <row r="3291" spans="1:10">
      <c r="A3291" s="7" t="s">
        <v>2955</v>
      </c>
      <c r="B3291" s="7" t="s">
        <v>5158</v>
      </c>
      <c r="C3291" s="8">
        <f>QS.CONTEXT.CREATE("market.3289",A3291,"USD","SOFR")</f>
        <v/>
      </c>
      <c r="D3291" s="8">
        <f>QS.CONTEXT.ADD.CURVE(C3291,"SOFR",$K$2:$K$7,$L$2:$L$7,,,"Actual360","LogLinear",TRUE)</f>
        <v/>
      </c>
      <c r="E3291" s="8">
        <f>QS.INSTRUMENT.SWAP("swap.3289",C3291,H3291,B3291,"USD","SOFR",I3291,J3291,0,"Actual360","Simple","Annual","Annual","Annual")</f>
        <v/>
      </c>
      <c r="F3291" s="8">
        <f>QS.TRADE.CREATE("trade.3289",C3291,E3291,A3291,"Receive")</f>
        <v/>
      </c>
      <c r="G3291" s="5"/>
      <c r="H3291" s="7" t="s">
        <v>2969</v>
      </c>
      <c r="I3291" s="9">
        <v>1328900</v>
      </c>
      <c r="J3291" s="10">
        <v>0.0389</v>
      </c>
    </row>
    <row r="3292" spans="1:10">
      <c r="A3292" s="7" t="s">
        <v>2957</v>
      </c>
      <c r="B3292" s="7" t="s">
        <v>5159</v>
      </c>
      <c r="C3292" s="8">
        <f>QS.CONTEXT.CREATE("market.3290",A3292,"USD","SOFR")</f>
        <v/>
      </c>
      <c r="D3292" s="8">
        <f>QS.CONTEXT.ADD.CURVE(C3292,"SOFR",$K$2:$K$7,$L$2:$L$7,,,"Actual360","LogLinear",TRUE)</f>
        <v/>
      </c>
      <c r="E3292" s="8">
        <f>QS.INSTRUMENT.SWAP("swap.3290",C3292,H3292,B3292,"USD","SOFR",I3292,J3292,0,"Actual360","Simple","Annual","Annual","Annual")</f>
        <v/>
      </c>
      <c r="F3292" s="8">
        <f>QS.TRADE.CREATE("trade.3290",C3292,E3292,A3292,"Receive")</f>
        <v/>
      </c>
      <c r="G3292" s="5"/>
      <c r="H3292" s="7" t="s">
        <v>2971</v>
      </c>
      <c r="I3292" s="9">
        <v>1329000</v>
      </c>
      <c r="J3292" s="10">
        <v>0.03900000000000001</v>
      </c>
    </row>
    <row r="3293" spans="1:10">
      <c r="A3293" s="7" t="s">
        <v>2959</v>
      </c>
      <c r="B3293" s="7" t="s">
        <v>5160</v>
      </c>
      <c r="C3293" s="8">
        <f>QS.CONTEXT.CREATE("market.3291",A3293,"USD","SOFR")</f>
        <v/>
      </c>
      <c r="D3293" s="8">
        <f>QS.CONTEXT.ADD.CURVE(C3293,"SOFR",$K$2:$K$7,$L$2:$L$7,,,"Actual360","LogLinear",TRUE)</f>
        <v/>
      </c>
      <c r="E3293" s="8">
        <f>QS.INSTRUMENT.SWAP("swap.3291",C3293,H3293,B3293,"USD","SOFR",I3293,J3293,0,"Actual360","Simple","Annual","Annual","Annual")</f>
        <v/>
      </c>
      <c r="F3293" s="8">
        <f>QS.TRADE.CREATE("trade.3291",C3293,E3293,A3293,"Receive")</f>
        <v/>
      </c>
      <c r="G3293" s="5"/>
      <c r="H3293" s="7" t="s">
        <v>2973</v>
      </c>
      <c r="I3293" s="9">
        <v>1329100</v>
      </c>
      <c r="J3293" s="10">
        <v>0.0391</v>
      </c>
    </row>
    <row r="3294" spans="1:10">
      <c r="A3294" s="7" t="s">
        <v>2961</v>
      </c>
      <c r="B3294" s="7" t="s">
        <v>5161</v>
      </c>
      <c r="C3294" s="8">
        <f>QS.CONTEXT.CREATE("market.3292",A3294,"USD","SOFR")</f>
        <v/>
      </c>
      <c r="D3294" s="8">
        <f>QS.CONTEXT.ADD.CURVE(C3294,"SOFR",$K$2:$K$7,$L$2:$L$7,,,"Actual360","LogLinear",TRUE)</f>
        <v/>
      </c>
      <c r="E3294" s="8">
        <f>QS.INSTRUMENT.SWAP("swap.3292",C3294,H3294,B3294,"USD","SOFR",I3294,J3294,0,"Actual360","Simple","Annual","Annual","Annual")</f>
        <v/>
      </c>
      <c r="F3294" s="8">
        <f>QS.TRADE.CREATE("trade.3292",C3294,E3294,A3294,"Receive")</f>
        <v/>
      </c>
      <c r="G3294" s="5"/>
      <c r="H3294" s="7" t="s">
        <v>2975</v>
      </c>
      <c r="I3294" s="9">
        <v>1329200</v>
      </c>
      <c r="J3294" s="10">
        <v>0.03920000000000001</v>
      </c>
    </row>
    <row r="3295" spans="1:10">
      <c r="A3295" s="7" t="s">
        <v>2963</v>
      </c>
      <c r="B3295" s="7" t="s">
        <v>5162</v>
      </c>
      <c r="C3295" s="8">
        <f>QS.CONTEXT.CREATE("market.3293",A3295,"USD","SOFR")</f>
        <v/>
      </c>
      <c r="D3295" s="8">
        <f>QS.CONTEXT.ADD.CURVE(C3295,"SOFR",$K$2:$K$7,$L$2:$L$7,,,"Actual360","LogLinear",TRUE)</f>
        <v/>
      </c>
      <c r="E3295" s="8">
        <f>QS.INSTRUMENT.SWAP("swap.3293",C3295,H3295,B3295,"USD","SOFR",I3295,J3295,0,"Actual360","Simple","Annual","Annual","Annual")</f>
        <v/>
      </c>
      <c r="F3295" s="8">
        <f>QS.TRADE.CREATE("trade.3293",C3295,E3295,A3295,"Receive")</f>
        <v/>
      </c>
      <c r="G3295" s="5"/>
      <c r="H3295" s="7" t="s">
        <v>2977</v>
      </c>
      <c r="I3295" s="9">
        <v>1329300</v>
      </c>
      <c r="J3295" s="10">
        <v>0.0393</v>
      </c>
    </row>
    <row r="3296" spans="1:10">
      <c r="A3296" s="7" t="s">
        <v>2965</v>
      </c>
      <c r="B3296" s="7" t="s">
        <v>5163</v>
      </c>
      <c r="C3296" s="8">
        <f>QS.CONTEXT.CREATE("market.3294",A3296,"USD","SOFR")</f>
        <v/>
      </c>
      <c r="D3296" s="8">
        <f>QS.CONTEXT.ADD.CURVE(C3296,"SOFR",$K$2:$K$7,$L$2:$L$7,,,"Actual360","LogLinear",TRUE)</f>
        <v/>
      </c>
      <c r="E3296" s="8">
        <f>QS.INSTRUMENT.SWAP("swap.3294",C3296,H3296,B3296,"USD","SOFR",I3296,J3296,0,"Actual360","Simple","Annual","Annual","Annual")</f>
        <v/>
      </c>
      <c r="F3296" s="8">
        <f>QS.TRADE.CREATE("trade.3294",C3296,E3296,A3296,"Receive")</f>
        <v/>
      </c>
      <c r="G3296" s="5"/>
      <c r="H3296" s="7" t="s">
        <v>2979</v>
      </c>
      <c r="I3296" s="9">
        <v>1329400</v>
      </c>
      <c r="J3296" s="10">
        <v>0.0394</v>
      </c>
    </row>
    <row r="3297" spans="1:10">
      <c r="A3297" s="7" t="s">
        <v>2967</v>
      </c>
      <c r="B3297" s="7" t="s">
        <v>5164</v>
      </c>
      <c r="C3297" s="8">
        <f>QS.CONTEXT.CREATE("market.3295",A3297,"USD","SOFR")</f>
        <v/>
      </c>
      <c r="D3297" s="8">
        <f>QS.CONTEXT.ADD.CURVE(C3297,"SOFR",$K$2:$K$7,$L$2:$L$7,,,"Actual360","LogLinear",TRUE)</f>
        <v/>
      </c>
      <c r="E3297" s="8">
        <f>QS.INSTRUMENT.SWAP("swap.3295",C3297,H3297,B3297,"USD","SOFR",I3297,J3297,0,"Actual360","Simple","Annual","Annual","Annual")</f>
        <v/>
      </c>
      <c r="F3297" s="8">
        <f>QS.TRADE.CREATE("trade.3295",C3297,E3297,A3297,"Receive")</f>
        <v/>
      </c>
      <c r="G3297" s="5"/>
      <c r="H3297" s="7" t="s">
        <v>2981</v>
      </c>
      <c r="I3297" s="9">
        <v>1329500</v>
      </c>
      <c r="J3297" s="10">
        <v>0.03950000000000001</v>
      </c>
    </row>
    <row r="3298" spans="1:10">
      <c r="A3298" s="7" t="s">
        <v>2969</v>
      </c>
      <c r="B3298" s="7" t="s">
        <v>5165</v>
      </c>
      <c r="C3298" s="8">
        <f>QS.CONTEXT.CREATE("market.3296",A3298,"USD","SOFR")</f>
        <v/>
      </c>
      <c r="D3298" s="8">
        <f>QS.CONTEXT.ADD.CURVE(C3298,"SOFR",$K$2:$K$7,$L$2:$L$7,,,"Actual360","LogLinear",TRUE)</f>
        <v/>
      </c>
      <c r="E3298" s="8">
        <f>QS.INSTRUMENT.SWAP("swap.3296",C3298,H3298,B3298,"USD","SOFR",I3298,J3298,0,"Actual360","Simple","Annual","Annual","Annual")</f>
        <v/>
      </c>
      <c r="F3298" s="8">
        <f>QS.TRADE.CREATE("trade.3296",C3298,E3298,A3298,"Receive")</f>
        <v/>
      </c>
      <c r="G3298" s="5"/>
      <c r="H3298" s="7" t="s">
        <v>2983</v>
      </c>
      <c r="I3298" s="9">
        <v>1329600</v>
      </c>
      <c r="J3298" s="10">
        <v>0.0396</v>
      </c>
    </row>
    <row r="3299" spans="1:10">
      <c r="A3299" s="7" t="s">
        <v>2971</v>
      </c>
      <c r="B3299" s="7" t="s">
        <v>5166</v>
      </c>
      <c r="C3299" s="8">
        <f>QS.CONTEXT.CREATE("market.3297",A3299,"USD","SOFR")</f>
        <v/>
      </c>
      <c r="D3299" s="8">
        <f>QS.CONTEXT.ADD.CURVE(C3299,"SOFR",$K$2:$K$7,$L$2:$L$7,,,"Actual360","LogLinear",TRUE)</f>
        <v/>
      </c>
      <c r="E3299" s="8">
        <f>QS.INSTRUMENT.SWAP("swap.3297",C3299,H3299,B3299,"USD","SOFR",I3299,J3299,0,"Actual360","Simple","Annual","Annual","Annual")</f>
        <v/>
      </c>
      <c r="F3299" s="8">
        <f>QS.TRADE.CREATE("trade.3297",C3299,E3299,A3299,"Receive")</f>
        <v/>
      </c>
      <c r="G3299" s="5"/>
      <c r="H3299" s="7" t="s">
        <v>2985</v>
      </c>
      <c r="I3299" s="9">
        <v>1329700</v>
      </c>
      <c r="J3299" s="10">
        <v>0.03970000000000001</v>
      </c>
    </row>
    <row r="3300" spans="1:10">
      <c r="A3300" s="7" t="s">
        <v>2973</v>
      </c>
      <c r="B3300" s="7" t="s">
        <v>5167</v>
      </c>
      <c r="C3300" s="8">
        <f>QS.CONTEXT.CREATE("market.3298",A3300,"USD","SOFR")</f>
        <v/>
      </c>
      <c r="D3300" s="8">
        <f>QS.CONTEXT.ADD.CURVE(C3300,"SOFR",$K$2:$K$7,$L$2:$L$7,,,"Actual360","LogLinear",TRUE)</f>
        <v/>
      </c>
      <c r="E3300" s="8">
        <f>QS.INSTRUMENT.SWAP("swap.3298",C3300,H3300,B3300,"USD","SOFR",I3300,J3300,0,"Actual360","Simple","Annual","Annual","Annual")</f>
        <v/>
      </c>
      <c r="F3300" s="8">
        <f>QS.TRADE.CREATE("trade.3298",C3300,E3300,A3300,"Receive")</f>
        <v/>
      </c>
      <c r="G3300" s="5"/>
      <c r="H3300" s="7" t="s">
        <v>2987</v>
      </c>
      <c r="I3300" s="9">
        <v>1329800</v>
      </c>
      <c r="J3300" s="10">
        <v>0.0398</v>
      </c>
    </row>
    <row r="3301" spans="1:10">
      <c r="A3301" s="7" t="s">
        <v>2975</v>
      </c>
      <c r="B3301" s="7" t="s">
        <v>5168</v>
      </c>
      <c r="C3301" s="8">
        <f>QS.CONTEXT.CREATE("market.3299",A3301,"USD","SOFR")</f>
        <v/>
      </c>
      <c r="D3301" s="8">
        <f>QS.CONTEXT.ADD.CURVE(C3301,"SOFR",$K$2:$K$7,$L$2:$L$7,,,"Actual360","LogLinear",TRUE)</f>
        <v/>
      </c>
      <c r="E3301" s="8">
        <f>QS.INSTRUMENT.SWAP("swap.3299",C3301,H3301,B3301,"USD","SOFR",I3301,J3301,0,"Actual360","Simple","Annual","Annual","Annual")</f>
        <v/>
      </c>
      <c r="F3301" s="8">
        <f>QS.TRADE.CREATE("trade.3299",C3301,E3301,A3301,"Receive")</f>
        <v/>
      </c>
      <c r="G3301" s="5"/>
      <c r="H3301" s="7" t="s">
        <v>2989</v>
      </c>
      <c r="I3301" s="9">
        <v>1329900</v>
      </c>
      <c r="J3301" s="10">
        <v>0.0399</v>
      </c>
    </row>
    <row r="3302" spans="1:10">
      <c r="A3302" s="7" t="s">
        <v>2977</v>
      </c>
      <c r="B3302" s="7" t="s">
        <v>5169</v>
      </c>
      <c r="C3302" s="8">
        <f>QS.CONTEXT.CREATE("market.3300",A3302,"USD","SOFR")</f>
        <v/>
      </c>
      <c r="D3302" s="8">
        <f>QS.CONTEXT.ADD.CURVE(C3302,"SOFR",$K$2:$K$7,$L$2:$L$7,,,"Actual360","LogLinear",TRUE)</f>
        <v/>
      </c>
      <c r="E3302" s="8">
        <f>QS.INSTRUMENT.SWAP("swap.3300",C3302,H3302,B3302,"USD","SOFR",I3302,J3302,0,"Actual360","Simple","Annual","Annual","Annual")</f>
        <v/>
      </c>
      <c r="F3302" s="8">
        <f>QS.TRADE.CREATE("trade.3300",C3302,E3302,A3302,"Receive")</f>
        <v/>
      </c>
      <c r="G3302" s="5"/>
      <c r="H3302" s="7" t="s">
        <v>2991</v>
      </c>
      <c r="I3302" s="9">
        <v>1330000</v>
      </c>
      <c r="J3302" s="10">
        <v>0.035</v>
      </c>
    </row>
    <row r="3303" spans="1:10">
      <c r="A3303" s="7" t="s">
        <v>2979</v>
      </c>
      <c r="B3303" s="7" t="s">
        <v>5170</v>
      </c>
      <c r="C3303" s="8">
        <f>QS.CONTEXT.CREATE("market.3301",A3303,"USD","SOFR")</f>
        <v/>
      </c>
      <c r="D3303" s="8">
        <f>QS.CONTEXT.ADD.CURVE(C3303,"SOFR",$K$2:$K$7,$L$2:$L$7,,,"Actual360","LogLinear",TRUE)</f>
        <v/>
      </c>
      <c r="E3303" s="8">
        <f>QS.INSTRUMENT.SWAP("swap.3301",C3303,H3303,B3303,"USD","SOFR",I3303,J3303,0,"Actual360","Simple","Annual","Annual","Annual")</f>
        <v/>
      </c>
      <c r="F3303" s="8">
        <f>QS.TRADE.CREATE("trade.3301",C3303,E3303,A3303,"Receive")</f>
        <v/>
      </c>
      <c r="G3303" s="5"/>
      <c r="H3303" s="7" t="s">
        <v>2993</v>
      </c>
      <c r="I3303" s="9">
        <v>1330100</v>
      </c>
      <c r="J3303" s="10">
        <v>0.03510000000000001</v>
      </c>
    </row>
    <row r="3304" spans="1:10">
      <c r="A3304" s="7" t="s">
        <v>2981</v>
      </c>
      <c r="B3304" s="7" t="s">
        <v>5171</v>
      </c>
      <c r="C3304" s="8">
        <f>QS.CONTEXT.CREATE("market.3302",A3304,"USD","SOFR")</f>
        <v/>
      </c>
      <c r="D3304" s="8">
        <f>QS.CONTEXT.ADD.CURVE(C3304,"SOFR",$K$2:$K$7,$L$2:$L$7,,,"Actual360","LogLinear",TRUE)</f>
        <v/>
      </c>
      <c r="E3304" s="8">
        <f>QS.INSTRUMENT.SWAP("swap.3302",C3304,H3304,B3304,"USD","SOFR",I3304,J3304,0,"Actual360","Simple","Annual","Annual","Annual")</f>
        <v/>
      </c>
      <c r="F3304" s="8">
        <f>QS.TRADE.CREATE("trade.3302",C3304,E3304,A3304,"Receive")</f>
        <v/>
      </c>
      <c r="G3304" s="5"/>
      <c r="H3304" s="7" t="s">
        <v>2995</v>
      </c>
      <c r="I3304" s="9">
        <v>1330200</v>
      </c>
      <c r="J3304" s="10">
        <v>0.0352</v>
      </c>
    </row>
    <row r="3305" spans="1:10">
      <c r="A3305" s="7" t="s">
        <v>2983</v>
      </c>
      <c r="B3305" s="7" t="s">
        <v>5172</v>
      </c>
      <c r="C3305" s="8">
        <f>QS.CONTEXT.CREATE("market.3303",A3305,"USD","SOFR")</f>
        <v/>
      </c>
      <c r="D3305" s="8">
        <f>QS.CONTEXT.ADD.CURVE(C3305,"SOFR",$K$2:$K$7,$L$2:$L$7,,,"Actual360","LogLinear",TRUE)</f>
        <v/>
      </c>
      <c r="E3305" s="8">
        <f>QS.INSTRUMENT.SWAP("swap.3303",C3305,H3305,B3305,"USD","SOFR",I3305,J3305,0,"Actual360","Simple","Annual","Annual","Annual")</f>
        <v/>
      </c>
      <c r="F3305" s="8">
        <f>QS.TRADE.CREATE("trade.3303",C3305,E3305,A3305,"Receive")</f>
        <v/>
      </c>
      <c r="G3305" s="5"/>
      <c r="H3305" s="7" t="s">
        <v>2997</v>
      </c>
      <c r="I3305" s="9">
        <v>1330300</v>
      </c>
      <c r="J3305" s="10">
        <v>0.0353</v>
      </c>
    </row>
    <row r="3306" spans="1:10">
      <c r="A3306" s="7" t="s">
        <v>2985</v>
      </c>
      <c r="B3306" s="7" t="s">
        <v>5173</v>
      </c>
      <c r="C3306" s="8">
        <f>QS.CONTEXT.CREATE("market.3304",A3306,"USD","SOFR")</f>
        <v/>
      </c>
      <c r="D3306" s="8">
        <f>QS.CONTEXT.ADD.CURVE(C3306,"SOFR",$K$2:$K$7,$L$2:$L$7,,,"Actual360","LogLinear",TRUE)</f>
        <v/>
      </c>
      <c r="E3306" s="8">
        <f>QS.INSTRUMENT.SWAP("swap.3304",C3306,H3306,B3306,"USD","SOFR",I3306,J3306,0,"Actual360","Simple","Annual","Annual","Annual")</f>
        <v/>
      </c>
      <c r="F3306" s="8">
        <f>QS.TRADE.CREATE("trade.3304",C3306,E3306,A3306,"Receive")</f>
        <v/>
      </c>
      <c r="G3306" s="5"/>
      <c r="H3306" s="7" t="s">
        <v>2999</v>
      </c>
      <c r="I3306" s="9">
        <v>1330400</v>
      </c>
      <c r="J3306" s="10">
        <v>0.0354</v>
      </c>
    </row>
    <row r="3307" spans="1:10">
      <c r="A3307" s="7" t="s">
        <v>2987</v>
      </c>
      <c r="B3307" s="7" t="s">
        <v>5174</v>
      </c>
      <c r="C3307" s="8">
        <f>QS.CONTEXT.CREATE("market.3305",A3307,"USD","SOFR")</f>
        <v/>
      </c>
      <c r="D3307" s="8">
        <f>QS.CONTEXT.ADD.CURVE(C3307,"SOFR",$K$2:$K$7,$L$2:$L$7,,,"Actual360","LogLinear",TRUE)</f>
        <v/>
      </c>
      <c r="E3307" s="8">
        <f>QS.INSTRUMENT.SWAP("swap.3305",C3307,H3307,B3307,"USD","SOFR",I3307,J3307,0,"Actual360","Simple","Annual","Annual","Annual")</f>
        <v/>
      </c>
      <c r="F3307" s="8">
        <f>QS.TRADE.CREATE("trade.3305",C3307,E3307,A3307,"Receive")</f>
        <v/>
      </c>
      <c r="G3307" s="5"/>
      <c r="H3307" s="7" t="s">
        <v>3001</v>
      </c>
      <c r="I3307" s="9">
        <v>1330500</v>
      </c>
      <c r="J3307" s="10">
        <v>0.0355</v>
      </c>
    </row>
    <row r="3308" spans="1:10">
      <c r="A3308" s="7" t="s">
        <v>2989</v>
      </c>
      <c r="B3308" s="7" t="s">
        <v>5175</v>
      </c>
      <c r="C3308" s="8">
        <f>QS.CONTEXT.CREATE("market.3306",A3308,"USD","SOFR")</f>
        <v/>
      </c>
      <c r="D3308" s="8">
        <f>QS.CONTEXT.ADD.CURVE(C3308,"SOFR",$K$2:$K$7,$L$2:$L$7,,,"Actual360","LogLinear",TRUE)</f>
        <v/>
      </c>
      <c r="E3308" s="8">
        <f>QS.INSTRUMENT.SWAP("swap.3306",C3308,H3308,B3308,"USD","SOFR",I3308,J3308,0,"Actual360","Simple","Annual","Annual","Annual")</f>
        <v/>
      </c>
      <c r="F3308" s="8">
        <f>QS.TRADE.CREATE("trade.3306",C3308,E3308,A3308,"Receive")</f>
        <v/>
      </c>
      <c r="G3308" s="5"/>
      <c r="H3308" s="7" t="s">
        <v>3003</v>
      </c>
      <c r="I3308" s="9">
        <v>1330600</v>
      </c>
      <c r="J3308" s="10">
        <v>0.03560000000000001</v>
      </c>
    </row>
    <row r="3309" spans="1:10">
      <c r="A3309" s="7" t="s">
        <v>2991</v>
      </c>
      <c r="B3309" s="7" t="s">
        <v>5176</v>
      </c>
      <c r="C3309" s="8">
        <f>QS.CONTEXT.CREATE("market.3307",A3309,"USD","SOFR")</f>
        <v/>
      </c>
      <c r="D3309" s="8">
        <f>QS.CONTEXT.ADD.CURVE(C3309,"SOFR",$K$2:$K$7,$L$2:$L$7,,,"Actual360","LogLinear",TRUE)</f>
        <v/>
      </c>
      <c r="E3309" s="8">
        <f>QS.INSTRUMENT.SWAP("swap.3307",C3309,H3309,B3309,"USD","SOFR",I3309,J3309,0,"Actual360","Simple","Annual","Annual","Annual")</f>
        <v/>
      </c>
      <c r="F3309" s="8">
        <f>QS.TRADE.CREATE("trade.3307",C3309,E3309,A3309,"Receive")</f>
        <v/>
      </c>
      <c r="G3309" s="5"/>
      <c r="H3309" s="7" t="s">
        <v>3005</v>
      </c>
      <c r="I3309" s="9">
        <v>1330700</v>
      </c>
      <c r="J3309" s="10">
        <v>0.0357</v>
      </c>
    </row>
    <row r="3310" spans="1:10">
      <c r="A3310" s="7" t="s">
        <v>2993</v>
      </c>
      <c r="B3310" s="7" t="s">
        <v>5177</v>
      </c>
      <c r="C3310" s="8">
        <f>QS.CONTEXT.CREATE("market.3308",A3310,"USD","SOFR")</f>
        <v/>
      </c>
      <c r="D3310" s="8">
        <f>QS.CONTEXT.ADD.CURVE(C3310,"SOFR",$K$2:$K$7,$L$2:$L$7,,,"Actual360","LogLinear",TRUE)</f>
        <v/>
      </c>
      <c r="E3310" s="8">
        <f>QS.INSTRUMENT.SWAP("swap.3308",C3310,H3310,B3310,"USD","SOFR",I3310,J3310,0,"Actual360","Simple","Annual","Annual","Annual")</f>
        <v/>
      </c>
      <c r="F3310" s="8">
        <f>QS.TRADE.CREATE("trade.3308",C3310,E3310,A3310,"Receive")</f>
        <v/>
      </c>
      <c r="G3310" s="5"/>
      <c r="H3310" s="7" t="s">
        <v>3007</v>
      </c>
      <c r="I3310" s="9">
        <v>1330800</v>
      </c>
      <c r="J3310" s="10">
        <v>0.03580000000000001</v>
      </c>
    </row>
    <row r="3311" spans="1:10">
      <c r="A3311" s="7" t="s">
        <v>2995</v>
      </c>
      <c r="B3311" s="7" t="s">
        <v>5178</v>
      </c>
      <c r="C3311" s="8">
        <f>QS.CONTEXT.CREATE("market.3309",A3311,"USD","SOFR")</f>
        <v/>
      </c>
      <c r="D3311" s="8">
        <f>QS.CONTEXT.ADD.CURVE(C3311,"SOFR",$K$2:$K$7,$L$2:$L$7,,,"Actual360","LogLinear",TRUE)</f>
        <v/>
      </c>
      <c r="E3311" s="8">
        <f>QS.INSTRUMENT.SWAP("swap.3309",C3311,H3311,B3311,"USD","SOFR",I3311,J3311,0,"Actual360","Simple","Annual","Annual","Annual")</f>
        <v/>
      </c>
      <c r="F3311" s="8">
        <f>QS.TRADE.CREATE("trade.3309",C3311,E3311,A3311,"Receive")</f>
        <v/>
      </c>
      <c r="G3311" s="5"/>
      <c r="H3311" s="7" t="s">
        <v>3009</v>
      </c>
      <c r="I3311" s="9">
        <v>1330900</v>
      </c>
      <c r="J3311" s="10">
        <v>0.0359</v>
      </c>
    </row>
    <row r="3312" spans="1:10">
      <c r="A3312" s="7" t="s">
        <v>2997</v>
      </c>
      <c r="B3312" s="7" t="s">
        <v>5179</v>
      </c>
      <c r="C3312" s="8">
        <f>QS.CONTEXT.CREATE("market.3310",A3312,"USD","SOFR")</f>
        <v/>
      </c>
      <c r="D3312" s="8">
        <f>QS.CONTEXT.ADD.CURVE(C3312,"SOFR",$K$2:$K$7,$L$2:$L$7,,,"Actual360","LogLinear",TRUE)</f>
        <v/>
      </c>
      <c r="E3312" s="8">
        <f>QS.INSTRUMENT.SWAP("swap.3310",C3312,H3312,B3312,"USD","SOFR",I3312,J3312,0,"Actual360","Simple","Annual","Annual","Annual")</f>
        <v/>
      </c>
      <c r="F3312" s="8">
        <f>QS.TRADE.CREATE("trade.3310",C3312,E3312,A3312,"Receive")</f>
        <v/>
      </c>
      <c r="G3312" s="5"/>
      <c r="H3312" s="7" t="s">
        <v>3011</v>
      </c>
      <c r="I3312" s="9">
        <v>1331000</v>
      </c>
      <c r="J3312" s="10">
        <v>0.036</v>
      </c>
    </row>
    <row r="3313" spans="1:10">
      <c r="A3313" s="7" t="s">
        <v>2999</v>
      </c>
      <c r="B3313" s="7" t="s">
        <v>5180</v>
      </c>
      <c r="C3313" s="8">
        <f>QS.CONTEXT.CREATE("market.3311",A3313,"USD","SOFR")</f>
        <v/>
      </c>
      <c r="D3313" s="8">
        <f>QS.CONTEXT.ADD.CURVE(C3313,"SOFR",$K$2:$K$7,$L$2:$L$7,,,"Actual360","LogLinear",TRUE)</f>
        <v/>
      </c>
      <c r="E3313" s="8">
        <f>QS.INSTRUMENT.SWAP("swap.3311",C3313,H3313,B3313,"USD","SOFR",I3313,J3313,0,"Actual360","Simple","Annual","Annual","Annual")</f>
        <v/>
      </c>
      <c r="F3313" s="8">
        <f>QS.TRADE.CREATE("trade.3311",C3313,E3313,A3313,"Receive")</f>
        <v/>
      </c>
      <c r="G3313" s="5"/>
      <c r="H3313" s="7" t="s">
        <v>3013</v>
      </c>
      <c r="I3313" s="9">
        <v>1331100</v>
      </c>
      <c r="J3313" s="10">
        <v>0.0361</v>
      </c>
    </row>
    <row r="3314" spans="1:10">
      <c r="A3314" s="7" t="s">
        <v>3001</v>
      </c>
      <c r="B3314" s="7" t="s">
        <v>5181</v>
      </c>
      <c r="C3314" s="8">
        <f>QS.CONTEXT.CREATE("market.3312",A3314,"USD","SOFR")</f>
        <v/>
      </c>
      <c r="D3314" s="8">
        <f>QS.CONTEXT.ADD.CURVE(C3314,"SOFR",$K$2:$K$7,$L$2:$L$7,,,"Actual360","LogLinear",TRUE)</f>
        <v/>
      </c>
      <c r="E3314" s="8">
        <f>QS.INSTRUMENT.SWAP("swap.3312",C3314,H3314,B3314,"USD","SOFR",I3314,J3314,0,"Actual360","Simple","Annual","Annual","Annual")</f>
        <v/>
      </c>
      <c r="F3314" s="8">
        <f>QS.TRADE.CREATE("trade.3312",C3314,E3314,A3314,"Receive")</f>
        <v/>
      </c>
      <c r="G3314" s="5"/>
      <c r="H3314" s="7" t="s">
        <v>3015</v>
      </c>
      <c r="I3314" s="9">
        <v>1331200</v>
      </c>
      <c r="J3314" s="10">
        <v>0.0362</v>
      </c>
    </row>
    <row r="3315" spans="1:10">
      <c r="A3315" s="7" t="s">
        <v>3003</v>
      </c>
      <c r="B3315" s="7" t="s">
        <v>5182</v>
      </c>
      <c r="C3315" s="8">
        <f>QS.CONTEXT.CREATE("market.3313",A3315,"USD","SOFR")</f>
        <v/>
      </c>
      <c r="D3315" s="8">
        <f>QS.CONTEXT.ADD.CURVE(C3315,"SOFR",$K$2:$K$7,$L$2:$L$7,,,"Actual360","LogLinear",TRUE)</f>
        <v/>
      </c>
      <c r="E3315" s="8">
        <f>QS.INSTRUMENT.SWAP("swap.3313",C3315,H3315,B3315,"USD","SOFR",I3315,J3315,0,"Actual360","Simple","Annual","Annual","Annual")</f>
        <v/>
      </c>
      <c r="F3315" s="8">
        <f>QS.TRADE.CREATE("trade.3313",C3315,E3315,A3315,"Receive")</f>
        <v/>
      </c>
      <c r="G3315" s="5"/>
      <c r="H3315" s="7" t="s">
        <v>3017</v>
      </c>
      <c r="I3315" s="9">
        <v>1331300</v>
      </c>
      <c r="J3315" s="10">
        <v>0.03630000000000001</v>
      </c>
    </row>
    <row r="3316" spans="1:10">
      <c r="A3316" s="7" t="s">
        <v>3005</v>
      </c>
      <c r="B3316" s="7" t="s">
        <v>5183</v>
      </c>
      <c r="C3316" s="8">
        <f>QS.CONTEXT.CREATE("market.3314",A3316,"USD","SOFR")</f>
        <v/>
      </c>
      <c r="D3316" s="8">
        <f>QS.CONTEXT.ADD.CURVE(C3316,"SOFR",$K$2:$K$7,$L$2:$L$7,,,"Actual360","LogLinear",TRUE)</f>
        <v/>
      </c>
      <c r="E3316" s="8">
        <f>QS.INSTRUMENT.SWAP("swap.3314",C3316,H3316,B3316,"USD","SOFR",I3316,J3316,0,"Actual360","Simple","Annual","Annual","Annual")</f>
        <v/>
      </c>
      <c r="F3316" s="8">
        <f>QS.TRADE.CREATE("trade.3314",C3316,E3316,A3316,"Receive")</f>
        <v/>
      </c>
      <c r="G3316" s="5"/>
      <c r="H3316" s="7" t="s">
        <v>3019</v>
      </c>
      <c r="I3316" s="9">
        <v>1331400</v>
      </c>
      <c r="J3316" s="10">
        <v>0.0364</v>
      </c>
    </row>
    <row r="3317" spans="1:10">
      <c r="A3317" s="7" t="s">
        <v>3007</v>
      </c>
      <c r="B3317" s="7" t="s">
        <v>5184</v>
      </c>
      <c r="C3317" s="8">
        <f>QS.CONTEXT.CREATE("market.3315",A3317,"USD","SOFR")</f>
        <v/>
      </c>
      <c r="D3317" s="8">
        <f>QS.CONTEXT.ADD.CURVE(C3317,"SOFR",$K$2:$K$7,$L$2:$L$7,,,"Actual360","LogLinear",TRUE)</f>
        <v/>
      </c>
      <c r="E3317" s="8">
        <f>QS.INSTRUMENT.SWAP("swap.3315",C3317,H3317,B3317,"USD","SOFR",I3317,J3317,0,"Actual360","Simple","Annual","Annual","Annual")</f>
        <v/>
      </c>
      <c r="F3317" s="8">
        <f>QS.TRADE.CREATE("trade.3315",C3317,E3317,A3317,"Receive")</f>
        <v/>
      </c>
      <c r="G3317" s="5"/>
      <c r="H3317" s="7" t="s">
        <v>3021</v>
      </c>
      <c r="I3317" s="9">
        <v>1331500</v>
      </c>
      <c r="J3317" s="10">
        <v>0.0365</v>
      </c>
    </row>
    <row r="3318" spans="1:10">
      <c r="A3318" s="7" t="s">
        <v>3009</v>
      </c>
      <c r="B3318" s="7" t="s">
        <v>5185</v>
      </c>
      <c r="C3318" s="8">
        <f>QS.CONTEXT.CREATE("market.3316",A3318,"USD","SOFR")</f>
        <v/>
      </c>
      <c r="D3318" s="8">
        <f>QS.CONTEXT.ADD.CURVE(C3318,"SOFR",$K$2:$K$7,$L$2:$L$7,,,"Actual360","LogLinear",TRUE)</f>
        <v/>
      </c>
      <c r="E3318" s="8">
        <f>QS.INSTRUMENT.SWAP("swap.3316",C3318,H3318,B3318,"USD","SOFR",I3318,J3318,0,"Actual360","Simple","Annual","Annual","Annual")</f>
        <v/>
      </c>
      <c r="F3318" s="8">
        <f>QS.TRADE.CREATE("trade.3316",C3318,E3318,A3318,"Receive")</f>
        <v/>
      </c>
      <c r="G3318" s="5"/>
      <c r="H3318" s="7" t="s">
        <v>3023</v>
      </c>
      <c r="I3318" s="9">
        <v>1331600</v>
      </c>
      <c r="J3318" s="10">
        <v>0.0366</v>
      </c>
    </row>
    <row r="3319" spans="1:10">
      <c r="A3319" s="7" t="s">
        <v>3011</v>
      </c>
      <c r="B3319" s="7" t="s">
        <v>5186</v>
      </c>
      <c r="C3319" s="8">
        <f>QS.CONTEXT.CREATE("market.3317",A3319,"USD","SOFR")</f>
        <v/>
      </c>
      <c r="D3319" s="8">
        <f>QS.CONTEXT.ADD.CURVE(C3319,"SOFR",$K$2:$K$7,$L$2:$L$7,,,"Actual360","LogLinear",TRUE)</f>
        <v/>
      </c>
      <c r="E3319" s="8">
        <f>QS.INSTRUMENT.SWAP("swap.3317",C3319,H3319,B3319,"USD","SOFR",I3319,J3319,0,"Actual360","Simple","Annual","Annual","Annual")</f>
        <v/>
      </c>
      <c r="F3319" s="8">
        <f>QS.TRADE.CREATE("trade.3317",C3319,E3319,A3319,"Receive")</f>
        <v/>
      </c>
      <c r="G3319" s="5"/>
      <c r="H3319" s="7" t="s">
        <v>3025</v>
      </c>
      <c r="I3319" s="9">
        <v>1331700</v>
      </c>
      <c r="J3319" s="10">
        <v>0.0367</v>
      </c>
    </row>
    <row r="3320" spans="1:10">
      <c r="A3320" s="7" t="s">
        <v>3013</v>
      </c>
      <c r="B3320" s="7" t="s">
        <v>5187</v>
      </c>
      <c r="C3320" s="8">
        <f>QS.CONTEXT.CREATE("market.3318",A3320,"USD","SOFR")</f>
        <v/>
      </c>
      <c r="D3320" s="8">
        <f>QS.CONTEXT.ADD.CURVE(C3320,"SOFR",$K$2:$K$7,$L$2:$L$7,,,"Actual360","LogLinear",TRUE)</f>
        <v/>
      </c>
      <c r="E3320" s="8">
        <f>QS.INSTRUMENT.SWAP("swap.3318",C3320,H3320,B3320,"USD","SOFR",I3320,J3320,0,"Actual360","Simple","Annual","Annual","Annual")</f>
        <v/>
      </c>
      <c r="F3320" s="8">
        <f>QS.TRADE.CREATE("trade.3318",C3320,E3320,A3320,"Receive")</f>
        <v/>
      </c>
      <c r="G3320" s="5"/>
      <c r="H3320" s="7" t="s">
        <v>3027</v>
      </c>
      <c r="I3320" s="9">
        <v>1331800</v>
      </c>
      <c r="J3320" s="10">
        <v>0.03680000000000001</v>
      </c>
    </row>
    <row r="3321" spans="1:10">
      <c r="A3321" s="7" t="s">
        <v>3015</v>
      </c>
      <c r="B3321" s="7" t="s">
        <v>5188</v>
      </c>
      <c r="C3321" s="8">
        <f>QS.CONTEXT.CREATE("market.3319",A3321,"USD","SOFR")</f>
        <v/>
      </c>
      <c r="D3321" s="8">
        <f>QS.CONTEXT.ADD.CURVE(C3321,"SOFR",$K$2:$K$7,$L$2:$L$7,,,"Actual360","LogLinear",TRUE)</f>
        <v/>
      </c>
      <c r="E3321" s="8">
        <f>QS.INSTRUMENT.SWAP("swap.3319",C3321,H3321,B3321,"USD","SOFR",I3321,J3321,0,"Actual360","Simple","Annual","Annual","Annual")</f>
        <v/>
      </c>
      <c r="F3321" s="8">
        <f>QS.TRADE.CREATE("trade.3319",C3321,E3321,A3321,"Receive")</f>
        <v/>
      </c>
      <c r="G3321" s="5"/>
      <c r="H3321" s="7" t="s">
        <v>3029</v>
      </c>
      <c r="I3321" s="9">
        <v>1331900</v>
      </c>
      <c r="J3321" s="10">
        <v>0.0369</v>
      </c>
    </row>
    <row r="3322" spans="1:10">
      <c r="A3322" s="7" t="s">
        <v>3017</v>
      </c>
      <c r="B3322" s="7" t="s">
        <v>5189</v>
      </c>
      <c r="C3322" s="8">
        <f>QS.CONTEXT.CREATE("market.3320",A3322,"USD","SOFR")</f>
        <v/>
      </c>
      <c r="D3322" s="8">
        <f>QS.CONTEXT.ADD.CURVE(C3322,"SOFR",$K$2:$K$7,$L$2:$L$7,,,"Actual360","LogLinear",TRUE)</f>
        <v/>
      </c>
      <c r="E3322" s="8">
        <f>QS.INSTRUMENT.SWAP("swap.3320",C3322,H3322,B3322,"USD","SOFR",I3322,J3322,0,"Actual360","Simple","Annual","Annual","Annual")</f>
        <v/>
      </c>
      <c r="F3322" s="8">
        <f>QS.TRADE.CREATE("trade.3320",C3322,E3322,A3322,"Receive")</f>
        <v/>
      </c>
      <c r="G3322" s="5"/>
      <c r="H3322" s="7" t="s">
        <v>3031</v>
      </c>
      <c r="I3322" s="9">
        <v>1332000</v>
      </c>
      <c r="J3322" s="10">
        <v>0.03700000000000001</v>
      </c>
    </row>
    <row r="3323" spans="1:10">
      <c r="A3323" s="7" t="s">
        <v>3019</v>
      </c>
      <c r="B3323" s="7" t="s">
        <v>5190</v>
      </c>
      <c r="C3323" s="8">
        <f>QS.CONTEXT.CREATE("market.3321",A3323,"USD","SOFR")</f>
        <v/>
      </c>
      <c r="D3323" s="8">
        <f>QS.CONTEXT.ADD.CURVE(C3323,"SOFR",$K$2:$K$7,$L$2:$L$7,,,"Actual360","LogLinear",TRUE)</f>
        <v/>
      </c>
      <c r="E3323" s="8">
        <f>QS.INSTRUMENT.SWAP("swap.3321",C3323,H3323,B3323,"USD","SOFR",I3323,J3323,0,"Actual360","Simple","Annual","Annual","Annual")</f>
        <v/>
      </c>
      <c r="F3323" s="8">
        <f>QS.TRADE.CREATE("trade.3321",C3323,E3323,A3323,"Receive")</f>
        <v/>
      </c>
      <c r="G3323" s="5"/>
      <c r="H3323" s="7" t="s">
        <v>3033</v>
      </c>
      <c r="I3323" s="9">
        <v>1332100</v>
      </c>
      <c r="J3323" s="10">
        <v>0.0371</v>
      </c>
    </row>
    <row r="3324" spans="1:10">
      <c r="A3324" s="7" t="s">
        <v>3021</v>
      </c>
      <c r="B3324" s="7" t="s">
        <v>5191</v>
      </c>
      <c r="C3324" s="8">
        <f>QS.CONTEXT.CREATE("market.3322",A3324,"USD","SOFR")</f>
        <v/>
      </c>
      <c r="D3324" s="8">
        <f>QS.CONTEXT.ADD.CURVE(C3324,"SOFR",$K$2:$K$7,$L$2:$L$7,,,"Actual360","LogLinear",TRUE)</f>
        <v/>
      </c>
      <c r="E3324" s="8">
        <f>QS.INSTRUMENT.SWAP("swap.3322",C3324,H3324,B3324,"USD","SOFR",I3324,J3324,0,"Actual360","Simple","Annual","Annual","Annual")</f>
        <v/>
      </c>
      <c r="F3324" s="8">
        <f>QS.TRADE.CREATE("trade.3322",C3324,E3324,A3324,"Receive")</f>
        <v/>
      </c>
      <c r="G3324" s="5"/>
      <c r="H3324" s="7" t="s">
        <v>3035</v>
      </c>
      <c r="I3324" s="9">
        <v>1332200</v>
      </c>
      <c r="J3324" s="10">
        <v>0.0372</v>
      </c>
    </row>
    <row r="3325" spans="1:10">
      <c r="A3325" s="7" t="s">
        <v>3023</v>
      </c>
      <c r="B3325" s="7" t="s">
        <v>5192</v>
      </c>
      <c r="C3325" s="8">
        <f>QS.CONTEXT.CREATE("market.3323",A3325,"USD","SOFR")</f>
        <v/>
      </c>
      <c r="D3325" s="8">
        <f>QS.CONTEXT.ADD.CURVE(C3325,"SOFR",$K$2:$K$7,$L$2:$L$7,,,"Actual360","LogLinear",TRUE)</f>
        <v/>
      </c>
      <c r="E3325" s="8">
        <f>QS.INSTRUMENT.SWAP("swap.3323",C3325,H3325,B3325,"USD","SOFR",I3325,J3325,0,"Actual360","Simple","Annual","Annual","Annual")</f>
        <v/>
      </c>
      <c r="F3325" s="8">
        <f>QS.TRADE.CREATE("trade.3323",C3325,E3325,A3325,"Receive")</f>
        <v/>
      </c>
      <c r="G3325" s="5"/>
      <c r="H3325" s="7" t="s">
        <v>3037</v>
      </c>
      <c r="I3325" s="9">
        <v>1332300</v>
      </c>
      <c r="J3325" s="10">
        <v>0.0373</v>
      </c>
    </row>
    <row r="3326" spans="1:10">
      <c r="A3326" s="7" t="s">
        <v>3025</v>
      </c>
      <c r="B3326" s="7" t="s">
        <v>5193</v>
      </c>
      <c r="C3326" s="8">
        <f>QS.CONTEXT.CREATE("market.3324",A3326,"USD","SOFR")</f>
        <v/>
      </c>
      <c r="D3326" s="8">
        <f>QS.CONTEXT.ADD.CURVE(C3326,"SOFR",$K$2:$K$7,$L$2:$L$7,,,"Actual360","LogLinear",TRUE)</f>
        <v/>
      </c>
      <c r="E3326" s="8">
        <f>QS.INSTRUMENT.SWAP("swap.3324",C3326,H3326,B3326,"USD","SOFR",I3326,J3326,0,"Actual360","Simple","Annual","Annual","Annual")</f>
        <v/>
      </c>
      <c r="F3326" s="8">
        <f>QS.TRADE.CREATE("trade.3324",C3326,E3326,A3326,"Receive")</f>
        <v/>
      </c>
      <c r="G3326" s="5"/>
      <c r="H3326" s="7" t="s">
        <v>3039</v>
      </c>
      <c r="I3326" s="9">
        <v>1332400</v>
      </c>
      <c r="J3326" s="10">
        <v>0.0374</v>
      </c>
    </row>
    <row r="3327" spans="1:10">
      <c r="A3327" s="7" t="s">
        <v>3027</v>
      </c>
      <c r="B3327" s="7" t="s">
        <v>5194</v>
      </c>
      <c r="C3327" s="8">
        <f>QS.CONTEXT.CREATE("market.3325",A3327,"USD","SOFR")</f>
        <v/>
      </c>
      <c r="D3327" s="8">
        <f>QS.CONTEXT.ADD.CURVE(C3327,"SOFR",$K$2:$K$7,$L$2:$L$7,,,"Actual360","LogLinear",TRUE)</f>
        <v/>
      </c>
      <c r="E3327" s="8">
        <f>QS.INSTRUMENT.SWAP("swap.3325",C3327,H3327,B3327,"USD","SOFR",I3327,J3327,0,"Actual360","Simple","Annual","Annual","Annual")</f>
        <v/>
      </c>
      <c r="F3327" s="8">
        <f>QS.TRADE.CREATE("trade.3325",C3327,E3327,A3327,"Receive")</f>
        <v/>
      </c>
      <c r="G3327" s="5"/>
      <c r="H3327" s="7" t="s">
        <v>3041</v>
      </c>
      <c r="I3327" s="9">
        <v>1332500</v>
      </c>
      <c r="J3327" s="10">
        <v>0.03750000000000001</v>
      </c>
    </row>
    <row r="3328" spans="1:10">
      <c r="A3328" s="7" t="s">
        <v>3029</v>
      </c>
      <c r="B3328" s="7" t="s">
        <v>5195</v>
      </c>
      <c r="C3328" s="8">
        <f>QS.CONTEXT.CREATE("market.3326",A3328,"USD","SOFR")</f>
        <v/>
      </c>
      <c r="D3328" s="8">
        <f>QS.CONTEXT.ADD.CURVE(C3328,"SOFR",$K$2:$K$7,$L$2:$L$7,,,"Actual360","LogLinear",TRUE)</f>
        <v/>
      </c>
      <c r="E3328" s="8">
        <f>QS.INSTRUMENT.SWAP("swap.3326",C3328,H3328,B3328,"USD","SOFR",I3328,J3328,0,"Actual360","Simple","Annual","Annual","Annual")</f>
        <v/>
      </c>
      <c r="F3328" s="8">
        <f>QS.TRADE.CREATE("trade.3326",C3328,E3328,A3328,"Receive")</f>
        <v/>
      </c>
      <c r="G3328" s="5"/>
      <c r="H3328" s="7" t="s">
        <v>3043</v>
      </c>
      <c r="I3328" s="9">
        <v>1332600</v>
      </c>
      <c r="J3328" s="10">
        <v>0.0376</v>
      </c>
    </row>
    <row r="3329" spans="1:10">
      <c r="A3329" s="7" t="s">
        <v>3031</v>
      </c>
      <c r="B3329" s="7" t="s">
        <v>5196</v>
      </c>
      <c r="C3329" s="8">
        <f>QS.CONTEXT.CREATE("market.3327",A3329,"USD","SOFR")</f>
        <v/>
      </c>
      <c r="D3329" s="8">
        <f>QS.CONTEXT.ADD.CURVE(C3329,"SOFR",$K$2:$K$7,$L$2:$L$7,,,"Actual360","LogLinear",TRUE)</f>
        <v/>
      </c>
      <c r="E3329" s="8">
        <f>QS.INSTRUMENT.SWAP("swap.3327",C3329,H3329,B3329,"USD","SOFR",I3329,J3329,0,"Actual360","Simple","Annual","Annual","Annual")</f>
        <v/>
      </c>
      <c r="F3329" s="8">
        <f>QS.TRADE.CREATE("trade.3327",C3329,E3329,A3329,"Receive")</f>
        <v/>
      </c>
      <c r="G3329" s="5"/>
      <c r="H3329" s="7" t="s">
        <v>3045</v>
      </c>
      <c r="I3329" s="9">
        <v>1332700</v>
      </c>
      <c r="J3329" s="10">
        <v>0.0377</v>
      </c>
    </row>
    <row r="3330" spans="1:10">
      <c r="A3330" s="7" t="s">
        <v>3033</v>
      </c>
      <c r="B3330" s="7" t="s">
        <v>5197</v>
      </c>
      <c r="C3330" s="8">
        <f>QS.CONTEXT.CREATE("market.3328",A3330,"USD","SOFR")</f>
        <v/>
      </c>
      <c r="D3330" s="8">
        <f>QS.CONTEXT.ADD.CURVE(C3330,"SOFR",$K$2:$K$7,$L$2:$L$7,,,"Actual360","LogLinear",TRUE)</f>
        <v/>
      </c>
      <c r="E3330" s="8">
        <f>QS.INSTRUMENT.SWAP("swap.3328",C3330,H3330,B3330,"USD","SOFR",I3330,J3330,0,"Actual360","Simple","Annual","Annual","Annual")</f>
        <v/>
      </c>
      <c r="F3330" s="8">
        <f>QS.TRADE.CREATE("trade.3328",C3330,E3330,A3330,"Receive")</f>
        <v/>
      </c>
      <c r="G3330" s="5"/>
      <c r="H3330" s="7" t="s">
        <v>3047</v>
      </c>
      <c r="I3330" s="9">
        <v>1332800</v>
      </c>
      <c r="J3330" s="10">
        <v>0.0378</v>
      </c>
    </row>
    <row r="3331" spans="1:10">
      <c r="A3331" s="7" t="s">
        <v>3035</v>
      </c>
      <c r="B3331" s="7" t="s">
        <v>5198</v>
      </c>
      <c r="C3331" s="8">
        <f>QS.CONTEXT.CREATE("market.3329",A3331,"USD","SOFR")</f>
        <v/>
      </c>
      <c r="D3331" s="8">
        <f>QS.CONTEXT.ADD.CURVE(C3331,"SOFR",$K$2:$K$7,$L$2:$L$7,,,"Actual360","LogLinear",TRUE)</f>
        <v/>
      </c>
      <c r="E3331" s="8">
        <f>QS.INSTRUMENT.SWAP("swap.3329",C3331,H3331,B3331,"USD","SOFR",I3331,J3331,0,"Actual360","Simple","Annual","Annual","Annual")</f>
        <v/>
      </c>
      <c r="F3331" s="8">
        <f>QS.TRADE.CREATE("trade.3329",C3331,E3331,A3331,"Receive")</f>
        <v/>
      </c>
      <c r="G3331" s="5"/>
      <c r="H3331" s="7" t="s">
        <v>3049</v>
      </c>
      <c r="I3331" s="9">
        <v>1332900</v>
      </c>
      <c r="J3331" s="10">
        <v>0.0379</v>
      </c>
    </row>
    <row r="3332" spans="1:10">
      <c r="A3332" s="7" t="s">
        <v>3037</v>
      </c>
      <c r="B3332" s="7" t="s">
        <v>5199</v>
      </c>
      <c r="C3332" s="8">
        <f>QS.CONTEXT.CREATE("market.3330",A3332,"USD","SOFR")</f>
        <v/>
      </c>
      <c r="D3332" s="8">
        <f>QS.CONTEXT.ADD.CURVE(C3332,"SOFR",$K$2:$K$7,$L$2:$L$7,,,"Actual360","LogLinear",TRUE)</f>
        <v/>
      </c>
      <c r="E3332" s="8">
        <f>QS.INSTRUMENT.SWAP("swap.3330",C3332,H3332,B3332,"USD","SOFR",I3332,J3332,0,"Actual360","Simple","Annual","Annual","Annual")</f>
        <v/>
      </c>
      <c r="F3332" s="8">
        <f>QS.TRADE.CREATE("trade.3330",C3332,E3332,A3332,"Receive")</f>
        <v/>
      </c>
      <c r="G3332" s="5"/>
      <c r="H3332" s="7" t="s">
        <v>3051</v>
      </c>
      <c r="I3332" s="9">
        <v>1333000</v>
      </c>
      <c r="J3332" s="10">
        <v>0.03800000000000001</v>
      </c>
    </row>
    <row r="3333" spans="1:10">
      <c r="A3333" s="7" t="s">
        <v>3039</v>
      </c>
      <c r="B3333" s="7" t="s">
        <v>5200</v>
      </c>
      <c r="C3333" s="8">
        <f>QS.CONTEXT.CREATE("market.3331",A3333,"USD","SOFR")</f>
        <v/>
      </c>
      <c r="D3333" s="8">
        <f>QS.CONTEXT.ADD.CURVE(C3333,"SOFR",$K$2:$K$7,$L$2:$L$7,,,"Actual360","LogLinear",TRUE)</f>
        <v/>
      </c>
      <c r="E3333" s="8">
        <f>QS.INSTRUMENT.SWAP("swap.3331",C3333,H3333,B3333,"USD","SOFR",I3333,J3333,0,"Actual360","Simple","Annual","Annual","Annual")</f>
        <v/>
      </c>
      <c r="F3333" s="8">
        <f>QS.TRADE.CREATE("trade.3331",C3333,E3333,A3333,"Receive")</f>
        <v/>
      </c>
      <c r="G3333" s="5"/>
      <c r="H3333" s="7" t="s">
        <v>3053</v>
      </c>
      <c r="I3333" s="9">
        <v>1333100</v>
      </c>
      <c r="J3333" s="10">
        <v>0.0381</v>
      </c>
    </row>
    <row r="3334" spans="1:10">
      <c r="A3334" s="7" t="s">
        <v>3041</v>
      </c>
      <c r="B3334" s="7" t="s">
        <v>5201</v>
      </c>
      <c r="C3334" s="8">
        <f>QS.CONTEXT.CREATE("market.3332",A3334,"USD","SOFR")</f>
        <v/>
      </c>
      <c r="D3334" s="8">
        <f>QS.CONTEXT.ADD.CURVE(C3334,"SOFR",$K$2:$K$7,$L$2:$L$7,,,"Actual360","LogLinear",TRUE)</f>
        <v/>
      </c>
      <c r="E3334" s="8">
        <f>QS.INSTRUMENT.SWAP("swap.3332",C3334,H3334,B3334,"USD","SOFR",I3334,J3334,0,"Actual360","Simple","Annual","Annual","Annual")</f>
        <v/>
      </c>
      <c r="F3334" s="8">
        <f>QS.TRADE.CREATE("trade.3332",C3334,E3334,A3334,"Receive")</f>
        <v/>
      </c>
      <c r="G3334" s="5"/>
      <c r="H3334" s="7" t="s">
        <v>3055</v>
      </c>
      <c r="I3334" s="9">
        <v>1333200</v>
      </c>
      <c r="J3334" s="10">
        <v>0.0382</v>
      </c>
    </row>
    <row r="3335" spans="1:10">
      <c r="A3335" s="7" t="s">
        <v>3043</v>
      </c>
      <c r="B3335" s="7" t="s">
        <v>5202</v>
      </c>
      <c r="C3335" s="8">
        <f>QS.CONTEXT.CREATE("market.3333",A3335,"USD","SOFR")</f>
        <v/>
      </c>
      <c r="D3335" s="8">
        <f>QS.CONTEXT.ADD.CURVE(C3335,"SOFR",$K$2:$K$7,$L$2:$L$7,,,"Actual360","LogLinear",TRUE)</f>
        <v/>
      </c>
      <c r="E3335" s="8">
        <f>QS.INSTRUMENT.SWAP("swap.3333",C3335,H3335,B3335,"USD","SOFR",I3335,J3335,0,"Actual360","Simple","Annual","Annual","Annual")</f>
        <v/>
      </c>
      <c r="F3335" s="8">
        <f>QS.TRADE.CREATE("trade.3333",C3335,E3335,A3335,"Receive")</f>
        <v/>
      </c>
      <c r="G3335" s="5"/>
      <c r="H3335" s="7" t="s">
        <v>3057</v>
      </c>
      <c r="I3335" s="9">
        <v>1333300</v>
      </c>
      <c r="J3335" s="10">
        <v>0.0383</v>
      </c>
    </row>
    <row r="3336" spans="1:10">
      <c r="A3336" s="7" t="s">
        <v>3045</v>
      </c>
      <c r="B3336" s="7" t="s">
        <v>5203</v>
      </c>
      <c r="C3336" s="8">
        <f>QS.CONTEXT.CREATE("market.3334",A3336,"USD","SOFR")</f>
        <v/>
      </c>
      <c r="D3336" s="8">
        <f>QS.CONTEXT.ADD.CURVE(C3336,"SOFR",$K$2:$K$7,$L$2:$L$7,,,"Actual360","LogLinear",TRUE)</f>
        <v/>
      </c>
      <c r="E3336" s="8">
        <f>QS.INSTRUMENT.SWAP("swap.3334",C3336,H3336,B3336,"USD","SOFR",I3336,J3336,0,"Actual360","Simple","Annual","Annual","Annual")</f>
        <v/>
      </c>
      <c r="F3336" s="8">
        <f>QS.TRADE.CREATE("trade.3334",C3336,E3336,A3336,"Receive")</f>
        <v/>
      </c>
      <c r="G3336" s="5"/>
      <c r="H3336" s="7" t="s">
        <v>3059</v>
      </c>
      <c r="I3336" s="9">
        <v>1333400</v>
      </c>
      <c r="J3336" s="10">
        <v>0.0384</v>
      </c>
    </row>
    <row r="3337" spans="1:10">
      <c r="A3337" s="7" t="s">
        <v>3047</v>
      </c>
      <c r="B3337" s="7" t="s">
        <v>5204</v>
      </c>
      <c r="C3337" s="8">
        <f>QS.CONTEXT.CREATE("market.3335",A3337,"USD","SOFR")</f>
        <v/>
      </c>
      <c r="D3337" s="8">
        <f>QS.CONTEXT.ADD.CURVE(C3337,"SOFR",$K$2:$K$7,$L$2:$L$7,,,"Actual360","LogLinear",TRUE)</f>
        <v/>
      </c>
      <c r="E3337" s="8">
        <f>QS.INSTRUMENT.SWAP("swap.3335",C3337,H3337,B3337,"USD","SOFR",I3337,J3337,0,"Actual360","Simple","Annual","Annual","Annual")</f>
        <v/>
      </c>
      <c r="F3337" s="8">
        <f>QS.TRADE.CREATE("trade.3335",C3337,E3337,A3337,"Receive")</f>
        <v/>
      </c>
      <c r="G3337" s="5"/>
      <c r="H3337" s="7" t="s">
        <v>3061</v>
      </c>
      <c r="I3337" s="9">
        <v>1333500</v>
      </c>
      <c r="J3337" s="10">
        <v>0.03850000000000001</v>
      </c>
    </row>
    <row r="3338" spans="1:10">
      <c r="A3338" s="7" t="s">
        <v>3049</v>
      </c>
      <c r="B3338" s="7" t="s">
        <v>5205</v>
      </c>
      <c r="C3338" s="8">
        <f>QS.CONTEXT.CREATE("market.3336",A3338,"USD","SOFR")</f>
        <v/>
      </c>
      <c r="D3338" s="8">
        <f>QS.CONTEXT.ADD.CURVE(C3338,"SOFR",$K$2:$K$7,$L$2:$L$7,,,"Actual360","LogLinear",TRUE)</f>
        <v/>
      </c>
      <c r="E3338" s="8">
        <f>QS.INSTRUMENT.SWAP("swap.3336",C3338,H3338,B3338,"USD","SOFR",I3338,J3338,0,"Actual360","Simple","Annual","Annual","Annual")</f>
        <v/>
      </c>
      <c r="F3338" s="8">
        <f>QS.TRADE.CREATE("trade.3336",C3338,E3338,A3338,"Receive")</f>
        <v/>
      </c>
      <c r="G3338" s="5"/>
      <c r="H3338" s="7" t="s">
        <v>3063</v>
      </c>
      <c r="I3338" s="9">
        <v>1333600</v>
      </c>
      <c r="J3338" s="10">
        <v>0.0386</v>
      </c>
    </row>
    <row r="3339" spans="1:10">
      <c r="A3339" s="7" t="s">
        <v>3051</v>
      </c>
      <c r="B3339" s="7" t="s">
        <v>5206</v>
      </c>
      <c r="C3339" s="8">
        <f>QS.CONTEXT.CREATE("market.3337",A3339,"USD","SOFR")</f>
        <v/>
      </c>
      <c r="D3339" s="8">
        <f>QS.CONTEXT.ADD.CURVE(C3339,"SOFR",$K$2:$K$7,$L$2:$L$7,,,"Actual360","LogLinear",TRUE)</f>
        <v/>
      </c>
      <c r="E3339" s="8">
        <f>QS.INSTRUMENT.SWAP("swap.3337",C3339,H3339,B3339,"USD","SOFR",I3339,J3339,0,"Actual360","Simple","Annual","Annual","Annual")</f>
        <v/>
      </c>
      <c r="F3339" s="8">
        <f>QS.TRADE.CREATE("trade.3337",C3339,E3339,A3339,"Receive")</f>
        <v/>
      </c>
      <c r="G3339" s="5"/>
      <c r="H3339" s="7" t="s">
        <v>3065</v>
      </c>
      <c r="I3339" s="9">
        <v>1333700</v>
      </c>
      <c r="J3339" s="10">
        <v>0.03870000000000001</v>
      </c>
    </row>
    <row r="3340" spans="1:10">
      <c r="A3340" s="7" t="s">
        <v>3053</v>
      </c>
      <c r="B3340" s="7" t="s">
        <v>5207</v>
      </c>
      <c r="C3340" s="8">
        <f>QS.CONTEXT.CREATE("market.3338",A3340,"USD","SOFR")</f>
        <v/>
      </c>
      <c r="D3340" s="8">
        <f>QS.CONTEXT.ADD.CURVE(C3340,"SOFR",$K$2:$K$7,$L$2:$L$7,,,"Actual360","LogLinear",TRUE)</f>
        <v/>
      </c>
      <c r="E3340" s="8">
        <f>QS.INSTRUMENT.SWAP("swap.3338",C3340,H3340,B3340,"USD","SOFR",I3340,J3340,0,"Actual360","Simple","Annual","Annual","Annual")</f>
        <v/>
      </c>
      <c r="F3340" s="8">
        <f>QS.TRADE.CREATE("trade.3338",C3340,E3340,A3340,"Receive")</f>
        <v/>
      </c>
      <c r="G3340" s="5"/>
      <c r="H3340" s="7" t="s">
        <v>3067</v>
      </c>
      <c r="I3340" s="9">
        <v>1333800</v>
      </c>
      <c r="J3340" s="10">
        <v>0.0388</v>
      </c>
    </row>
    <row r="3341" spans="1:10">
      <c r="A3341" s="7" t="s">
        <v>3055</v>
      </c>
      <c r="B3341" s="7" t="s">
        <v>5208</v>
      </c>
      <c r="C3341" s="8">
        <f>QS.CONTEXT.CREATE("market.3339",A3341,"USD","SOFR")</f>
        <v/>
      </c>
      <c r="D3341" s="8">
        <f>QS.CONTEXT.ADD.CURVE(C3341,"SOFR",$K$2:$K$7,$L$2:$L$7,,,"Actual360","LogLinear",TRUE)</f>
        <v/>
      </c>
      <c r="E3341" s="8">
        <f>QS.INSTRUMENT.SWAP("swap.3339",C3341,H3341,B3341,"USD","SOFR",I3341,J3341,0,"Actual360","Simple","Annual","Annual","Annual")</f>
        <v/>
      </c>
      <c r="F3341" s="8">
        <f>QS.TRADE.CREATE("trade.3339",C3341,E3341,A3341,"Receive")</f>
        <v/>
      </c>
      <c r="G3341" s="5"/>
      <c r="H3341" s="7" t="s">
        <v>3069</v>
      </c>
      <c r="I3341" s="9">
        <v>1333900</v>
      </c>
      <c r="J3341" s="10">
        <v>0.0389</v>
      </c>
    </row>
    <row r="3342" spans="1:10">
      <c r="A3342" s="7" t="s">
        <v>3057</v>
      </c>
      <c r="B3342" s="7" t="s">
        <v>5209</v>
      </c>
      <c r="C3342" s="8">
        <f>QS.CONTEXT.CREATE("market.3340",A3342,"USD","SOFR")</f>
        <v/>
      </c>
      <c r="D3342" s="8">
        <f>QS.CONTEXT.ADD.CURVE(C3342,"SOFR",$K$2:$K$7,$L$2:$L$7,,,"Actual360","LogLinear",TRUE)</f>
        <v/>
      </c>
      <c r="E3342" s="8">
        <f>QS.INSTRUMENT.SWAP("swap.3340",C3342,H3342,B3342,"USD","SOFR",I3342,J3342,0,"Actual360","Simple","Annual","Annual","Annual")</f>
        <v/>
      </c>
      <c r="F3342" s="8">
        <f>QS.TRADE.CREATE("trade.3340",C3342,E3342,A3342,"Receive")</f>
        <v/>
      </c>
      <c r="G3342" s="5"/>
      <c r="H3342" s="7" t="s">
        <v>3071</v>
      </c>
      <c r="I3342" s="9">
        <v>1334000</v>
      </c>
      <c r="J3342" s="10">
        <v>0.03900000000000001</v>
      </c>
    </row>
    <row r="3343" spans="1:10">
      <c r="A3343" s="7" t="s">
        <v>3059</v>
      </c>
      <c r="B3343" s="7" t="s">
        <v>5210</v>
      </c>
      <c r="C3343" s="8">
        <f>QS.CONTEXT.CREATE("market.3341",A3343,"USD","SOFR")</f>
        <v/>
      </c>
      <c r="D3343" s="8">
        <f>QS.CONTEXT.ADD.CURVE(C3343,"SOFR",$K$2:$K$7,$L$2:$L$7,,,"Actual360","LogLinear",TRUE)</f>
        <v/>
      </c>
      <c r="E3343" s="8">
        <f>QS.INSTRUMENT.SWAP("swap.3341",C3343,H3343,B3343,"USD","SOFR",I3343,J3343,0,"Actual360","Simple","Annual","Annual","Annual")</f>
        <v/>
      </c>
      <c r="F3343" s="8">
        <f>QS.TRADE.CREATE("trade.3341",C3343,E3343,A3343,"Receive")</f>
        <v/>
      </c>
      <c r="G3343" s="5"/>
      <c r="H3343" s="7" t="s">
        <v>3073</v>
      </c>
      <c r="I3343" s="9">
        <v>1334100</v>
      </c>
      <c r="J3343" s="10">
        <v>0.0391</v>
      </c>
    </row>
    <row r="3344" spans="1:10">
      <c r="A3344" s="7" t="s">
        <v>3061</v>
      </c>
      <c r="B3344" s="7" t="s">
        <v>5211</v>
      </c>
      <c r="C3344" s="8">
        <f>QS.CONTEXT.CREATE("market.3342",A3344,"USD","SOFR")</f>
        <v/>
      </c>
      <c r="D3344" s="8">
        <f>QS.CONTEXT.ADD.CURVE(C3344,"SOFR",$K$2:$K$7,$L$2:$L$7,,,"Actual360","LogLinear",TRUE)</f>
        <v/>
      </c>
      <c r="E3344" s="8">
        <f>QS.INSTRUMENT.SWAP("swap.3342",C3344,H3344,B3344,"USD","SOFR",I3344,J3344,0,"Actual360","Simple","Annual","Annual","Annual")</f>
        <v/>
      </c>
      <c r="F3344" s="8">
        <f>QS.TRADE.CREATE("trade.3342",C3344,E3344,A3344,"Receive")</f>
        <v/>
      </c>
      <c r="G3344" s="5"/>
      <c r="H3344" s="7" t="s">
        <v>3075</v>
      </c>
      <c r="I3344" s="9">
        <v>1334200</v>
      </c>
      <c r="J3344" s="10">
        <v>0.03920000000000001</v>
      </c>
    </row>
    <row r="3345" spans="1:10">
      <c r="A3345" s="7" t="s">
        <v>3063</v>
      </c>
      <c r="B3345" s="7" t="s">
        <v>5212</v>
      </c>
      <c r="C3345" s="8">
        <f>QS.CONTEXT.CREATE("market.3343",A3345,"USD","SOFR")</f>
        <v/>
      </c>
      <c r="D3345" s="8">
        <f>QS.CONTEXT.ADD.CURVE(C3345,"SOFR",$K$2:$K$7,$L$2:$L$7,,,"Actual360","LogLinear",TRUE)</f>
        <v/>
      </c>
      <c r="E3345" s="8">
        <f>QS.INSTRUMENT.SWAP("swap.3343",C3345,H3345,B3345,"USD","SOFR",I3345,J3345,0,"Actual360","Simple","Annual","Annual","Annual")</f>
        <v/>
      </c>
      <c r="F3345" s="8">
        <f>QS.TRADE.CREATE("trade.3343",C3345,E3345,A3345,"Receive")</f>
        <v/>
      </c>
      <c r="G3345" s="5"/>
      <c r="H3345" s="7" t="s">
        <v>3077</v>
      </c>
      <c r="I3345" s="9">
        <v>1334300</v>
      </c>
      <c r="J3345" s="10">
        <v>0.0393</v>
      </c>
    </row>
    <row r="3346" spans="1:10">
      <c r="A3346" s="7" t="s">
        <v>3065</v>
      </c>
      <c r="B3346" s="7" t="s">
        <v>5213</v>
      </c>
      <c r="C3346" s="8">
        <f>QS.CONTEXT.CREATE("market.3344",A3346,"USD","SOFR")</f>
        <v/>
      </c>
      <c r="D3346" s="8">
        <f>QS.CONTEXT.ADD.CURVE(C3346,"SOFR",$K$2:$K$7,$L$2:$L$7,,,"Actual360","LogLinear",TRUE)</f>
        <v/>
      </c>
      <c r="E3346" s="8">
        <f>QS.INSTRUMENT.SWAP("swap.3344",C3346,H3346,B3346,"USD","SOFR",I3346,J3346,0,"Actual360","Simple","Annual","Annual","Annual")</f>
        <v/>
      </c>
      <c r="F3346" s="8">
        <f>QS.TRADE.CREATE("trade.3344",C3346,E3346,A3346,"Receive")</f>
        <v/>
      </c>
      <c r="G3346" s="5"/>
      <c r="H3346" s="7" t="s">
        <v>3079</v>
      </c>
      <c r="I3346" s="9">
        <v>1334400</v>
      </c>
      <c r="J3346" s="10">
        <v>0.0394</v>
      </c>
    </row>
    <row r="3347" spans="1:10">
      <c r="A3347" s="7" t="s">
        <v>3067</v>
      </c>
      <c r="B3347" s="7" t="s">
        <v>5214</v>
      </c>
      <c r="C3347" s="8">
        <f>QS.CONTEXT.CREATE("market.3345",A3347,"USD","SOFR")</f>
        <v/>
      </c>
      <c r="D3347" s="8">
        <f>QS.CONTEXT.ADD.CURVE(C3347,"SOFR",$K$2:$K$7,$L$2:$L$7,,,"Actual360","LogLinear",TRUE)</f>
        <v/>
      </c>
      <c r="E3347" s="8">
        <f>QS.INSTRUMENT.SWAP("swap.3345",C3347,H3347,B3347,"USD","SOFR",I3347,J3347,0,"Actual360","Simple","Annual","Annual","Annual")</f>
        <v/>
      </c>
      <c r="F3347" s="8">
        <f>QS.TRADE.CREATE("trade.3345",C3347,E3347,A3347,"Receive")</f>
        <v/>
      </c>
      <c r="G3347" s="5"/>
      <c r="H3347" s="7" t="s">
        <v>3081</v>
      </c>
      <c r="I3347" s="9">
        <v>1334500</v>
      </c>
      <c r="J3347" s="10">
        <v>0.03950000000000001</v>
      </c>
    </row>
    <row r="3348" spans="1:10">
      <c r="A3348" s="7" t="s">
        <v>3069</v>
      </c>
      <c r="B3348" s="7" t="s">
        <v>5215</v>
      </c>
      <c r="C3348" s="8">
        <f>QS.CONTEXT.CREATE("market.3346",A3348,"USD","SOFR")</f>
        <v/>
      </c>
      <c r="D3348" s="8">
        <f>QS.CONTEXT.ADD.CURVE(C3348,"SOFR",$K$2:$K$7,$L$2:$L$7,,,"Actual360","LogLinear",TRUE)</f>
        <v/>
      </c>
      <c r="E3348" s="8">
        <f>QS.INSTRUMENT.SWAP("swap.3346",C3348,H3348,B3348,"USD","SOFR",I3348,J3348,0,"Actual360","Simple","Annual","Annual","Annual")</f>
        <v/>
      </c>
      <c r="F3348" s="8">
        <f>QS.TRADE.CREATE("trade.3346",C3348,E3348,A3348,"Receive")</f>
        <v/>
      </c>
      <c r="G3348" s="5"/>
      <c r="H3348" s="7" t="s">
        <v>3083</v>
      </c>
      <c r="I3348" s="9">
        <v>1334600</v>
      </c>
      <c r="J3348" s="10">
        <v>0.0396</v>
      </c>
    </row>
    <row r="3349" spans="1:10">
      <c r="A3349" s="7" t="s">
        <v>3071</v>
      </c>
      <c r="B3349" s="7" t="s">
        <v>5216</v>
      </c>
      <c r="C3349" s="8">
        <f>QS.CONTEXT.CREATE("market.3347",A3349,"USD","SOFR")</f>
        <v/>
      </c>
      <c r="D3349" s="8">
        <f>QS.CONTEXT.ADD.CURVE(C3349,"SOFR",$K$2:$K$7,$L$2:$L$7,,,"Actual360","LogLinear",TRUE)</f>
        <v/>
      </c>
      <c r="E3349" s="8">
        <f>QS.INSTRUMENT.SWAP("swap.3347",C3349,H3349,B3349,"USD","SOFR",I3349,J3349,0,"Actual360","Simple","Annual","Annual","Annual")</f>
        <v/>
      </c>
      <c r="F3349" s="8">
        <f>QS.TRADE.CREATE("trade.3347",C3349,E3349,A3349,"Receive")</f>
        <v/>
      </c>
      <c r="G3349" s="5"/>
      <c r="H3349" s="7" t="s">
        <v>3085</v>
      </c>
      <c r="I3349" s="9">
        <v>1334700</v>
      </c>
      <c r="J3349" s="10">
        <v>0.03970000000000001</v>
      </c>
    </row>
    <row r="3350" spans="1:10">
      <c r="A3350" s="7" t="s">
        <v>3073</v>
      </c>
      <c r="B3350" s="7" t="s">
        <v>5217</v>
      </c>
      <c r="C3350" s="8">
        <f>QS.CONTEXT.CREATE("market.3348",A3350,"USD","SOFR")</f>
        <v/>
      </c>
      <c r="D3350" s="8">
        <f>QS.CONTEXT.ADD.CURVE(C3350,"SOFR",$K$2:$K$7,$L$2:$L$7,,,"Actual360","LogLinear",TRUE)</f>
        <v/>
      </c>
      <c r="E3350" s="8">
        <f>QS.INSTRUMENT.SWAP("swap.3348",C3350,H3350,B3350,"USD","SOFR",I3350,J3350,0,"Actual360","Simple","Annual","Annual","Annual")</f>
        <v/>
      </c>
      <c r="F3350" s="8">
        <f>QS.TRADE.CREATE("trade.3348",C3350,E3350,A3350,"Receive")</f>
        <v/>
      </c>
      <c r="G3350" s="5"/>
      <c r="H3350" s="7" t="s">
        <v>3087</v>
      </c>
      <c r="I3350" s="9">
        <v>1334800</v>
      </c>
      <c r="J3350" s="10">
        <v>0.0398</v>
      </c>
    </row>
    <row r="3351" spans="1:10">
      <c r="A3351" s="7" t="s">
        <v>3075</v>
      </c>
      <c r="B3351" s="7" t="s">
        <v>5218</v>
      </c>
      <c r="C3351" s="8">
        <f>QS.CONTEXT.CREATE("market.3349",A3351,"USD","SOFR")</f>
        <v/>
      </c>
      <c r="D3351" s="8">
        <f>QS.CONTEXT.ADD.CURVE(C3351,"SOFR",$K$2:$K$7,$L$2:$L$7,,,"Actual360","LogLinear",TRUE)</f>
        <v/>
      </c>
      <c r="E3351" s="8">
        <f>QS.INSTRUMENT.SWAP("swap.3349",C3351,H3351,B3351,"USD","SOFR",I3351,J3351,0,"Actual360","Simple","Annual","Annual","Annual")</f>
        <v/>
      </c>
      <c r="F3351" s="8">
        <f>QS.TRADE.CREATE("trade.3349",C3351,E3351,A3351,"Receive")</f>
        <v/>
      </c>
      <c r="G3351" s="5"/>
      <c r="H3351" s="7" t="s">
        <v>3089</v>
      </c>
      <c r="I3351" s="9">
        <v>1334900</v>
      </c>
      <c r="J3351" s="10">
        <v>0.0399</v>
      </c>
    </row>
    <row r="3352" spans="1:10">
      <c r="A3352" s="7" t="s">
        <v>3077</v>
      </c>
      <c r="B3352" s="7" t="s">
        <v>5219</v>
      </c>
      <c r="C3352" s="8">
        <f>QS.CONTEXT.CREATE("market.3350",A3352,"USD","SOFR")</f>
        <v/>
      </c>
      <c r="D3352" s="8">
        <f>QS.CONTEXT.ADD.CURVE(C3352,"SOFR",$K$2:$K$7,$L$2:$L$7,,,"Actual360","LogLinear",TRUE)</f>
        <v/>
      </c>
      <c r="E3352" s="8">
        <f>QS.INSTRUMENT.SWAP("swap.3350",C3352,H3352,B3352,"USD","SOFR",I3352,J3352,0,"Actual360","Simple","Annual","Annual","Annual")</f>
        <v/>
      </c>
      <c r="F3352" s="8">
        <f>QS.TRADE.CREATE("trade.3350",C3352,E3352,A3352,"Receive")</f>
        <v/>
      </c>
      <c r="G3352" s="5"/>
      <c r="H3352" s="7" t="s">
        <v>3091</v>
      </c>
      <c r="I3352" s="9">
        <v>1335000</v>
      </c>
      <c r="J3352" s="10">
        <v>0.035</v>
      </c>
    </row>
    <row r="3353" spans="1:10">
      <c r="A3353" s="7" t="s">
        <v>3079</v>
      </c>
      <c r="B3353" s="7" t="s">
        <v>5220</v>
      </c>
      <c r="C3353" s="8">
        <f>QS.CONTEXT.CREATE("market.3351",A3353,"USD","SOFR")</f>
        <v/>
      </c>
      <c r="D3353" s="8">
        <f>QS.CONTEXT.ADD.CURVE(C3353,"SOFR",$K$2:$K$7,$L$2:$L$7,,,"Actual360","LogLinear",TRUE)</f>
        <v/>
      </c>
      <c r="E3353" s="8">
        <f>QS.INSTRUMENT.SWAP("swap.3351",C3353,H3353,B3353,"USD","SOFR",I3353,J3353,0,"Actual360","Simple","Annual","Annual","Annual")</f>
        <v/>
      </c>
      <c r="F3353" s="8">
        <f>QS.TRADE.CREATE("trade.3351",C3353,E3353,A3353,"Receive")</f>
        <v/>
      </c>
      <c r="G3353" s="5"/>
      <c r="H3353" s="7" t="s">
        <v>3093</v>
      </c>
      <c r="I3353" s="9">
        <v>1335100</v>
      </c>
      <c r="J3353" s="10">
        <v>0.03510000000000001</v>
      </c>
    </row>
    <row r="3354" spans="1:10">
      <c r="A3354" s="7" t="s">
        <v>3081</v>
      </c>
      <c r="B3354" s="7" t="s">
        <v>5221</v>
      </c>
      <c r="C3354" s="8">
        <f>QS.CONTEXT.CREATE("market.3352",A3354,"USD","SOFR")</f>
        <v/>
      </c>
      <c r="D3354" s="8">
        <f>QS.CONTEXT.ADD.CURVE(C3354,"SOFR",$K$2:$K$7,$L$2:$L$7,,,"Actual360","LogLinear",TRUE)</f>
        <v/>
      </c>
      <c r="E3354" s="8">
        <f>QS.INSTRUMENT.SWAP("swap.3352",C3354,H3354,B3354,"USD","SOFR",I3354,J3354,0,"Actual360","Simple","Annual","Annual","Annual")</f>
        <v/>
      </c>
      <c r="F3354" s="8">
        <f>QS.TRADE.CREATE("trade.3352",C3354,E3354,A3354,"Receive")</f>
        <v/>
      </c>
      <c r="G3354" s="5"/>
      <c r="H3354" s="7" t="s">
        <v>3095</v>
      </c>
      <c r="I3354" s="9">
        <v>1335200</v>
      </c>
      <c r="J3354" s="10">
        <v>0.0352</v>
      </c>
    </row>
    <row r="3355" spans="1:10">
      <c r="A3355" s="7" t="s">
        <v>3083</v>
      </c>
      <c r="B3355" s="7" t="s">
        <v>5222</v>
      </c>
      <c r="C3355" s="8">
        <f>QS.CONTEXT.CREATE("market.3353",A3355,"USD","SOFR")</f>
        <v/>
      </c>
      <c r="D3355" s="8">
        <f>QS.CONTEXT.ADD.CURVE(C3355,"SOFR",$K$2:$K$7,$L$2:$L$7,,,"Actual360","LogLinear",TRUE)</f>
        <v/>
      </c>
      <c r="E3355" s="8">
        <f>QS.INSTRUMENT.SWAP("swap.3353",C3355,H3355,B3355,"USD","SOFR",I3355,J3355,0,"Actual360","Simple","Annual","Annual","Annual")</f>
        <v/>
      </c>
      <c r="F3355" s="8">
        <f>QS.TRADE.CREATE("trade.3353",C3355,E3355,A3355,"Receive")</f>
        <v/>
      </c>
      <c r="G3355" s="5"/>
      <c r="H3355" s="7" t="s">
        <v>3097</v>
      </c>
      <c r="I3355" s="9">
        <v>1335300</v>
      </c>
      <c r="J3355" s="10">
        <v>0.0353</v>
      </c>
    </row>
    <row r="3356" spans="1:10">
      <c r="A3356" s="7" t="s">
        <v>3085</v>
      </c>
      <c r="B3356" s="7" t="s">
        <v>5223</v>
      </c>
      <c r="C3356" s="8">
        <f>QS.CONTEXT.CREATE("market.3354",A3356,"USD","SOFR")</f>
        <v/>
      </c>
      <c r="D3356" s="8">
        <f>QS.CONTEXT.ADD.CURVE(C3356,"SOFR",$K$2:$K$7,$L$2:$L$7,,,"Actual360","LogLinear",TRUE)</f>
        <v/>
      </c>
      <c r="E3356" s="8">
        <f>QS.INSTRUMENT.SWAP("swap.3354",C3356,H3356,B3356,"USD","SOFR",I3356,J3356,0,"Actual360","Simple","Annual","Annual","Annual")</f>
        <v/>
      </c>
      <c r="F3356" s="8">
        <f>QS.TRADE.CREATE("trade.3354",C3356,E3356,A3356,"Receive")</f>
        <v/>
      </c>
      <c r="G3356" s="5"/>
      <c r="H3356" s="7" t="s">
        <v>3099</v>
      </c>
      <c r="I3356" s="9">
        <v>1335400</v>
      </c>
      <c r="J3356" s="10">
        <v>0.0354</v>
      </c>
    </row>
    <row r="3357" spans="1:10">
      <c r="A3357" s="7" t="s">
        <v>3087</v>
      </c>
      <c r="B3357" s="7" t="s">
        <v>5224</v>
      </c>
      <c r="C3357" s="8">
        <f>QS.CONTEXT.CREATE("market.3355",A3357,"USD","SOFR")</f>
        <v/>
      </c>
      <c r="D3357" s="8">
        <f>QS.CONTEXT.ADD.CURVE(C3357,"SOFR",$K$2:$K$7,$L$2:$L$7,,,"Actual360","LogLinear",TRUE)</f>
        <v/>
      </c>
      <c r="E3357" s="8">
        <f>QS.INSTRUMENT.SWAP("swap.3355",C3357,H3357,B3357,"USD","SOFR",I3357,J3357,0,"Actual360","Simple","Annual","Annual","Annual")</f>
        <v/>
      </c>
      <c r="F3357" s="8">
        <f>QS.TRADE.CREATE("trade.3355",C3357,E3357,A3357,"Receive")</f>
        <v/>
      </c>
      <c r="G3357" s="5"/>
      <c r="H3357" s="7" t="s">
        <v>3101</v>
      </c>
      <c r="I3357" s="9">
        <v>1335500</v>
      </c>
      <c r="J3357" s="10">
        <v>0.0355</v>
      </c>
    </row>
    <row r="3358" spans="1:10">
      <c r="A3358" s="7" t="s">
        <v>3089</v>
      </c>
      <c r="B3358" s="7" t="s">
        <v>5225</v>
      </c>
      <c r="C3358" s="8">
        <f>QS.CONTEXT.CREATE("market.3356",A3358,"USD","SOFR")</f>
        <v/>
      </c>
      <c r="D3358" s="8">
        <f>QS.CONTEXT.ADD.CURVE(C3358,"SOFR",$K$2:$K$7,$L$2:$L$7,,,"Actual360","LogLinear",TRUE)</f>
        <v/>
      </c>
      <c r="E3358" s="8">
        <f>QS.INSTRUMENT.SWAP("swap.3356",C3358,H3358,B3358,"USD","SOFR",I3358,J3358,0,"Actual360","Simple","Annual","Annual","Annual")</f>
        <v/>
      </c>
      <c r="F3358" s="8">
        <f>QS.TRADE.CREATE("trade.3356",C3358,E3358,A3358,"Receive")</f>
        <v/>
      </c>
      <c r="G3358" s="5"/>
      <c r="H3358" s="7" t="s">
        <v>3103</v>
      </c>
      <c r="I3358" s="9">
        <v>1335600</v>
      </c>
      <c r="J3358" s="10">
        <v>0.03560000000000001</v>
      </c>
    </row>
    <row r="3359" spans="1:10">
      <c r="A3359" s="7" t="s">
        <v>3091</v>
      </c>
      <c r="B3359" s="7" t="s">
        <v>5226</v>
      </c>
      <c r="C3359" s="8">
        <f>QS.CONTEXT.CREATE("market.3357",A3359,"USD","SOFR")</f>
        <v/>
      </c>
      <c r="D3359" s="8">
        <f>QS.CONTEXT.ADD.CURVE(C3359,"SOFR",$K$2:$K$7,$L$2:$L$7,,,"Actual360","LogLinear",TRUE)</f>
        <v/>
      </c>
      <c r="E3359" s="8">
        <f>QS.INSTRUMENT.SWAP("swap.3357",C3359,H3359,B3359,"USD","SOFR",I3359,J3359,0,"Actual360","Simple","Annual","Annual","Annual")</f>
        <v/>
      </c>
      <c r="F3359" s="8">
        <f>QS.TRADE.CREATE("trade.3357",C3359,E3359,A3359,"Receive")</f>
        <v/>
      </c>
      <c r="G3359" s="5"/>
      <c r="H3359" s="7" t="s">
        <v>3105</v>
      </c>
      <c r="I3359" s="9">
        <v>1335700</v>
      </c>
      <c r="J3359" s="10">
        <v>0.0357</v>
      </c>
    </row>
    <row r="3360" spans="1:10">
      <c r="A3360" s="7" t="s">
        <v>3093</v>
      </c>
      <c r="B3360" s="7" t="s">
        <v>5227</v>
      </c>
      <c r="C3360" s="8">
        <f>QS.CONTEXT.CREATE("market.3358",A3360,"USD","SOFR")</f>
        <v/>
      </c>
      <c r="D3360" s="8">
        <f>QS.CONTEXT.ADD.CURVE(C3360,"SOFR",$K$2:$K$7,$L$2:$L$7,,,"Actual360","LogLinear",TRUE)</f>
        <v/>
      </c>
      <c r="E3360" s="8">
        <f>QS.INSTRUMENT.SWAP("swap.3358",C3360,H3360,B3360,"USD","SOFR",I3360,J3360,0,"Actual360","Simple","Annual","Annual","Annual")</f>
        <v/>
      </c>
      <c r="F3360" s="8">
        <f>QS.TRADE.CREATE("trade.3358",C3360,E3360,A3360,"Receive")</f>
        <v/>
      </c>
      <c r="G3360" s="5"/>
      <c r="H3360" s="7" t="s">
        <v>3107</v>
      </c>
      <c r="I3360" s="9">
        <v>1335800</v>
      </c>
      <c r="J3360" s="10">
        <v>0.03580000000000001</v>
      </c>
    </row>
    <row r="3361" spans="1:10">
      <c r="A3361" s="7" t="s">
        <v>3095</v>
      </c>
      <c r="B3361" s="7" t="s">
        <v>5228</v>
      </c>
      <c r="C3361" s="8">
        <f>QS.CONTEXT.CREATE("market.3359",A3361,"USD","SOFR")</f>
        <v/>
      </c>
      <c r="D3361" s="8">
        <f>QS.CONTEXT.ADD.CURVE(C3361,"SOFR",$K$2:$K$7,$L$2:$L$7,,,"Actual360","LogLinear",TRUE)</f>
        <v/>
      </c>
      <c r="E3361" s="8">
        <f>QS.INSTRUMENT.SWAP("swap.3359",C3361,H3361,B3361,"USD","SOFR",I3361,J3361,0,"Actual360","Simple","Annual","Annual","Annual")</f>
        <v/>
      </c>
      <c r="F3361" s="8">
        <f>QS.TRADE.CREATE("trade.3359",C3361,E3361,A3361,"Receive")</f>
        <v/>
      </c>
      <c r="G3361" s="5"/>
      <c r="H3361" s="7" t="s">
        <v>3109</v>
      </c>
      <c r="I3361" s="9">
        <v>1335900</v>
      </c>
      <c r="J3361" s="10">
        <v>0.0359</v>
      </c>
    </row>
    <row r="3362" spans="1:10">
      <c r="A3362" s="7" t="s">
        <v>3097</v>
      </c>
      <c r="B3362" s="7" t="s">
        <v>5229</v>
      </c>
      <c r="C3362" s="8">
        <f>QS.CONTEXT.CREATE("market.3360",A3362,"USD","SOFR")</f>
        <v/>
      </c>
      <c r="D3362" s="8">
        <f>QS.CONTEXT.ADD.CURVE(C3362,"SOFR",$K$2:$K$7,$L$2:$L$7,,,"Actual360","LogLinear",TRUE)</f>
        <v/>
      </c>
      <c r="E3362" s="8">
        <f>QS.INSTRUMENT.SWAP("swap.3360",C3362,H3362,B3362,"USD","SOFR",I3362,J3362,0,"Actual360","Simple","Annual","Annual","Annual")</f>
        <v/>
      </c>
      <c r="F3362" s="8">
        <f>QS.TRADE.CREATE("trade.3360",C3362,E3362,A3362,"Receive")</f>
        <v/>
      </c>
      <c r="G3362" s="5"/>
      <c r="H3362" s="7" t="s">
        <v>3111</v>
      </c>
      <c r="I3362" s="9">
        <v>1336000</v>
      </c>
      <c r="J3362" s="10">
        <v>0.036</v>
      </c>
    </row>
    <row r="3363" spans="1:10">
      <c r="A3363" s="7" t="s">
        <v>3099</v>
      </c>
      <c r="B3363" s="7" t="s">
        <v>5230</v>
      </c>
      <c r="C3363" s="8">
        <f>QS.CONTEXT.CREATE("market.3361",A3363,"USD","SOFR")</f>
        <v/>
      </c>
      <c r="D3363" s="8">
        <f>QS.CONTEXT.ADD.CURVE(C3363,"SOFR",$K$2:$K$7,$L$2:$L$7,,,"Actual360","LogLinear",TRUE)</f>
        <v/>
      </c>
      <c r="E3363" s="8">
        <f>QS.INSTRUMENT.SWAP("swap.3361",C3363,H3363,B3363,"USD","SOFR",I3363,J3363,0,"Actual360","Simple","Annual","Annual","Annual")</f>
        <v/>
      </c>
      <c r="F3363" s="8">
        <f>QS.TRADE.CREATE("trade.3361",C3363,E3363,A3363,"Receive")</f>
        <v/>
      </c>
      <c r="G3363" s="5"/>
      <c r="H3363" s="7" t="s">
        <v>3113</v>
      </c>
      <c r="I3363" s="9">
        <v>1336100</v>
      </c>
      <c r="J3363" s="10">
        <v>0.0361</v>
      </c>
    </row>
    <row r="3364" spans="1:10">
      <c r="A3364" s="7" t="s">
        <v>3101</v>
      </c>
      <c r="B3364" s="7" t="s">
        <v>5231</v>
      </c>
      <c r="C3364" s="8">
        <f>QS.CONTEXT.CREATE("market.3362",A3364,"USD","SOFR")</f>
        <v/>
      </c>
      <c r="D3364" s="8">
        <f>QS.CONTEXT.ADD.CURVE(C3364,"SOFR",$K$2:$K$7,$L$2:$L$7,,,"Actual360","LogLinear",TRUE)</f>
        <v/>
      </c>
      <c r="E3364" s="8">
        <f>QS.INSTRUMENT.SWAP("swap.3362",C3364,H3364,B3364,"USD","SOFR",I3364,J3364,0,"Actual360","Simple","Annual","Annual","Annual")</f>
        <v/>
      </c>
      <c r="F3364" s="8">
        <f>QS.TRADE.CREATE("trade.3362",C3364,E3364,A3364,"Receive")</f>
        <v/>
      </c>
      <c r="G3364" s="5"/>
      <c r="H3364" s="7" t="s">
        <v>3115</v>
      </c>
      <c r="I3364" s="9">
        <v>1336200</v>
      </c>
      <c r="J3364" s="10">
        <v>0.0362</v>
      </c>
    </row>
    <row r="3365" spans="1:10">
      <c r="A3365" s="7" t="s">
        <v>3103</v>
      </c>
      <c r="B3365" s="7" t="s">
        <v>5232</v>
      </c>
      <c r="C3365" s="8">
        <f>QS.CONTEXT.CREATE("market.3363",A3365,"USD","SOFR")</f>
        <v/>
      </c>
      <c r="D3365" s="8">
        <f>QS.CONTEXT.ADD.CURVE(C3365,"SOFR",$K$2:$K$7,$L$2:$L$7,,,"Actual360","LogLinear",TRUE)</f>
        <v/>
      </c>
      <c r="E3365" s="8">
        <f>QS.INSTRUMENT.SWAP("swap.3363",C3365,H3365,B3365,"USD","SOFR",I3365,J3365,0,"Actual360","Simple","Annual","Annual","Annual")</f>
        <v/>
      </c>
      <c r="F3365" s="8">
        <f>QS.TRADE.CREATE("trade.3363",C3365,E3365,A3365,"Receive")</f>
        <v/>
      </c>
      <c r="G3365" s="5"/>
      <c r="H3365" s="7" t="s">
        <v>3117</v>
      </c>
      <c r="I3365" s="9">
        <v>1336300</v>
      </c>
      <c r="J3365" s="10">
        <v>0.03630000000000001</v>
      </c>
    </row>
    <row r="3366" spans="1:10">
      <c r="A3366" s="7" t="s">
        <v>3105</v>
      </c>
      <c r="B3366" s="7" t="s">
        <v>5233</v>
      </c>
      <c r="C3366" s="8">
        <f>QS.CONTEXT.CREATE("market.3364",A3366,"USD","SOFR")</f>
        <v/>
      </c>
      <c r="D3366" s="8">
        <f>QS.CONTEXT.ADD.CURVE(C3366,"SOFR",$K$2:$K$7,$L$2:$L$7,,,"Actual360","LogLinear",TRUE)</f>
        <v/>
      </c>
      <c r="E3366" s="8">
        <f>QS.INSTRUMENT.SWAP("swap.3364",C3366,H3366,B3366,"USD","SOFR",I3366,J3366,0,"Actual360","Simple","Annual","Annual","Annual")</f>
        <v/>
      </c>
      <c r="F3366" s="8">
        <f>QS.TRADE.CREATE("trade.3364",C3366,E3366,A3366,"Receive")</f>
        <v/>
      </c>
      <c r="G3366" s="5"/>
      <c r="H3366" s="7" t="s">
        <v>3119</v>
      </c>
      <c r="I3366" s="9">
        <v>1336400</v>
      </c>
      <c r="J3366" s="10">
        <v>0.0364</v>
      </c>
    </row>
    <row r="3367" spans="1:10">
      <c r="A3367" s="7" t="s">
        <v>3107</v>
      </c>
      <c r="B3367" s="7" t="s">
        <v>5234</v>
      </c>
      <c r="C3367" s="8">
        <f>QS.CONTEXT.CREATE("market.3365",A3367,"USD","SOFR")</f>
        <v/>
      </c>
      <c r="D3367" s="8">
        <f>QS.CONTEXT.ADD.CURVE(C3367,"SOFR",$K$2:$K$7,$L$2:$L$7,,,"Actual360","LogLinear",TRUE)</f>
        <v/>
      </c>
      <c r="E3367" s="8">
        <f>QS.INSTRUMENT.SWAP("swap.3365",C3367,H3367,B3367,"USD","SOFR",I3367,J3367,0,"Actual360","Simple","Annual","Annual","Annual")</f>
        <v/>
      </c>
      <c r="F3367" s="8">
        <f>QS.TRADE.CREATE("trade.3365",C3367,E3367,A3367,"Receive")</f>
        <v/>
      </c>
      <c r="G3367" s="5"/>
      <c r="H3367" s="7" t="s">
        <v>3121</v>
      </c>
      <c r="I3367" s="9">
        <v>1336500</v>
      </c>
      <c r="J3367" s="10">
        <v>0.0365</v>
      </c>
    </row>
    <row r="3368" spans="1:10">
      <c r="A3368" s="7" t="s">
        <v>3109</v>
      </c>
      <c r="B3368" s="7" t="s">
        <v>5235</v>
      </c>
      <c r="C3368" s="8">
        <f>QS.CONTEXT.CREATE("market.3366",A3368,"USD","SOFR")</f>
        <v/>
      </c>
      <c r="D3368" s="8">
        <f>QS.CONTEXT.ADD.CURVE(C3368,"SOFR",$K$2:$K$7,$L$2:$L$7,,,"Actual360","LogLinear",TRUE)</f>
        <v/>
      </c>
      <c r="E3368" s="8">
        <f>QS.INSTRUMENT.SWAP("swap.3366",C3368,H3368,B3368,"USD","SOFR",I3368,J3368,0,"Actual360","Simple","Annual","Annual","Annual")</f>
        <v/>
      </c>
      <c r="F3368" s="8">
        <f>QS.TRADE.CREATE("trade.3366",C3368,E3368,A3368,"Receive")</f>
        <v/>
      </c>
      <c r="G3368" s="5"/>
      <c r="H3368" s="7" t="s">
        <v>3123</v>
      </c>
      <c r="I3368" s="9">
        <v>1336600</v>
      </c>
      <c r="J3368" s="10">
        <v>0.0366</v>
      </c>
    </row>
    <row r="3369" spans="1:10">
      <c r="A3369" s="7" t="s">
        <v>3111</v>
      </c>
      <c r="B3369" s="7" t="s">
        <v>5236</v>
      </c>
      <c r="C3369" s="8">
        <f>QS.CONTEXT.CREATE("market.3367",A3369,"USD","SOFR")</f>
        <v/>
      </c>
      <c r="D3369" s="8">
        <f>QS.CONTEXT.ADD.CURVE(C3369,"SOFR",$K$2:$K$7,$L$2:$L$7,,,"Actual360","LogLinear",TRUE)</f>
        <v/>
      </c>
      <c r="E3369" s="8">
        <f>QS.INSTRUMENT.SWAP("swap.3367",C3369,H3369,B3369,"USD","SOFR",I3369,J3369,0,"Actual360","Simple","Annual","Annual","Annual")</f>
        <v/>
      </c>
      <c r="F3369" s="8">
        <f>QS.TRADE.CREATE("trade.3367",C3369,E3369,A3369,"Receive")</f>
        <v/>
      </c>
      <c r="G3369" s="5"/>
      <c r="H3369" s="7" t="s">
        <v>3125</v>
      </c>
      <c r="I3369" s="9">
        <v>1336700</v>
      </c>
      <c r="J3369" s="10">
        <v>0.0367</v>
      </c>
    </row>
    <row r="3370" spans="1:10">
      <c r="A3370" s="7" t="s">
        <v>3113</v>
      </c>
      <c r="B3370" s="7" t="s">
        <v>5237</v>
      </c>
      <c r="C3370" s="8">
        <f>QS.CONTEXT.CREATE("market.3368",A3370,"USD","SOFR")</f>
        <v/>
      </c>
      <c r="D3370" s="8">
        <f>QS.CONTEXT.ADD.CURVE(C3370,"SOFR",$K$2:$K$7,$L$2:$L$7,,,"Actual360","LogLinear",TRUE)</f>
        <v/>
      </c>
      <c r="E3370" s="8">
        <f>QS.INSTRUMENT.SWAP("swap.3368",C3370,H3370,B3370,"USD","SOFR",I3370,J3370,0,"Actual360","Simple","Annual","Annual","Annual")</f>
        <v/>
      </c>
      <c r="F3370" s="8">
        <f>QS.TRADE.CREATE("trade.3368",C3370,E3370,A3370,"Receive")</f>
        <v/>
      </c>
      <c r="G3370" s="5"/>
      <c r="H3370" s="7" t="s">
        <v>3127</v>
      </c>
      <c r="I3370" s="9">
        <v>1336800</v>
      </c>
      <c r="J3370" s="10">
        <v>0.03680000000000001</v>
      </c>
    </row>
    <row r="3371" spans="1:10">
      <c r="A3371" s="7" t="s">
        <v>3115</v>
      </c>
      <c r="B3371" s="7" t="s">
        <v>5238</v>
      </c>
      <c r="C3371" s="8">
        <f>QS.CONTEXT.CREATE("market.3369",A3371,"USD","SOFR")</f>
        <v/>
      </c>
      <c r="D3371" s="8">
        <f>QS.CONTEXT.ADD.CURVE(C3371,"SOFR",$K$2:$K$7,$L$2:$L$7,,,"Actual360","LogLinear",TRUE)</f>
        <v/>
      </c>
      <c r="E3371" s="8">
        <f>QS.INSTRUMENT.SWAP("swap.3369",C3371,H3371,B3371,"USD","SOFR",I3371,J3371,0,"Actual360","Simple","Annual","Annual","Annual")</f>
        <v/>
      </c>
      <c r="F3371" s="8">
        <f>QS.TRADE.CREATE("trade.3369",C3371,E3371,A3371,"Receive")</f>
        <v/>
      </c>
      <c r="G3371" s="5"/>
      <c r="H3371" s="7" t="s">
        <v>3129</v>
      </c>
      <c r="I3371" s="9">
        <v>1336900</v>
      </c>
      <c r="J3371" s="10">
        <v>0.0369</v>
      </c>
    </row>
    <row r="3372" spans="1:10">
      <c r="A3372" s="7" t="s">
        <v>3117</v>
      </c>
      <c r="B3372" s="7" t="s">
        <v>5239</v>
      </c>
      <c r="C3372" s="8">
        <f>QS.CONTEXT.CREATE("market.3370",A3372,"USD","SOFR")</f>
        <v/>
      </c>
      <c r="D3372" s="8">
        <f>QS.CONTEXT.ADD.CURVE(C3372,"SOFR",$K$2:$K$7,$L$2:$L$7,,,"Actual360","LogLinear",TRUE)</f>
        <v/>
      </c>
      <c r="E3372" s="8">
        <f>QS.INSTRUMENT.SWAP("swap.3370",C3372,H3372,B3372,"USD","SOFR",I3372,J3372,0,"Actual360","Simple","Annual","Annual","Annual")</f>
        <v/>
      </c>
      <c r="F3372" s="8">
        <f>QS.TRADE.CREATE("trade.3370",C3372,E3372,A3372,"Receive")</f>
        <v/>
      </c>
      <c r="G3372" s="5"/>
      <c r="H3372" s="7" t="s">
        <v>3131</v>
      </c>
      <c r="I3372" s="9">
        <v>1337000</v>
      </c>
      <c r="J3372" s="10">
        <v>0.03700000000000001</v>
      </c>
    </row>
    <row r="3373" spans="1:10">
      <c r="A3373" s="7" t="s">
        <v>3119</v>
      </c>
      <c r="B3373" s="7" t="s">
        <v>5240</v>
      </c>
      <c r="C3373" s="8">
        <f>QS.CONTEXT.CREATE("market.3371",A3373,"USD","SOFR")</f>
        <v/>
      </c>
      <c r="D3373" s="8">
        <f>QS.CONTEXT.ADD.CURVE(C3373,"SOFR",$K$2:$K$7,$L$2:$L$7,,,"Actual360","LogLinear",TRUE)</f>
        <v/>
      </c>
      <c r="E3373" s="8">
        <f>QS.INSTRUMENT.SWAP("swap.3371",C3373,H3373,B3373,"USD","SOFR",I3373,J3373,0,"Actual360","Simple","Annual","Annual","Annual")</f>
        <v/>
      </c>
      <c r="F3373" s="8">
        <f>QS.TRADE.CREATE("trade.3371",C3373,E3373,A3373,"Receive")</f>
        <v/>
      </c>
      <c r="G3373" s="5"/>
      <c r="H3373" s="7" t="s">
        <v>3133</v>
      </c>
      <c r="I3373" s="9">
        <v>1337100</v>
      </c>
      <c r="J3373" s="10">
        <v>0.0371</v>
      </c>
    </row>
    <row r="3374" spans="1:10">
      <c r="A3374" s="7" t="s">
        <v>3121</v>
      </c>
      <c r="B3374" s="7" t="s">
        <v>5241</v>
      </c>
      <c r="C3374" s="8">
        <f>QS.CONTEXT.CREATE("market.3372",A3374,"USD","SOFR")</f>
        <v/>
      </c>
      <c r="D3374" s="8">
        <f>QS.CONTEXT.ADD.CURVE(C3374,"SOFR",$K$2:$K$7,$L$2:$L$7,,,"Actual360","LogLinear",TRUE)</f>
        <v/>
      </c>
      <c r="E3374" s="8">
        <f>QS.INSTRUMENT.SWAP("swap.3372",C3374,H3374,B3374,"USD","SOFR",I3374,J3374,0,"Actual360","Simple","Annual","Annual","Annual")</f>
        <v/>
      </c>
      <c r="F3374" s="8">
        <f>QS.TRADE.CREATE("trade.3372",C3374,E3374,A3374,"Receive")</f>
        <v/>
      </c>
      <c r="G3374" s="5"/>
      <c r="H3374" s="7" t="s">
        <v>3135</v>
      </c>
      <c r="I3374" s="9">
        <v>1337200</v>
      </c>
      <c r="J3374" s="10">
        <v>0.0372</v>
      </c>
    </row>
    <row r="3375" spans="1:10">
      <c r="A3375" s="7" t="s">
        <v>3123</v>
      </c>
      <c r="B3375" s="7" t="s">
        <v>5242</v>
      </c>
      <c r="C3375" s="8">
        <f>QS.CONTEXT.CREATE("market.3373",A3375,"USD","SOFR")</f>
        <v/>
      </c>
      <c r="D3375" s="8">
        <f>QS.CONTEXT.ADD.CURVE(C3375,"SOFR",$K$2:$K$7,$L$2:$L$7,,,"Actual360","LogLinear",TRUE)</f>
        <v/>
      </c>
      <c r="E3375" s="8">
        <f>QS.INSTRUMENT.SWAP("swap.3373",C3375,H3375,B3375,"USD","SOFR",I3375,J3375,0,"Actual360","Simple","Annual","Annual","Annual")</f>
        <v/>
      </c>
      <c r="F3375" s="8">
        <f>QS.TRADE.CREATE("trade.3373",C3375,E3375,A3375,"Receive")</f>
        <v/>
      </c>
      <c r="G3375" s="5"/>
      <c r="H3375" s="7" t="s">
        <v>3137</v>
      </c>
      <c r="I3375" s="9">
        <v>1337300</v>
      </c>
      <c r="J3375" s="10">
        <v>0.0373</v>
      </c>
    </row>
    <row r="3376" spans="1:10">
      <c r="A3376" s="7" t="s">
        <v>3125</v>
      </c>
      <c r="B3376" s="7" t="s">
        <v>5243</v>
      </c>
      <c r="C3376" s="8">
        <f>QS.CONTEXT.CREATE("market.3374",A3376,"USD","SOFR")</f>
        <v/>
      </c>
      <c r="D3376" s="8">
        <f>QS.CONTEXT.ADD.CURVE(C3376,"SOFR",$K$2:$K$7,$L$2:$L$7,,,"Actual360","LogLinear",TRUE)</f>
        <v/>
      </c>
      <c r="E3376" s="8">
        <f>QS.INSTRUMENT.SWAP("swap.3374",C3376,H3376,B3376,"USD","SOFR",I3376,J3376,0,"Actual360","Simple","Annual","Annual","Annual")</f>
        <v/>
      </c>
      <c r="F3376" s="8">
        <f>QS.TRADE.CREATE("trade.3374",C3376,E3376,A3376,"Receive")</f>
        <v/>
      </c>
      <c r="G3376" s="5"/>
      <c r="H3376" s="7" t="s">
        <v>3139</v>
      </c>
      <c r="I3376" s="9">
        <v>1337400</v>
      </c>
      <c r="J3376" s="10">
        <v>0.0374</v>
      </c>
    </row>
    <row r="3377" spans="1:10">
      <c r="A3377" s="7" t="s">
        <v>3127</v>
      </c>
      <c r="B3377" s="7" t="s">
        <v>5244</v>
      </c>
      <c r="C3377" s="8">
        <f>QS.CONTEXT.CREATE("market.3375",A3377,"USD","SOFR")</f>
        <v/>
      </c>
      <c r="D3377" s="8">
        <f>QS.CONTEXT.ADD.CURVE(C3377,"SOFR",$K$2:$K$7,$L$2:$L$7,,,"Actual360","LogLinear",TRUE)</f>
        <v/>
      </c>
      <c r="E3377" s="8">
        <f>QS.INSTRUMENT.SWAP("swap.3375",C3377,H3377,B3377,"USD","SOFR",I3377,J3377,0,"Actual360","Simple","Annual","Annual","Annual")</f>
        <v/>
      </c>
      <c r="F3377" s="8">
        <f>QS.TRADE.CREATE("trade.3375",C3377,E3377,A3377,"Receive")</f>
        <v/>
      </c>
      <c r="G3377" s="5"/>
      <c r="H3377" s="7" t="s">
        <v>3141</v>
      </c>
      <c r="I3377" s="9">
        <v>1337500</v>
      </c>
      <c r="J3377" s="10">
        <v>0.03750000000000001</v>
      </c>
    </row>
    <row r="3378" spans="1:10">
      <c r="A3378" s="7" t="s">
        <v>3129</v>
      </c>
      <c r="B3378" s="7" t="s">
        <v>5245</v>
      </c>
      <c r="C3378" s="8">
        <f>QS.CONTEXT.CREATE("market.3376",A3378,"USD","SOFR")</f>
        <v/>
      </c>
      <c r="D3378" s="8">
        <f>QS.CONTEXT.ADD.CURVE(C3378,"SOFR",$K$2:$K$7,$L$2:$L$7,,,"Actual360","LogLinear",TRUE)</f>
        <v/>
      </c>
      <c r="E3378" s="8">
        <f>QS.INSTRUMENT.SWAP("swap.3376",C3378,H3378,B3378,"USD","SOFR",I3378,J3378,0,"Actual360","Simple","Annual","Annual","Annual")</f>
        <v/>
      </c>
      <c r="F3378" s="8">
        <f>QS.TRADE.CREATE("trade.3376",C3378,E3378,A3378,"Receive")</f>
        <v/>
      </c>
      <c r="G3378" s="5"/>
      <c r="H3378" s="7" t="s">
        <v>3143</v>
      </c>
      <c r="I3378" s="9">
        <v>1337600</v>
      </c>
      <c r="J3378" s="10">
        <v>0.0376</v>
      </c>
    </row>
    <row r="3379" spans="1:10">
      <c r="A3379" s="7" t="s">
        <v>3131</v>
      </c>
      <c r="B3379" s="7" t="s">
        <v>5246</v>
      </c>
      <c r="C3379" s="8">
        <f>QS.CONTEXT.CREATE("market.3377",A3379,"USD","SOFR")</f>
        <v/>
      </c>
      <c r="D3379" s="8">
        <f>QS.CONTEXT.ADD.CURVE(C3379,"SOFR",$K$2:$K$7,$L$2:$L$7,,,"Actual360","LogLinear",TRUE)</f>
        <v/>
      </c>
      <c r="E3379" s="8">
        <f>QS.INSTRUMENT.SWAP("swap.3377",C3379,H3379,B3379,"USD","SOFR",I3379,J3379,0,"Actual360","Simple","Annual","Annual","Annual")</f>
        <v/>
      </c>
      <c r="F3379" s="8">
        <f>QS.TRADE.CREATE("trade.3377",C3379,E3379,A3379,"Receive")</f>
        <v/>
      </c>
      <c r="G3379" s="5"/>
      <c r="H3379" s="7" t="s">
        <v>3145</v>
      </c>
      <c r="I3379" s="9">
        <v>1337700</v>
      </c>
      <c r="J3379" s="10">
        <v>0.0377</v>
      </c>
    </row>
    <row r="3380" spans="1:10">
      <c r="A3380" s="7" t="s">
        <v>3133</v>
      </c>
      <c r="B3380" s="7" t="s">
        <v>5247</v>
      </c>
      <c r="C3380" s="8">
        <f>QS.CONTEXT.CREATE("market.3378",A3380,"USD","SOFR")</f>
        <v/>
      </c>
      <c r="D3380" s="8">
        <f>QS.CONTEXT.ADD.CURVE(C3380,"SOFR",$K$2:$K$7,$L$2:$L$7,,,"Actual360","LogLinear",TRUE)</f>
        <v/>
      </c>
      <c r="E3380" s="8">
        <f>QS.INSTRUMENT.SWAP("swap.3378",C3380,H3380,B3380,"USD","SOFR",I3380,J3380,0,"Actual360","Simple","Annual","Annual","Annual")</f>
        <v/>
      </c>
      <c r="F3380" s="8">
        <f>QS.TRADE.CREATE("trade.3378",C3380,E3380,A3380,"Receive")</f>
        <v/>
      </c>
      <c r="G3380" s="5"/>
      <c r="H3380" s="7" t="s">
        <v>3147</v>
      </c>
      <c r="I3380" s="9">
        <v>1337800</v>
      </c>
      <c r="J3380" s="10">
        <v>0.0378</v>
      </c>
    </row>
    <row r="3381" spans="1:10">
      <c r="A3381" s="7" t="s">
        <v>3135</v>
      </c>
      <c r="B3381" s="7" t="s">
        <v>5248</v>
      </c>
      <c r="C3381" s="8">
        <f>QS.CONTEXT.CREATE("market.3379",A3381,"USD","SOFR")</f>
        <v/>
      </c>
      <c r="D3381" s="8">
        <f>QS.CONTEXT.ADD.CURVE(C3381,"SOFR",$K$2:$K$7,$L$2:$L$7,,,"Actual360","LogLinear",TRUE)</f>
        <v/>
      </c>
      <c r="E3381" s="8">
        <f>QS.INSTRUMENT.SWAP("swap.3379",C3381,H3381,B3381,"USD","SOFR",I3381,J3381,0,"Actual360","Simple","Annual","Annual","Annual")</f>
        <v/>
      </c>
      <c r="F3381" s="8">
        <f>QS.TRADE.CREATE("trade.3379",C3381,E3381,A3381,"Receive")</f>
        <v/>
      </c>
      <c r="G3381" s="5"/>
      <c r="H3381" s="7" t="s">
        <v>3149</v>
      </c>
      <c r="I3381" s="9">
        <v>1337900</v>
      </c>
      <c r="J3381" s="10">
        <v>0.0379</v>
      </c>
    </row>
    <row r="3382" spans="1:10">
      <c r="A3382" s="7" t="s">
        <v>3137</v>
      </c>
      <c r="B3382" s="7" t="s">
        <v>5249</v>
      </c>
      <c r="C3382" s="8">
        <f>QS.CONTEXT.CREATE("market.3380",A3382,"USD","SOFR")</f>
        <v/>
      </c>
      <c r="D3382" s="8">
        <f>QS.CONTEXT.ADD.CURVE(C3382,"SOFR",$K$2:$K$7,$L$2:$L$7,,,"Actual360","LogLinear",TRUE)</f>
        <v/>
      </c>
      <c r="E3382" s="8">
        <f>QS.INSTRUMENT.SWAP("swap.3380",C3382,H3382,B3382,"USD","SOFR",I3382,J3382,0,"Actual360","Simple","Annual","Annual","Annual")</f>
        <v/>
      </c>
      <c r="F3382" s="8">
        <f>QS.TRADE.CREATE("trade.3380",C3382,E3382,A3382,"Receive")</f>
        <v/>
      </c>
      <c r="G3382" s="5"/>
      <c r="H3382" s="7" t="s">
        <v>3151</v>
      </c>
      <c r="I3382" s="9">
        <v>1338000</v>
      </c>
      <c r="J3382" s="10">
        <v>0.03800000000000001</v>
      </c>
    </row>
    <row r="3383" spans="1:10">
      <c r="A3383" s="7" t="s">
        <v>3139</v>
      </c>
      <c r="B3383" s="7" t="s">
        <v>5250</v>
      </c>
      <c r="C3383" s="8">
        <f>QS.CONTEXT.CREATE("market.3381",A3383,"USD","SOFR")</f>
        <v/>
      </c>
      <c r="D3383" s="8">
        <f>QS.CONTEXT.ADD.CURVE(C3383,"SOFR",$K$2:$K$7,$L$2:$L$7,,,"Actual360","LogLinear",TRUE)</f>
        <v/>
      </c>
      <c r="E3383" s="8">
        <f>QS.INSTRUMENT.SWAP("swap.3381",C3383,H3383,B3383,"USD","SOFR",I3383,J3383,0,"Actual360","Simple","Annual","Annual","Annual")</f>
        <v/>
      </c>
      <c r="F3383" s="8">
        <f>QS.TRADE.CREATE("trade.3381",C3383,E3383,A3383,"Receive")</f>
        <v/>
      </c>
      <c r="G3383" s="5"/>
      <c r="H3383" s="7" t="s">
        <v>3153</v>
      </c>
      <c r="I3383" s="9">
        <v>1338100</v>
      </c>
      <c r="J3383" s="10">
        <v>0.0381</v>
      </c>
    </row>
    <row r="3384" spans="1:10">
      <c r="A3384" s="7" t="s">
        <v>3141</v>
      </c>
      <c r="B3384" s="7" t="s">
        <v>5251</v>
      </c>
      <c r="C3384" s="8">
        <f>QS.CONTEXT.CREATE("market.3382",A3384,"USD","SOFR")</f>
        <v/>
      </c>
      <c r="D3384" s="8">
        <f>QS.CONTEXT.ADD.CURVE(C3384,"SOFR",$K$2:$K$7,$L$2:$L$7,,,"Actual360","LogLinear",TRUE)</f>
        <v/>
      </c>
      <c r="E3384" s="8">
        <f>QS.INSTRUMENT.SWAP("swap.3382",C3384,H3384,B3384,"USD","SOFR",I3384,J3384,0,"Actual360","Simple","Annual","Annual","Annual")</f>
        <v/>
      </c>
      <c r="F3384" s="8">
        <f>QS.TRADE.CREATE("trade.3382",C3384,E3384,A3384,"Receive")</f>
        <v/>
      </c>
      <c r="G3384" s="5"/>
      <c r="H3384" s="7" t="s">
        <v>3155</v>
      </c>
      <c r="I3384" s="9">
        <v>1338200</v>
      </c>
      <c r="J3384" s="10">
        <v>0.0382</v>
      </c>
    </row>
    <row r="3385" spans="1:10">
      <c r="A3385" s="7" t="s">
        <v>3143</v>
      </c>
      <c r="B3385" s="7" t="s">
        <v>5252</v>
      </c>
      <c r="C3385" s="8">
        <f>QS.CONTEXT.CREATE("market.3383",A3385,"USD","SOFR")</f>
        <v/>
      </c>
      <c r="D3385" s="8">
        <f>QS.CONTEXT.ADD.CURVE(C3385,"SOFR",$K$2:$K$7,$L$2:$L$7,,,"Actual360","LogLinear",TRUE)</f>
        <v/>
      </c>
      <c r="E3385" s="8">
        <f>QS.INSTRUMENT.SWAP("swap.3383",C3385,H3385,B3385,"USD","SOFR",I3385,J3385,0,"Actual360","Simple","Annual","Annual","Annual")</f>
        <v/>
      </c>
      <c r="F3385" s="8">
        <f>QS.TRADE.CREATE("trade.3383",C3385,E3385,A3385,"Receive")</f>
        <v/>
      </c>
      <c r="G3385" s="5"/>
      <c r="H3385" s="7" t="s">
        <v>3157</v>
      </c>
      <c r="I3385" s="9">
        <v>1338300</v>
      </c>
      <c r="J3385" s="10">
        <v>0.0383</v>
      </c>
    </row>
    <row r="3386" spans="1:10">
      <c r="A3386" s="7" t="s">
        <v>3145</v>
      </c>
      <c r="B3386" s="7" t="s">
        <v>5253</v>
      </c>
      <c r="C3386" s="8">
        <f>QS.CONTEXT.CREATE("market.3384",A3386,"USD","SOFR")</f>
        <v/>
      </c>
      <c r="D3386" s="8">
        <f>QS.CONTEXT.ADD.CURVE(C3386,"SOFR",$K$2:$K$7,$L$2:$L$7,,,"Actual360","LogLinear",TRUE)</f>
        <v/>
      </c>
      <c r="E3386" s="8">
        <f>QS.INSTRUMENT.SWAP("swap.3384",C3386,H3386,B3386,"USD","SOFR",I3386,J3386,0,"Actual360","Simple","Annual","Annual","Annual")</f>
        <v/>
      </c>
      <c r="F3386" s="8">
        <f>QS.TRADE.CREATE("trade.3384",C3386,E3386,A3386,"Receive")</f>
        <v/>
      </c>
      <c r="G3386" s="5"/>
      <c r="H3386" s="7" t="s">
        <v>3159</v>
      </c>
      <c r="I3386" s="9">
        <v>1338400</v>
      </c>
      <c r="J3386" s="10">
        <v>0.0384</v>
      </c>
    </row>
    <row r="3387" spans="1:10">
      <c r="A3387" s="7" t="s">
        <v>3147</v>
      </c>
      <c r="B3387" s="7" t="s">
        <v>5254</v>
      </c>
      <c r="C3387" s="8">
        <f>QS.CONTEXT.CREATE("market.3385",A3387,"USD","SOFR")</f>
        <v/>
      </c>
      <c r="D3387" s="8">
        <f>QS.CONTEXT.ADD.CURVE(C3387,"SOFR",$K$2:$K$7,$L$2:$L$7,,,"Actual360","LogLinear",TRUE)</f>
        <v/>
      </c>
      <c r="E3387" s="8">
        <f>QS.INSTRUMENT.SWAP("swap.3385",C3387,H3387,B3387,"USD","SOFR",I3387,J3387,0,"Actual360","Simple","Annual","Annual","Annual")</f>
        <v/>
      </c>
      <c r="F3387" s="8">
        <f>QS.TRADE.CREATE("trade.3385",C3387,E3387,A3387,"Receive")</f>
        <v/>
      </c>
      <c r="G3387" s="5"/>
      <c r="H3387" s="7" t="s">
        <v>3161</v>
      </c>
      <c r="I3387" s="9">
        <v>1338500</v>
      </c>
      <c r="J3387" s="10">
        <v>0.03850000000000001</v>
      </c>
    </row>
    <row r="3388" spans="1:10">
      <c r="A3388" s="7" t="s">
        <v>3149</v>
      </c>
      <c r="B3388" s="7" t="s">
        <v>5255</v>
      </c>
      <c r="C3388" s="8">
        <f>QS.CONTEXT.CREATE("market.3386",A3388,"USD","SOFR")</f>
        <v/>
      </c>
      <c r="D3388" s="8">
        <f>QS.CONTEXT.ADD.CURVE(C3388,"SOFR",$K$2:$K$7,$L$2:$L$7,,,"Actual360","LogLinear",TRUE)</f>
        <v/>
      </c>
      <c r="E3388" s="8">
        <f>QS.INSTRUMENT.SWAP("swap.3386",C3388,H3388,B3388,"USD","SOFR",I3388,J3388,0,"Actual360","Simple","Annual","Annual","Annual")</f>
        <v/>
      </c>
      <c r="F3388" s="8">
        <f>QS.TRADE.CREATE("trade.3386",C3388,E3388,A3388,"Receive")</f>
        <v/>
      </c>
      <c r="G3388" s="5"/>
      <c r="H3388" s="7" t="s">
        <v>3163</v>
      </c>
      <c r="I3388" s="9">
        <v>1338600</v>
      </c>
      <c r="J3388" s="10">
        <v>0.0386</v>
      </c>
    </row>
    <row r="3389" spans="1:10">
      <c r="A3389" s="7" t="s">
        <v>3151</v>
      </c>
      <c r="B3389" s="7" t="s">
        <v>5256</v>
      </c>
      <c r="C3389" s="8">
        <f>QS.CONTEXT.CREATE("market.3387",A3389,"USD","SOFR")</f>
        <v/>
      </c>
      <c r="D3389" s="8">
        <f>QS.CONTEXT.ADD.CURVE(C3389,"SOFR",$K$2:$K$7,$L$2:$L$7,,,"Actual360","LogLinear",TRUE)</f>
        <v/>
      </c>
      <c r="E3389" s="8">
        <f>QS.INSTRUMENT.SWAP("swap.3387",C3389,H3389,B3389,"USD","SOFR",I3389,J3389,0,"Actual360","Simple","Annual","Annual","Annual")</f>
        <v/>
      </c>
      <c r="F3389" s="8">
        <f>QS.TRADE.CREATE("trade.3387",C3389,E3389,A3389,"Receive")</f>
        <v/>
      </c>
      <c r="G3389" s="5"/>
      <c r="H3389" s="7" t="s">
        <v>3165</v>
      </c>
      <c r="I3389" s="9">
        <v>1338700</v>
      </c>
      <c r="J3389" s="10">
        <v>0.03870000000000001</v>
      </c>
    </row>
    <row r="3390" spans="1:10">
      <c r="A3390" s="7" t="s">
        <v>3153</v>
      </c>
      <c r="B3390" s="7" t="s">
        <v>5257</v>
      </c>
      <c r="C3390" s="8">
        <f>QS.CONTEXT.CREATE("market.3388",A3390,"USD","SOFR")</f>
        <v/>
      </c>
      <c r="D3390" s="8">
        <f>QS.CONTEXT.ADD.CURVE(C3390,"SOFR",$K$2:$K$7,$L$2:$L$7,,,"Actual360","LogLinear",TRUE)</f>
        <v/>
      </c>
      <c r="E3390" s="8">
        <f>QS.INSTRUMENT.SWAP("swap.3388",C3390,H3390,B3390,"USD","SOFR",I3390,J3390,0,"Actual360","Simple","Annual","Annual","Annual")</f>
        <v/>
      </c>
      <c r="F3390" s="8">
        <f>QS.TRADE.CREATE("trade.3388",C3390,E3390,A3390,"Receive")</f>
        <v/>
      </c>
      <c r="G3390" s="5"/>
      <c r="H3390" s="7" t="s">
        <v>3167</v>
      </c>
      <c r="I3390" s="9">
        <v>1338800</v>
      </c>
      <c r="J3390" s="10">
        <v>0.0388</v>
      </c>
    </row>
    <row r="3391" spans="1:10">
      <c r="A3391" s="7" t="s">
        <v>3155</v>
      </c>
      <c r="B3391" s="7" t="s">
        <v>5258</v>
      </c>
      <c r="C3391" s="8">
        <f>QS.CONTEXT.CREATE("market.3389",A3391,"USD","SOFR")</f>
        <v/>
      </c>
      <c r="D3391" s="8">
        <f>QS.CONTEXT.ADD.CURVE(C3391,"SOFR",$K$2:$K$7,$L$2:$L$7,,,"Actual360","LogLinear",TRUE)</f>
        <v/>
      </c>
      <c r="E3391" s="8">
        <f>QS.INSTRUMENT.SWAP("swap.3389",C3391,H3391,B3391,"USD","SOFR",I3391,J3391,0,"Actual360","Simple","Annual","Annual","Annual")</f>
        <v/>
      </c>
      <c r="F3391" s="8">
        <f>QS.TRADE.CREATE("trade.3389",C3391,E3391,A3391,"Receive")</f>
        <v/>
      </c>
      <c r="G3391" s="5"/>
      <c r="H3391" s="7" t="s">
        <v>3169</v>
      </c>
      <c r="I3391" s="9">
        <v>1338900</v>
      </c>
      <c r="J3391" s="10">
        <v>0.0389</v>
      </c>
    </row>
    <row r="3392" spans="1:10">
      <c r="A3392" s="7" t="s">
        <v>3157</v>
      </c>
      <c r="B3392" s="7" t="s">
        <v>5259</v>
      </c>
      <c r="C3392" s="8">
        <f>QS.CONTEXT.CREATE("market.3390",A3392,"USD","SOFR")</f>
        <v/>
      </c>
      <c r="D3392" s="8">
        <f>QS.CONTEXT.ADD.CURVE(C3392,"SOFR",$K$2:$K$7,$L$2:$L$7,,,"Actual360","LogLinear",TRUE)</f>
        <v/>
      </c>
      <c r="E3392" s="8">
        <f>QS.INSTRUMENT.SWAP("swap.3390",C3392,H3392,B3392,"USD","SOFR",I3392,J3392,0,"Actual360","Simple","Annual","Annual","Annual")</f>
        <v/>
      </c>
      <c r="F3392" s="8">
        <f>QS.TRADE.CREATE("trade.3390",C3392,E3392,A3392,"Receive")</f>
        <v/>
      </c>
      <c r="G3392" s="5"/>
      <c r="H3392" s="7" t="s">
        <v>3171</v>
      </c>
      <c r="I3392" s="9">
        <v>1339000</v>
      </c>
      <c r="J3392" s="10">
        <v>0.03900000000000001</v>
      </c>
    </row>
    <row r="3393" spans="1:10">
      <c r="A3393" s="7" t="s">
        <v>3159</v>
      </c>
      <c r="B3393" s="7" t="s">
        <v>5260</v>
      </c>
      <c r="C3393" s="8">
        <f>QS.CONTEXT.CREATE("market.3391",A3393,"USD","SOFR")</f>
        <v/>
      </c>
      <c r="D3393" s="8">
        <f>QS.CONTEXT.ADD.CURVE(C3393,"SOFR",$K$2:$K$7,$L$2:$L$7,,,"Actual360","LogLinear",TRUE)</f>
        <v/>
      </c>
      <c r="E3393" s="8">
        <f>QS.INSTRUMENT.SWAP("swap.3391",C3393,H3393,B3393,"USD","SOFR",I3393,J3393,0,"Actual360","Simple","Annual","Annual","Annual")</f>
        <v/>
      </c>
      <c r="F3393" s="8">
        <f>QS.TRADE.CREATE("trade.3391",C3393,E3393,A3393,"Receive")</f>
        <v/>
      </c>
      <c r="G3393" s="5"/>
      <c r="H3393" s="7" t="s">
        <v>3173</v>
      </c>
      <c r="I3393" s="9">
        <v>1339100</v>
      </c>
      <c r="J3393" s="10">
        <v>0.0391</v>
      </c>
    </row>
    <row r="3394" spans="1:10">
      <c r="A3394" s="7" t="s">
        <v>3161</v>
      </c>
      <c r="B3394" s="7" t="s">
        <v>5261</v>
      </c>
      <c r="C3394" s="8">
        <f>QS.CONTEXT.CREATE("market.3392",A3394,"USD","SOFR")</f>
        <v/>
      </c>
      <c r="D3394" s="8">
        <f>QS.CONTEXT.ADD.CURVE(C3394,"SOFR",$K$2:$K$7,$L$2:$L$7,,,"Actual360","LogLinear",TRUE)</f>
        <v/>
      </c>
      <c r="E3394" s="8">
        <f>QS.INSTRUMENT.SWAP("swap.3392",C3394,H3394,B3394,"USD","SOFR",I3394,J3394,0,"Actual360","Simple","Annual","Annual","Annual")</f>
        <v/>
      </c>
      <c r="F3394" s="8">
        <f>QS.TRADE.CREATE("trade.3392",C3394,E3394,A3394,"Receive")</f>
        <v/>
      </c>
      <c r="G3394" s="5"/>
      <c r="H3394" s="7" t="s">
        <v>3175</v>
      </c>
      <c r="I3394" s="9">
        <v>1339200</v>
      </c>
      <c r="J3394" s="10">
        <v>0.03920000000000001</v>
      </c>
    </row>
    <row r="3395" spans="1:10">
      <c r="A3395" s="7" t="s">
        <v>3163</v>
      </c>
      <c r="B3395" s="7" t="s">
        <v>5262</v>
      </c>
      <c r="C3395" s="8">
        <f>QS.CONTEXT.CREATE("market.3393",A3395,"USD","SOFR")</f>
        <v/>
      </c>
      <c r="D3395" s="8">
        <f>QS.CONTEXT.ADD.CURVE(C3395,"SOFR",$K$2:$K$7,$L$2:$L$7,,,"Actual360","LogLinear",TRUE)</f>
        <v/>
      </c>
      <c r="E3395" s="8">
        <f>QS.INSTRUMENT.SWAP("swap.3393",C3395,H3395,B3395,"USD","SOFR",I3395,J3395,0,"Actual360","Simple","Annual","Annual","Annual")</f>
        <v/>
      </c>
      <c r="F3395" s="8">
        <f>QS.TRADE.CREATE("trade.3393",C3395,E3395,A3395,"Receive")</f>
        <v/>
      </c>
      <c r="G3395" s="5"/>
      <c r="H3395" s="7" t="s">
        <v>3177</v>
      </c>
      <c r="I3395" s="9">
        <v>1339300</v>
      </c>
      <c r="J3395" s="10">
        <v>0.0393</v>
      </c>
    </row>
    <row r="3396" spans="1:10">
      <c r="A3396" s="7" t="s">
        <v>3165</v>
      </c>
      <c r="B3396" s="7" t="s">
        <v>5263</v>
      </c>
      <c r="C3396" s="8">
        <f>QS.CONTEXT.CREATE("market.3394",A3396,"USD","SOFR")</f>
        <v/>
      </c>
      <c r="D3396" s="8">
        <f>QS.CONTEXT.ADD.CURVE(C3396,"SOFR",$K$2:$K$7,$L$2:$L$7,,,"Actual360","LogLinear",TRUE)</f>
        <v/>
      </c>
      <c r="E3396" s="8">
        <f>QS.INSTRUMENT.SWAP("swap.3394",C3396,H3396,B3396,"USD","SOFR",I3396,J3396,0,"Actual360","Simple","Annual","Annual","Annual")</f>
        <v/>
      </c>
      <c r="F3396" s="8">
        <f>QS.TRADE.CREATE("trade.3394",C3396,E3396,A3396,"Receive")</f>
        <v/>
      </c>
      <c r="G3396" s="5"/>
      <c r="H3396" s="7" t="s">
        <v>3179</v>
      </c>
      <c r="I3396" s="9">
        <v>1339400</v>
      </c>
      <c r="J3396" s="10">
        <v>0.0394</v>
      </c>
    </row>
    <row r="3397" spans="1:10">
      <c r="A3397" s="7" t="s">
        <v>3167</v>
      </c>
      <c r="B3397" s="7" t="s">
        <v>5264</v>
      </c>
      <c r="C3397" s="8">
        <f>QS.CONTEXT.CREATE("market.3395",A3397,"USD","SOFR")</f>
        <v/>
      </c>
      <c r="D3397" s="8">
        <f>QS.CONTEXT.ADD.CURVE(C3397,"SOFR",$K$2:$K$7,$L$2:$L$7,,,"Actual360","LogLinear",TRUE)</f>
        <v/>
      </c>
      <c r="E3397" s="8">
        <f>QS.INSTRUMENT.SWAP("swap.3395",C3397,H3397,B3397,"USD","SOFR",I3397,J3397,0,"Actual360","Simple","Annual","Annual","Annual")</f>
        <v/>
      </c>
      <c r="F3397" s="8">
        <f>QS.TRADE.CREATE("trade.3395",C3397,E3397,A3397,"Receive")</f>
        <v/>
      </c>
      <c r="G3397" s="5"/>
      <c r="H3397" s="7" t="s">
        <v>3181</v>
      </c>
      <c r="I3397" s="9">
        <v>1339500</v>
      </c>
      <c r="J3397" s="10">
        <v>0.03950000000000001</v>
      </c>
    </row>
    <row r="3398" spans="1:10">
      <c r="A3398" s="7" t="s">
        <v>3169</v>
      </c>
      <c r="B3398" s="7" t="s">
        <v>5265</v>
      </c>
      <c r="C3398" s="8">
        <f>QS.CONTEXT.CREATE("market.3396",A3398,"USD","SOFR")</f>
        <v/>
      </c>
      <c r="D3398" s="8">
        <f>QS.CONTEXT.ADD.CURVE(C3398,"SOFR",$K$2:$K$7,$L$2:$L$7,,,"Actual360","LogLinear",TRUE)</f>
        <v/>
      </c>
      <c r="E3398" s="8">
        <f>QS.INSTRUMENT.SWAP("swap.3396",C3398,H3398,B3398,"USD","SOFR",I3398,J3398,0,"Actual360","Simple","Annual","Annual","Annual")</f>
        <v/>
      </c>
      <c r="F3398" s="8">
        <f>QS.TRADE.CREATE("trade.3396",C3398,E3398,A3398,"Receive")</f>
        <v/>
      </c>
      <c r="G3398" s="5"/>
      <c r="H3398" s="7" t="s">
        <v>3183</v>
      </c>
      <c r="I3398" s="9">
        <v>1339600</v>
      </c>
      <c r="J3398" s="10">
        <v>0.0396</v>
      </c>
    </row>
    <row r="3399" spans="1:10">
      <c r="A3399" s="7" t="s">
        <v>3171</v>
      </c>
      <c r="B3399" s="7" t="s">
        <v>5266</v>
      </c>
      <c r="C3399" s="8">
        <f>QS.CONTEXT.CREATE("market.3397",A3399,"USD","SOFR")</f>
        <v/>
      </c>
      <c r="D3399" s="8">
        <f>QS.CONTEXT.ADD.CURVE(C3399,"SOFR",$K$2:$K$7,$L$2:$L$7,,,"Actual360","LogLinear",TRUE)</f>
        <v/>
      </c>
      <c r="E3399" s="8">
        <f>QS.INSTRUMENT.SWAP("swap.3397",C3399,H3399,B3399,"USD","SOFR",I3399,J3399,0,"Actual360","Simple","Annual","Annual","Annual")</f>
        <v/>
      </c>
      <c r="F3399" s="8">
        <f>QS.TRADE.CREATE("trade.3397",C3399,E3399,A3399,"Receive")</f>
        <v/>
      </c>
      <c r="G3399" s="5"/>
      <c r="H3399" s="7" t="s">
        <v>3185</v>
      </c>
      <c r="I3399" s="9">
        <v>1339700</v>
      </c>
      <c r="J3399" s="10">
        <v>0.03970000000000001</v>
      </c>
    </row>
    <row r="3400" spans="1:10">
      <c r="A3400" s="7" t="s">
        <v>3173</v>
      </c>
      <c r="B3400" s="7" t="s">
        <v>5267</v>
      </c>
      <c r="C3400" s="8">
        <f>QS.CONTEXT.CREATE("market.3398",A3400,"USD","SOFR")</f>
        <v/>
      </c>
      <c r="D3400" s="8">
        <f>QS.CONTEXT.ADD.CURVE(C3400,"SOFR",$K$2:$K$7,$L$2:$L$7,,,"Actual360","LogLinear",TRUE)</f>
        <v/>
      </c>
      <c r="E3400" s="8">
        <f>QS.INSTRUMENT.SWAP("swap.3398",C3400,H3400,B3400,"USD","SOFR",I3400,J3400,0,"Actual360","Simple","Annual","Annual","Annual")</f>
        <v/>
      </c>
      <c r="F3400" s="8">
        <f>QS.TRADE.CREATE("trade.3398",C3400,E3400,A3400,"Receive")</f>
        <v/>
      </c>
      <c r="G3400" s="5"/>
      <c r="H3400" s="7" t="s">
        <v>3187</v>
      </c>
      <c r="I3400" s="9">
        <v>1339800</v>
      </c>
      <c r="J3400" s="10">
        <v>0.0398</v>
      </c>
    </row>
    <row r="3401" spans="1:10">
      <c r="A3401" s="7" t="s">
        <v>3175</v>
      </c>
      <c r="B3401" s="7" t="s">
        <v>5268</v>
      </c>
      <c r="C3401" s="8">
        <f>QS.CONTEXT.CREATE("market.3399",A3401,"USD","SOFR")</f>
        <v/>
      </c>
      <c r="D3401" s="8">
        <f>QS.CONTEXT.ADD.CURVE(C3401,"SOFR",$K$2:$K$7,$L$2:$L$7,,,"Actual360","LogLinear",TRUE)</f>
        <v/>
      </c>
      <c r="E3401" s="8">
        <f>QS.INSTRUMENT.SWAP("swap.3399",C3401,H3401,B3401,"USD","SOFR",I3401,J3401,0,"Actual360","Simple","Annual","Annual","Annual")</f>
        <v/>
      </c>
      <c r="F3401" s="8">
        <f>QS.TRADE.CREATE("trade.3399",C3401,E3401,A3401,"Receive")</f>
        <v/>
      </c>
      <c r="G3401" s="5"/>
      <c r="H3401" s="7" t="s">
        <v>3189</v>
      </c>
      <c r="I3401" s="9">
        <v>1339900</v>
      </c>
      <c r="J3401" s="10">
        <v>0.0399</v>
      </c>
    </row>
    <row r="3402" spans="1:10">
      <c r="A3402" s="7" t="s">
        <v>3177</v>
      </c>
      <c r="B3402" s="7" t="s">
        <v>5269</v>
      </c>
      <c r="C3402" s="8">
        <f>QS.CONTEXT.CREATE("market.3400",A3402,"USD","SOFR")</f>
        <v/>
      </c>
      <c r="D3402" s="8">
        <f>QS.CONTEXT.ADD.CURVE(C3402,"SOFR",$K$2:$K$7,$L$2:$L$7,,,"Actual360","LogLinear",TRUE)</f>
        <v/>
      </c>
      <c r="E3402" s="8">
        <f>QS.INSTRUMENT.SWAP("swap.3400",C3402,H3402,B3402,"USD","SOFR",I3402,J3402,0,"Actual360","Simple","Annual","Annual","Annual")</f>
        <v/>
      </c>
      <c r="F3402" s="8">
        <f>QS.TRADE.CREATE("trade.3400",C3402,E3402,A3402,"Receive")</f>
        <v/>
      </c>
      <c r="G3402" s="5"/>
      <c r="H3402" s="7" t="s">
        <v>3191</v>
      </c>
      <c r="I3402" s="9">
        <v>1340000</v>
      </c>
      <c r="J3402" s="10">
        <v>0.035</v>
      </c>
    </row>
    <row r="3403" spans="1:10">
      <c r="A3403" s="7" t="s">
        <v>3179</v>
      </c>
      <c r="B3403" s="7" t="s">
        <v>5270</v>
      </c>
      <c r="C3403" s="8">
        <f>QS.CONTEXT.CREATE("market.3401",A3403,"USD","SOFR")</f>
        <v/>
      </c>
      <c r="D3403" s="8">
        <f>QS.CONTEXT.ADD.CURVE(C3403,"SOFR",$K$2:$K$7,$L$2:$L$7,,,"Actual360","LogLinear",TRUE)</f>
        <v/>
      </c>
      <c r="E3403" s="8">
        <f>QS.INSTRUMENT.SWAP("swap.3401",C3403,H3403,B3403,"USD","SOFR",I3403,J3403,0,"Actual360","Simple","Annual","Annual","Annual")</f>
        <v/>
      </c>
      <c r="F3403" s="8">
        <f>QS.TRADE.CREATE("trade.3401",C3403,E3403,A3403,"Receive")</f>
        <v/>
      </c>
      <c r="G3403" s="5"/>
      <c r="H3403" s="7" t="s">
        <v>3193</v>
      </c>
      <c r="I3403" s="9">
        <v>1340100</v>
      </c>
      <c r="J3403" s="10">
        <v>0.03510000000000001</v>
      </c>
    </row>
    <row r="3404" spans="1:10">
      <c r="A3404" s="7" t="s">
        <v>3181</v>
      </c>
      <c r="B3404" s="7" t="s">
        <v>5271</v>
      </c>
      <c r="C3404" s="8">
        <f>QS.CONTEXT.CREATE("market.3402",A3404,"USD","SOFR")</f>
        <v/>
      </c>
      <c r="D3404" s="8">
        <f>QS.CONTEXT.ADD.CURVE(C3404,"SOFR",$K$2:$K$7,$L$2:$L$7,,,"Actual360","LogLinear",TRUE)</f>
        <v/>
      </c>
      <c r="E3404" s="8">
        <f>QS.INSTRUMENT.SWAP("swap.3402",C3404,H3404,B3404,"USD","SOFR",I3404,J3404,0,"Actual360","Simple","Annual","Annual","Annual")</f>
        <v/>
      </c>
      <c r="F3404" s="8">
        <f>QS.TRADE.CREATE("trade.3402",C3404,E3404,A3404,"Receive")</f>
        <v/>
      </c>
      <c r="G3404" s="5"/>
      <c r="H3404" s="7" t="s">
        <v>3195</v>
      </c>
      <c r="I3404" s="9">
        <v>1340200</v>
      </c>
      <c r="J3404" s="10">
        <v>0.0352</v>
      </c>
    </row>
    <row r="3405" spans="1:10">
      <c r="A3405" s="7" t="s">
        <v>3183</v>
      </c>
      <c r="B3405" s="7" t="s">
        <v>5272</v>
      </c>
      <c r="C3405" s="8">
        <f>QS.CONTEXT.CREATE("market.3403",A3405,"USD","SOFR")</f>
        <v/>
      </c>
      <c r="D3405" s="8">
        <f>QS.CONTEXT.ADD.CURVE(C3405,"SOFR",$K$2:$K$7,$L$2:$L$7,,,"Actual360","LogLinear",TRUE)</f>
        <v/>
      </c>
      <c r="E3405" s="8">
        <f>QS.INSTRUMENT.SWAP("swap.3403",C3405,H3405,B3405,"USD","SOFR",I3405,J3405,0,"Actual360","Simple","Annual","Annual","Annual")</f>
        <v/>
      </c>
      <c r="F3405" s="8">
        <f>QS.TRADE.CREATE("trade.3403",C3405,E3405,A3405,"Receive")</f>
        <v/>
      </c>
      <c r="G3405" s="5"/>
      <c r="H3405" s="7" t="s">
        <v>3197</v>
      </c>
      <c r="I3405" s="9">
        <v>1340300</v>
      </c>
      <c r="J3405" s="10">
        <v>0.0353</v>
      </c>
    </row>
    <row r="3406" spans="1:10">
      <c r="A3406" s="7" t="s">
        <v>3185</v>
      </c>
      <c r="B3406" s="7" t="s">
        <v>5273</v>
      </c>
      <c r="C3406" s="8">
        <f>QS.CONTEXT.CREATE("market.3404",A3406,"USD","SOFR")</f>
        <v/>
      </c>
      <c r="D3406" s="8">
        <f>QS.CONTEXT.ADD.CURVE(C3406,"SOFR",$K$2:$K$7,$L$2:$L$7,,,"Actual360","LogLinear",TRUE)</f>
        <v/>
      </c>
      <c r="E3406" s="8">
        <f>QS.INSTRUMENT.SWAP("swap.3404",C3406,H3406,B3406,"USD","SOFR",I3406,J3406,0,"Actual360","Simple","Annual","Annual","Annual")</f>
        <v/>
      </c>
      <c r="F3406" s="8">
        <f>QS.TRADE.CREATE("trade.3404",C3406,E3406,A3406,"Receive")</f>
        <v/>
      </c>
      <c r="G3406" s="5"/>
      <c r="H3406" s="7" t="s">
        <v>3199</v>
      </c>
      <c r="I3406" s="9">
        <v>1340400</v>
      </c>
      <c r="J3406" s="10">
        <v>0.0354</v>
      </c>
    </row>
    <row r="3407" spans="1:10">
      <c r="A3407" s="7" t="s">
        <v>3187</v>
      </c>
      <c r="B3407" s="7" t="s">
        <v>5274</v>
      </c>
      <c r="C3407" s="8">
        <f>QS.CONTEXT.CREATE("market.3405",A3407,"USD","SOFR")</f>
        <v/>
      </c>
      <c r="D3407" s="8">
        <f>QS.CONTEXT.ADD.CURVE(C3407,"SOFR",$K$2:$K$7,$L$2:$L$7,,,"Actual360","LogLinear",TRUE)</f>
        <v/>
      </c>
      <c r="E3407" s="8">
        <f>QS.INSTRUMENT.SWAP("swap.3405",C3407,H3407,B3407,"USD","SOFR",I3407,J3407,0,"Actual360","Simple","Annual","Annual","Annual")</f>
        <v/>
      </c>
      <c r="F3407" s="8">
        <f>QS.TRADE.CREATE("trade.3405",C3407,E3407,A3407,"Receive")</f>
        <v/>
      </c>
      <c r="G3407" s="5"/>
      <c r="H3407" s="7" t="s">
        <v>3201</v>
      </c>
      <c r="I3407" s="9">
        <v>1340500</v>
      </c>
      <c r="J3407" s="10">
        <v>0.0355</v>
      </c>
    </row>
    <row r="3408" spans="1:10">
      <c r="A3408" s="7" t="s">
        <v>3189</v>
      </c>
      <c r="B3408" s="7" t="s">
        <v>5275</v>
      </c>
      <c r="C3408" s="8">
        <f>QS.CONTEXT.CREATE("market.3406",A3408,"USD","SOFR")</f>
        <v/>
      </c>
      <c r="D3408" s="8">
        <f>QS.CONTEXT.ADD.CURVE(C3408,"SOFR",$K$2:$K$7,$L$2:$L$7,,,"Actual360","LogLinear",TRUE)</f>
        <v/>
      </c>
      <c r="E3408" s="8">
        <f>QS.INSTRUMENT.SWAP("swap.3406",C3408,H3408,B3408,"USD","SOFR",I3408,J3408,0,"Actual360","Simple","Annual","Annual","Annual")</f>
        <v/>
      </c>
      <c r="F3408" s="8">
        <f>QS.TRADE.CREATE("trade.3406",C3408,E3408,A3408,"Receive")</f>
        <v/>
      </c>
      <c r="G3408" s="5"/>
      <c r="H3408" s="7" t="s">
        <v>3203</v>
      </c>
      <c r="I3408" s="9">
        <v>1340600</v>
      </c>
      <c r="J3408" s="10">
        <v>0.03560000000000001</v>
      </c>
    </row>
    <row r="3409" spans="1:10">
      <c r="A3409" s="7" t="s">
        <v>3191</v>
      </c>
      <c r="B3409" s="7" t="s">
        <v>5276</v>
      </c>
      <c r="C3409" s="8">
        <f>QS.CONTEXT.CREATE("market.3407",A3409,"USD","SOFR")</f>
        <v/>
      </c>
      <c r="D3409" s="8">
        <f>QS.CONTEXT.ADD.CURVE(C3409,"SOFR",$K$2:$K$7,$L$2:$L$7,,,"Actual360","LogLinear",TRUE)</f>
        <v/>
      </c>
      <c r="E3409" s="8">
        <f>QS.INSTRUMENT.SWAP("swap.3407",C3409,H3409,B3409,"USD","SOFR",I3409,J3409,0,"Actual360","Simple","Annual","Annual","Annual")</f>
        <v/>
      </c>
      <c r="F3409" s="8">
        <f>QS.TRADE.CREATE("trade.3407",C3409,E3409,A3409,"Receive")</f>
        <v/>
      </c>
      <c r="G3409" s="5"/>
      <c r="H3409" s="7" t="s">
        <v>3205</v>
      </c>
      <c r="I3409" s="9">
        <v>1340700</v>
      </c>
      <c r="J3409" s="10">
        <v>0.0357</v>
      </c>
    </row>
    <row r="3410" spans="1:10">
      <c r="A3410" s="7" t="s">
        <v>3193</v>
      </c>
      <c r="B3410" s="7" t="s">
        <v>5277</v>
      </c>
      <c r="C3410" s="8">
        <f>QS.CONTEXT.CREATE("market.3408",A3410,"USD","SOFR")</f>
        <v/>
      </c>
      <c r="D3410" s="8">
        <f>QS.CONTEXT.ADD.CURVE(C3410,"SOFR",$K$2:$K$7,$L$2:$L$7,,,"Actual360","LogLinear",TRUE)</f>
        <v/>
      </c>
      <c r="E3410" s="8">
        <f>QS.INSTRUMENT.SWAP("swap.3408",C3410,H3410,B3410,"USD","SOFR",I3410,J3410,0,"Actual360","Simple","Annual","Annual","Annual")</f>
        <v/>
      </c>
      <c r="F3410" s="8">
        <f>QS.TRADE.CREATE("trade.3408",C3410,E3410,A3410,"Receive")</f>
        <v/>
      </c>
      <c r="G3410" s="5"/>
      <c r="H3410" s="7" t="s">
        <v>3207</v>
      </c>
      <c r="I3410" s="9">
        <v>1340800</v>
      </c>
      <c r="J3410" s="10">
        <v>0.03580000000000001</v>
      </c>
    </row>
    <row r="3411" spans="1:10">
      <c r="A3411" s="7" t="s">
        <v>3195</v>
      </c>
      <c r="B3411" s="7" t="s">
        <v>5278</v>
      </c>
      <c r="C3411" s="8">
        <f>QS.CONTEXT.CREATE("market.3409",A3411,"USD","SOFR")</f>
        <v/>
      </c>
      <c r="D3411" s="8">
        <f>QS.CONTEXT.ADD.CURVE(C3411,"SOFR",$K$2:$K$7,$L$2:$L$7,,,"Actual360","LogLinear",TRUE)</f>
        <v/>
      </c>
      <c r="E3411" s="8">
        <f>QS.INSTRUMENT.SWAP("swap.3409",C3411,H3411,B3411,"USD","SOFR",I3411,J3411,0,"Actual360","Simple","Annual","Annual","Annual")</f>
        <v/>
      </c>
      <c r="F3411" s="8">
        <f>QS.TRADE.CREATE("trade.3409",C3411,E3411,A3411,"Receive")</f>
        <v/>
      </c>
      <c r="G3411" s="5"/>
      <c r="H3411" s="7" t="s">
        <v>3209</v>
      </c>
      <c r="I3411" s="9">
        <v>1340900</v>
      </c>
      <c r="J3411" s="10">
        <v>0.0359</v>
      </c>
    </row>
    <row r="3412" spans="1:10">
      <c r="A3412" s="7" t="s">
        <v>3197</v>
      </c>
      <c r="B3412" s="7" t="s">
        <v>5279</v>
      </c>
      <c r="C3412" s="8">
        <f>QS.CONTEXT.CREATE("market.3410",A3412,"USD","SOFR")</f>
        <v/>
      </c>
      <c r="D3412" s="8">
        <f>QS.CONTEXT.ADD.CURVE(C3412,"SOFR",$K$2:$K$7,$L$2:$L$7,,,"Actual360","LogLinear",TRUE)</f>
        <v/>
      </c>
      <c r="E3412" s="8">
        <f>QS.INSTRUMENT.SWAP("swap.3410",C3412,H3412,B3412,"USD","SOFR",I3412,J3412,0,"Actual360","Simple","Annual","Annual","Annual")</f>
        <v/>
      </c>
      <c r="F3412" s="8">
        <f>QS.TRADE.CREATE("trade.3410",C3412,E3412,A3412,"Receive")</f>
        <v/>
      </c>
      <c r="G3412" s="5"/>
      <c r="H3412" s="7" t="s">
        <v>3211</v>
      </c>
      <c r="I3412" s="9">
        <v>1341000</v>
      </c>
      <c r="J3412" s="10">
        <v>0.036</v>
      </c>
    </row>
    <row r="3413" spans="1:10">
      <c r="A3413" s="7" t="s">
        <v>3199</v>
      </c>
      <c r="B3413" s="7" t="s">
        <v>5280</v>
      </c>
      <c r="C3413" s="8">
        <f>QS.CONTEXT.CREATE("market.3411",A3413,"USD","SOFR")</f>
        <v/>
      </c>
      <c r="D3413" s="8">
        <f>QS.CONTEXT.ADD.CURVE(C3413,"SOFR",$K$2:$K$7,$L$2:$L$7,,,"Actual360","LogLinear",TRUE)</f>
        <v/>
      </c>
      <c r="E3413" s="8">
        <f>QS.INSTRUMENT.SWAP("swap.3411",C3413,H3413,B3413,"USD","SOFR",I3413,J3413,0,"Actual360","Simple","Annual","Annual","Annual")</f>
        <v/>
      </c>
      <c r="F3413" s="8">
        <f>QS.TRADE.CREATE("trade.3411",C3413,E3413,A3413,"Receive")</f>
        <v/>
      </c>
      <c r="G3413" s="5"/>
      <c r="H3413" s="7" t="s">
        <v>3213</v>
      </c>
      <c r="I3413" s="9">
        <v>1341100</v>
      </c>
      <c r="J3413" s="10">
        <v>0.0361</v>
      </c>
    </row>
    <row r="3414" spans="1:10">
      <c r="A3414" s="7" t="s">
        <v>3201</v>
      </c>
      <c r="B3414" s="7" t="s">
        <v>5281</v>
      </c>
      <c r="C3414" s="8">
        <f>QS.CONTEXT.CREATE("market.3412",A3414,"USD","SOFR")</f>
        <v/>
      </c>
      <c r="D3414" s="8">
        <f>QS.CONTEXT.ADD.CURVE(C3414,"SOFR",$K$2:$K$7,$L$2:$L$7,,,"Actual360","LogLinear",TRUE)</f>
        <v/>
      </c>
      <c r="E3414" s="8">
        <f>QS.INSTRUMENT.SWAP("swap.3412",C3414,H3414,B3414,"USD","SOFR",I3414,J3414,0,"Actual360","Simple","Annual","Annual","Annual")</f>
        <v/>
      </c>
      <c r="F3414" s="8">
        <f>QS.TRADE.CREATE("trade.3412",C3414,E3414,A3414,"Receive")</f>
        <v/>
      </c>
      <c r="G3414" s="5"/>
      <c r="H3414" s="7" t="s">
        <v>3215</v>
      </c>
      <c r="I3414" s="9">
        <v>1341200</v>
      </c>
      <c r="J3414" s="10">
        <v>0.0362</v>
      </c>
    </row>
    <row r="3415" spans="1:10">
      <c r="A3415" s="7" t="s">
        <v>3203</v>
      </c>
      <c r="B3415" s="7" t="s">
        <v>5282</v>
      </c>
      <c r="C3415" s="8">
        <f>QS.CONTEXT.CREATE("market.3413",A3415,"USD","SOFR")</f>
        <v/>
      </c>
      <c r="D3415" s="8">
        <f>QS.CONTEXT.ADD.CURVE(C3415,"SOFR",$K$2:$K$7,$L$2:$L$7,,,"Actual360","LogLinear",TRUE)</f>
        <v/>
      </c>
      <c r="E3415" s="8">
        <f>QS.INSTRUMENT.SWAP("swap.3413",C3415,H3415,B3415,"USD","SOFR",I3415,J3415,0,"Actual360","Simple","Annual","Annual","Annual")</f>
        <v/>
      </c>
      <c r="F3415" s="8">
        <f>QS.TRADE.CREATE("trade.3413",C3415,E3415,A3415,"Receive")</f>
        <v/>
      </c>
      <c r="G3415" s="5"/>
      <c r="H3415" s="7" t="s">
        <v>3217</v>
      </c>
      <c r="I3415" s="9">
        <v>1341300</v>
      </c>
      <c r="J3415" s="10">
        <v>0.03630000000000001</v>
      </c>
    </row>
    <row r="3416" spans="1:10">
      <c r="A3416" s="7" t="s">
        <v>3205</v>
      </c>
      <c r="B3416" s="7" t="s">
        <v>5283</v>
      </c>
      <c r="C3416" s="8">
        <f>QS.CONTEXT.CREATE("market.3414",A3416,"USD","SOFR")</f>
        <v/>
      </c>
      <c r="D3416" s="8">
        <f>QS.CONTEXT.ADD.CURVE(C3416,"SOFR",$K$2:$K$7,$L$2:$L$7,,,"Actual360","LogLinear",TRUE)</f>
        <v/>
      </c>
      <c r="E3416" s="8">
        <f>QS.INSTRUMENT.SWAP("swap.3414",C3416,H3416,B3416,"USD","SOFR",I3416,J3416,0,"Actual360","Simple","Annual","Annual","Annual")</f>
        <v/>
      </c>
      <c r="F3416" s="8">
        <f>QS.TRADE.CREATE("trade.3414",C3416,E3416,A3416,"Receive")</f>
        <v/>
      </c>
      <c r="G3416" s="5"/>
      <c r="H3416" s="7" t="s">
        <v>3219</v>
      </c>
      <c r="I3416" s="9">
        <v>1341400</v>
      </c>
      <c r="J3416" s="10">
        <v>0.0364</v>
      </c>
    </row>
    <row r="3417" spans="1:10">
      <c r="A3417" s="7" t="s">
        <v>3207</v>
      </c>
      <c r="B3417" s="7" t="s">
        <v>5284</v>
      </c>
      <c r="C3417" s="8">
        <f>QS.CONTEXT.CREATE("market.3415",A3417,"USD","SOFR")</f>
        <v/>
      </c>
      <c r="D3417" s="8">
        <f>QS.CONTEXT.ADD.CURVE(C3417,"SOFR",$K$2:$K$7,$L$2:$L$7,,,"Actual360","LogLinear",TRUE)</f>
        <v/>
      </c>
      <c r="E3417" s="8">
        <f>QS.INSTRUMENT.SWAP("swap.3415",C3417,H3417,B3417,"USD","SOFR",I3417,J3417,0,"Actual360","Simple","Annual","Annual","Annual")</f>
        <v/>
      </c>
      <c r="F3417" s="8">
        <f>QS.TRADE.CREATE("trade.3415",C3417,E3417,A3417,"Receive")</f>
        <v/>
      </c>
      <c r="G3417" s="5"/>
      <c r="H3417" s="7" t="s">
        <v>3221</v>
      </c>
      <c r="I3417" s="9">
        <v>1341500</v>
      </c>
      <c r="J3417" s="10">
        <v>0.0365</v>
      </c>
    </row>
    <row r="3418" spans="1:10">
      <c r="A3418" s="7" t="s">
        <v>3209</v>
      </c>
      <c r="B3418" s="7" t="s">
        <v>5285</v>
      </c>
      <c r="C3418" s="8">
        <f>QS.CONTEXT.CREATE("market.3416",A3418,"USD","SOFR")</f>
        <v/>
      </c>
      <c r="D3418" s="8">
        <f>QS.CONTEXT.ADD.CURVE(C3418,"SOFR",$K$2:$K$7,$L$2:$L$7,,,"Actual360","LogLinear",TRUE)</f>
        <v/>
      </c>
      <c r="E3418" s="8">
        <f>QS.INSTRUMENT.SWAP("swap.3416",C3418,H3418,B3418,"USD","SOFR",I3418,J3418,0,"Actual360","Simple","Annual","Annual","Annual")</f>
        <v/>
      </c>
      <c r="F3418" s="8">
        <f>QS.TRADE.CREATE("trade.3416",C3418,E3418,A3418,"Receive")</f>
        <v/>
      </c>
      <c r="G3418" s="5"/>
      <c r="H3418" s="7" t="s">
        <v>3223</v>
      </c>
      <c r="I3418" s="9">
        <v>1341600</v>
      </c>
      <c r="J3418" s="10">
        <v>0.0366</v>
      </c>
    </row>
    <row r="3419" spans="1:10">
      <c r="A3419" s="7" t="s">
        <v>3211</v>
      </c>
      <c r="B3419" s="7" t="s">
        <v>5286</v>
      </c>
      <c r="C3419" s="8">
        <f>QS.CONTEXT.CREATE("market.3417",A3419,"USD","SOFR")</f>
        <v/>
      </c>
      <c r="D3419" s="8">
        <f>QS.CONTEXT.ADD.CURVE(C3419,"SOFR",$K$2:$K$7,$L$2:$L$7,,,"Actual360","LogLinear",TRUE)</f>
        <v/>
      </c>
      <c r="E3419" s="8">
        <f>QS.INSTRUMENT.SWAP("swap.3417",C3419,H3419,B3419,"USD","SOFR",I3419,J3419,0,"Actual360","Simple","Annual","Annual","Annual")</f>
        <v/>
      </c>
      <c r="F3419" s="8">
        <f>QS.TRADE.CREATE("trade.3417",C3419,E3419,A3419,"Receive")</f>
        <v/>
      </c>
      <c r="G3419" s="5"/>
      <c r="H3419" s="7" t="s">
        <v>3225</v>
      </c>
      <c r="I3419" s="9">
        <v>1341700</v>
      </c>
      <c r="J3419" s="10">
        <v>0.0367</v>
      </c>
    </row>
    <row r="3420" spans="1:10">
      <c r="A3420" s="7" t="s">
        <v>3213</v>
      </c>
      <c r="B3420" s="7" t="s">
        <v>5287</v>
      </c>
      <c r="C3420" s="8">
        <f>QS.CONTEXT.CREATE("market.3418",A3420,"USD","SOFR")</f>
        <v/>
      </c>
      <c r="D3420" s="8">
        <f>QS.CONTEXT.ADD.CURVE(C3420,"SOFR",$K$2:$K$7,$L$2:$L$7,,,"Actual360","LogLinear",TRUE)</f>
        <v/>
      </c>
      <c r="E3420" s="8">
        <f>QS.INSTRUMENT.SWAP("swap.3418",C3420,H3420,B3420,"USD","SOFR",I3420,J3420,0,"Actual360","Simple","Annual","Annual","Annual")</f>
        <v/>
      </c>
      <c r="F3420" s="8">
        <f>QS.TRADE.CREATE("trade.3418",C3420,E3420,A3420,"Receive")</f>
        <v/>
      </c>
      <c r="G3420" s="5"/>
      <c r="H3420" s="7" t="s">
        <v>3227</v>
      </c>
      <c r="I3420" s="9">
        <v>1341800</v>
      </c>
      <c r="J3420" s="10">
        <v>0.03680000000000001</v>
      </c>
    </row>
    <row r="3421" spans="1:10">
      <c r="A3421" s="7" t="s">
        <v>3215</v>
      </c>
      <c r="B3421" s="7" t="s">
        <v>5288</v>
      </c>
      <c r="C3421" s="8">
        <f>QS.CONTEXT.CREATE("market.3419",A3421,"USD","SOFR")</f>
        <v/>
      </c>
      <c r="D3421" s="8">
        <f>QS.CONTEXT.ADD.CURVE(C3421,"SOFR",$K$2:$K$7,$L$2:$L$7,,,"Actual360","LogLinear",TRUE)</f>
        <v/>
      </c>
      <c r="E3421" s="8">
        <f>QS.INSTRUMENT.SWAP("swap.3419",C3421,H3421,B3421,"USD","SOFR",I3421,J3421,0,"Actual360","Simple","Annual","Annual","Annual")</f>
        <v/>
      </c>
      <c r="F3421" s="8">
        <f>QS.TRADE.CREATE("trade.3419",C3421,E3421,A3421,"Receive")</f>
        <v/>
      </c>
      <c r="G3421" s="5"/>
      <c r="H3421" s="7" t="s">
        <v>3229</v>
      </c>
      <c r="I3421" s="9">
        <v>1341900</v>
      </c>
      <c r="J3421" s="10">
        <v>0.0369</v>
      </c>
    </row>
    <row r="3422" spans="1:10">
      <c r="A3422" s="7" t="s">
        <v>3217</v>
      </c>
      <c r="B3422" s="7" t="s">
        <v>5289</v>
      </c>
      <c r="C3422" s="8">
        <f>QS.CONTEXT.CREATE("market.3420",A3422,"USD","SOFR")</f>
        <v/>
      </c>
      <c r="D3422" s="8">
        <f>QS.CONTEXT.ADD.CURVE(C3422,"SOFR",$K$2:$K$7,$L$2:$L$7,,,"Actual360","LogLinear",TRUE)</f>
        <v/>
      </c>
      <c r="E3422" s="8">
        <f>QS.INSTRUMENT.SWAP("swap.3420",C3422,H3422,B3422,"USD","SOFR",I3422,J3422,0,"Actual360","Simple","Annual","Annual","Annual")</f>
        <v/>
      </c>
      <c r="F3422" s="8">
        <f>QS.TRADE.CREATE("trade.3420",C3422,E3422,A3422,"Receive")</f>
        <v/>
      </c>
      <c r="G3422" s="5"/>
      <c r="H3422" s="7" t="s">
        <v>3231</v>
      </c>
      <c r="I3422" s="9">
        <v>1342000</v>
      </c>
      <c r="J3422" s="10">
        <v>0.03700000000000001</v>
      </c>
    </row>
    <row r="3423" spans="1:10">
      <c r="A3423" s="7" t="s">
        <v>3219</v>
      </c>
      <c r="B3423" s="7" t="s">
        <v>5290</v>
      </c>
      <c r="C3423" s="8">
        <f>QS.CONTEXT.CREATE("market.3421",A3423,"USD","SOFR")</f>
        <v/>
      </c>
      <c r="D3423" s="8">
        <f>QS.CONTEXT.ADD.CURVE(C3423,"SOFR",$K$2:$K$7,$L$2:$L$7,,,"Actual360","LogLinear",TRUE)</f>
        <v/>
      </c>
      <c r="E3423" s="8">
        <f>QS.INSTRUMENT.SWAP("swap.3421",C3423,H3423,B3423,"USD","SOFR",I3423,J3423,0,"Actual360","Simple","Annual","Annual","Annual")</f>
        <v/>
      </c>
      <c r="F3423" s="8">
        <f>QS.TRADE.CREATE("trade.3421",C3423,E3423,A3423,"Receive")</f>
        <v/>
      </c>
      <c r="G3423" s="5"/>
      <c r="H3423" s="7" t="s">
        <v>3233</v>
      </c>
      <c r="I3423" s="9">
        <v>1342100</v>
      </c>
      <c r="J3423" s="10">
        <v>0.0371</v>
      </c>
    </row>
    <row r="3424" spans="1:10">
      <c r="A3424" s="7" t="s">
        <v>3221</v>
      </c>
      <c r="B3424" s="7" t="s">
        <v>5291</v>
      </c>
      <c r="C3424" s="8">
        <f>QS.CONTEXT.CREATE("market.3422",A3424,"USD","SOFR")</f>
        <v/>
      </c>
      <c r="D3424" s="8">
        <f>QS.CONTEXT.ADD.CURVE(C3424,"SOFR",$K$2:$K$7,$L$2:$L$7,,,"Actual360","LogLinear",TRUE)</f>
        <v/>
      </c>
      <c r="E3424" s="8">
        <f>QS.INSTRUMENT.SWAP("swap.3422",C3424,H3424,B3424,"USD","SOFR",I3424,J3424,0,"Actual360","Simple","Annual","Annual","Annual")</f>
        <v/>
      </c>
      <c r="F3424" s="8">
        <f>QS.TRADE.CREATE("trade.3422",C3424,E3424,A3424,"Receive")</f>
        <v/>
      </c>
      <c r="G3424" s="5"/>
      <c r="H3424" s="7" t="s">
        <v>3235</v>
      </c>
      <c r="I3424" s="9">
        <v>1342200</v>
      </c>
      <c r="J3424" s="10">
        <v>0.0372</v>
      </c>
    </row>
    <row r="3425" spans="1:10">
      <c r="A3425" s="7" t="s">
        <v>3223</v>
      </c>
      <c r="B3425" s="7" t="s">
        <v>5292</v>
      </c>
      <c r="C3425" s="8">
        <f>QS.CONTEXT.CREATE("market.3423",A3425,"USD","SOFR")</f>
        <v/>
      </c>
      <c r="D3425" s="8">
        <f>QS.CONTEXT.ADD.CURVE(C3425,"SOFR",$K$2:$K$7,$L$2:$L$7,,,"Actual360","LogLinear",TRUE)</f>
        <v/>
      </c>
      <c r="E3425" s="8">
        <f>QS.INSTRUMENT.SWAP("swap.3423",C3425,H3425,B3425,"USD","SOFR",I3425,J3425,0,"Actual360","Simple","Annual","Annual","Annual")</f>
        <v/>
      </c>
      <c r="F3425" s="8">
        <f>QS.TRADE.CREATE("trade.3423",C3425,E3425,A3425,"Receive")</f>
        <v/>
      </c>
      <c r="G3425" s="5"/>
      <c r="H3425" s="7" t="s">
        <v>3237</v>
      </c>
      <c r="I3425" s="9">
        <v>1342300</v>
      </c>
      <c r="J3425" s="10">
        <v>0.0373</v>
      </c>
    </row>
    <row r="3426" spans="1:10">
      <c r="A3426" s="7" t="s">
        <v>3225</v>
      </c>
      <c r="B3426" s="7" t="s">
        <v>5293</v>
      </c>
      <c r="C3426" s="8">
        <f>QS.CONTEXT.CREATE("market.3424",A3426,"USD","SOFR")</f>
        <v/>
      </c>
      <c r="D3426" s="8">
        <f>QS.CONTEXT.ADD.CURVE(C3426,"SOFR",$K$2:$K$7,$L$2:$L$7,,,"Actual360","LogLinear",TRUE)</f>
        <v/>
      </c>
      <c r="E3426" s="8">
        <f>QS.INSTRUMENT.SWAP("swap.3424",C3426,H3426,B3426,"USD","SOFR",I3426,J3426,0,"Actual360","Simple","Annual","Annual","Annual")</f>
        <v/>
      </c>
      <c r="F3426" s="8">
        <f>QS.TRADE.CREATE("trade.3424",C3426,E3426,A3426,"Receive")</f>
        <v/>
      </c>
      <c r="G3426" s="5"/>
      <c r="H3426" s="7" t="s">
        <v>3239</v>
      </c>
      <c r="I3426" s="9">
        <v>1342400</v>
      </c>
      <c r="J3426" s="10">
        <v>0.0374</v>
      </c>
    </row>
    <row r="3427" spans="1:10">
      <c r="A3427" s="7" t="s">
        <v>3227</v>
      </c>
      <c r="B3427" s="7" t="s">
        <v>5294</v>
      </c>
      <c r="C3427" s="8">
        <f>QS.CONTEXT.CREATE("market.3425",A3427,"USD","SOFR")</f>
        <v/>
      </c>
      <c r="D3427" s="8">
        <f>QS.CONTEXT.ADD.CURVE(C3427,"SOFR",$K$2:$K$7,$L$2:$L$7,,,"Actual360","LogLinear",TRUE)</f>
        <v/>
      </c>
      <c r="E3427" s="8">
        <f>QS.INSTRUMENT.SWAP("swap.3425",C3427,H3427,B3427,"USD","SOFR",I3427,J3427,0,"Actual360","Simple","Annual","Annual","Annual")</f>
        <v/>
      </c>
      <c r="F3427" s="8">
        <f>QS.TRADE.CREATE("trade.3425",C3427,E3427,A3427,"Receive")</f>
        <v/>
      </c>
      <c r="G3427" s="5"/>
      <c r="H3427" s="7" t="s">
        <v>3241</v>
      </c>
      <c r="I3427" s="9">
        <v>1342500</v>
      </c>
      <c r="J3427" s="10">
        <v>0.03750000000000001</v>
      </c>
    </row>
    <row r="3428" spans="1:10">
      <c r="A3428" s="7" t="s">
        <v>3229</v>
      </c>
      <c r="B3428" s="7" t="s">
        <v>5295</v>
      </c>
      <c r="C3428" s="8">
        <f>QS.CONTEXT.CREATE("market.3426",A3428,"USD","SOFR")</f>
        <v/>
      </c>
      <c r="D3428" s="8">
        <f>QS.CONTEXT.ADD.CURVE(C3428,"SOFR",$K$2:$K$7,$L$2:$L$7,,,"Actual360","LogLinear",TRUE)</f>
        <v/>
      </c>
      <c r="E3428" s="8">
        <f>QS.INSTRUMENT.SWAP("swap.3426",C3428,H3428,B3428,"USD","SOFR",I3428,J3428,0,"Actual360","Simple","Annual","Annual","Annual")</f>
        <v/>
      </c>
      <c r="F3428" s="8">
        <f>QS.TRADE.CREATE("trade.3426",C3428,E3428,A3428,"Receive")</f>
        <v/>
      </c>
      <c r="G3428" s="5"/>
      <c r="H3428" s="7" t="s">
        <v>3243</v>
      </c>
      <c r="I3428" s="9">
        <v>1342600</v>
      </c>
      <c r="J3428" s="10">
        <v>0.0376</v>
      </c>
    </row>
    <row r="3429" spans="1:10">
      <c r="A3429" s="7" t="s">
        <v>3231</v>
      </c>
      <c r="B3429" s="7" t="s">
        <v>5296</v>
      </c>
      <c r="C3429" s="8">
        <f>QS.CONTEXT.CREATE("market.3427",A3429,"USD","SOFR")</f>
        <v/>
      </c>
      <c r="D3429" s="8">
        <f>QS.CONTEXT.ADD.CURVE(C3429,"SOFR",$K$2:$K$7,$L$2:$L$7,,,"Actual360","LogLinear",TRUE)</f>
        <v/>
      </c>
      <c r="E3429" s="8">
        <f>QS.INSTRUMENT.SWAP("swap.3427",C3429,H3429,B3429,"USD","SOFR",I3429,J3429,0,"Actual360","Simple","Annual","Annual","Annual")</f>
        <v/>
      </c>
      <c r="F3429" s="8">
        <f>QS.TRADE.CREATE("trade.3427",C3429,E3429,A3429,"Receive")</f>
        <v/>
      </c>
      <c r="G3429" s="5"/>
      <c r="H3429" s="7" t="s">
        <v>3245</v>
      </c>
      <c r="I3429" s="9">
        <v>1342700</v>
      </c>
      <c r="J3429" s="10">
        <v>0.0377</v>
      </c>
    </row>
    <row r="3430" spans="1:10">
      <c r="A3430" s="7" t="s">
        <v>3233</v>
      </c>
      <c r="B3430" s="7" t="s">
        <v>5297</v>
      </c>
      <c r="C3430" s="8">
        <f>QS.CONTEXT.CREATE("market.3428",A3430,"USD","SOFR")</f>
        <v/>
      </c>
      <c r="D3430" s="8">
        <f>QS.CONTEXT.ADD.CURVE(C3430,"SOFR",$K$2:$K$7,$L$2:$L$7,,,"Actual360","LogLinear",TRUE)</f>
        <v/>
      </c>
      <c r="E3430" s="8">
        <f>QS.INSTRUMENT.SWAP("swap.3428",C3430,H3430,B3430,"USD","SOFR",I3430,J3430,0,"Actual360","Simple","Annual","Annual","Annual")</f>
        <v/>
      </c>
      <c r="F3430" s="8">
        <f>QS.TRADE.CREATE("trade.3428",C3430,E3430,A3430,"Receive")</f>
        <v/>
      </c>
      <c r="G3430" s="5"/>
      <c r="H3430" s="7" t="s">
        <v>3247</v>
      </c>
      <c r="I3430" s="9">
        <v>1342800</v>
      </c>
      <c r="J3430" s="10">
        <v>0.0378</v>
      </c>
    </row>
    <row r="3431" spans="1:10">
      <c r="A3431" s="7" t="s">
        <v>3235</v>
      </c>
      <c r="B3431" s="7" t="s">
        <v>5298</v>
      </c>
      <c r="C3431" s="8">
        <f>QS.CONTEXT.CREATE("market.3429",A3431,"USD","SOFR")</f>
        <v/>
      </c>
      <c r="D3431" s="8">
        <f>QS.CONTEXT.ADD.CURVE(C3431,"SOFR",$K$2:$K$7,$L$2:$L$7,,,"Actual360","LogLinear",TRUE)</f>
        <v/>
      </c>
      <c r="E3431" s="8">
        <f>QS.INSTRUMENT.SWAP("swap.3429",C3431,H3431,B3431,"USD","SOFR",I3431,J3431,0,"Actual360","Simple","Annual","Annual","Annual")</f>
        <v/>
      </c>
      <c r="F3431" s="8">
        <f>QS.TRADE.CREATE("trade.3429",C3431,E3431,A3431,"Receive")</f>
        <v/>
      </c>
      <c r="G3431" s="5"/>
      <c r="H3431" s="7" t="s">
        <v>3249</v>
      </c>
      <c r="I3431" s="9">
        <v>1342900</v>
      </c>
      <c r="J3431" s="10">
        <v>0.0379</v>
      </c>
    </row>
    <row r="3432" spans="1:10">
      <c r="A3432" s="7" t="s">
        <v>3237</v>
      </c>
      <c r="B3432" s="7" t="s">
        <v>5299</v>
      </c>
      <c r="C3432" s="8">
        <f>QS.CONTEXT.CREATE("market.3430",A3432,"USD","SOFR")</f>
        <v/>
      </c>
      <c r="D3432" s="8">
        <f>QS.CONTEXT.ADD.CURVE(C3432,"SOFR",$K$2:$K$7,$L$2:$L$7,,,"Actual360","LogLinear",TRUE)</f>
        <v/>
      </c>
      <c r="E3432" s="8">
        <f>QS.INSTRUMENT.SWAP("swap.3430",C3432,H3432,B3432,"USD","SOFR",I3432,J3432,0,"Actual360","Simple","Annual","Annual","Annual")</f>
        <v/>
      </c>
      <c r="F3432" s="8">
        <f>QS.TRADE.CREATE("trade.3430",C3432,E3432,A3432,"Receive")</f>
        <v/>
      </c>
      <c r="G3432" s="5"/>
      <c r="H3432" s="7" t="s">
        <v>3251</v>
      </c>
      <c r="I3432" s="9">
        <v>1343000</v>
      </c>
      <c r="J3432" s="10">
        <v>0.03800000000000001</v>
      </c>
    </row>
    <row r="3433" spans="1:10">
      <c r="A3433" s="7" t="s">
        <v>3239</v>
      </c>
      <c r="B3433" s="7" t="s">
        <v>5300</v>
      </c>
      <c r="C3433" s="8">
        <f>QS.CONTEXT.CREATE("market.3431",A3433,"USD","SOFR")</f>
        <v/>
      </c>
      <c r="D3433" s="8">
        <f>QS.CONTEXT.ADD.CURVE(C3433,"SOFR",$K$2:$K$7,$L$2:$L$7,,,"Actual360","LogLinear",TRUE)</f>
        <v/>
      </c>
      <c r="E3433" s="8">
        <f>QS.INSTRUMENT.SWAP("swap.3431",C3433,H3433,B3433,"USD","SOFR",I3433,J3433,0,"Actual360","Simple","Annual","Annual","Annual")</f>
        <v/>
      </c>
      <c r="F3433" s="8">
        <f>QS.TRADE.CREATE("trade.3431",C3433,E3433,A3433,"Receive")</f>
        <v/>
      </c>
      <c r="G3433" s="5"/>
      <c r="H3433" s="7" t="s">
        <v>3253</v>
      </c>
      <c r="I3433" s="9">
        <v>1343100</v>
      </c>
      <c r="J3433" s="10">
        <v>0.0381</v>
      </c>
    </row>
    <row r="3434" spans="1:10">
      <c r="A3434" s="7" t="s">
        <v>3241</v>
      </c>
      <c r="B3434" s="7" t="s">
        <v>5301</v>
      </c>
      <c r="C3434" s="8">
        <f>QS.CONTEXT.CREATE("market.3432",A3434,"USD","SOFR")</f>
        <v/>
      </c>
      <c r="D3434" s="8">
        <f>QS.CONTEXT.ADD.CURVE(C3434,"SOFR",$K$2:$K$7,$L$2:$L$7,,,"Actual360","LogLinear",TRUE)</f>
        <v/>
      </c>
      <c r="E3434" s="8">
        <f>QS.INSTRUMENT.SWAP("swap.3432",C3434,H3434,B3434,"USD","SOFR",I3434,J3434,0,"Actual360","Simple","Annual","Annual","Annual")</f>
        <v/>
      </c>
      <c r="F3434" s="8">
        <f>QS.TRADE.CREATE("trade.3432",C3434,E3434,A3434,"Receive")</f>
        <v/>
      </c>
      <c r="G3434" s="5"/>
      <c r="H3434" s="7" t="s">
        <v>3255</v>
      </c>
      <c r="I3434" s="9">
        <v>1343200</v>
      </c>
      <c r="J3434" s="10">
        <v>0.0382</v>
      </c>
    </row>
    <row r="3435" spans="1:10">
      <c r="A3435" s="7" t="s">
        <v>3243</v>
      </c>
      <c r="B3435" s="7" t="s">
        <v>5302</v>
      </c>
      <c r="C3435" s="8">
        <f>QS.CONTEXT.CREATE("market.3433",A3435,"USD","SOFR")</f>
        <v/>
      </c>
      <c r="D3435" s="8">
        <f>QS.CONTEXT.ADD.CURVE(C3435,"SOFR",$K$2:$K$7,$L$2:$L$7,,,"Actual360","LogLinear",TRUE)</f>
        <v/>
      </c>
      <c r="E3435" s="8">
        <f>QS.INSTRUMENT.SWAP("swap.3433",C3435,H3435,B3435,"USD","SOFR",I3435,J3435,0,"Actual360","Simple","Annual","Annual","Annual")</f>
        <v/>
      </c>
      <c r="F3435" s="8">
        <f>QS.TRADE.CREATE("trade.3433",C3435,E3435,A3435,"Receive")</f>
        <v/>
      </c>
      <c r="G3435" s="5"/>
      <c r="H3435" s="7" t="s">
        <v>3257</v>
      </c>
      <c r="I3435" s="9">
        <v>1343300</v>
      </c>
      <c r="J3435" s="10">
        <v>0.0383</v>
      </c>
    </row>
    <row r="3436" spans="1:10">
      <c r="A3436" s="7" t="s">
        <v>3245</v>
      </c>
      <c r="B3436" s="7" t="s">
        <v>5303</v>
      </c>
      <c r="C3436" s="8">
        <f>QS.CONTEXT.CREATE("market.3434",A3436,"USD","SOFR")</f>
        <v/>
      </c>
      <c r="D3436" s="8">
        <f>QS.CONTEXT.ADD.CURVE(C3436,"SOFR",$K$2:$K$7,$L$2:$L$7,,,"Actual360","LogLinear",TRUE)</f>
        <v/>
      </c>
      <c r="E3436" s="8">
        <f>QS.INSTRUMENT.SWAP("swap.3434",C3436,H3436,B3436,"USD","SOFR",I3436,J3436,0,"Actual360","Simple","Annual","Annual","Annual")</f>
        <v/>
      </c>
      <c r="F3436" s="8">
        <f>QS.TRADE.CREATE("trade.3434",C3436,E3436,A3436,"Receive")</f>
        <v/>
      </c>
      <c r="G3436" s="5"/>
      <c r="H3436" s="7" t="s">
        <v>3259</v>
      </c>
      <c r="I3436" s="9">
        <v>1343400</v>
      </c>
      <c r="J3436" s="10">
        <v>0.0384</v>
      </c>
    </row>
    <row r="3437" spans="1:10">
      <c r="A3437" s="7" t="s">
        <v>3247</v>
      </c>
      <c r="B3437" s="7" t="s">
        <v>5304</v>
      </c>
      <c r="C3437" s="8">
        <f>QS.CONTEXT.CREATE("market.3435",A3437,"USD","SOFR")</f>
        <v/>
      </c>
      <c r="D3437" s="8">
        <f>QS.CONTEXT.ADD.CURVE(C3437,"SOFR",$K$2:$K$7,$L$2:$L$7,,,"Actual360","LogLinear",TRUE)</f>
        <v/>
      </c>
      <c r="E3437" s="8">
        <f>QS.INSTRUMENT.SWAP("swap.3435",C3437,H3437,B3437,"USD","SOFR",I3437,J3437,0,"Actual360","Simple","Annual","Annual","Annual")</f>
        <v/>
      </c>
      <c r="F3437" s="8">
        <f>QS.TRADE.CREATE("trade.3435",C3437,E3437,A3437,"Receive")</f>
        <v/>
      </c>
      <c r="G3437" s="5"/>
      <c r="H3437" s="7" t="s">
        <v>3261</v>
      </c>
      <c r="I3437" s="9">
        <v>1343500</v>
      </c>
      <c r="J3437" s="10">
        <v>0.03850000000000001</v>
      </c>
    </row>
    <row r="3438" spans="1:10">
      <c r="A3438" s="7" t="s">
        <v>3249</v>
      </c>
      <c r="B3438" s="7" t="s">
        <v>5305</v>
      </c>
      <c r="C3438" s="8">
        <f>QS.CONTEXT.CREATE("market.3436",A3438,"USD","SOFR")</f>
        <v/>
      </c>
      <c r="D3438" s="8">
        <f>QS.CONTEXT.ADD.CURVE(C3438,"SOFR",$K$2:$K$7,$L$2:$L$7,,,"Actual360","LogLinear",TRUE)</f>
        <v/>
      </c>
      <c r="E3438" s="8">
        <f>QS.INSTRUMENT.SWAP("swap.3436",C3438,H3438,B3438,"USD","SOFR",I3438,J3438,0,"Actual360","Simple","Annual","Annual","Annual")</f>
        <v/>
      </c>
      <c r="F3438" s="8">
        <f>QS.TRADE.CREATE("trade.3436",C3438,E3438,A3438,"Receive")</f>
        <v/>
      </c>
      <c r="G3438" s="5"/>
      <c r="H3438" s="7" t="s">
        <v>3263</v>
      </c>
      <c r="I3438" s="9">
        <v>1343600</v>
      </c>
      <c r="J3438" s="10">
        <v>0.0386</v>
      </c>
    </row>
    <row r="3439" spans="1:10">
      <c r="A3439" s="7" t="s">
        <v>3251</v>
      </c>
      <c r="B3439" s="7" t="s">
        <v>5306</v>
      </c>
      <c r="C3439" s="8">
        <f>QS.CONTEXT.CREATE("market.3437",A3439,"USD","SOFR")</f>
        <v/>
      </c>
      <c r="D3439" s="8">
        <f>QS.CONTEXT.ADD.CURVE(C3439,"SOFR",$K$2:$K$7,$L$2:$L$7,,,"Actual360","LogLinear",TRUE)</f>
        <v/>
      </c>
      <c r="E3439" s="8">
        <f>QS.INSTRUMENT.SWAP("swap.3437",C3439,H3439,B3439,"USD","SOFR",I3439,J3439,0,"Actual360","Simple","Annual","Annual","Annual")</f>
        <v/>
      </c>
      <c r="F3439" s="8">
        <f>QS.TRADE.CREATE("trade.3437",C3439,E3439,A3439,"Receive")</f>
        <v/>
      </c>
      <c r="G3439" s="5"/>
      <c r="H3439" s="7" t="s">
        <v>3265</v>
      </c>
      <c r="I3439" s="9">
        <v>1343700</v>
      </c>
      <c r="J3439" s="10">
        <v>0.03870000000000001</v>
      </c>
    </row>
    <row r="3440" spans="1:10">
      <c r="A3440" s="7" t="s">
        <v>3253</v>
      </c>
      <c r="B3440" s="7" t="s">
        <v>5307</v>
      </c>
      <c r="C3440" s="8">
        <f>QS.CONTEXT.CREATE("market.3438",A3440,"USD","SOFR")</f>
        <v/>
      </c>
      <c r="D3440" s="8">
        <f>QS.CONTEXT.ADD.CURVE(C3440,"SOFR",$K$2:$K$7,$L$2:$L$7,,,"Actual360","LogLinear",TRUE)</f>
        <v/>
      </c>
      <c r="E3440" s="8">
        <f>QS.INSTRUMENT.SWAP("swap.3438",C3440,H3440,B3440,"USD","SOFR",I3440,J3440,0,"Actual360","Simple","Annual","Annual","Annual")</f>
        <v/>
      </c>
      <c r="F3440" s="8">
        <f>QS.TRADE.CREATE("trade.3438",C3440,E3440,A3440,"Receive")</f>
        <v/>
      </c>
      <c r="G3440" s="5"/>
      <c r="H3440" s="7" t="s">
        <v>3267</v>
      </c>
      <c r="I3440" s="9">
        <v>1343800</v>
      </c>
      <c r="J3440" s="10">
        <v>0.0388</v>
      </c>
    </row>
    <row r="3441" spans="1:10">
      <c r="A3441" s="7" t="s">
        <v>3255</v>
      </c>
      <c r="B3441" s="7" t="s">
        <v>5308</v>
      </c>
      <c r="C3441" s="8">
        <f>QS.CONTEXT.CREATE("market.3439",A3441,"USD","SOFR")</f>
        <v/>
      </c>
      <c r="D3441" s="8">
        <f>QS.CONTEXT.ADD.CURVE(C3441,"SOFR",$K$2:$K$7,$L$2:$L$7,,,"Actual360","LogLinear",TRUE)</f>
        <v/>
      </c>
      <c r="E3441" s="8">
        <f>QS.INSTRUMENT.SWAP("swap.3439",C3441,H3441,B3441,"USD","SOFR",I3441,J3441,0,"Actual360","Simple","Annual","Annual","Annual")</f>
        <v/>
      </c>
      <c r="F3441" s="8">
        <f>QS.TRADE.CREATE("trade.3439",C3441,E3441,A3441,"Receive")</f>
        <v/>
      </c>
      <c r="G3441" s="5"/>
      <c r="H3441" s="7" t="s">
        <v>3269</v>
      </c>
      <c r="I3441" s="9">
        <v>1343900</v>
      </c>
      <c r="J3441" s="10">
        <v>0.0389</v>
      </c>
    </row>
    <row r="3442" spans="1:10">
      <c r="A3442" s="7" t="s">
        <v>3257</v>
      </c>
      <c r="B3442" s="7" t="s">
        <v>5309</v>
      </c>
      <c r="C3442" s="8">
        <f>QS.CONTEXT.CREATE("market.3440",A3442,"USD","SOFR")</f>
        <v/>
      </c>
      <c r="D3442" s="8">
        <f>QS.CONTEXT.ADD.CURVE(C3442,"SOFR",$K$2:$K$7,$L$2:$L$7,,,"Actual360","LogLinear",TRUE)</f>
        <v/>
      </c>
      <c r="E3442" s="8">
        <f>QS.INSTRUMENT.SWAP("swap.3440",C3442,H3442,B3442,"USD","SOFR",I3442,J3442,0,"Actual360","Simple","Annual","Annual","Annual")</f>
        <v/>
      </c>
      <c r="F3442" s="8">
        <f>QS.TRADE.CREATE("trade.3440",C3442,E3442,A3442,"Receive")</f>
        <v/>
      </c>
      <c r="G3442" s="5"/>
      <c r="H3442" s="7" t="s">
        <v>3271</v>
      </c>
      <c r="I3442" s="9">
        <v>1344000</v>
      </c>
      <c r="J3442" s="10">
        <v>0.03900000000000001</v>
      </c>
    </row>
    <row r="3443" spans="1:10">
      <c r="A3443" s="7" t="s">
        <v>3259</v>
      </c>
      <c r="B3443" s="7" t="s">
        <v>5310</v>
      </c>
      <c r="C3443" s="8">
        <f>QS.CONTEXT.CREATE("market.3441",A3443,"USD","SOFR")</f>
        <v/>
      </c>
      <c r="D3443" s="8">
        <f>QS.CONTEXT.ADD.CURVE(C3443,"SOFR",$K$2:$K$7,$L$2:$L$7,,,"Actual360","LogLinear",TRUE)</f>
        <v/>
      </c>
      <c r="E3443" s="8">
        <f>QS.INSTRUMENT.SWAP("swap.3441",C3443,H3443,B3443,"USD","SOFR",I3443,J3443,0,"Actual360","Simple","Annual","Annual","Annual")</f>
        <v/>
      </c>
      <c r="F3443" s="8">
        <f>QS.TRADE.CREATE("trade.3441",C3443,E3443,A3443,"Receive")</f>
        <v/>
      </c>
      <c r="G3443" s="5"/>
      <c r="H3443" s="7" t="s">
        <v>3273</v>
      </c>
      <c r="I3443" s="9">
        <v>1344100</v>
      </c>
      <c r="J3443" s="10">
        <v>0.0391</v>
      </c>
    </row>
    <row r="3444" spans="1:10">
      <c r="A3444" s="7" t="s">
        <v>3261</v>
      </c>
      <c r="B3444" s="7" t="s">
        <v>5311</v>
      </c>
      <c r="C3444" s="8">
        <f>QS.CONTEXT.CREATE("market.3442",A3444,"USD","SOFR")</f>
        <v/>
      </c>
      <c r="D3444" s="8">
        <f>QS.CONTEXT.ADD.CURVE(C3444,"SOFR",$K$2:$K$7,$L$2:$L$7,,,"Actual360","LogLinear",TRUE)</f>
        <v/>
      </c>
      <c r="E3444" s="8">
        <f>QS.INSTRUMENT.SWAP("swap.3442",C3444,H3444,B3444,"USD","SOFR",I3444,J3444,0,"Actual360","Simple","Annual","Annual","Annual")</f>
        <v/>
      </c>
      <c r="F3444" s="8">
        <f>QS.TRADE.CREATE("trade.3442",C3444,E3444,A3444,"Receive")</f>
        <v/>
      </c>
      <c r="G3444" s="5"/>
      <c r="H3444" s="7" t="s">
        <v>3275</v>
      </c>
      <c r="I3444" s="9">
        <v>1344200</v>
      </c>
      <c r="J3444" s="10">
        <v>0.03920000000000001</v>
      </c>
    </row>
    <row r="3445" spans="1:10">
      <c r="A3445" s="7" t="s">
        <v>3263</v>
      </c>
      <c r="B3445" s="7" t="s">
        <v>5312</v>
      </c>
      <c r="C3445" s="8">
        <f>QS.CONTEXT.CREATE("market.3443",A3445,"USD","SOFR")</f>
        <v/>
      </c>
      <c r="D3445" s="8">
        <f>QS.CONTEXT.ADD.CURVE(C3445,"SOFR",$K$2:$K$7,$L$2:$L$7,,,"Actual360","LogLinear",TRUE)</f>
        <v/>
      </c>
      <c r="E3445" s="8">
        <f>QS.INSTRUMENT.SWAP("swap.3443",C3445,H3445,B3445,"USD","SOFR",I3445,J3445,0,"Actual360","Simple","Annual","Annual","Annual")</f>
        <v/>
      </c>
      <c r="F3445" s="8">
        <f>QS.TRADE.CREATE("trade.3443",C3445,E3445,A3445,"Receive")</f>
        <v/>
      </c>
      <c r="G3445" s="5"/>
      <c r="H3445" s="7" t="s">
        <v>3277</v>
      </c>
      <c r="I3445" s="9">
        <v>1344300</v>
      </c>
      <c r="J3445" s="10">
        <v>0.0393</v>
      </c>
    </row>
    <row r="3446" spans="1:10">
      <c r="A3446" s="7" t="s">
        <v>3265</v>
      </c>
      <c r="B3446" s="7" t="s">
        <v>5313</v>
      </c>
      <c r="C3446" s="8">
        <f>QS.CONTEXT.CREATE("market.3444",A3446,"USD","SOFR")</f>
        <v/>
      </c>
      <c r="D3446" s="8">
        <f>QS.CONTEXT.ADD.CURVE(C3446,"SOFR",$K$2:$K$7,$L$2:$L$7,,,"Actual360","LogLinear",TRUE)</f>
        <v/>
      </c>
      <c r="E3446" s="8">
        <f>QS.INSTRUMENT.SWAP("swap.3444",C3446,H3446,B3446,"USD","SOFR",I3446,J3446,0,"Actual360","Simple","Annual","Annual","Annual")</f>
        <v/>
      </c>
      <c r="F3446" s="8">
        <f>QS.TRADE.CREATE("trade.3444",C3446,E3446,A3446,"Receive")</f>
        <v/>
      </c>
      <c r="G3446" s="5"/>
      <c r="H3446" s="7" t="s">
        <v>3279</v>
      </c>
      <c r="I3446" s="9">
        <v>1344400</v>
      </c>
      <c r="J3446" s="10">
        <v>0.0394</v>
      </c>
    </row>
    <row r="3447" spans="1:10">
      <c r="A3447" s="7" t="s">
        <v>3267</v>
      </c>
      <c r="B3447" s="7" t="s">
        <v>5314</v>
      </c>
      <c r="C3447" s="8">
        <f>QS.CONTEXT.CREATE("market.3445",A3447,"USD","SOFR")</f>
        <v/>
      </c>
      <c r="D3447" s="8">
        <f>QS.CONTEXT.ADD.CURVE(C3447,"SOFR",$K$2:$K$7,$L$2:$L$7,,,"Actual360","LogLinear",TRUE)</f>
        <v/>
      </c>
      <c r="E3447" s="8">
        <f>QS.INSTRUMENT.SWAP("swap.3445",C3447,H3447,B3447,"USD","SOFR",I3447,J3447,0,"Actual360","Simple","Annual","Annual","Annual")</f>
        <v/>
      </c>
      <c r="F3447" s="8">
        <f>QS.TRADE.CREATE("trade.3445",C3447,E3447,A3447,"Receive")</f>
        <v/>
      </c>
      <c r="G3447" s="5"/>
      <c r="H3447" s="7" t="s">
        <v>3281</v>
      </c>
      <c r="I3447" s="9">
        <v>1344500</v>
      </c>
      <c r="J3447" s="10">
        <v>0.03950000000000001</v>
      </c>
    </row>
    <row r="3448" spans="1:10">
      <c r="A3448" s="7" t="s">
        <v>3269</v>
      </c>
      <c r="B3448" s="7" t="s">
        <v>5315</v>
      </c>
      <c r="C3448" s="8">
        <f>QS.CONTEXT.CREATE("market.3446",A3448,"USD","SOFR")</f>
        <v/>
      </c>
      <c r="D3448" s="8">
        <f>QS.CONTEXT.ADD.CURVE(C3448,"SOFR",$K$2:$K$7,$L$2:$L$7,,,"Actual360","LogLinear",TRUE)</f>
        <v/>
      </c>
      <c r="E3448" s="8">
        <f>QS.INSTRUMENT.SWAP("swap.3446",C3448,H3448,B3448,"USD","SOFR",I3448,J3448,0,"Actual360","Simple","Annual","Annual","Annual")</f>
        <v/>
      </c>
      <c r="F3448" s="8">
        <f>QS.TRADE.CREATE("trade.3446",C3448,E3448,A3448,"Receive")</f>
        <v/>
      </c>
      <c r="G3448" s="5"/>
      <c r="H3448" s="7" t="s">
        <v>3283</v>
      </c>
      <c r="I3448" s="9">
        <v>1344600</v>
      </c>
      <c r="J3448" s="10">
        <v>0.0396</v>
      </c>
    </row>
    <row r="3449" spans="1:10">
      <c r="A3449" s="7" t="s">
        <v>3271</v>
      </c>
      <c r="B3449" s="7" t="s">
        <v>5316</v>
      </c>
      <c r="C3449" s="8">
        <f>QS.CONTEXT.CREATE("market.3447",A3449,"USD","SOFR")</f>
        <v/>
      </c>
      <c r="D3449" s="8">
        <f>QS.CONTEXT.ADD.CURVE(C3449,"SOFR",$K$2:$K$7,$L$2:$L$7,,,"Actual360","LogLinear",TRUE)</f>
        <v/>
      </c>
      <c r="E3449" s="8">
        <f>QS.INSTRUMENT.SWAP("swap.3447",C3449,H3449,B3449,"USD","SOFR",I3449,J3449,0,"Actual360","Simple","Annual","Annual","Annual")</f>
        <v/>
      </c>
      <c r="F3449" s="8">
        <f>QS.TRADE.CREATE("trade.3447",C3449,E3449,A3449,"Receive")</f>
        <v/>
      </c>
      <c r="G3449" s="5"/>
      <c r="H3449" s="7" t="s">
        <v>3285</v>
      </c>
      <c r="I3449" s="9">
        <v>1344700</v>
      </c>
      <c r="J3449" s="10">
        <v>0.03970000000000001</v>
      </c>
    </row>
    <row r="3450" spans="1:10">
      <c r="A3450" s="7" t="s">
        <v>3273</v>
      </c>
      <c r="B3450" s="7" t="s">
        <v>5317</v>
      </c>
      <c r="C3450" s="8">
        <f>QS.CONTEXT.CREATE("market.3448",A3450,"USD","SOFR")</f>
        <v/>
      </c>
      <c r="D3450" s="8">
        <f>QS.CONTEXT.ADD.CURVE(C3450,"SOFR",$K$2:$K$7,$L$2:$L$7,,,"Actual360","LogLinear",TRUE)</f>
        <v/>
      </c>
      <c r="E3450" s="8">
        <f>QS.INSTRUMENT.SWAP("swap.3448",C3450,H3450,B3450,"USD","SOFR",I3450,J3450,0,"Actual360","Simple","Annual","Annual","Annual")</f>
        <v/>
      </c>
      <c r="F3450" s="8">
        <f>QS.TRADE.CREATE("trade.3448",C3450,E3450,A3450,"Receive")</f>
        <v/>
      </c>
      <c r="G3450" s="5"/>
      <c r="H3450" s="7" t="s">
        <v>3287</v>
      </c>
      <c r="I3450" s="9">
        <v>1344800</v>
      </c>
      <c r="J3450" s="10">
        <v>0.0398</v>
      </c>
    </row>
    <row r="3451" spans="1:10">
      <c r="A3451" s="7" t="s">
        <v>3275</v>
      </c>
      <c r="B3451" s="7" t="s">
        <v>5318</v>
      </c>
      <c r="C3451" s="8">
        <f>QS.CONTEXT.CREATE("market.3449",A3451,"USD","SOFR")</f>
        <v/>
      </c>
      <c r="D3451" s="8">
        <f>QS.CONTEXT.ADD.CURVE(C3451,"SOFR",$K$2:$K$7,$L$2:$L$7,,,"Actual360","LogLinear",TRUE)</f>
        <v/>
      </c>
      <c r="E3451" s="8">
        <f>QS.INSTRUMENT.SWAP("swap.3449",C3451,H3451,B3451,"USD","SOFR",I3451,J3451,0,"Actual360","Simple","Annual","Annual","Annual")</f>
        <v/>
      </c>
      <c r="F3451" s="8">
        <f>QS.TRADE.CREATE("trade.3449",C3451,E3451,A3451,"Receive")</f>
        <v/>
      </c>
      <c r="G3451" s="5"/>
      <c r="H3451" s="7" t="s">
        <v>3289</v>
      </c>
      <c r="I3451" s="9">
        <v>1344900</v>
      </c>
      <c r="J3451" s="10">
        <v>0.0399</v>
      </c>
    </row>
    <row r="3452" spans="1:10">
      <c r="A3452" s="7" t="s">
        <v>3277</v>
      </c>
      <c r="B3452" s="7" t="s">
        <v>5319</v>
      </c>
      <c r="C3452" s="8">
        <f>QS.CONTEXT.CREATE("market.3450",A3452,"USD","SOFR")</f>
        <v/>
      </c>
      <c r="D3452" s="8">
        <f>QS.CONTEXT.ADD.CURVE(C3452,"SOFR",$K$2:$K$7,$L$2:$L$7,,,"Actual360","LogLinear",TRUE)</f>
        <v/>
      </c>
      <c r="E3452" s="8">
        <f>QS.INSTRUMENT.SWAP("swap.3450",C3452,H3452,B3452,"USD","SOFR",I3452,J3452,0,"Actual360","Simple","Annual","Annual","Annual")</f>
        <v/>
      </c>
      <c r="F3452" s="8">
        <f>QS.TRADE.CREATE("trade.3450",C3452,E3452,A3452,"Receive")</f>
        <v/>
      </c>
      <c r="G3452" s="5"/>
      <c r="H3452" s="7" t="s">
        <v>3291</v>
      </c>
      <c r="I3452" s="9">
        <v>1345000</v>
      </c>
      <c r="J3452" s="10">
        <v>0.035</v>
      </c>
    </row>
    <row r="3453" spans="1:10">
      <c r="A3453" s="7" t="s">
        <v>3279</v>
      </c>
      <c r="B3453" s="7" t="s">
        <v>5320</v>
      </c>
      <c r="C3453" s="8">
        <f>QS.CONTEXT.CREATE("market.3451",A3453,"USD","SOFR")</f>
        <v/>
      </c>
      <c r="D3453" s="8">
        <f>QS.CONTEXT.ADD.CURVE(C3453,"SOFR",$K$2:$K$7,$L$2:$L$7,,,"Actual360","LogLinear",TRUE)</f>
        <v/>
      </c>
      <c r="E3453" s="8">
        <f>QS.INSTRUMENT.SWAP("swap.3451",C3453,H3453,B3453,"USD","SOFR",I3453,J3453,0,"Actual360","Simple","Annual","Annual","Annual")</f>
        <v/>
      </c>
      <c r="F3453" s="8">
        <f>QS.TRADE.CREATE("trade.3451",C3453,E3453,A3453,"Receive")</f>
        <v/>
      </c>
      <c r="G3453" s="5"/>
      <c r="H3453" s="7" t="s">
        <v>3293</v>
      </c>
      <c r="I3453" s="9">
        <v>1345100</v>
      </c>
      <c r="J3453" s="10">
        <v>0.03510000000000001</v>
      </c>
    </row>
    <row r="3454" spans="1:10">
      <c r="A3454" s="7" t="s">
        <v>3281</v>
      </c>
      <c r="B3454" s="7" t="s">
        <v>5321</v>
      </c>
      <c r="C3454" s="8">
        <f>QS.CONTEXT.CREATE("market.3452",A3454,"USD","SOFR")</f>
        <v/>
      </c>
      <c r="D3454" s="8">
        <f>QS.CONTEXT.ADD.CURVE(C3454,"SOFR",$K$2:$K$7,$L$2:$L$7,,,"Actual360","LogLinear",TRUE)</f>
        <v/>
      </c>
      <c r="E3454" s="8">
        <f>QS.INSTRUMENT.SWAP("swap.3452",C3454,H3454,B3454,"USD","SOFR",I3454,J3454,0,"Actual360","Simple","Annual","Annual","Annual")</f>
        <v/>
      </c>
      <c r="F3454" s="8">
        <f>QS.TRADE.CREATE("trade.3452",C3454,E3454,A3454,"Receive")</f>
        <v/>
      </c>
      <c r="G3454" s="5"/>
      <c r="H3454" s="7" t="s">
        <v>3295</v>
      </c>
      <c r="I3454" s="9">
        <v>1345200</v>
      </c>
      <c r="J3454" s="10">
        <v>0.0352</v>
      </c>
    </row>
    <row r="3455" spans="1:10">
      <c r="A3455" s="7" t="s">
        <v>3283</v>
      </c>
      <c r="B3455" s="7" t="s">
        <v>5322</v>
      </c>
      <c r="C3455" s="8">
        <f>QS.CONTEXT.CREATE("market.3453",A3455,"USD","SOFR")</f>
        <v/>
      </c>
      <c r="D3455" s="8">
        <f>QS.CONTEXT.ADD.CURVE(C3455,"SOFR",$K$2:$K$7,$L$2:$L$7,,,"Actual360","LogLinear",TRUE)</f>
        <v/>
      </c>
      <c r="E3455" s="8">
        <f>QS.INSTRUMENT.SWAP("swap.3453",C3455,H3455,B3455,"USD","SOFR",I3455,J3455,0,"Actual360","Simple","Annual","Annual","Annual")</f>
        <v/>
      </c>
      <c r="F3455" s="8">
        <f>QS.TRADE.CREATE("trade.3453",C3455,E3455,A3455,"Receive")</f>
        <v/>
      </c>
      <c r="G3455" s="5"/>
      <c r="H3455" s="7" t="s">
        <v>3297</v>
      </c>
      <c r="I3455" s="9">
        <v>1345300</v>
      </c>
      <c r="J3455" s="10">
        <v>0.0353</v>
      </c>
    </row>
    <row r="3456" spans="1:10">
      <c r="A3456" s="7" t="s">
        <v>3285</v>
      </c>
      <c r="B3456" s="7" t="s">
        <v>5323</v>
      </c>
      <c r="C3456" s="8">
        <f>QS.CONTEXT.CREATE("market.3454",A3456,"USD","SOFR")</f>
        <v/>
      </c>
      <c r="D3456" s="8">
        <f>QS.CONTEXT.ADD.CURVE(C3456,"SOFR",$K$2:$K$7,$L$2:$L$7,,,"Actual360","LogLinear",TRUE)</f>
        <v/>
      </c>
      <c r="E3456" s="8">
        <f>QS.INSTRUMENT.SWAP("swap.3454",C3456,H3456,B3456,"USD","SOFR",I3456,J3456,0,"Actual360","Simple","Annual","Annual","Annual")</f>
        <v/>
      </c>
      <c r="F3456" s="8">
        <f>QS.TRADE.CREATE("trade.3454",C3456,E3456,A3456,"Receive")</f>
        <v/>
      </c>
      <c r="G3456" s="5"/>
      <c r="H3456" s="7" t="s">
        <v>3299</v>
      </c>
      <c r="I3456" s="9">
        <v>1345400</v>
      </c>
      <c r="J3456" s="10">
        <v>0.0354</v>
      </c>
    </row>
    <row r="3457" spans="1:10">
      <c r="A3457" s="7" t="s">
        <v>3287</v>
      </c>
      <c r="B3457" s="7" t="s">
        <v>5324</v>
      </c>
      <c r="C3457" s="8">
        <f>QS.CONTEXT.CREATE("market.3455",A3457,"USD","SOFR")</f>
        <v/>
      </c>
      <c r="D3457" s="8">
        <f>QS.CONTEXT.ADD.CURVE(C3457,"SOFR",$K$2:$K$7,$L$2:$L$7,,,"Actual360","LogLinear",TRUE)</f>
        <v/>
      </c>
      <c r="E3457" s="8">
        <f>QS.INSTRUMENT.SWAP("swap.3455",C3457,H3457,B3457,"USD","SOFR",I3457,J3457,0,"Actual360","Simple","Annual","Annual","Annual")</f>
        <v/>
      </c>
      <c r="F3457" s="8">
        <f>QS.TRADE.CREATE("trade.3455",C3457,E3457,A3457,"Receive")</f>
        <v/>
      </c>
      <c r="G3457" s="5"/>
      <c r="H3457" s="7" t="s">
        <v>3301</v>
      </c>
      <c r="I3457" s="9">
        <v>1345500</v>
      </c>
      <c r="J3457" s="10">
        <v>0.0355</v>
      </c>
    </row>
    <row r="3458" spans="1:10">
      <c r="A3458" s="7" t="s">
        <v>3289</v>
      </c>
      <c r="B3458" s="7" t="s">
        <v>5325</v>
      </c>
      <c r="C3458" s="8">
        <f>QS.CONTEXT.CREATE("market.3456",A3458,"USD","SOFR")</f>
        <v/>
      </c>
      <c r="D3458" s="8">
        <f>QS.CONTEXT.ADD.CURVE(C3458,"SOFR",$K$2:$K$7,$L$2:$L$7,,,"Actual360","LogLinear",TRUE)</f>
        <v/>
      </c>
      <c r="E3458" s="8">
        <f>QS.INSTRUMENT.SWAP("swap.3456",C3458,H3458,B3458,"USD","SOFR",I3458,J3458,0,"Actual360","Simple","Annual","Annual","Annual")</f>
        <v/>
      </c>
      <c r="F3458" s="8">
        <f>QS.TRADE.CREATE("trade.3456",C3458,E3458,A3458,"Receive")</f>
        <v/>
      </c>
      <c r="G3458" s="5"/>
      <c r="H3458" s="7" t="s">
        <v>3303</v>
      </c>
      <c r="I3458" s="9">
        <v>1345600</v>
      </c>
      <c r="J3458" s="10">
        <v>0.03560000000000001</v>
      </c>
    </row>
    <row r="3459" spans="1:10">
      <c r="A3459" s="7" t="s">
        <v>3291</v>
      </c>
      <c r="B3459" s="7" t="s">
        <v>5326</v>
      </c>
      <c r="C3459" s="8">
        <f>QS.CONTEXT.CREATE("market.3457",A3459,"USD","SOFR")</f>
        <v/>
      </c>
      <c r="D3459" s="8">
        <f>QS.CONTEXT.ADD.CURVE(C3459,"SOFR",$K$2:$K$7,$L$2:$L$7,,,"Actual360","LogLinear",TRUE)</f>
        <v/>
      </c>
      <c r="E3459" s="8">
        <f>QS.INSTRUMENT.SWAP("swap.3457",C3459,H3459,B3459,"USD","SOFR",I3459,J3459,0,"Actual360","Simple","Annual","Annual","Annual")</f>
        <v/>
      </c>
      <c r="F3459" s="8">
        <f>QS.TRADE.CREATE("trade.3457",C3459,E3459,A3459,"Receive")</f>
        <v/>
      </c>
      <c r="G3459" s="5"/>
      <c r="H3459" s="7" t="s">
        <v>3305</v>
      </c>
      <c r="I3459" s="9">
        <v>1345700</v>
      </c>
      <c r="J3459" s="10">
        <v>0.0357</v>
      </c>
    </row>
    <row r="3460" spans="1:10">
      <c r="A3460" s="7" t="s">
        <v>3293</v>
      </c>
      <c r="B3460" s="7" t="s">
        <v>5327</v>
      </c>
      <c r="C3460" s="8">
        <f>QS.CONTEXT.CREATE("market.3458",A3460,"USD","SOFR")</f>
        <v/>
      </c>
      <c r="D3460" s="8">
        <f>QS.CONTEXT.ADD.CURVE(C3460,"SOFR",$K$2:$K$7,$L$2:$L$7,,,"Actual360","LogLinear",TRUE)</f>
        <v/>
      </c>
      <c r="E3460" s="8">
        <f>QS.INSTRUMENT.SWAP("swap.3458",C3460,H3460,B3460,"USD","SOFR",I3460,J3460,0,"Actual360","Simple","Annual","Annual","Annual")</f>
        <v/>
      </c>
      <c r="F3460" s="8">
        <f>QS.TRADE.CREATE("trade.3458",C3460,E3460,A3460,"Receive")</f>
        <v/>
      </c>
      <c r="G3460" s="5"/>
      <c r="H3460" s="7" t="s">
        <v>3307</v>
      </c>
      <c r="I3460" s="9">
        <v>1345800</v>
      </c>
      <c r="J3460" s="10">
        <v>0.03580000000000001</v>
      </c>
    </row>
    <row r="3461" spans="1:10">
      <c r="A3461" s="7" t="s">
        <v>3295</v>
      </c>
      <c r="B3461" s="7" t="s">
        <v>5328</v>
      </c>
      <c r="C3461" s="8">
        <f>QS.CONTEXT.CREATE("market.3459",A3461,"USD","SOFR")</f>
        <v/>
      </c>
      <c r="D3461" s="8">
        <f>QS.CONTEXT.ADD.CURVE(C3461,"SOFR",$K$2:$K$7,$L$2:$L$7,,,"Actual360","LogLinear",TRUE)</f>
        <v/>
      </c>
      <c r="E3461" s="8">
        <f>QS.INSTRUMENT.SWAP("swap.3459",C3461,H3461,B3461,"USD","SOFR",I3461,J3461,0,"Actual360","Simple","Annual","Annual","Annual")</f>
        <v/>
      </c>
      <c r="F3461" s="8">
        <f>QS.TRADE.CREATE("trade.3459",C3461,E3461,A3461,"Receive")</f>
        <v/>
      </c>
      <c r="G3461" s="5"/>
      <c r="H3461" s="7" t="s">
        <v>3309</v>
      </c>
      <c r="I3461" s="9">
        <v>1345900</v>
      </c>
      <c r="J3461" s="10">
        <v>0.0359</v>
      </c>
    </row>
    <row r="3462" spans="1:10">
      <c r="A3462" s="7" t="s">
        <v>3297</v>
      </c>
      <c r="B3462" s="7" t="s">
        <v>5329</v>
      </c>
      <c r="C3462" s="8">
        <f>QS.CONTEXT.CREATE("market.3460",A3462,"USD","SOFR")</f>
        <v/>
      </c>
      <c r="D3462" s="8">
        <f>QS.CONTEXT.ADD.CURVE(C3462,"SOFR",$K$2:$K$7,$L$2:$L$7,,,"Actual360","LogLinear",TRUE)</f>
        <v/>
      </c>
      <c r="E3462" s="8">
        <f>QS.INSTRUMENT.SWAP("swap.3460",C3462,H3462,B3462,"USD","SOFR",I3462,J3462,0,"Actual360","Simple","Annual","Annual","Annual")</f>
        <v/>
      </c>
      <c r="F3462" s="8">
        <f>QS.TRADE.CREATE("trade.3460",C3462,E3462,A3462,"Receive")</f>
        <v/>
      </c>
      <c r="G3462" s="5"/>
      <c r="H3462" s="7" t="s">
        <v>3311</v>
      </c>
      <c r="I3462" s="9">
        <v>1346000</v>
      </c>
      <c r="J3462" s="10">
        <v>0.036</v>
      </c>
    </row>
    <row r="3463" spans="1:10">
      <c r="A3463" s="7" t="s">
        <v>3299</v>
      </c>
      <c r="B3463" s="7" t="s">
        <v>5330</v>
      </c>
      <c r="C3463" s="8">
        <f>QS.CONTEXT.CREATE("market.3461",A3463,"USD","SOFR")</f>
        <v/>
      </c>
      <c r="D3463" s="8">
        <f>QS.CONTEXT.ADD.CURVE(C3463,"SOFR",$K$2:$K$7,$L$2:$L$7,,,"Actual360","LogLinear",TRUE)</f>
        <v/>
      </c>
      <c r="E3463" s="8">
        <f>QS.INSTRUMENT.SWAP("swap.3461",C3463,H3463,B3463,"USD","SOFR",I3463,J3463,0,"Actual360","Simple","Annual","Annual","Annual")</f>
        <v/>
      </c>
      <c r="F3463" s="8">
        <f>QS.TRADE.CREATE("trade.3461",C3463,E3463,A3463,"Receive")</f>
        <v/>
      </c>
      <c r="G3463" s="5"/>
      <c r="H3463" s="7" t="s">
        <v>3313</v>
      </c>
      <c r="I3463" s="9">
        <v>1346100</v>
      </c>
      <c r="J3463" s="10">
        <v>0.0361</v>
      </c>
    </row>
    <row r="3464" spans="1:10">
      <c r="A3464" s="7" t="s">
        <v>3301</v>
      </c>
      <c r="B3464" s="7" t="s">
        <v>5331</v>
      </c>
      <c r="C3464" s="8">
        <f>QS.CONTEXT.CREATE("market.3462",A3464,"USD","SOFR")</f>
        <v/>
      </c>
      <c r="D3464" s="8">
        <f>QS.CONTEXT.ADD.CURVE(C3464,"SOFR",$K$2:$K$7,$L$2:$L$7,,,"Actual360","LogLinear",TRUE)</f>
        <v/>
      </c>
      <c r="E3464" s="8">
        <f>QS.INSTRUMENT.SWAP("swap.3462",C3464,H3464,B3464,"USD","SOFR",I3464,J3464,0,"Actual360","Simple","Annual","Annual","Annual")</f>
        <v/>
      </c>
      <c r="F3464" s="8">
        <f>QS.TRADE.CREATE("trade.3462",C3464,E3464,A3464,"Receive")</f>
        <v/>
      </c>
      <c r="G3464" s="5"/>
      <c r="H3464" s="7" t="s">
        <v>3315</v>
      </c>
      <c r="I3464" s="9">
        <v>1346200</v>
      </c>
      <c r="J3464" s="10">
        <v>0.0362</v>
      </c>
    </row>
    <row r="3465" spans="1:10">
      <c r="A3465" s="7" t="s">
        <v>3303</v>
      </c>
      <c r="B3465" s="7" t="s">
        <v>5332</v>
      </c>
      <c r="C3465" s="8">
        <f>QS.CONTEXT.CREATE("market.3463",A3465,"USD","SOFR")</f>
        <v/>
      </c>
      <c r="D3465" s="8">
        <f>QS.CONTEXT.ADD.CURVE(C3465,"SOFR",$K$2:$K$7,$L$2:$L$7,,,"Actual360","LogLinear",TRUE)</f>
        <v/>
      </c>
      <c r="E3465" s="8">
        <f>QS.INSTRUMENT.SWAP("swap.3463",C3465,H3465,B3465,"USD","SOFR",I3465,J3465,0,"Actual360","Simple","Annual","Annual","Annual")</f>
        <v/>
      </c>
      <c r="F3465" s="8">
        <f>QS.TRADE.CREATE("trade.3463",C3465,E3465,A3465,"Receive")</f>
        <v/>
      </c>
      <c r="G3465" s="5"/>
      <c r="H3465" s="7" t="s">
        <v>3317</v>
      </c>
      <c r="I3465" s="9">
        <v>1346300</v>
      </c>
      <c r="J3465" s="10">
        <v>0.03630000000000001</v>
      </c>
    </row>
    <row r="3466" spans="1:10">
      <c r="A3466" s="7" t="s">
        <v>3305</v>
      </c>
      <c r="B3466" s="7" t="s">
        <v>5333</v>
      </c>
      <c r="C3466" s="8">
        <f>QS.CONTEXT.CREATE("market.3464",A3466,"USD","SOFR")</f>
        <v/>
      </c>
      <c r="D3466" s="8">
        <f>QS.CONTEXT.ADD.CURVE(C3466,"SOFR",$K$2:$K$7,$L$2:$L$7,,,"Actual360","LogLinear",TRUE)</f>
        <v/>
      </c>
      <c r="E3466" s="8">
        <f>QS.INSTRUMENT.SWAP("swap.3464",C3466,H3466,B3466,"USD","SOFR",I3466,J3466,0,"Actual360","Simple","Annual","Annual","Annual")</f>
        <v/>
      </c>
      <c r="F3466" s="8">
        <f>QS.TRADE.CREATE("trade.3464",C3466,E3466,A3466,"Receive")</f>
        <v/>
      </c>
      <c r="G3466" s="5"/>
      <c r="H3466" s="7" t="s">
        <v>3319</v>
      </c>
      <c r="I3466" s="9">
        <v>1346400</v>
      </c>
      <c r="J3466" s="10">
        <v>0.0364</v>
      </c>
    </row>
    <row r="3467" spans="1:10">
      <c r="A3467" s="7" t="s">
        <v>3307</v>
      </c>
      <c r="B3467" s="7" t="s">
        <v>5334</v>
      </c>
      <c r="C3467" s="8">
        <f>QS.CONTEXT.CREATE("market.3465",A3467,"USD","SOFR")</f>
        <v/>
      </c>
      <c r="D3467" s="8">
        <f>QS.CONTEXT.ADD.CURVE(C3467,"SOFR",$K$2:$K$7,$L$2:$L$7,,,"Actual360","LogLinear",TRUE)</f>
        <v/>
      </c>
      <c r="E3467" s="8">
        <f>QS.INSTRUMENT.SWAP("swap.3465",C3467,H3467,B3467,"USD","SOFR",I3467,J3467,0,"Actual360","Simple","Annual","Annual","Annual")</f>
        <v/>
      </c>
      <c r="F3467" s="8">
        <f>QS.TRADE.CREATE("trade.3465",C3467,E3467,A3467,"Receive")</f>
        <v/>
      </c>
      <c r="G3467" s="5"/>
      <c r="H3467" s="7" t="s">
        <v>3321</v>
      </c>
      <c r="I3467" s="9">
        <v>1346500</v>
      </c>
      <c r="J3467" s="10">
        <v>0.0365</v>
      </c>
    </row>
    <row r="3468" spans="1:10">
      <c r="A3468" s="7" t="s">
        <v>3309</v>
      </c>
      <c r="B3468" s="7" t="s">
        <v>5335</v>
      </c>
      <c r="C3468" s="8">
        <f>QS.CONTEXT.CREATE("market.3466",A3468,"USD","SOFR")</f>
        <v/>
      </c>
      <c r="D3468" s="8">
        <f>QS.CONTEXT.ADD.CURVE(C3468,"SOFR",$K$2:$K$7,$L$2:$L$7,,,"Actual360","LogLinear",TRUE)</f>
        <v/>
      </c>
      <c r="E3468" s="8">
        <f>QS.INSTRUMENT.SWAP("swap.3466",C3468,H3468,B3468,"USD","SOFR",I3468,J3468,0,"Actual360","Simple","Annual","Annual","Annual")</f>
        <v/>
      </c>
      <c r="F3468" s="8">
        <f>QS.TRADE.CREATE("trade.3466",C3468,E3468,A3468,"Receive")</f>
        <v/>
      </c>
      <c r="G3468" s="5"/>
      <c r="H3468" s="7" t="s">
        <v>3323</v>
      </c>
      <c r="I3468" s="9">
        <v>1346600</v>
      </c>
      <c r="J3468" s="10">
        <v>0.0366</v>
      </c>
    </row>
    <row r="3469" spans="1:10">
      <c r="A3469" s="7" t="s">
        <v>3311</v>
      </c>
      <c r="B3469" s="7" t="s">
        <v>5336</v>
      </c>
      <c r="C3469" s="8">
        <f>QS.CONTEXT.CREATE("market.3467",A3469,"USD","SOFR")</f>
        <v/>
      </c>
      <c r="D3469" s="8">
        <f>QS.CONTEXT.ADD.CURVE(C3469,"SOFR",$K$2:$K$7,$L$2:$L$7,,,"Actual360","LogLinear",TRUE)</f>
        <v/>
      </c>
      <c r="E3469" s="8">
        <f>QS.INSTRUMENT.SWAP("swap.3467",C3469,H3469,B3469,"USD","SOFR",I3469,J3469,0,"Actual360","Simple","Annual","Annual","Annual")</f>
        <v/>
      </c>
      <c r="F3469" s="8">
        <f>QS.TRADE.CREATE("trade.3467",C3469,E3469,A3469,"Receive")</f>
        <v/>
      </c>
      <c r="G3469" s="5"/>
      <c r="H3469" s="7" t="s">
        <v>3325</v>
      </c>
      <c r="I3469" s="9">
        <v>1346700</v>
      </c>
      <c r="J3469" s="10">
        <v>0.0367</v>
      </c>
    </row>
    <row r="3470" spans="1:10">
      <c r="A3470" s="7" t="s">
        <v>3313</v>
      </c>
      <c r="B3470" s="7" t="s">
        <v>5337</v>
      </c>
      <c r="C3470" s="8">
        <f>QS.CONTEXT.CREATE("market.3468",A3470,"USD","SOFR")</f>
        <v/>
      </c>
      <c r="D3470" s="8">
        <f>QS.CONTEXT.ADD.CURVE(C3470,"SOFR",$K$2:$K$7,$L$2:$L$7,,,"Actual360","LogLinear",TRUE)</f>
        <v/>
      </c>
      <c r="E3470" s="8">
        <f>QS.INSTRUMENT.SWAP("swap.3468",C3470,H3470,B3470,"USD","SOFR",I3470,J3470,0,"Actual360","Simple","Annual","Annual","Annual")</f>
        <v/>
      </c>
      <c r="F3470" s="8">
        <f>QS.TRADE.CREATE("trade.3468",C3470,E3470,A3470,"Receive")</f>
        <v/>
      </c>
      <c r="G3470" s="5"/>
      <c r="H3470" s="7" t="s">
        <v>3327</v>
      </c>
      <c r="I3470" s="9">
        <v>1346800</v>
      </c>
      <c r="J3470" s="10">
        <v>0.03680000000000001</v>
      </c>
    </row>
    <row r="3471" spans="1:10">
      <c r="A3471" s="7" t="s">
        <v>3315</v>
      </c>
      <c r="B3471" s="7" t="s">
        <v>5338</v>
      </c>
      <c r="C3471" s="8">
        <f>QS.CONTEXT.CREATE("market.3469",A3471,"USD","SOFR")</f>
        <v/>
      </c>
      <c r="D3471" s="8">
        <f>QS.CONTEXT.ADD.CURVE(C3471,"SOFR",$K$2:$K$7,$L$2:$L$7,,,"Actual360","LogLinear",TRUE)</f>
        <v/>
      </c>
      <c r="E3471" s="8">
        <f>QS.INSTRUMENT.SWAP("swap.3469",C3471,H3471,B3471,"USD","SOFR",I3471,J3471,0,"Actual360","Simple","Annual","Annual","Annual")</f>
        <v/>
      </c>
      <c r="F3471" s="8">
        <f>QS.TRADE.CREATE("trade.3469",C3471,E3471,A3471,"Receive")</f>
        <v/>
      </c>
      <c r="G3471" s="5"/>
      <c r="H3471" s="7" t="s">
        <v>3329</v>
      </c>
      <c r="I3471" s="9">
        <v>1346900</v>
      </c>
      <c r="J3471" s="10">
        <v>0.0369</v>
      </c>
    </row>
    <row r="3472" spans="1:10">
      <c r="A3472" s="7" t="s">
        <v>3317</v>
      </c>
      <c r="B3472" s="7" t="s">
        <v>5339</v>
      </c>
      <c r="C3472" s="8">
        <f>QS.CONTEXT.CREATE("market.3470",A3472,"USD","SOFR")</f>
        <v/>
      </c>
      <c r="D3472" s="8">
        <f>QS.CONTEXT.ADD.CURVE(C3472,"SOFR",$K$2:$K$7,$L$2:$L$7,,,"Actual360","LogLinear",TRUE)</f>
        <v/>
      </c>
      <c r="E3472" s="8">
        <f>QS.INSTRUMENT.SWAP("swap.3470",C3472,H3472,B3472,"USD","SOFR",I3472,J3472,0,"Actual360","Simple","Annual","Annual","Annual")</f>
        <v/>
      </c>
      <c r="F3472" s="8">
        <f>QS.TRADE.CREATE("trade.3470",C3472,E3472,A3472,"Receive")</f>
        <v/>
      </c>
      <c r="G3472" s="5"/>
      <c r="H3472" s="7" t="s">
        <v>3331</v>
      </c>
      <c r="I3472" s="9">
        <v>1347000</v>
      </c>
      <c r="J3472" s="10">
        <v>0.03700000000000001</v>
      </c>
    </row>
    <row r="3473" spans="1:10">
      <c r="A3473" s="7" t="s">
        <v>3319</v>
      </c>
      <c r="B3473" s="7" t="s">
        <v>5340</v>
      </c>
      <c r="C3473" s="8">
        <f>QS.CONTEXT.CREATE("market.3471",A3473,"USD","SOFR")</f>
        <v/>
      </c>
      <c r="D3473" s="8">
        <f>QS.CONTEXT.ADD.CURVE(C3473,"SOFR",$K$2:$K$7,$L$2:$L$7,,,"Actual360","LogLinear",TRUE)</f>
        <v/>
      </c>
      <c r="E3473" s="8">
        <f>QS.INSTRUMENT.SWAP("swap.3471",C3473,H3473,B3473,"USD","SOFR",I3473,J3473,0,"Actual360","Simple","Annual","Annual","Annual")</f>
        <v/>
      </c>
      <c r="F3473" s="8">
        <f>QS.TRADE.CREATE("trade.3471",C3473,E3473,A3473,"Receive")</f>
        <v/>
      </c>
      <c r="G3473" s="5"/>
      <c r="H3473" s="7" t="s">
        <v>3333</v>
      </c>
      <c r="I3473" s="9">
        <v>1347100</v>
      </c>
      <c r="J3473" s="10">
        <v>0.0371</v>
      </c>
    </row>
    <row r="3474" spans="1:10">
      <c r="A3474" s="7" t="s">
        <v>3321</v>
      </c>
      <c r="B3474" s="7" t="s">
        <v>5341</v>
      </c>
      <c r="C3474" s="8">
        <f>QS.CONTEXT.CREATE("market.3472",A3474,"USD","SOFR")</f>
        <v/>
      </c>
      <c r="D3474" s="8">
        <f>QS.CONTEXT.ADD.CURVE(C3474,"SOFR",$K$2:$K$7,$L$2:$L$7,,,"Actual360","LogLinear",TRUE)</f>
        <v/>
      </c>
      <c r="E3474" s="8">
        <f>QS.INSTRUMENT.SWAP("swap.3472",C3474,H3474,B3474,"USD","SOFR",I3474,J3474,0,"Actual360","Simple","Annual","Annual","Annual")</f>
        <v/>
      </c>
      <c r="F3474" s="8">
        <f>QS.TRADE.CREATE("trade.3472",C3474,E3474,A3474,"Receive")</f>
        <v/>
      </c>
      <c r="G3474" s="5"/>
      <c r="H3474" s="7" t="s">
        <v>3335</v>
      </c>
      <c r="I3474" s="9">
        <v>1347200</v>
      </c>
      <c r="J3474" s="10">
        <v>0.0372</v>
      </c>
    </row>
    <row r="3475" spans="1:10">
      <c r="A3475" s="7" t="s">
        <v>3323</v>
      </c>
      <c r="B3475" s="7" t="s">
        <v>5342</v>
      </c>
      <c r="C3475" s="8">
        <f>QS.CONTEXT.CREATE("market.3473",A3475,"USD","SOFR")</f>
        <v/>
      </c>
      <c r="D3475" s="8">
        <f>QS.CONTEXT.ADD.CURVE(C3475,"SOFR",$K$2:$K$7,$L$2:$L$7,,,"Actual360","LogLinear",TRUE)</f>
        <v/>
      </c>
      <c r="E3475" s="8">
        <f>QS.INSTRUMENT.SWAP("swap.3473",C3475,H3475,B3475,"USD","SOFR",I3475,J3475,0,"Actual360","Simple","Annual","Annual","Annual")</f>
        <v/>
      </c>
      <c r="F3475" s="8">
        <f>QS.TRADE.CREATE("trade.3473",C3475,E3475,A3475,"Receive")</f>
        <v/>
      </c>
      <c r="G3475" s="5"/>
      <c r="H3475" s="7" t="s">
        <v>3337</v>
      </c>
      <c r="I3475" s="9">
        <v>1347300</v>
      </c>
      <c r="J3475" s="10">
        <v>0.0373</v>
      </c>
    </row>
    <row r="3476" spans="1:10">
      <c r="A3476" s="7" t="s">
        <v>3325</v>
      </c>
      <c r="B3476" s="7" t="s">
        <v>5343</v>
      </c>
      <c r="C3476" s="8">
        <f>QS.CONTEXT.CREATE("market.3474",A3476,"USD","SOFR")</f>
        <v/>
      </c>
      <c r="D3476" s="8">
        <f>QS.CONTEXT.ADD.CURVE(C3476,"SOFR",$K$2:$K$7,$L$2:$L$7,,,"Actual360","LogLinear",TRUE)</f>
        <v/>
      </c>
      <c r="E3476" s="8">
        <f>QS.INSTRUMENT.SWAP("swap.3474",C3476,H3476,B3476,"USD","SOFR",I3476,J3476,0,"Actual360","Simple","Annual","Annual","Annual")</f>
        <v/>
      </c>
      <c r="F3476" s="8">
        <f>QS.TRADE.CREATE("trade.3474",C3476,E3476,A3476,"Receive")</f>
        <v/>
      </c>
      <c r="G3476" s="5"/>
      <c r="H3476" s="7" t="s">
        <v>3339</v>
      </c>
      <c r="I3476" s="9">
        <v>1347400</v>
      </c>
      <c r="J3476" s="10">
        <v>0.0374</v>
      </c>
    </row>
    <row r="3477" spans="1:10">
      <c r="A3477" s="7" t="s">
        <v>3327</v>
      </c>
      <c r="B3477" s="7" t="s">
        <v>5344</v>
      </c>
      <c r="C3477" s="8">
        <f>QS.CONTEXT.CREATE("market.3475",A3477,"USD","SOFR")</f>
        <v/>
      </c>
      <c r="D3477" s="8">
        <f>QS.CONTEXT.ADD.CURVE(C3477,"SOFR",$K$2:$K$7,$L$2:$L$7,,,"Actual360","LogLinear",TRUE)</f>
        <v/>
      </c>
      <c r="E3477" s="8">
        <f>QS.INSTRUMENT.SWAP("swap.3475",C3477,H3477,B3477,"USD","SOFR",I3477,J3477,0,"Actual360","Simple","Annual","Annual","Annual")</f>
        <v/>
      </c>
      <c r="F3477" s="8">
        <f>QS.TRADE.CREATE("trade.3475",C3477,E3477,A3477,"Receive")</f>
        <v/>
      </c>
      <c r="G3477" s="5"/>
      <c r="H3477" s="7" t="s">
        <v>3341</v>
      </c>
      <c r="I3477" s="9">
        <v>1347500</v>
      </c>
      <c r="J3477" s="10">
        <v>0.03750000000000001</v>
      </c>
    </row>
    <row r="3478" spans="1:10">
      <c r="A3478" s="7" t="s">
        <v>3329</v>
      </c>
      <c r="B3478" s="7" t="s">
        <v>5345</v>
      </c>
      <c r="C3478" s="8">
        <f>QS.CONTEXT.CREATE("market.3476",A3478,"USD","SOFR")</f>
        <v/>
      </c>
      <c r="D3478" s="8">
        <f>QS.CONTEXT.ADD.CURVE(C3478,"SOFR",$K$2:$K$7,$L$2:$L$7,,,"Actual360","LogLinear",TRUE)</f>
        <v/>
      </c>
      <c r="E3478" s="8">
        <f>QS.INSTRUMENT.SWAP("swap.3476",C3478,H3478,B3478,"USD","SOFR",I3478,J3478,0,"Actual360","Simple","Annual","Annual","Annual")</f>
        <v/>
      </c>
      <c r="F3478" s="8">
        <f>QS.TRADE.CREATE("trade.3476",C3478,E3478,A3478,"Receive")</f>
        <v/>
      </c>
      <c r="G3478" s="5"/>
      <c r="H3478" s="7" t="s">
        <v>3343</v>
      </c>
      <c r="I3478" s="9">
        <v>1347600</v>
      </c>
      <c r="J3478" s="10">
        <v>0.0376</v>
      </c>
    </row>
    <row r="3479" spans="1:10">
      <c r="A3479" s="7" t="s">
        <v>3331</v>
      </c>
      <c r="B3479" s="7" t="s">
        <v>5346</v>
      </c>
      <c r="C3479" s="8">
        <f>QS.CONTEXT.CREATE("market.3477",A3479,"USD","SOFR")</f>
        <v/>
      </c>
      <c r="D3479" s="8">
        <f>QS.CONTEXT.ADD.CURVE(C3479,"SOFR",$K$2:$K$7,$L$2:$L$7,,,"Actual360","LogLinear",TRUE)</f>
        <v/>
      </c>
      <c r="E3479" s="8">
        <f>QS.INSTRUMENT.SWAP("swap.3477",C3479,H3479,B3479,"USD","SOFR",I3479,J3479,0,"Actual360","Simple","Annual","Annual","Annual")</f>
        <v/>
      </c>
      <c r="F3479" s="8">
        <f>QS.TRADE.CREATE("trade.3477",C3479,E3479,A3479,"Receive")</f>
        <v/>
      </c>
      <c r="G3479" s="5"/>
      <c r="H3479" s="7" t="s">
        <v>3345</v>
      </c>
      <c r="I3479" s="9">
        <v>1347700</v>
      </c>
      <c r="J3479" s="10">
        <v>0.0377</v>
      </c>
    </row>
    <row r="3480" spans="1:10">
      <c r="A3480" s="7" t="s">
        <v>3333</v>
      </c>
      <c r="B3480" s="7" t="s">
        <v>5347</v>
      </c>
      <c r="C3480" s="8">
        <f>QS.CONTEXT.CREATE("market.3478",A3480,"USD","SOFR")</f>
        <v/>
      </c>
      <c r="D3480" s="8">
        <f>QS.CONTEXT.ADD.CURVE(C3480,"SOFR",$K$2:$K$7,$L$2:$L$7,,,"Actual360","LogLinear",TRUE)</f>
        <v/>
      </c>
      <c r="E3480" s="8">
        <f>QS.INSTRUMENT.SWAP("swap.3478",C3480,H3480,B3480,"USD","SOFR",I3480,J3480,0,"Actual360","Simple","Annual","Annual","Annual")</f>
        <v/>
      </c>
      <c r="F3480" s="8">
        <f>QS.TRADE.CREATE("trade.3478",C3480,E3480,A3480,"Receive")</f>
        <v/>
      </c>
      <c r="G3480" s="5"/>
      <c r="H3480" s="7" t="s">
        <v>3347</v>
      </c>
      <c r="I3480" s="9">
        <v>1347800</v>
      </c>
      <c r="J3480" s="10">
        <v>0.0378</v>
      </c>
    </row>
    <row r="3481" spans="1:10">
      <c r="A3481" s="7" t="s">
        <v>3335</v>
      </c>
      <c r="B3481" s="7" t="s">
        <v>5348</v>
      </c>
      <c r="C3481" s="8">
        <f>QS.CONTEXT.CREATE("market.3479",A3481,"USD","SOFR")</f>
        <v/>
      </c>
      <c r="D3481" s="8">
        <f>QS.CONTEXT.ADD.CURVE(C3481,"SOFR",$K$2:$K$7,$L$2:$L$7,,,"Actual360","LogLinear",TRUE)</f>
        <v/>
      </c>
      <c r="E3481" s="8">
        <f>QS.INSTRUMENT.SWAP("swap.3479",C3481,H3481,B3481,"USD","SOFR",I3481,J3481,0,"Actual360","Simple","Annual","Annual","Annual")</f>
        <v/>
      </c>
      <c r="F3481" s="8">
        <f>QS.TRADE.CREATE("trade.3479",C3481,E3481,A3481,"Receive")</f>
        <v/>
      </c>
      <c r="G3481" s="5"/>
      <c r="H3481" s="7" t="s">
        <v>3349</v>
      </c>
      <c r="I3481" s="9">
        <v>1347900</v>
      </c>
      <c r="J3481" s="10">
        <v>0.0379</v>
      </c>
    </row>
    <row r="3482" spans="1:10">
      <c r="A3482" s="7" t="s">
        <v>3337</v>
      </c>
      <c r="B3482" s="7" t="s">
        <v>5349</v>
      </c>
      <c r="C3482" s="8">
        <f>QS.CONTEXT.CREATE("market.3480",A3482,"USD","SOFR")</f>
        <v/>
      </c>
      <c r="D3482" s="8">
        <f>QS.CONTEXT.ADD.CURVE(C3482,"SOFR",$K$2:$K$7,$L$2:$L$7,,,"Actual360","LogLinear",TRUE)</f>
        <v/>
      </c>
      <c r="E3482" s="8">
        <f>QS.INSTRUMENT.SWAP("swap.3480",C3482,H3482,B3482,"USD","SOFR",I3482,J3482,0,"Actual360","Simple","Annual","Annual","Annual")</f>
        <v/>
      </c>
      <c r="F3482" s="8">
        <f>QS.TRADE.CREATE("trade.3480",C3482,E3482,A3482,"Receive")</f>
        <v/>
      </c>
      <c r="G3482" s="5"/>
      <c r="H3482" s="7" t="s">
        <v>3351</v>
      </c>
      <c r="I3482" s="9">
        <v>1348000</v>
      </c>
      <c r="J3482" s="10">
        <v>0.03800000000000001</v>
      </c>
    </row>
    <row r="3483" spans="1:10">
      <c r="A3483" s="7" t="s">
        <v>3339</v>
      </c>
      <c r="B3483" s="7" t="s">
        <v>5350</v>
      </c>
      <c r="C3483" s="8">
        <f>QS.CONTEXT.CREATE("market.3481",A3483,"USD","SOFR")</f>
        <v/>
      </c>
      <c r="D3483" s="8">
        <f>QS.CONTEXT.ADD.CURVE(C3483,"SOFR",$K$2:$K$7,$L$2:$L$7,,,"Actual360","LogLinear",TRUE)</f>
        <v/>
      </c>
      <c r="E3483" s="8">
        <f>QS.INSTRUMENT.SWAP("swap.3481",C3483,H3483,B3483,"USD","SOFR",I3483,J3483,0,"Actual360","Simple","Annual","Annual","Annual")</f>
        <v/>
      </c>
      <c r="F3483" s="8">
        <f>QS.TRADE.CREATE("trade.3481",C3483,E3483,A3483,"Receive")</f>
        <v/>
      </c>
      <c r="G3483" s="5"/>
      <c r="H3483" s="7" t="s">
        <v>3353</v>
      </c>
      <c r="I3483" s="9">
        <v>1348100</v>
      </c>
      <c r="J3483" s="10">
        <v>0.0381</v>
      </c>
    </row>
    <row r="3484" spans="1:10">
      <c r="A3484" s="7" t="s">
        <v>3341</v>
      </c>
      <c r="B3484" s="7" t="s">
        <v>5351</v>
      </c>
      <c r="C3484" s="8">
        <f>QS.CONTEXT.CREATE("market.3482",A3484,"USD","SOFR")</f>
        <v/>
      </c>
      <c r="D3484" s="8">
        <f>QS.CONTEXT.ADD.CURVE(C3484,"SOFR",$K$2:$K$7,$L$2:$L$7,,,"Actual360","LogLinear",TRUE)</f>
        <v/>
      </c>
      <c r="E3484" s="8">
        <f>QS.INSTRUMENT.SWAP("swap.3482",C3484,H3484,B3484,"USD","SOFR",I3484,J3484,0,"Actual360","Simple","Annual","Annual","Annual")</f>
        <v/>
      </c>
      <c r="F3484" s="8">
        <f>QS.TRADE.CREATE("trade.3482",C3484,E3484,A3484,"Receive")</f>
        <v/>
      </c>
      <c r="G3484" s="5"/>
      <c r="H3484" s="7" t="s">
        <v>3355</v>
      </c>
      <c r="I3484" s="9">
        <v>1348200</v>
      </c>
      <c r="J3484" s="10">
        <v>0.0382</v>
      </c>
    </row>
    <row r="3485" spans="1:10">
      <c r="A3485" s="7" t="s">
        <v>3343</v>
      </c>
      <c r="B3485" s="7" t="s">
        <v>5352</v>
      </c>
      <c r="C3485" s="8">
        <f>QS.CONTEXT.CREATE("market.3483",A3485,"USD","SOFR")</f>
        <v/>
      </c>
      <c r="D3485" s="8">
        <f>QS.CONTEXT.ADD.CURVE(C3485,"SOFR",$K$2:$K$7,$L$2:$L$7,,,"Actual360","LogLinear",TRUE)</f>
        <v/>
      </c>
      <c r="E3485" s="8">
        <f>QS.INSTRUMENT.SWAP("swap.3483",C3485,H3485,B3485,"USD","SOFR",I3485,J3485,0,"Actual360","Simple","Annual","Annual","Annual")</f>
        <v/>
      </c>
      <c r="F3485" s="8">
        <f>QS.TRADE.CREATE("trade.3483",C3485,E3485,A3485,"Receive")</f>
        <v/>
      </c>
      <c r="G3485" s="5"/>
      <c r="H3485" s="7" t="s">
        <v>3357</v>
      </c>
      <c r="I3485" s="9">
        <v>1348300</v>
      </c>
      <c r="J3485" s="10">
        <v>0.0383</v>
      </c>
    </row>
    <row r="3486" spans="1:10">
      <c r="A3486" s="7" t="s">
        <v>3345</v>
      </c>
      <c r="B3486" s="7" t="s">
        <v>5353</v>
      </c>
      <c r="C3486" s="8">
        <f>QS.CONTEXT.CREATE("market.3484",A3486,"USD","SOFR")</f>
        <v/>
      </c>
      <c r="D3486" s="8">
        <f>QS.CONTEXT.ADD.CURVE(C3486,"SOFR",$K$2:$K$7,$L$2:$L$7,,,"Actual360","LogLinear",TRUE)</f>
        <v/>
      </c>
      <c r="E3486" s="8">
        <f>QS.INSTRUMENT.SWAP("swap.3484",C3486,H3486,B3486,"USD","SOFR",I3486,J3486,0,"Actual360","Simple","Annual","Annual","Annual")</f>
        <v/>
      </c>
      <c r="F3486" s="8">
        <f>QS.TRADE.CREATE("trade.3484",C3486,E3486,A3486,"Receive")</f>
        <v/>
      </c>
      <c r="G3486" s="5"/>
      <c r="H3486" s="7" t="s">
        <v>3359</v>
      </c>
      <c r="I3486" s="9">
        <v>1348400</v>
      </c>
      <c r="J3486" s="10">
        <v>0.0384</v>
      </c>
    </row>
    <row r="3487" spans="1:10">
      <c r="A3487" s="7" t="s">
        <v>3347</v>
      </c>
      <c r="B3487" s="7" t="s">
        <v>5354</v>
      </c>
      <c r="C3487" s="8">
        <f>QS.CONTEXT.CREATE("market.3485",A3487,"USD","SOFR")</f>
        <v/>
      </c>
      <c r="D3487" s="8">
        <f>QS.CONTEXT.ADD.CURVE(C3487,"SOFR",$K$2:$K$7,$L$2:$L$7,,,"Actual360","LogLinear",TRUE)</f>
        <v/>
      </c>
      <c r="E3487" s="8">
        <f>QS.INSTRUMENT.SWAP("swap.3485",C3487,H3487,B3487,"USD","SOFR",I3487,J3487,0,"Actual360","Simple","Annual","Annual","Annual")</f>
        <v/>
      </c>
      <c r="F3487" s="8">
        <f>QS.TRADE.CREATE("trade.3485",C3487,E3487,A3487,"Receive")</f>
        <v/>
      </c>
      <c r="G3487" s="5"/>
      <c r="H3487" s="7" t="s">
        <v>3361</v>
      </c>
      <c r="I3487" s="9">
        <v>1348500</v>
      </c>
      <c r="J3487" s="10">
        <v>0.03850000000000001</v>
      </c>
    </row>
    <row r="3488" spans="1:10">
      <c r="A3488" s="7" t="s">
        <v>3349</v>
      </c>
      <c r="B3488" s="7" t="s">
        <v>5355</v>
      </c>
      <c r="C3488" s="8">
        <f>QS.CONTEXT.CREATE("market.3486",A3488,"USD","SOFR")</f>
        <v/>
      </c>
      <c r="D3488" s="8">
        <f>QS.CONTEXT.ADD.CURVE(C3488,"SOFR",$K$2:$K$7,$L$2:$L$7,,,"Actual360","LogLinear",TRUE)</f>
        <v/>
      </c>
      <c r="E3488" s="8">
        <f>QS.INSTRUMENT.SWAP("swap.3486",C3488,H3488,B3488,"USD","SOFR",I3488,J3488,0,"Actual360","Simple","Annual","Annual","Annual")</f>
        <v/>
      </c>
      <c r="F3488" s="8">
        <f>QS.TRADE.CREATE("trade.3486",C3488,E3488,A3488,"Receive")</f>
        <v/>
      </c>
      <c r="G3488" s="5"/>
      <c r="H3488" s="7" t="s">
        <v>3363</v>
      </c>
      <c r="I3488" s="9">
        <v>1348600</v>
      </c>
      <c r="J3488" s="10">
        <v>0.0386</v>
      </c>
    </row>
    <row r="3489" spans="1:10">
      <c r="A3489" s="7" t="s">
        <v>3351</v>
      </c>
      <c r="B3489" s="7" t="s">
        <v>5356</v>
      </c>
      <c r="C3489" s="8">
        <f>QS.CONTEXT.CREATE("market.3487",A3489,"USD","SOFR")</f>
        <v/>
      </c>
      <c r="D3489" s="8">
        <f>QS.CONTEXT.ADD.CURVE(C3489,"SOFR",$K$2:$K$7,$L$2:$L$7,,,"Actual360","LogLinear",TRUE)</f>
        <v/>
      </c>
      <c r="E3489" s="8">
        <f>QS.INSTRUMENT.SWAP("swap.3487",C3489,H3489,B3489,"USD","SOFR",I3489,J3489,0,"Actual360","Simple","Annual","Annual","Annual")</f>
        <v/>
      </c>
      <c r="F3489" s="8">
        <f>QS.TRADE.CREATE("trade.3487",C3489,E3489,A3489,"Receive")</f>
        <v/>
      </c>
      <c r="G3489" s="5"/>
      <c r="H3489" s="7" t="s">
        <v>3365</v>
      </c>
      <c r="I3489" s="9">
        <v>1348700</v>
      </c>
      <c r="J3489" s="10">
        <v>0.03870000000000001</v>
      </c>
    </row>
    <row r="3490" spans="1:10">
      <c r="A3490" s="7" t="s">
        <v>3353</v>
      </c>
      <c r="B3490" s="7" t="s">
        <v>5357</v>
      </c>
      <c r="C3490" s="8">
        <f>QS.CONTEXT.CREATE("market.3488",A3490,"USD","SOFR")</f>
        <v/>
      </c>
      <c r="D3490" s="8">
        <f>QS.CONTEXT.ADD.CURVE(C3490,"SOFR",$K$2:$K$7,$L$2:$L$7,,,"Actual360","LogLinear",TRUE)</f>
        <v/>
      </c>
      <c r="E3490" s="8">
        <f>QS.INSTRUMENT.SWAP("swap.3488",C3490,H3490,B3490,"USD","SOFR",I3490,J3490,0,"Actual360","Simple","Annual","Annual","Annual")</f>
        <v/>
      </c>
      <c r="F3490" s="8">
        <f>QS.TRADE.CREATE("trade.3488",C3490,E3490,A3490,"Receive")</f>
        <v/>
      </c>
      <c r="G3490" s="5"/>
      <c r="H3490" s="7" t="s">
        <v>3367</v>
      </c>
      <c r="I3490" s="9">
        <v>1348800</v>
      </c>
      <c r="J3490" s="10">
        <v>0.0388</v>
      </c>
    </row>
    <row r="3491" spans="1:10">
      <c r="A3491" s="7" t="s">
        <v>3355</v>
      </c>
      <c r="B3491" s="7" t="s">
        <v>5358</v>
      </c>
      <c r="C3491" s="8">
        <f>QS.CONTEXT.CREATE("market.3489",A3491,"USD","SOFR")</f>
        <v/>
      </c>
      <c r="D3491" s="8">
        <f>QS.CONTEXT.ADD.CURVE(C3491,"SOFR",$K$2:$K$7,$L$2:$L$7,,,"Actual360","LogLinear",TRUE)</f>
        <v/>
      </c>
      <c r="E3491" s="8">
        <f>QS.INSTRUMENT.SWAP("swap.3489",C3491,H3491,B3491,"USD","SOFR",I3491,J3491,0,"Actual360","Simple","Annual","Annual","Annual")</f>
        <v/>
      </c>
      <c r="F3491" s="8">
        <f>QS.TRADE.CREATE("trade.3489",C3491,E3491,A3491,"Receive")</f>
        <v/>
      </c>
      <c r="G3491" s="5"/>
      <c r="H3491" s="7" t="s">
        <v>3369</v>
      </c>
      <c r="I3491" s="9">
        <v>1348900</v>
      </c>
      <c r="J3491" s="10">
        <v>0.0389</v>
      </c>
    </row>
    <row r="3492" spans="1:10">
      <c r="A3492" s="7" t="s">
        <v>3357</v>
      </c>
      <c r="B3492" s="7" t="s">
        <v>5359</v>
      </c>
      <c r="C3492" s="8">
        <f>QS.CONTEXT.CREATE("market.3490",A3492,"USD","SOFR")</f>
        <v/>
      </c>
      <c r="D3492" s="8">
        <f>QS.CONTEXT.ADD.CURVE(C3492,"SOFR",$K$2:$K$7,$L$2:$L$7,,,"Actual360","LogLinear",TRUE)</f>
        <v/>
      </c>
      <c r="E3492" s="8">
        <f>QS.INSTRUMENT.SWAP("swap.3490",C3492,H3492,B3492,"USD","SOFR",I3492,J3492,0,"Actual360","Simple","Annual","Annual","Annual")</f>
        <v/>
      </c>
      <c r="F3492" s="8">
        <f>QS.TRADE.CREATE("trade.3490",C3492,E3492,A3492,"Receive")</f>
        <v/>
      </c>
      <c r="G3492" s="5"/>
      <c r="H3492" s="7" t="s">
        <v>3371</v>
      </c>
      <c r="I3492" s="9">
        <v>1349000</v>
      </c>
      <c r="J3492" s="10">
        <v>0.03900000000000001</v>
      </c>
    </row>
    <row r="3493" spans="1:10">
      <c r="A3493" s="7" t="s">
        <v>3359</v>
      </c>
      <c r="B3493" s="7" t="s">
        <v>5360</v>
      </c>
      <c r="C3493" s="8">
        <f>QS.CONTEXT.CREATE("market.3491",A3493,"USD","SOFR")</f>
        <v/>
      </c>
      <c r="D3493" s="8">
        <f>QS.CONTEXT.ADD.CURVE(C3493,"SOFR",$K$2:$K$7,$L$2:$L$7,,,"Actual360","LogLinear",TRUE)</f>
        <v/>
      </c>
      <c r="E3493" s="8">
        <f>QS.INSTRUMENT.SWAP("swap.3491",C3493,H3493,B3493,"USD","SOFR",I3493,J3493,0,"Actual360","Simple","Annual","Annual","Annual")</f>
        <v/>
      </c>
      <c r="F3493" s="8">
        <f>QS.TRADE.CREATE("trade.3491",C3493,E3493,A3493,"Receive")</f>
        <v/>
      </c>
      <c r="G3493" s="5"/>
      <c r="H3493" s="7" t="s">
        <v>3373</v>
      </c>
      <c r="I3493" s="9">
        <v>1349100</v>
      </c>
      <c r="J3493" s="10">
        <v>0.0391</v>
      </c>
    </row>
    <row r="3494" spans="1:10">
      <c r="A3494" s="7" t="s">
        <v>3361</v>
      </c>
      <c r="B3494" s="7" t="s">
        <v>5361</v>
      </c>
      <c r="C3494" s="8">
        <f>QS.CONTEXT.CREATE("market.3492",A3494,"USD","SOFR")</f>
        <v/>
      </c>
      <c r="D3494" s="8">
        <f>QS.CONTEXT.ADD.CURVE(C3494,"SOFR",$K$2:$K$7,$L$2:$L$7,,,"Actual360","LogLinear",TRUE)</f>
        <v/>
      </c>
      <c r="E3494" s="8">
        <f>QS.INSTRUMENT.SWAP("swap.3492",C3494,H3494,B3494,"USD","SOFR",I3494,J3494,0,"Actual360","Simple","Annual","Annual","Annual")</f>
        <v/>
      </c>
      <c r="F3494" s="8">
        <f>QS.TRADE.CREATE("trade.3492",C3494,E3494,A3494,"Receive")</f>
        <v/>
      </c>
      <c r="G3494" s="5"/>
      <c r="H3494" s="7" t="s">
        <v>3375</v>
      </c>
      <c r="I3494" s="9">
        <v>1349200</v>
      </c>
      <c r="J3494" s="10">
        <v>0.03920000000000001</v>
      </c>
    </row>
    <row r="3495" spans="1:10">
      <c r="A3495" s="7" t="s">
        <v>3363</v>
      </c>
      <c r="B3495" s="7" t="s">
        <v>5362</v>
      </c>
      <c r="C3495" s="8">
        <f>QS.CONTEXT.CREATE("market.3493",A3495,"USD","SOFR")</f>
        <v/>
      </c>
      <c r="D3495" s="8">
        <f>QS.CONTEXT.ADD.CURVE(C3495,"SOFR",$K$2:$K$7,$L$2:$L$7,,,"Actual360","LogLinear",TRUE)</f>
        <v/>
      </c>
      <c r="E3495" s="8">
        <f>QS.INSTRUMENT.SWAP("swap.3493",C3495,H3495,B3495,"USD","SOFR",I3495,J3495,0,"Actual360","Simple","Annual","Annual","Annual")</f>
        <v/>
      </c>
      <c r="F3495" s="8">
        <f>QS.TRADE.CREATE("trade.3493",C3495,E3495,A3495,"Receive")</f>
        <v/>
      </c>
      <c r="G3495" s="5"/>
      <c r="H3495" s="7" t="s">
        <v>3377</v>
      </c>
      <c r="I3495" s="9">
        <v>1349300</v>
      </c>
      <c r="J3495" s="10">
        <v>0.0393</v>
      </c>
    </row>
    <row r="3496" spans="1:10">
      <c r="A3496" s="7" t="s">
        <v>3365</v>
      </c>
      <c r="B3496" s="7" t="s">
        <v>5363</v>
      </c>
      <c r="C3496" s="8">
        <f>QS.CONTEXT.CREATE("market.3494",A3496,"USD","SOFR")</f>
        <v/>
      </c>
      <c r="D3496" s="8">
        <f>QS.CONTEXT.ADD.CURVE(C3496,"SOFR",$K$2:$K$7,$L$2:$L$7,,,"Actual360","LogLinear",TRUE)</f>
        <v/>
      </c>
      <c r="E3496" s="8">
        <f>QS.INSTRUMENT.SWAP("swap.3494",C3496,H3496,B3496,"USD","SOFR",I3496,J3496,0,"Actual360","Simple","Annual","Annual","Annual")</f>
        <v/>
      </c>
      <c r="F3496" s="8">
        <f>QS.TRADE.CREATE("trade.3494",C3496,E3496,A3496,"Receive")</f>
        <v/>
      </c>
      <c r="G3496" s="5"/>
      <c r="H3496" s="7" t="s">
        <v>3379</v>
      </c>
      <c r="I3496" s="9">
        <v>1349400</v>
      </c>
      <c r="J3496" s="10">
        <v>0.0394</v>
      </c>
    </row>
    <row r="3497" spans="1:10">
      <c r="A3497" s="7" t="s">
        <v>3367</v>
      </c>
      <c r="B3497" s="7" t="s">
        <v>5364</v>
      </c>
      <c r="C3497" s="8">
        <f>QS.CONTEXT.CREATE("market.3495",A3497,"USD","SOFR")</f>
        <v/>
      </c>
      <c r="D3497" s="8">
        <f>QS.CONTEXT.ADD.CURVE(C3497,"SOFR",$K$2:$K$7,$L$2:$L$7,,,"Actual360","LogLinear",TRUE)</f>
        <v/>
      </c>
      <c r="E3497" s="8">
        <f>QS.INSTRUMENT.SWAP("swap.3495",C3497,H3497,B3497,"USD","SOFR",I3497,J3497,0,"Actual360","Simple","Annual","Annual","Annual")</f>
        <v/>
      </c>
      <c r="F3497" s="8">
        <f>QS.TRADE.CREATE("trade.3495",C3497,E3497,A3497,"Receive")</f>
        <v/>
      </c>
      <c r="G3497" s="5"/>
      <c r="H3497" s="7" t="s">
        <v>3381</v>
      </c>
      <c r="I3497" s="9">
        <v>1349500</v>
      </c>
      <c r="J3497" s="10">
        <v>0.03950000000000001</v>
      </c>
    </row>
    <row r="3498" spans="1:10">
      <c r="A3498" s="7" t="s">
        <v>3369</v>
      </c>
      <c r="B3498" s="7" t="s">
        <v>5365</v>
      </c>
      <c r="C3498" s="8">
        <f>QS.CONTEXT.CREATE("market.3496",A3498,"USD","SOFR")</f>
        <v/>
      </c>
      <c r="D3498" s="8">
        <f>QS.CONTEXT.ADD.CURVE(C3498,"SOFR",$K$2:$K$7,$L$2:$L$7,,,"Actual360","LogLinear",TRUE)</f>
        <v/>
      </c>
      <c r="E3498" s="8">
        <f>QS.INSTRUMENT.SWAP("swap.3496",C3498,H3498,B3498,"USD","SOFR",I3498,J3498,0,"Actual360","Simple","Annual","Annual","Annual")</f>
        <v/>
      </c>
      <c r="F3498" s="8">
        <f>QS.TRADE.CREATE("trade.3496",C3498,E3498,A3498,"Receive")</f>
        <v/>
      </c>
      <c r="G3498" s="5"/>
      <c r="H3498" s="7" t="s">
        <v>3383</v>
      </c>
      <c r="I3498" s="9">
        <v>1349600</v>
      </c>
      <c r="J3498" s="10">
        <v>0.0396</v>
      </c>
    </row>
    <row r="3499" spans="1:10">
      <c r="A3499" s="7" t="s">
        <v>3371</v>
      </c>
      <c r="B3499" s="7" t="s">
        <v>5366</v>
      </c>
      <c r="C3499" s="8">
        <f>QS.CONTEXT.CREATE("market.3497",A3499,"USD","SOFR")</f>
        <v/>
      </c>
      <c r="D3499" s="8">
        <f>QS.CONTEXT.ADD.CURVE(C3499,"SOFR",$K$2:$K$7,$L$2:$L$7,,,"Actual360","LogLinear",TRUE)</f>
        <v/>
      </c>
      <c r="E3499" s="8">
        <f>QS.INSTRUMENT.SWAP("swap.3497",C3499,H3499,B3499,"USD","SOFR",I3499,J3499,0,"Actual360","Simple","Annual","Annual","Annual")</f>
        <v/>
      </c>
      <c r="F3499" s="8">
        <f>QS.TRADE.CREATE("trade.3497",C3499,E3499,A3499,"Receive")</f>
        <v/>
      </c>
      <c r="G3499" s="5"/>
      <c r="H3499" s="7" t="s">
        <v>3385</v>
      </c>
      <c r="I3499" s="9">
        <v>1349700</v>
      </c>
      <c r="J3499" s="10">
        <v>0.03970000000000001</v>
      </c>
    </row>
    <row r="3500" spans="1:10">
      <c r="A3500" s="7" t="s">
        <v>3373</v>
      </c>
      <c r="B3500" s="7" t="s">
        <v>5367</v>
      </c>
      <c r="C3500" s="8">
        <f>QS.CONTEXT.CREATE("market.3498",A3500,"USD","SOFR")</f>
        <v/>
      </c>
      <c r="D3500" s="8">
        <f>QS.CONTEXT.ADD.CURVE(C3500,"SOFR",$K$2:$K$7,$L$2:$L$7,,,"Actual360","LogLinear",TRUE)</f>
        <v/>
      </c>
      <c r="E3500" s="8">
        <f>QS.INSTRUMENT.SWAP("swap.3498",C3500,H3500,B3500,"USD","SOFR",I3500,J3500,0,"Actual360","Simple","Annual","Annual","Annual")</f>
        <v/>
      </c>
      <c r="F3500" s="8">
        <f>QS.TRADE.CREATE("trade.3498",C3500,E3500,A3500,"Receive")</f>
        <v/>
      </c>
      <c r="G3500" s="5"/>
      <c r="H3500" s="7" t="s">
        <v>3387</v>
      </c>
      <c r="I3500" s="9">
        <v>1349800</v>
      </c>
      <c r="J3500" s="10">
        <v>0.0398</v>
      </c>
    </row>
    <row r="3501" spans="1:10">
      <c r="A3501" s="7" t="s">
        <v>3375</v>
      </c>
      <c r="B3501" s="7" t="s">
        <v>5368</v>
      </c>
      <c r="C3501" s="8">
        <f>QS.CONTEXT.CREATE("market.3499",A3501,"USD","SOFR")</f>
        <v/>
      </c>
      <c r="D3501" s="8">
        <f>QS.CONTEXT.ADD.CURVE(C3501,"SOFR",$K$2:$K$7,$L$2:$L$7,,,"Actual360","LogLinear",TRUE)</f>
        <v/>
      </c>
      <c r="E3501" s="8">
        <f>QS.INSTRUMENT.SWAP("swap.3499",C3501,H3501,B3501,"USD","SOFR",I3501,J3501,0,"Actual360","Simple","Annual","Annual","Annual")</f>
        <v/>
      </c>
      <c r="F3501" s="8">
        <f>QS.TRADE.CREATE("trade.3499",C3501,E3501,A3501,"Receive")</f>
        <v/>
      </c>
      <c r="G3501" s="5"/>
      <c r="H3501" s="7" t="s">
        <v>3389</v>
      </c>
      <c r="I3501" s="9">
        <v>1349900</v>
      </c>
      <c r="J3501" s="10">
        <v>0.0399</v>
      </c>
    </row>
    <row r="3502" spans="1:10">
      <c r="A3502" s="7" t="s">
        <v>3377</v>
      </c>
      <c r="B3502" s="7" t="s">
        <v>5369</v>
      </c>
      <c r="C3502" s="8">
        <f>QS.CONTEXT.CREATE("market.3500",A3502,"USD","SOFR")</f>
        <v/>
      </c>
      <c r="D3502" s="8">
        <f>QS.CONTEXT.ADD.CURVE(C3502,"SOFR",$K$2:$K$7,$L$2:$L$7,,,"Actual360","LogLinear",TRUE)</f>
        <v/>
      </c>
      <c r="E3502" s="8">
        <f>QS.INSTRUMENT.SWAP("swap.3500",C3502,H3502,B3502,"USD","SOFR",I3502,J3502,0,"Actual360","Simple","Annual","Annual","Annual")</f>
        <v/>
      </c>
      <c r="F3502" s="8">
        <f>QS.TRADE.CREATE("trade.3500",C3502,E3502,A3502,"Receive")</f>
        <v/>
      </c>
      <c r="G3502" s="5"/>
      <c r="H3502" s="7" t="s">
        <v>3391</v>
      </c>
      <c r="I3502" s="9">
        <v>1350000</v>
      </c>
      <c r="J3502" s="10">
        <v>0.035</v>
      </c>
    </row>
    <row r="3503" spans="1:10">
      <c r="A3503" s="7" t="s">
        <v>3379</v>
      </c>
      <c r="B3503" s="7" t="s">
        <v>5370</v>
      </c>
      <c r="C3503" s="8">
        <f>QS.CONTEXT.CREATE("market.3501",A3503,"USD","SOFR")</f>
        <v/>
      </c>
      <c r="D3503" s="8">
        <f>QS.CONTEXT.ADD.CURVE(C3503,"SOFR",$K$2:$K$7,$L$2:$L$7,,,"Actual360","LogLinear",TRUE)</f>
        <v/>
      </c>
      <c r="E3503" s="8">
        <f>QS.INSTRUMENT.SWAP("swap.3501",C3503,H3503,B3503,"USD","SOFR",I3503,J3503,0,"Actual360","Simple","Annual","Annual","Annual")</f>
        <v/>
      </c>
      <c r="F3503" s="8">
        <f>QS.TRADE.CREATE("trade.3501",C3503,E3503,A3503,"Receive")</f>
        <v/>
      </c>
      <c r="G3503" s="5"/>
      <c r="H3503" s="7" t="s">
        <v>3393</v>
      </c>
      <c r="I3503" s="9">
        <v>1350100</v>
      </c>
      <c r="J3503" s="10">
        <v>0.03510000000000001</v>
      </c>
    </row>
    <row r="3504" spans="1:10">
      <c r="A3504" s="7" t="s">
        <v>3381</v>
      </c>
      <c r="B3504" s="7" t="s">
        <v>5371</v>
      </c>
      <c r="C3504" s="8">
        <f>QS.CONTEXT.CREATE("market.3502",A3504,"USD","SOFR")</f>
        <v/>
      </c>
      <c r="D3504" s="8">
        <f>QS.CONTEXT.ADD.CURVE(C3504,"SOFR",$K$2:$K$7,$L$2:$L$7,,,"Actual360","LogLinear",TRUE)</f>
        <v/>
      </c>
      <c r="E3504" s="8">
        <f>QS.INSTRUMENT.SWAP("swap.3502",C3504,H3504,B3504,"USD","SOFR",I3504,J3504,0,"Actual360","Simple","Annual","Annual","Annual")</f>
        <v/>
      </c>
      <c r="F3504" s="8">
        <f>QS.TRADE.CREATE("trade.3502",C3504,E3504,A3504,"Receive")</f>
        <v/>
      </c>
      <c r="G3504" s="5"/>
      <c r="H3504" s="7" t="s">
        <v>3395</v>
      </c>
      <c r="I3504" s="9">
        <v>1350200</v>
      </c>
      <c r="J3504" s="10">
        <v>0.0352</v>
      </c>
    </row>
    <row r="3505" spans="1:10">
      <c r="A3505" s="7" t="s">
        <v>3383</v>
      </c>
      <c r="B3505" s="7" t="s">
        <v>5372</v>
      </c>
      <c r="C3505" s="8">
        <f>QS.CONTEXT.CREATE("market.3503",A3505,"USD","SOFR")</f>
        <v/>
      </c>
      <c r="D3505" s="8">
        <f>QS.CONTEXT.ADD.CURVE(C3505,"SOFR",$K$2:$K$7,$L$2:$L$7,,,"Actual360","LogLinear",TRUE)</f>
        <v/>
      </c>
      <c r="E3505" s="8">
        <f>QS.INSTRUMENT.SWAP("swap.3503",C3505,H3505,B3505,"USD","SOFR",I3505,J3505,0,"Actual360","Simple","Annual","Annual","Annual")</f>
        <v/>
      </c>
      <c r="F3505" s="8">
        <f>QS.TRADE.CREATE("trade.3503",C3505,E3505,A3505,"Receive")</f>
        <v/>
      </c>
      <c r="G3505" s="5"/>
      <c r="H3505" s="7" t="s">
        <v>3397</v>
      </c>
      <c r="I3505" s="9">
        <v>1350300</v>
      </c>
      <c r="J3505" s="10">
        <v>0.0353</v>
      </c>
    </row>
    <row r="3506" spans="1:10">
      <c r="A3506" s="7" t="s">
        <v>3385</v>
      </c>
      <c r="B3506" s="7" t="s">
        <v>5373</v>
      </c>
      <c r="C3506" s="8">
        <f>QS.CONTEXT.CREATE("market.3504",A3506,"USD","SOFR")</f>
        <v/>
      </c>
      <c r="D3506" s="8">
        <f>QS.CONTEXT.ADD.CURVE(C3506,"SOFR",$K$2:$K$7,$L$2:$L$7,,,"Actual360","LogLinear",TRUE)</f>
        <v/>
      </c>
      <c r="E3506" s="8">
        <f>QS.INSTRUMENT.SWAP("swap.3504",C3506,H3506,B3506,"USD","SOFR",I3506,J3506,0,"Actual360","Simple","Annual","Annual","Annual")</f>
        <v/>
      </c>
      <c r="F3506" s="8">
        <f>QS.TRADE.CREATE("trade.3504",C3506,E3506,A3506,"Receive")</f>
        <v/>
      </c>
      <c r="G3506" s="5"/>
      <c r="H3506" s="7" t="s">
        <v>3399</v>
      </c>
      <c r="I3506" s="9">
        <v>1350400</v>
      </c>
      <c r="J3506" s="10">
        <v>0.0354</v>
      </c>
    </row>
    <row r="3507" spans="1:10">
      <c r="A3507" s="7" t="s">
        <v>3387</v>
      </c>
      <c r="B3507" s="7" t="s">
        <v>5374</v>
      </c>
      <c r="C3507" s="8">
        <f>QS.CONTEXT.CREATE("market.3505",A3507,"USD","SOFR")</f>
        <v/>
      </c>
      <c r="D3507" s="8">
        <f>QS.CONTEXT.ADD.CURVE(C3507,"SOFR",$K$2:$K$7,$L$2:$L$7,,,"Actual360","LogLinear",TRUE)</f>
        <v/>
      </c>
      <c r="E3507" s="8">
        <f>QS.INSTRUMENT.SWAP("swap.3505",C3507,H3507,B3507,"USD","SOFR",I3507,J3507,0,"Actual360","Simple","Annual","Annual","Annual")</f>
        <v/>
      </c>
      <c r="F3507" s="8">
        <f>QS.TRADE.CREATE("trade.3505",C3507,E3507,A3507,"Receive")</f>
        <v/>
      </c>
      <c r="G3507" s="5"/>
      <c r="H3507" s="7" t="s">
        <v>3401</v>
      </c>
      <c r="I3507" s="9">
        <v>1350500</v>
      </c>
      <c r="J3507" s="10">
        <v>0.0355</v>
      </c>
    </row>
    <row r="3508" spans="1:10">
      <c r="A3508" s="7" t="s">
        <v>3389</v>
      </c>
      <c r="B3508" s="7" t="s">
        <v>5375</v>
      </c>
      <c r="C3508" s="8">
        <f>QS.CONTEXT.CREATE("market.3506",A3508,"USD","SOFR")</f>
        <v/>
      </c>
      <c r="D3508" s="8">
        <f>QS.CONTEXT.ADD.CURVE(C3508,"SOFR",$K$2:$K$7,$L$2:$L$7,,,"Actual360","LogLinear",TRUE)</f>
        <v/>
      </c>
      <c r="E3508" s="8">
        <f>QS.INSTRUMENT.SWAP("swap.3506",C3508,H3508,B3508,"USD","SOFR",I3508,J3508,0,"Actual360","Simple","Annual","Annual","Annual")</f>
        <v/>
      </c>
      <c r="F3508" s="8">
        <f>QS.TRADE.CREATE("trade.3506",C3508,E3508,A3508,"Receive")</f>
        <v/>
      </c>
      <c r="G3508" s="5"/>
      <c r="H3508" s="7" t="s">
        <v>3403</v>
      </c>
      <c r="I3508" s="9">
        <v>1350600</v>
      </c>
      <c r="J3508" s="10">
        <v>0.03560000000000001</v>
      </c>
    </row>
    <row r="3509" spans="1:10">
      <c r="A3509" s="7" t="s">
        <v>3391</v>
      </c>
      <c r="B3509" s="7" t="s">
        <v>5376</v>
      </c>
      <c r="C3509" s="8">
        <f>QS.CONTEXT.CREATE("market.3507",A3509,"USD","SOFR")</f>
        <v/>
      </c>
      <c r="D3509" s="8">
        <f>QS.CONTEXT.ADD.CURVE(C3509,"SOFR",$K$2:$K$7,$L$2:$L$7,,,"Actual360","LogLinear",TRUE)</f>
        <v/>
      </c>
      <c r="E3509" s="8">
        <f>QS.INSTRUMENT.SWAP("swap.3507",C3509,H3509,B3509,"USD","SOFR",I3509,J3509,0,"Actual360","Simple","Annual","Annual","Annual")</f>
        <v/>
      </c>
      <c r="F3509" s="8">
        <f>QS.TRADE.CREATE("trade.3507",C3509,E3509,A3509,"Receive")</f>
        <v/>
      </c>
      <c r="G3509" s="5"/>
      <c r="H3509" s="7" t="s">
        <v>3405</v>
      </c>
      <c r="I3509" s="9">
        <v>1350700</v>
      </c>
      <c r="J3509" s="10">
        <v>0.0357</v>
      </c>
    </row>
    <row r="3510" spans="1:10">
      <c r="A3510" s="7" t="s">
        <v>3393</v>
      </c>
      <c r="B3510" s="7" t="s">
        <v>5377</v>
      </c>
      <c r="C3510" s="8">
        <f>QS.CONTEXT.CREATE("market.3508",A3510,"USD","SOFR")</f>
        <v/>
      </c>
      <c r="D3510" s="8">
        <f>QS.CONTEXT.ADD.CURVE(C3510,"SOFR",$K$2:$K$7,$L$2:$L$7,,,"Actual360","LogLinear",TRUE)</f>
        <v/>
      </c>
      <c r="E3510" s="8">
        <f>QS.INSTRUMENT.SWAP("swap.3508",C3510,H3510,B3510,"USD","SOFR",I3510,J3510,0,"Actual360","Simple","Annual","Annual","Annual")</f>
        <v/>
      </c>
      <c r="F3510" s="8">
        <f>QS.TRADE.CREATE("trade.3508",C3510,E3510,A3510,"Receive")</f>
        <v/>
      </c>
      <c r="G3510" s="5"/>
      <c r="H3510" s="7" t="s">
        <v>3407</v>
      </c>
      <c r="I3510" s="9">
        <v>1350800</v>
      </c>
      <c r="J3510" s="10">
        <v>0.03580000000000001</v>
      </c>
    </row>
    <row r="3511" spans="1:10">
      <c r="A3511" s="7" t="s">
        <v>3395</v>
      </c>
      <c r="B3511" s="7" t="s">
        <v>5378</v>
      </c>
      <c r="C3511" s="8">
        <f>QS.CONTEXT.CREATE("market.3509",A3511,"USD","SOFR")</f>
        <v/>
      </c>
      <c r="D3511" s="8">
        <f>QS.CONTEXT.ADD.CURVE(C3511,"SOFR",$K$2:$K$7,$L$2:$L$7,,,"Actual360","LogLinear",TRUE)</f>
        <v/>
      </c>
      <c r="E3511" s="8">
        <f>QS.INSTRUMENT.SWAP("swap.3509",C3511,H3511,B3511,"USD","SOFR",I3511,J3511,0,"Actual360","Simple","Annual","Annual","Annual")</f>
        <v/>
      </c>
      <c r="F3511" s="8">
        <f>QS.TRADE.CREATE("trade.3509",C3511,E3511,A3511,"Receive")</f>
        <v/>
      </c>
      <c r="G3511" s="5"/>
      <c r="H3511" s="7" t="s">
        <v>3409</v>
      </c>
      <c r="I3511" s="9">
        <v>1350900</v>
      </c>
      <c r="J3511" s="10">
        <v>0.0359</v>
      </c>
    </row>
    <row r="3512" spans="1:10">
      <c r="A3512" s="7" t="s">
        <v>3397</v>
      </c>
      <c r="B3512" s="7" t="s">
        <v>5379</v>
      </c>
      <c r="C3512" s="8">
        <f>QS.CONTEXT.CREATE("market.3510",A3512,"USD","SOFR")</f>
        <v/>
      </c>
      <c r="D3512" s="8">
        <f>QS.CONTEXT.ADD.CURVE(C3512,"SOFR",$K$2:$K$7,$L$2:$L$7,,,"Actual360","LogLinear",TRUE)</f>
        <v/>
      </c>
      <c r="E3512" s="8">
        <f>QS.INSTRUMENT.SWAP("swap.3510",C3512,H3512,B3512,"USD","SOFR",I3512,J3512,0,"Actual360","Simple","Annual","Annual","Annual")</f>
        <v/>
      </c>
      <c r="F3512" s="8">
        <f>QS.TRADE.CREATE("trade.3510",C3512,E3512,A3512,"Receive")</f>
        <v/>
      </c>
      <c r="G3512" s="5"/>
      <c r="H3512" s="7" t="s">
        <v>3411</v>
      </c>
      <c r="I3512" s="9">
        <v>1351000</v>
      </c>
      <c r="J3512" s="10">
        <v>0.036</v>
      </c>
    </row>
    <row r="3513" spans="1:10">
      <c r="A3513" s="7" t="s">
        <v>3399</v>
      </c>
      <c r="B3513" s="7" t="s">
        <v>5380</v>
      </c>
      <c r="C3513" s="8">
        <f>QS.CONTEXT.CREATE("market.3511",A3513,"USD","SOFR")</f>
        <v/>
      </c>
      <c r="D3513" s="8">
        <f>QS.CONTEXT.ADD.CURVE(C3513,"SOFR",$K$2:$K$7,$L$2:$L$7,,,"Actual360","LogLinear",TRUE)</f>
        <v/>
      </c>
      <c r="E3513" s="8">
        <f>QS.INSTRUMENT.SWAP("swap.3511",C3513,H3513,B3513,"USD","SOFR",I3513,J3513,0,"Actual360","Simple","Annual","Annual","Annual")</f>
        <v/>
      </c>
      <c r="F3513" s="8">
        <f>QS.TRADE.CREATE("trade.3511",C3513,E3513,A3513,"Receive")</f>
        <v/>
      </c>
      <c r="G3513" s="5"/>
      <c r="H3513" s="7" t="s">
        <v>3413</v>
      </c>
      <c r="I3513" s="9">
        <v>1351100</v>
      </c>
      <c r="J3513" s="10">
        <v>0.0361</v>
      </c>
    </row>
    <row r="3514" spans="1:10">
      <c r="A3514" s="7" t="s">
        <v>3401</v>
      </c>
      <c r="B3514" s="7" t="s">
        <v>5381</v>
      </c>
      <c r="C3514" s="8">
        <f>QS.CONTEXT.CREATE("market.3512",A3514,"USD","SOFR")</f>
        <v/>
      </c>
      <c r="D3514" s="8">
        <f>QS.CONTEXT.ADD.CURVE(C3514,"SOFR",$K$2:$K$7,$L$2:$L$7,,,"Actual360","LogLinear",TRUE)</f>
        <v/>
      </c>
      <c r="E3514" s="8">
        <f>QS.INSTRUMENT.SWAP("swap.3512",C3514,H3514,B3514,"USD","SOFR",I3514,J3514,0,"Actual360","Simple","Annual","Annual","Annual")</f>
        <v/>
      </c>
      <c r="F3514" s="8">
        <f>QS.TRADE.CREATE("trade.3512",C3514,E3514,A3514,"Receive")</f>
        <v/>
      </c>
      <c r="G3514" s="5"/>
      <c r="H3514" s="7" t="s">
        <v>3415</v>
      </c>
      <c r="I3514" s="9">
        <v>1351200</v>
      </c>
      <c r="J3514" s="10">
        <v>0.0362</v>
      </c>
    </row>
    <row r="3515" spans="1:10">
      <c r="A3515" s="7" t="s">
        <v>3403</v>
      </c>
      <c r="B3515" s="7" t="s">
        <v>5382</v>
      </c>
      <c r="C3515" s="8">
        <f>QS.CONTEXT.CREATE("market.3513",A3515,"USD","SOFR")</f>
        <v/>
      </c>
      <c r="D3515" s="8">
        <f>QS.CONTEXT.ADD.CURVE(C3515,"SOFR",$K$2:$K$7,$L$2:$L$7,,,"Actual360","LogLinear",TRUE)</f>
        <v/>
      </c>
      <c r="E3515" s="8">
        <f>QS.INSTRUMENT.SWAP("swap.3513",C3515,H3515,B3515,"USD","SOFR",I3515,J3515,0,"Actual360","Simple","Annual","Annual","Annual")</f>
        <v/>
      </c>
      <c r="F3515" s="8">
        <f>QS.TRADE.CREATE("trade.3513",C3515,E3515,A3515,"Receive")</f>
        <v/>
      </c>
      <c r="G3515" s="5"/>
      <c r="H3515" s="7" t="s">
        <v>3417</v>
      </c>
      <c r="I3515" s="9">
        <v>1351300</v>
      </c>
      <c r="J3515" s="10">
        <v>0.03630000000000001</v>
      </c>
    </row>
    <row r="3516" spans="1:10">
      <c r="A3516" s="7" t="s">
        <v>3405</v>
      </c>
      <c r="B3516" s="7" t="s">
        <v>5383</v>
      </c>
      <c r="C3516" s="8">
        <f>QS.CONTEXT.CREATE("market.3514",A3516,"USD","SOFR")</f>
        <v/>
      </c>
      <c r="D3516" s="8">
        <f>QS.CONTEXT.ADD.CURVE(C3516,"SOFR",$K$2:$K$7,$L$2:$L$7,,,"Actual360","LogLinear",TRUE)</f>
        <v/>
      </c>
      <c r="E3516" s="8">
        <f>QS.INSTRUMENT.SWAP("swap.3514",C3516,H3516,B3516,"USD","SOFR",I3516,J3516,0,"Actual360","Simple","Annual","Annual","Annual")</f>
        <v/>
      </c>
      <c r="F3516" s="8">
        <f>QS.TRADE.CREATE("trade.3514",C3516,E3516,A3516,"Receive")</f>
        <v/>
      </c>
      <c r="G3516" s="5"/>
      <c r="H3516" s="7" t="s">
        <v>3419</v>
      </c>
      <c r="I3516" s="9">
        <v>1351400</v>
      </c>
      <c r="J3516" s="10">
        <v>0.0364</v>
      </c>
    </row>
    <row r="3517" spans="1:10">
      <c r="A3517" s="7" t="s">
        <v>3407</v>
      </c>
      <c r="B3517" s="7" t="s">
        <v>5384</v>
      </c>
      <c r="C3517" s="8">
        <f>QS.CONTEXT.CREATE("market.3515",A3517,"USD","SOFR")</f>
        <v/>
      </c>
      <c r="D3517" s="8">
        <f>QS.CONTEXT.ADD.CURVE(C3517,"SOFR",$K$2:$K$7,$L$2:$L$7,,,"Actual360","LogLinear",TRUE)</f>
        <v/>
      </c>
      <c r="E3517" s="8">
        <f>QS.INSTRUMENT.SWAP("swap.3515",C3517,H3517,B3517,"USD","SOFR",I3517,J3517,0,"Actual360","Simple","Annual","Annual","Annual")</f>
        <v/>
      </c>
      <c r="F3517" s="8">
        <f>QS.TRADE.CREATE("trade.3515",C3517,E3517,A3517,"Receive")</f>
        <v/>
      </c>
      <c r="G3517" s="5"/>
      <c r="H3517" s="7" t="s">
        <v>3421</v>
      </c>
      <c r="I3517" s="9">
        <v>1351500</v>
      </c>
      <c r="J3517" s="10">
        <v>0.0365</v>
      </c>
    </row>
    <row r="3518" spans="1:10">
      <c r="A3518" s="7" t="s">
        <v>3409</v>
      </c>
      <c r="B3518" s="7" t="s">
        <v>5385</v>
      </c>
      <c r="C3518" s="8">
        <f>QS.CONTEXT.CREATE("market.3516",A3518,"USD","SOFR")</f>
        <v/>
      </c>
      <c r="D3518" s="8">
        <f>QS.CONTEXT.ADD.CURVE(C3518,"SOFR",$K$2:$K$7,$L$2:$L$7,,,"Actual360","LogLinear",TRUE)</f>
        <v/>
      </c>
      <c r="E3518" s="8">
        <f>QS.INSTRUMENT.SWAP("swap.3516",C3518,H3518,B3518,"USD","SOFR",I3518,J3518,0,"Actual360","Simple","Annual","Annual","Annual")</f>
        <v/>
      </c>
      <c r="F3518" s="8">
        <f>QS.TRADE.CREATE("trade.3516",C3518,E3518,A3518,"Receive")</f>
        <v/>
      </c>
      <c r="G3518" s="5"/>
      <c r="H3518" s="7" t="s">
        <v>3423</v>
      </c>
      <c r="I3518" s="9">
        <v>1351600</v>
      </c>
      <c r="J3518" s="10">
        <v>0.0366</v>
      </c>
    </row>
    <row r="3519" spans="1:10">
      <c r="A3519" s="7" t="s">
        <v>3411</v>
      </c>
      <c r="B3519" s="7" t="s">
        <v>5386</v>
      </c>
      <c r="C3519" s="8">
        <f>QS.CONTEXT.CREATE("market.3517",A3519,"USD","SOFR")</f>
        <v/>
      </c>
      <c r="D3519" s="8">
        <f>QS.CONTEXT.ADD.CURVE(C3519,"SOFR",$K$2:$K$7,$L$2:$L$7,,,"Actual360","LogLinear",TRUE)</f>
        <v/>
      </c>
      <c r="E3519" s="8">
        <f>QS.INSTRUMENT.SWAP("swap.3517",C3519,H3519,B3519,"USD","SOFR",I3519,J3519,0,"Actual360","Simple","Annual","Annual","Annual")</f>
        <v/>
      </c>
      <c r="F3519" s="8">
        <f>QS.TRADE.CREATE("trade.3517",C3519,E3519,A3519,"Receive")</f>
        <v/>
      </c>
      <c r="G3519" s="5"/>
      <c r="H3519" s="7" t="s">
        <v>3425</v>
      </c>
      <c r="I3519" s="9">
        <v>1351700</v>
      </c>
      <c r="J3519" s="10">
        <v>0.0367</v>
      </c>
    </row>
    <row r="3520" spans="1:10">
      <c r="A3520" s="7" t="s">
        <v>3413</v>
      </c>
      <c r="B3520" s="7" t="s">
        <v>5387</v>
      </c>
      <c r="C3520" s="8">
        <f>QS.CONTEXT.CREATE("market.3518",A3520,"USD","SOFR")</f>
        <v/>
      </c>
      <c r="D3520" s="8">
        <f>QS.CONTEXT.ADD.CURVE(C3520,"SOFR",$K$2:$K$7,$L$2:$L$7,,,"Actual360","LogLinear",TRUE)</f>
        <v/>
      </c>
      <c r="E3520" s="8">
        <f>QS.INSTRUMENT.SWAP("swap.3518",C3520,H3520,B3520,"USD","SOFR",I3520,J3520,0,"Actual360","Simple","Annual","Annual","Annual")</f>
        <v/>
      </c>
      <c r="F3520" s="8">
        <f>QS.TRADE.CREATE("trade.3518",C3520,E3520,A3520,"Receive")</f>
        <v/>
      </c>
      <c r="G3520" s="5"/>
      <c r="H3520" s="7" t="s">
        <v>3427</v>
      </c>
      <c r="I3520" s="9">
        <v>1351800</v>
      </c>
      <c r="J3520" s="10">
        <v>0.03680000000000001</v>
      </c>
    </row>
    <row r="3521" spans="1:10">
      <c r="A3521" s="7" t="s">
        <v>3415</v>
      </c>
      <c r="B3521" s="7" t="s">
        <v>5388</v>
      </c>
      <c r="C3521" s="8">
        <f>QS.CONTEXT.CREATE("market.3519",A3521,"USD","SOFR")</f>
        <v/>
      </c>
      <c r="D3521" s="8">
        <f>QS.CONTEXT.ADD.CURVE(C3521,"SOFR",$K$2:$K$7,$L$2:$L$7,,,"Actual360","LogLinear",TRUE)</f>
        <v/>
      </c>
      <c r="E3521" s="8">
        <f>QS.INSTRUMENT.SWAP("swap.3519",C3521,H3521,B3521,"USD","SOFR",I3521,J3521,0,"Actual360","Simple","Annual","Annual","Annual")</f>
        <v/>
      </c>
      <c r="F3521" s="8">
        <f>QS.TRADE.CREATE("trade.3519",C3521,E3521,A3521,"Receive")</f>
        <v/>
      </c>
      <c r="G3521" s="5"/>
      <c r="H3521" s="7" t="s">
        <v>3429</v>
      </c>
      <c r="I3521" s="9">
        <v>1351900</v>
      </c>
      <c r="J3521" s="10">
        <v>0.0369</v>
      </c>
    </row>
    <row r="3522" spans="1:10">
      <c r="A3522" s="7" t="s">
        <v>3417</v>
      </c>
      <c r="B3522" s="7" t="s">
        <v>5389</v>
      </c>
      <c r="C3522" s="8">
        <f>QS.CONTEXT.CREATE("market.3520",A3522,"USD","SOFR")</f>
        <v/>
      </c>
      <c r="D3522" s="8">
        <f>QS.CONTEXT.ADD.CURVE(C3522,"SOFR",$K$2:$K$7,$L$2:$L$7,,,"Actual360","LogLinear",TRUE)</f>
        <v/>
      </c>
      <c r="E3522" s="8">
        <f>QS.INSTRUMENT.SWAP("swap.3520",C3522,H3522,B3522,"USD","SOFR",I3522,J3522,0,"Actual360","Simple","Annual","Annual","Annual")</f>
        <v/>
      </c>
      <c r="F3522" s="8">
        <f>QS.TRADE.CREATE("trade.3520",C3522,E3522,A3522,"Receive")</f>
        <v/>
      </c>
      <c r="G3522" s="5"/>
      <c r="H3522" s="7" t="s">
        <v>3431</v>
      </c>
      <c r="I3522" s="9">
        <v>1352000</v>
      </c>
      <c r="J3522" s="10">
        <v>0.03700000000000001</v>
      </c>
    </row>
    <row r="3523" spans="1:10">
      <c r="A3523" s="7" t="s">
        <v>3419</v>
      </c>
      <c r="B3523" s="7" t="s">
        <v>5390</v>
      </c>
      <c r="C3523" s="8">
        <f>QS.CONTEXT.CREATE("market.3521",A3523,"USD","SOFR")</f>
        <v/>
      </c>
      <c r="D3523" s="8">
        <f>QS.CONTEXT.ADD.CURVE(C3523,"SOFR",$K$2:$K$7,$L$2:$L$7,,,"Actual360","LogLinear",TRUE)</f>
        <v/>
      </c>
      <c r="E3523" s="8">
        <f>QS.INSTRUMENT.SWAP("swap.3521",C3523,H3523,B3523,"USD","SOFR",I3523,J3523,0,"Actual360","Simple","Annual","Annual","Annual")</f>
        <v/>
      </c>
      <c r="F3523" s="8">
        <f>QS.TRADE.CREATE("trade.3521",C3523,E3523,A3523,"Receive")</f>
        <v/>
      </c>
      <c r="G3523" s="5"/>
      <c r="H3523" s="7" t="s">
        <v>3433</v>
      </c>
      <c r="I3523" s="9">
        <v>1352100</v>
      </c>
      <c r="J3523" s="10">
        <v>0.0371</v>
      </c>
    </row>
    <row r="3524" spans="1:10">
      <c r="A3524" s="7" t="s">
        <v>3421</v>
      </c>
      <c r="B3524" s="7" t="s">
        <v>5391</v>
      </c>
      <c r="C3524" s="8">
        <f>QS.CONTEXT.CREATE("market.3522",A3524,"USD","SOFR")</f>
        <v/>
      </c>
      <c r="D3524" s="8">
        <f>QS.CONTEXT.ADD.CURVE(C3524,"SOFR",$K$2:$K$7,$L$2:$L$7,,,"Actual360","LogLinear",TRUE)</f>
        <v/>
      </c>
      <c r="E3524" s="8">
        <f>QS.INSTRUMENT.SWAP("swap.3522",C3524,H3524,B3524,"USD","SOFR",I3524,J3524,0,"Actual360","Simple","Annual","Annual","Annual")</f>
        <v/>
      </c>
      <c r="F3524" s="8">
        <f>QS.TRADE.CREATE("trade.3522",C3524,E3524,A3524,"Receive")</f>
        <v/>
      </c>
      <c r="G3524" s="5"/>
      <c r="H3524" s="7" t="s">
        <v>3435</v>
      </c>
      <c r="I3524" s="9">
        <v>1352200</v>
      </c>
      <c r="J3524" s="10">
        <v>0.0372</v>
      </c>
    </row>
    <row r="3525" spans="1:10">
      <c r="A3525" s="7" t="s">
        <v>3423</v>
      </c>
      <c r="B3525" s="7" t="s">
        <v>5392</v>
      </c>
      <c r="C3525" s="8">
        <f>QS.CONTEXT.CREATE("market.3523",A3525,"USD","SOFR")</f>
        <v/>
      </c>
      <c r="D3525" s="8">
        <f>QS.CONTEXT.ADD.CURVE(C3525,"SOFR",$K$2:$K$7,$L$2:$L$7,,,"Actual360","LogLinear",TRUE)</f>
        <v/>
      </c>
      <c r="E3525" s="8">
        <f>QS.INSTRUMENT.SWAP("swap.3523",C3525,H3525,B3525,"USD","SOFR",I3525,J3525,0,"Actual360","Simple","Annual","Annual","Annual")</f>
        <v/>
      </c>
      <c r="F3525" s="8">
        <f>QS.TRADE.CREATE("trade.3523",C3525,E3525,A3525,"Receive")</f>
        <v/>
      </c>
      <c r="G3525" s="5"/>
      <c r="H3525" s="7" t="s">
        <v>3437</v>
      </c>
      <c r="I3525" s="9">
        <v>1352300</v>
      </c>
      <c r="J3525" s="10">
        <v>0.0373</v>
      </c>
    </row>
    <row r="3526" spans="1:10">
      <c r="A3526" s="7" t="s">
        <v>3425</v>
      </c>
      <c r="B3526" s="7" t="s">
        <v>5393</v>
      </c>
      <c r="C3526" s="8">
        <f>QS.CONTEXT.CREATE("market.3524",A3526,"USD","SOFR")</f>
        <v/>
      </c>
      <c r="D3526" s="8">
        <f>QS.CONTEXT.ADD.CURVE(C3526,"SOFR",$K$2:$K$7,$L$2:$L$7,,,"Actual360","LogLinear",TRUE)</f>
        <v/>
      </c>
      <c r="E3526" s="8">
        <f>QS.INSTRUMENT.SWAP("swap.3524",C3526,H3526,B3526,"USD","SOFR",I3526,J3526,0,"Actual360","Simple","Annual","Annual","Annual")</f>
        <v/>
      </c>
      <c r="F3526" s="8">
        <f>QS.TRADE.CREATE("trade.3524",C3526,E3526,A3526,"Receive")</f>
        <v/>
      </c>
      <c r="G3526" s="5"/>
      <c r="H3526" s="7" t="s">
        <v>3439</v>
      </c>
      <c r="I3526" s="9">
        <v>1352400</v>
      </c>
      <c r="J3526" s="10">
        <v>0.0374</v>
      </c>
    </row>
    <row r="3527" spans="1:10">
      <c r="A3527" s="7" t="s">
        <v>3427</v>
      </c>
      <c r="B3527" s="7" t="s">
        <v>5394</v>
      </c>
      <c r="C3527" s="8">
        <f>QS.CONTEXT.CREATE("market.3525",A3527,"USD","SOFR")</f>
        <v/>
      </c>
      <c r="D3527" s="8">
        <f>QS.CONTEXT.ADD.CURVE(C3527,"SOFR",$K$2:$K$7,$L$2:$L$7,,,"Actual360","LogLinear",TRUE)</f>
        <v/>
      </c>
      <c r="E3527" s="8">
        <f>QS.INSTRUMENT.SWAP("swap.3525",C3527,H3527,B3527,"USD","SOFR",I3527,J3527,0,"Actual360","Simple","Annual","Annual","Annual")</f>
        <v/>
      </c>
      <c r="F3527" s="8">
        <f>QS.TRADE.CREATE("trade.3525",C3527,E3527,A3527,"Receive")</f>
        <v/>
      </c>
      <c r="G3527" s="5"/>
      <c r="H3527" s="7" t="s">
        <v>3441</v>
      </c>
      <c r="I3527" s="9">
        <v>1352500</v>
      </c>
      <c r="J3527" s="10">
        <v>0.03750000000000001</v>
      </c>
    </row>
    <row r="3528" spans="1:10">
      <c r="A3528" s="7" t="s">
        <v>3429</v>
      </c>
      <c r="B3528" s="7" t="s">
        <v>5395</v>
      </c>
      <c r="C3528" s="8">
        <f>QS.CONTEXT.CREATE("market.3526",A3528,"USD","SOFR")</f>
        <v/>
      </c>
      <c r="D3528" s="8">
        <f>QS.CONTEXT.ADD.CURVE(C3528,"SOFR",$K$2:$K$7,$L$2:$L$7,,,"Actual360","LogLinear",TRUE)</f>
        <v/>
      </c>
      <c r="E3528" s="8">
        <f>QS.INSTRUMENT.SWAP("swap.3526",C3528,H3528,B3528,"USD","SOFR",I3528,J3528,0,"Actual360","Simple","Annual","Annual","Annual")</f>
        <v/>
      </c>
      <c r="F3528" s="8">
        <f>QS.TRADE.CREATE("trade.3526",C3528,E3528,A3528,"Receive")</f>
        <v/>
      </c>
      <c r="G3528" s="5"/>
      <c r="H3528" s="7" t="s">
        <v>3443</v>
      </c>
      <c r="I3528" s="9">
        <v>1352600</v>
      </c>
      <c r="J3528" s="10">
        <v>0.0376</v>
      </c>
    </row>
    <row r="3529" spans="1:10">
      <c r="A3529" s="7" t="s">
        <v>3431</v>
      </c>
      <c r="B3529" s="7" t="s">
        <v>5396</v>
      </c>
      <c r="C3529" s="8">
        <f>QS.CONTEXT.CREATE("market.3527",A3529,"USD","SOFR")</f>
        <v/>
      </c>
      <c r="D3529" s="8">
        <f>QS.CONTEXT.ADD.CURVE(C3529,"SOFR",$K$2:$K$7,$L$2:$L$7,,,"Actual360","LogLinear",TRUE)</f>
        <v/>
      </c>
      <c r="E3529" s="8">
        <f>QS.INSTRUMENT.SWAP("swap.3527",C3529,H3529,B3529,"USD","SOFR",I3529,J3529,0,"Actual360","Simple","Annual","Annual","Annual")</f>
        <v/>
      </c>
      <c r="F3529" s="8">
        <f>QS.TRADE.CREATE("trade.3527",C3529,E3529,A3529,"Receive")</f>
        <v/>
      </c>
      <c r="G3529" s="5"/>
      <c r="H3529" s="7" t="s">
        <v>3445</v>
      </c>
      <c r="I3529" s="9">
        <v>1352700</v>
      </c>
      <c r="J3529" s="10">
        <v>0.0377</v>
      </c>
    </row>
    <row r="3530" spans="1:10">
      <c r="A3530" s="7" t="s">
        <v>3433</v>
      </c>
      <c r="B3530" s="7" t="s">
        <v>5397</v>
      </c>
      <c r="C3530" s="8">
        <f>QS.CONTEXT.CREATE("market.3528",A3530,"USD","SOFR")</f>
        <v/>
      </c>
      <c r="D3530" s="8">
        <f>QS.CONTEXT.ADD.CURVE(C3530,"SOFR",$K$2:$K$7,$L$2:$L$7,,,"Actual360","LogLinear",TRUE)</f>
        <v/>
      </c>
      <c r="E3530" s="8">
        <f>QS.INSTRUMENT.SWAP("swap.3528",C3530,H3530,B3530,"USD","SOFR",I3530,J3530,0,"Actual360","Simple","Annual","Annual","Annual")</f>
        <v/>
      </c>
      <c r="F3530" s="8">
        <f>QS.TRADE.CREATE("trade.3528",C3530,E3530,A3530,"Receive")</f>
        <v/>
      </c>
      <c r="G3530" s="5"/>
      <c r="H3530" s="7" t="s">
        <v>3447</v>
      </c>
      <c r="I3530" s="9">
        <v>1352800</v>
      </c>
      <c r="J3530" s="10">
        <v>0.0378</v>
      </c>
    </row>
    <row r="3531" spans="1:10">
      <c r="A3531" s="7" t="s">
        <v>3435</v>
      </c>
      <c r="B3531" s="7" t="s">
        <v>5398</v>
      </c>
      <c r="C3531" s="8">
        <f>QS.CONTEXT.CREATE("market.3529",A3531,"USD","SOFR")</f>
        <v/>
      </c>
      <c r="D3531" s="8">
        <f>QS.CONTEXT.ADD.CURVE(C3531,"SOFR",$K$2:$K$7,$L$2:$L$7,,,"Actual360","LogLinear",TRUE)</f>
        <v/>
      </c>
      <c r="E3531" s="8">
        <f>QS.INSTRUMENT.SWAP("swap.3529",C3531,H3531,B3531,"USD","SOFR",I3531,J3531,0,"Actual360","Simple","Annual","Annual","Annual")</f>
        <v/>
      </c>
      <c r="F3531" s="8">
        <f>QS.TRADE.CREATE("trade.3529",C3531,E3531,A3531,"Receive")</f>
        <v/>
      </c>
      <c r="G3531" s="5"/>
      <c r="H3531" s="7" t="s">
        <v>3449</v>
      </c>
      <c r="I3531" s="9">
        <v>1352900</v>
      </c>
      <c r="J3531" s="10">
        <v>0.0379</v>
      </c>
    </row>
    <row r="3532" spans="1:10">
      <c r="A3532" s="7" t="s">
        <v>3437</v>
      </c>
      <c r="B3532" s="7" t="s">
        <v>5399</v>
      </c>
      <c r="C3532" s="8">
        <f>QS.CONTEXT.CREATE("market.3530",A3532,"USD","SOFR")</f>
        <v/>
      </c>
      <c r="D3532" s="8">
        <f>QS.CONTEXT.ADD.CURVE(C3532,"SOFR",$K$2:$K$7,$L$2:$L$7,,,"Actual360","LogLinear",TRUE)</f>
        <v/>
      </c>
      <c r="E3532" s="8">
        <f>QS.INSTRUMENT.SWAP("swap.3530",C3532,H3532,B3532,"USD","SOFR",I3532,J3532,0,"Actual360","Simple","Annual","Annual","Annual")</f>
        <v/>
      </c>
      <c r="F3532" s="8">
        <f>QS.TRADE.CREATE("trade.3530",C3532,E3532,A3532,"Receive")</f>
        <v/>
      </c>
      <c r="G3532" s="5"/>
      <c r="H3532" s="7" t="s">
        <v>3451</v>
      </c>
      <c r="I3532" s="9">
        <v>1353000</v>
      </c>
      <c r="J3532" s="10">
        <v>0.03800000000000001</v>
      </c>
    </row>
    <row r="3533" spans="1:10">
      <c r="A3533" s="7" t="s">
        <v>3439</v>
      </c>
      <c r="B3533" s="7" t="s">
        <v>5400</v>
      </c>
      <c r="C3533" s="8">
        <f>QS.CONTEXT.CREATE("market.3531",A3533,"USD","SOFR")</f>
        <v/>
      </c>
      <c r="D3533" s="8">
        <f>QS.CONTEXT.ADD.CURVE(C3533,"SOFR",$K$2:$K$7,$L$2:$L$7,,,"Actual360","LogLinear",TRUE)</f>
        <v/>
      </c>
      <c r="E3533" s="8">
        <f>QS.INSTRUMENT.SWAP("swap.3531",C3533,H3533,B3533,"USD","SOFR",I3533,J3533,0,"Actual360","Simple","Annual","Annual","Annual")</f>
        <v/>
      </c>
      <c r="F3533" s="8">
        <f>QS.TRADE.CREATE("trade.3531",C3533,E3533,A3533,"Receive")</f>
        <v/>
      </c>
      <c r="G3533" s="5"/>
      <c r="H3533" s="7" t="s">
        <v>3453</v>
      </c>
      <c r="I3533" s="9">
        <v>1353100</v>
      </c>
      <c r="J3533" s="10">
        <v>0.0381</v>
      </c>
    </row>
    <row r="3534" spans="1:10">
      <c r="A3534" s="7" t="s">
        <v>3441</v>
      </c>
      <c r="B3534" s="7" t="s">
        <v>5401</v>
      </c>
      <c r="C3534" s="8">
        <f>QS.CONTEXT.CREATE("market.3532",A3534,"USD","SOFR")</f>
        <v/>
      </c>
      <c r="D3534" s="8">
        <f>QS.CONTEXT.ADD.CURVE(C3534,"SOFR",$K$2:$K$7,$L$2:$L$7,,,"Actual360","LogLinear",TRUE)</f>
        <v/>
      </c>
      <c r="E3534" s="8">
        <f>QS.INSTRUMENT.SWAP("swap.3532",C3534,H3534,B3534,"USD","SOFR",I3534,J3534,0,"Actual360","Simple","Annual","Annual","Annual")</f>
        <v/>
      </c>
      <c r="F3534" s="8">
        <f>QS.TRADE.CREATE("trade.3532",C3534,E3534,A3534,"Receive")</f>
        <v/>
      </c>
      <c r="G3534" s="5"/>
      <c r="H3534" s="7" t="s">
        <v>3455</v>
      </c>
      <c r="I3534" s="9">
        <v>1353200</v>
      </c>
      <c r="J3534" s="10">
        <v>0.0382</v>
      </c>
    </row>
    <row r="3535" spans="1:10">
      <c r="A3535" s="7" t="s">
        <v>3443</v>
      </c>
      <c r="B3535" s="7" t="s">
        <v>5402</v>
      </c>
      <c r="C3535" s="8">
        <f>QS.CONTEXT.CREATE("market.3533",A3535,"USD","SOFR")</f>
        <v/>
      </c>
      <c r="D3535" s="8">
        <f>QS.CONTEXT.ADD.CURVE(C3535,"SOFR",$K$2:$K$7,$L$2:$L$7,,,"Actual360","LogLinear",TRUE)</f>
        <v/>
      </c>
      <c r="E3535" s="8">
        <f>QS.INSTRUMENT.SWAP("swap.3533",C3535,H3535,B3535,"USD","SOFR",I3535,J3535,0,"Actual360","Simple","Annual","Annual","Annual")</f>
        <v/>
      </c>
      <c r="F3535" s="8">
        <f>QS.TRADE.CREATE("trade.3533",C3535,E3535,A3535,"Receive")</f>
        <v/>
      </c>
      <c r="G3535" s="5"/>
      <c r="H3535" s="7" t="s">
        <v>3457</v>
      </c>
      <c r="I3535" s="9">
        <v>1353300</v>
      </c>
      <c r="J3535" s="10">
        <v>0.0383</v>
      </c>
    </row>
    <row r="3536" spans="1:10">
      <c r="A3536" s="7" t="s">
        <v>3445</v>
      </c>
      <c r="B3536" s="7" t="s">
        <v>5403</v>
      </c>
      <c r="C3536" s="8">
        <f>QS.CONTEXT.CREATE("market.3534",A3536,"USD","SOFR")</f>
        <v/>
      </c>
      <c r="D3536" s="8">
        <f>QS.CONTEXT.ADD.CURVE(C3536,"SOFR",$K$2:$K$7,$L$2:$L$7,,,"Actual360","LogLinear",TRUE)</f>
        <v/>
      </c>
      <c r="E3536" s="8">
        <f>QS.INSTRUMENT.SWAP("swap.3534",C3536,H3536,B3536,"USD","SOFR",I3536,J3536,0,"Actual360","Simple","Annual","Annual","Annual")</f>
        <v/>
      </c>
      <c r="F3536" s="8">
        <f>QS.TRADE.CREATE("trade.3534",C3536,E3536,A3536,"Receive")</f>
        <v/>
      </c>
      <c r="G3536" s="5"/>
      <c r="H3536" s="7" t="s">
        <v>3459</v>
      </c>
      <c r="I3536" s="9">
        <v>1353400</v>
      </c>
      <c r="J3536" s="10">
        <v>0.0384</v>
      </c>
    </row>
    <row r="3537" spans="1:10">
      <c r="A3537" s="7" t="s">
        <v>3447</v>
      </c>
      <c r="B3537" s="7" t="s">
        <v>5404</v>
      </c>
      <c r="C3537" s="8">
        <f>QS.CONTEXT.CREATE("market.3535",A3537,"USD","SOFR")</f>
        <v/>
      </c>
      <c r="D3537" s="8">
        <f>QS.CONTEXT.ADD.CURVE(C3537,"SOFR",$K$2:$K$7,$L$2:$L$7,,,"Actual360","LogLinear",TRUE)</f>
        <v/>
      </c>
      <c r="E3537" s="8">
        <f>QS.INSTRUMENT.SWAP("swap.3535",C3537,H3537,B3537,"USD","SOFR",I3537,J3537,0,"Actual360","Simple","Annual","Annual","Annual")</f>
        <v/>
      </c>
      <c r="F3537" s="8">
        <f>QS.TRADE.CREATE("trade.3535",C3537,E3537,A3537,"Receive")</f>
        <v/>
      </c>
      <c r="G3537" s="5"/>
      <c r="H3537" s="7" t="s">
        <v>3461</v>
      </c>
      <c r="I3537" s="9">
        <v>1353500</v>
      </c>
      <c r="J3537" s="10">
        <v>0.03850000000000001</v>
      </c>
    </row>
    <row r="3538" spans="1:10">
      <c r="A3538" s="7" t="s">
        <v>3449</v>
      </c>
      <c r="B3538" s="7" t="s">
        <v>5405</v>
      </c>
      <c r="C3538" s="8">
        <f>QS.CONTEXT.CREATE("market.3536",A3538,"USD","SOFR")</f>
        <v/>
      </c>
      <c r="D3538" s="8">
        <f>QS.CONTEXT.ADD.CURVE(C3538,"SOFR",$K$2:$K$7,$L$2:$L$7,,,"Actual360","LogLinear",TRUE)</f>
        <v/>
      </c>
      <c r="E3538" s="8">
        <f>QS.INSTRUMENT.SWAP("swap.3536",C3538,H3538,B3538,"USD","SOFR",I3538,J3538,0,"Actual360","Simple","Annual","Annual","Annual")</f>
        <v/>
      </c>
      <c r="F3538" s="8">
        <f>QS.TRADE.CREATE("trade.3536",C3538,E3538,A3538,"Receive")</f>
        <v/>
      </c>
      <c r="G3538" s="5"/>
      <c r="H3538" s="7" t="s">
        <v>3463</v>
      </c>
      <c r="I3538" s="9">
        <v>1353600</v>
      </c>
      <c r="J3538" s="10">
        <v>0.0386</v>
      </c>
    </row>
    <row r="3539" spans="1:10">
      <c r="A3539" s="7" t="s">
        <v>3451</v>
      </c>
      <c r="B3539" s="7" t="s">
        <v>5406</v>
      </c>
      <c r="C3539" s="8">
        <f>QS.CONTEXT.CREATE("market.3537",A3539,"USD","SOFR")</f>
        <v/>
      </c>
      <c r="D3539" s="8">
        <f>QS.CONTEXT.ADD.CURVE(C3539,"SOFR",$K$2:$K$7,$L$2:$L$7,,,"Actual360","LogLinear",TRUE)</f>
        <v/>
      </c>
      <c r="E3539" s="8">
        <f>QS.INSTRUMENT.SWAP("swap.3537",C3539,H3539,B3539,"USD","SOFR",I3539,J3539,0,"Actual360","Simple","Annual","Annual","Annual")</f>
        <v/>
      </c>
      <c r="F3539" s="8">
        <f>QS.TRADE.CREATE("trade.3537",C3539,E3539,A3539,"Receive")</f>
        <v/>
      </c>
      <c r="G3539" s="5"/>
      <c r="H3539" s="7" t="s">
        <v>3465</v>
      </c>
      <c r="I3539" s="9">
        <v>1353700</v>
      </c>
      <c r="J3539" s="10">
        <v>0.03870000000000001</v>
      </c>
    </row>
    <row r="3540" spans="1:10">
      <c r="A3540" s="7" t="s">
        <v>3453</v>
      </c>
      <c r="B3540" s="7" t="s">
        <v>5407</v>
      </c>
      <c r="C3540" s="8">
        <f>QS.CONTEXT.CREATE("market.3538",A3540,"USD","SOFR")</f>
        <v/>
      </c>
      <c r="D3540" s="8">
        <f>QS.CONTEXT.ADD.CURVE(C3540,"SOFR",$K$2:$K$7,$L$2:$L$7,,,"Actual360","LogLinear",TRUE)</f>
        <v/>
      </c>
      <c r="E3540" s="8">
        <f>QS.INSTRUMENT.SWAP("swap.3538",C3540,H3540,B3540,"USD","SOFR",I3540,J3540,0,"Actual360","Simple","Annual","Annual","Annual")</f>
        <v/>
      </c>
      <c r="F3540" s="8">
        <f>QS.TRADE.CREATE("trade.3538",C3540,E3540,A3540,"Receive")</f>
        <v/>
      </c>
      <c r="G3540" s="5"/>
      <c r="H3540" s="7" t="s">
        <v>3467</v>
      </c>
      <c r="I3540" s="9">
        <v>1353800</v>
      </c>
      <c r="J3540" s="10">
        <v>0.0388</v>
      </c>
    </row>
    <row r="3541" spans="1:10">
      <c r="A3541" s="7" t="s">
        <v>3455</v>
      </c>
      <c r="B3541" s="7" t="s">
        <v>5408</v>
      </c>
      <c r="C3541" s="8">
        <f>QS.CONTEXT.CREATE("market.3539",A3541,"USD","SOFR")</f>
        <v/>
      </c>
      <c r="D3541" s="8">
        <f>QS.CONTEXT.ADD.CURVE(C3541,"SOFR",$K$2:$K$7,$L$2:$L$7,,,"Actual360","LogLinear",TRUE)</f>
        <v/>
      </c>
      <c r="E3541" s="8">
        <f>QS.INSTRUMENT.SWAP("swap.3539",C3541,H3541,B3541,"USD","SOFR",I3541,J3541,0,"Actual360","Simple","Annual","Annual","Annual")</f>
        <v/>
      </c>
      <c r="F3541" s="8">
        <f>QS.TRADE.CREATE("trade.3539",C3541,E3541,A3541,"Receive")</f>
        <v/>
      </c>
      <c r="G3541" s="5"/>
      <c r="H3541" s="7" t="s">
        <v>3469</v>
      </c>
      <c r="I3541" s="9">
        <v>1353900</v>
      </c>
      <c r="J3541" s="10">
        <v>0.0389</v>
      </c>
    </row>
    <row r="3542" spans="1:10">
      <c r="A3542" s="7" t="s">
        <v>3457</v>
      </c>
      <c r="B3542" s="7" t="s">
        <v>5409</v>
      </c>
      <c r="C3542" s="8">
        <f>QS.CONTEXT.CREATE("market.3540",A3542,"USD","SOFR")</f>
        <v/>
      </c>
      <c r="D3542" s="8">
        <f>QS.CONTEXT.ADD.CURVE(C3542,"SOFR",$K$2:$K$7,$L$2:$L$7,,,"Actual360","LogLinear",TRUE)</f>
        <v/>
      </c>
      <c r="E3542" s="8">
        <f>QS.INSTRUMENT.SWAP("swap.3540",C3542,H3542,B3542,"USD","SOFR",I3542,J3542,0,"Actual360","Simple","Annual","Annual","Annual")</f>
        <v/>
      </c>
      <c r="F3542" s="8">
        <f>QS.TRADE.CREATE("trade.3540",C3542,E3542,A3542,"Receive")</f>
        <v/>
      </c>
      <c r="G3542" s="5"/>
      <c r="H3542" s="7" t="s">
        <v>3471</v>
      </c>
      <c r="I3542" s="9">
        <v>1354000</v>
      </c>
      <c r="J3542" s="10">
        <v>0.03900000000000001</v>
      </c>
    </row>
    <row r="3543" spans="1:10">
      <c r="A3543" s="7" t="s">
        <v>3459</v>
      </c>
      <c r="B3543" s="7" t="s">
        <v>5410</v>
      </c>
      <c r="C3543" s="8">
        <f>QS.CONTEXT.CREATE("market.3541",A3543,"USD","SOFR")</f>
        <v/>
      </c>
      <c r="D3543" s="8">
        <f>QS.CONTEXT.ADD.CURVE(C3543,"SOFR",$K$2:$K$7,$L$2:$L$7,,,"Actual360","LogLinear",TRUE)</f>
        <v/>
      </c>
      <c r="E3543" s="8">
        <f>QS.INSTRUMENT.SWAP("swap.3541",C3543,H3543,B3543,"USD","SOFR",I3543,J3543,0,"Actual360","Simple","Annual","Annual","Annual")</f>
        <v/>
      </c>
      <c r="F3543" s="8">
        <f>QS.TRADE.CREATE("trade.3541",C3543,E3543,A3543,"Receive")</f>
        <v/>
      </c>
      <c r="G3543" s="5"/>
      <c r="H3543" s="7" t="s">
        <v>3473</v>
      </c>
      <c r="I3543" s="9">
        <v>1354100</v>
      </c>
      <c r="J3543" s="10">
        <v>0.0391</v>
      </c>
    </row>
    <row r="3544" spans="1:10">
      <c r="A3544" s="7" t="s">
        <v>3461</v>
      </c>
      <c r="B3544" s="7" t="s">
        <v>5411</v>
      </c>
      <c r="C3544" s="8">
        <f>QS.CONTEXT.CREATE("market.3542",A3544,"USD","SOFR")</f>
        <v/>
      </c>
      <c r="D3544" s="8">
        <f>QS.CONTEXT.ADD.CURVE(C3544,"SOFR",$K$2:$K$7,$L$2:$L$7,,,"Actual360","LogLinear",TRUE)</f>
        <v/>
      </c>
      <c r="E3544" s="8">
        <f>QS.INSTRUMENT.SWAP("swap.3542",C3544,H3544,B3544,"USD","SOFR",I3544,J3544,0,"Actual360","Simple","Annual","Annual","Annual")</f>
        <v/>
      </c>
      <c r="F3544" s="8">
        <f>QS.TRADE.CREATE("trade.3542",C3544,E3544,A3544,"Receive")</f>
        <v/>
      </c>
      <c r="G3544" s="5"/>
      <c r="H3544" s="7" t="s">
        <v>3475</v>
      </c>
      <c r="I3544" s="9">
        <v>1354200</v>
      </c>
      <c r="J3544" s="10">
        <v>0.03920000000000001</v>
      </c>
    </row>
    <row r="3545" spans="1:10">
      <c r="A3545" s="7" t="s">
        <v>3463</v>
      </c>
      <c r="B3545" s="7" t="s">
        <v>5412</v>
      </c>
      <c r="C3545" s="8">
        <f>QS.CONTEXT.CREATE("market.3543",A3545,"USD","SOFR")</f>
        <v/>
      </c>
      <c r="D3545" s="8">
        <f>QS.CONTEXT.ADD.CURVE(C3545,"SOFR",$K$2:$K$7,$L$2:$L$7,,,"Actual360","LogLinear",TRUE)</f>
        <v/>
      </c>
      <c r="E3545" s="8">
        <f>QS.INSTRUMENT.SWAP("swap.3543",C3545,H3545,B3545,"USD","SOFR",I3545,J3545,0,"Actual360","Simple","Annual","Annual","Annual")</f>
        <v/>
      </c>
      <c r="F3545" s="8">
        <f>QS.TRADE.CREATE("trade.3543",C3545,E3545,A3545,"Receive")</f>
        <v/>
      </c>
      <c r="G3545" s="5"/>
      <c r="H3545" s="7" t="s">
        <v>3477</v>
      </c>
      <c r="I3545" s="9">
        <v>1354300</v>
      </c>
      <c r="J3545" s="10">
        <v>0.0393</v>
      </c>
    </row>
    <row r="3546" spans="1:10">
      <c r="A3546" s="7" t="s">
        <v>3465</v>
      </c>
      <c r="B3546" s="7" t="s">
        <v>5413</v>
      </c>
      <c r="C3546" s="8">
        <f>QS.CONTEXT.CREATE("market.3544",A3546,"USD","SOFR")</f>
        <v/>
      </c>
      <c r="D3546" s="8">
        <f>QS.CONTEXT.ADD.CURVE(C3546,"SOFR",$K$2:$K$7,$L$2:$L$7,,,"Actual360","LogLinear",TRUE)</f>
        <v/>
      </c>
      <c r="E3546" s="8">
        <f>QS.INSTRUMENT.SWAP("swap.3544",C3546,H3546,B3546,"USD","SOFR",I3546,J3546,0,"Actual360","Simple","Annual","Annual","Annual")</f>
        <v/>
      </c>
      <c r="F3546" s="8">
        <f>QS.TRADE.CREATE("trade.3544",C3546,E3546,A3546,"Receive")</f>
        <v/>
      </c>
      <c r="G3546" s="5"/>
      <c r="H3546" s="7" t="s">
        <v>3479</v>
      </c>
      <c r="I3546" s="9">
        <v>1354400</v>
      </c>
      <c r="J3546" s="10">
        <v>0.0394</v>
      </c>
    </row>
    <row r="3547" spans="1:10">
      <c r="A3547" s="7" t="s">
        <v>3467</v>
      </c>
      <c r="B3547" s="7" t="s">
        <v>5414</v>
      </c>
      <c r="C3547" s="8">
        <f>QS.CONTEXT.CREATE("market.3545",A3547,"USD","SOFR")</f>
        <v/>
      </c>
      <c r="D3547" s="8">
        <f>QS.CONTEXT.ADD.CURVE(C3547,"SOFR",$K$2:$K$7,$L$2:$L$7,,,"Actual360","LogLinear",TRUE)</f>
        <v/>
      </c>
      <c r="E3547" s="8">
        <f>QS.INSTRUMENT.SWAP("swap.3545",C3547,H3547,B3547,"USD","SOFR",I3547,J3547,0,"Actual360","Simple","Annual","Annual","Annual")</f>
        <v/>
      </c>
      <c r="F3547" s="8">
        <f>QS.TRADE.CREATE("trade.3545",C3547,E3547,A3547,"Receive")</f>
        <v/>
      </c>
      <c r="G3547" s="5"/>
      <c r="H3547" s="7" t="s">
        <v>3481</v>
      </c>
      <c r="I3547" s="9">
        <v>1354500</v>
      </c>
      <c r="J3547" s="10">
        <v>0.03950000000000001</v>
      </c>
    </row>
    <row r="3548" spans="1:10">
      <c r="A3548" s="7" t="s">
        <v>3469</v>
      </c>
      <c r="B3548" s="7" t="s">
        <v>5415</v>
      </c>
      <c r="C3548" s="8">
        <f>QS.CONTEXT.CREATE("market.3546",A3548,"USD","SOFR")</f>
        <v/>
      </c>
      <c r="D3548" s="8">
        <f>QS.CONTEXT.ADD.CURVE(C3548,"SOFR",$K$2:$K$7,$L$2:$L$7,,,"Actual360","LogLinear",TRUE)</f>
        <v/>
      </c>
      <c r="E3548" s="8">
        <f>QS.INSTRUMENT.SWAP("swap.3546",C3548,H3548,B3548,"USD","SOFR",I3548,J3548,0,"Actual360","Simple","Annual","Annual","Annual")</f>
        <v/>
      </c>
      <c r="F3548" s="8">
        <f>QS.TRADE.CREATE("trade.3546",C3548,E3548,A3548,"Receive")</f>
        <v/>
      </c>
      <c r="G3548" s="5"/>
      <c r="H3548" s="7" t="s">
        <v>3483</v>
      </c>
      <c r="I3548" s="9">
        <v>1354600</v>
      </c>
      <c r="J3548" s="10">
        <v>0.0396</v>
      </c>
    </row>
    <row r="3549" spans="1:10">
      <c r="A3549" s="7" t="s">
        <v>3471</v>
      </c>
      <c r="B3549" s="7" t="s">
        <v>5416</v>
      </c>
      <c r="C3549" s="8">
        <f>QS.CONTEXT.CREATE("market.3547",A3549,"USD","SOFR")</f>
        <v/>
      </c>
      <c r="D3549" s="8">
        <f>QS.CONTEXT.ADD.CURVE(C3549,"SOFR",$K$2:$K$7,$L$2:$L$7,,,"Actual360","LogLinear",TRUE)</f>
        <v/>
      </c>
      <c r="E3549" s="8">
        <f>QS.INSTRUMENT.SWAP("swap.3547",C3549,H3549,B3549,"USD","SOFR",I3549,J3549,0,"Actual360","Simple","Annual","Annual","Annual")</f>
        <v/>
      </c>
      <c r="F3549" s="8">
        <f>QS.TRADE.CREATE("trade.3547",C3549,E3549,A3549,"Receive")</f>
        <v/>
      </c>
      <c r="G3549" s="5"/>
      <c r="H3549" s="7" t="s">
        <v>3485</v>
      </c>
      <c r="I3549" s="9">
        <v>1354700</v>
      </c>
      <c r="J3549" s="10">
        <v>0.03970000000000001</v>
      </c>
    </row>
    <row r="3550" spans="1:10">
      <c r="A3550" s="7" t="s">
        <v>3473</v>
      </c>
      <c r="B3550" s="7" t="s">
        <v>5417</v>
      </c>
      <c r="C3550" s="8">
        <f>QS.CONTEXT.CREATE("market.3548",A3550,"USD","SOFR")</f>
        <v/>
      </c>
      <c r="D3550" s="8">
        <f>QS.CONTEXT.ADD.CURVE(C3550,"SOFR",$K$2:$K$7,$L$2:$L$7,,,"Actual360","LogLinear",TRUE)</f>
        <v/>
      </c>
      <c r="E3550" s="8">
        <f>QS.INSTRUMENT.SWAP("swap.3548",C3550,H3550,B3550,"USD","SOFR",I3550,J3550,0,"Actual360","Simple","Annual","Annual","Annual")</f>
        <v/>
      </c>
      <c r="F3550" s="8">
        <f>QS.TRADE.CREATE("trade.3548",C3550,E3550,A3550,"Receive")</f>
        <v/>
      </c>
      <c r="G3550" s="5"/>
      <c r="H3550" s="7" t="s">
        <v>3487</v>
      </c>
      <c r="I3550" s="9">
        <v>1354800</v>
      </c>
      <c r="J3550" s="10">
        <v>0.0398</v>
      </c>
    </row>
    <row r="3551" spans="1:10">
      <c r="A3551" s="7" t="s">
        <v>3475</v>
      </c>
      <c r="B3551" s="7" t="s">
        <v>5418</v>
      </c>
      <c r="C3551" s="8">
        <f>QS.CONTEXT.CREATE("market.3549",A3551,"USD","SOFR")</f>
        <v/>
      </c>
      <c r="D3551" s="8">
        <f>QS.CONTEXT.ADD.CURVE(C3551,"SOFR",$K$2:$K$7,$L$2:$L$7,,,"Actual360","LogLinear",TRUE)</f>
        <v/>
      </c>
      <c r="E3551" s="8">
        <f>QS.INSTRUMENT.SWAP("swap.3549",C3551,H3551,B3551,"USD","SOFR",I3551,J3551,0,"Actual360","Simple","Annual","Annual","Annual")</f>
        <v/>
      </c>
      <c r="F3551" s="8">
        <f>QS.TRADE.CREATE("trade.3549",C3551,E3551,A3551,"Receive")</f>
        <v/>
      </c>
      <c r="G3551" s="5"/>
      <c r="H3551" s="7" t="s">
        <v>3489</v>
      </c>
      <c r="I3551" s="9">
        <v>1354900</v>
      </c>
      <c r="J3551" s="10">
        <v>0.0399</v>
      </c>
    </row>
    <row r="3552" spans="1:10">
      <c r="A3552" s="7" t="s">
        <v>3477</v>
      </c>
      <c r="B3552" s="7" t="s">
        <v>5419</v>
      </c>
      <c r="C3552" s="8">
        <f>QS.CONTEXT.CREATE("market.3550",A3552,"USD","SOFR")</f>
        <v/>
      </c>
      <c r="D3552" s="8">
        <f>QS.CONTEXT.ADD.CURVE(C3552,"SOFR",$K$2:$K$7,$L$2:$L$7,,,"Actual360","LogLinear",TRUE)</f>
        <v/>
      </c>
      <c r="E3552" s="8">
        <f>QS.INSTRUMENT.SWAP("swap.3550",C3552,H3552,B3552,"USD","SOFR",I3552,J3552,0,"Actual360","Simple","Annual","Annual","Annual")</f>
        <v/>
      </c>
      <c r="F3552" s="8">
        <f>QS.TRADE.CREATE("trade.3550",C3552,E3552,A3552,"Receive")</f>
        <v/>
      </c>
      <c r="G3552" s="5"/>
      <c r="H3552" s="7" t="s">
        <v>3491</v>
      </c>
      <c r="I3552" s="9">
        <v>1355000</v>
      </c>
      <c r="J3552" s="10">
        <v>0.035</v>
      </c>
    </row>
    <row r="3553" spans="1:10">
      <c r="A3553" s="7" t="s">
        <v>3479</v>
      </c>
      <c r="B3553" s="7" t="s">
        <v>5420</v>
      </c>
      <c r="C3553" s="8">
        <f>QS.CONTEXT.CREATE("market.3551",A3553,"USD","SOFR")</f>
        <v/>
      </c>
      <c r="D3553" s="8">
        <f>QS.CONTEXT.ADD.CURVE(C3553,"SOFR",$K$2:$K$7,$L$2:$L$7,,,"Actual360","LogLinear",TRUE)</f>
        <v/>
      </c>
      <c r="E3553" s="8">
        <f>QS.INSTRUMENT.SWAP("swap.3551",C3553,H3553,B3553,"USD","SOFR",I3553,J3553,0,"Actual360","Simple","Annual","Annual","Annual")</f>
        <v/>
      </c>
      <c r="F3553" s="8">
        <f>QS.TRADE.CREATE("trade.3551",C3553,E3553,A3553,"Receive")</f>
        <v/>
      </c>
      <c r="G3553" s="5"/>
      <c r="H3553" s="7" t="s">
        <v>3493</v>
      </c>
      <c r="I3553" s="9">
        <v>1355100</v>
      </c>
      <c r="J3553" s="10">
        <v>0.03510000000000001</v>
      </c>
    </row>
    <row r="3554" spans="1:10">
      <c r="A3554" s="7" t="s">
        <v>3481</v>
      </c>
      <c r="B3554" s="7" t="s">
        <v>5421</v>
      </c>
      <c r="C3554" s="8">
        <f>QS.CONTEXT.CREATE("market.3552",A3554,"USD","SOFR")</f>
        <v/>
      </c>
      <c r="D3554" s="8">
        <f>QS.CONTEXT.ADD.CURVE(C3554,"SOFR",$K$2:$K$7,$L$2:$L$7,,,"Actual360","LogLinear",TRUE)</f>
        <v/>
      </c>
      <c r="E3554" s="8">
        <f>QS.INSTRUMENT.SWAP("swap.3552",C3554,H3554,B3554,"USD","SOFR",I3554,J3554,0,"Actual360","Simple","Annual","Annual","Annual")</f>
        <v/>
      </c>
      <c r="F3554" s="8">
        <f>QS.TRADE.CREATE("trade.3552",C3554,E3554,A3554,"Receive")</f>
        <v/>
      </c>
      <c r="G3554" s="5"/>
      <c r="H3554" s="7" t="s">
        <v>3495</v>
      </c>
      <c r="I3554" s="9">
        <v>1355200</v>
      </c>
      <c r="J3554" s="10">
        <v>0.0352</v>
      </c>
    </row>
    <row r="3555" spans="1:10">
      <c r="A3555" s="7" t="s">
        <v>3483</v>
      </c>
      <c r="B3555" s="7" t="s">
        <v>5422</v>
      </c>
      <c r="C3555" s="8">
        <f>QS.CONTEXT.CREATE("market.3553",A3555,"USD","SOFR")</f>
        <v/>
      </c>
      <c r="D3555" s="8">
        <f>QS.CONTEXT.ADD.CURVE(C3555,"SOFR",$K$2:$K$7,$L$2:$L$7,,,"Actual360","LogLinear",TRUE)</f>
        <v/>
      </c>
      <c r="E3555" s="8">
        <f>QS.INSTRUMENT.SWAP("swap.3553",C3555,H3555,B3555,"USD","SOFR",I3555,J3555,0,"Actual360","Simple","Annual","Annual","Annual")</f>
        <v/>
      </c>
      <c r="F3555" s="8">
        <f>QS.TRADE.CREATE("trade.3553",C3555,E3555,A3555,"Receive")</f>
        <v/>
      </c>
      <c r="G3555" s="5"/>
      <c r="H3555" s="7" t="s">
        <v>3497</v>
      </c>
      <c r="I3555" s="9">
        <v>1355300</v>
      </c>
      <c r="J3555" s="10">
        <v>0.0353</v>
      </c>
    </row>
    <row r="3556" spans="1:10">
      <c r="A3556" s="7" t="s">
        <v>3485</v>
      </c>
      <c r="B3556" s="7" t="s">
        <v>5423</v>
      </c>
      <c r="C3556" s="8">
        <f>QS.CONTEXT.CREATE("market.3554",A3556,"USD","SOFR")</f>
        <v/>
      </c>
      <c r="D3556" s="8">
        <f>QS.CONTEXT.ADD.CURVE(C3556,"SOFR",$K$2:$K$7,$L$2:$L$7,,,"Actual360","LogLinear",TRUE)</f>
        <v/>
      </c>
      <c r="E3556" s="8">
        <f>QS.INSTRUMENT.SWAP("swap.3554",C3556,H3556,B3556,"USD","SOFR",I3556,J3556,0,"Actual360","Simple","Annual","Annual","Annual")</f>
        <v/>
      </c>
      <c r="F3556" s="8">
        <f>QS.TRADE.CREATE("trade.3554",C3556,E3556,A3556,"Receive")</f>
        <v/>
      </c>
      <c r="G3556" s="5"/>
      <c r="H3556" s="7" t="s">
        <v>3499</v>
      </c>
      <c r="I3556" s="9">
        <v>1355400</v>
      </c>
      <c r="J3556" s="10">
        <v>0.0354</v>
      </c>
    </row>
    <row r="3557" spans="1:10">
      <c r="A3557" s="7" t="s">
        <v>3487</v>
      </c>
      <c r="B3557" s="7" t="s">
        <v>5424</v>
      </c>
      <c r="C3557" s="8">
        <f>QS.CONTEXT.CREATE("market.3555",A3557,"USD","SOFR")</f>
        <v/>
      </c>
      <c r="D3557" s="8">
        <f>QS.CONTEXT.ADD.CURVE(C3557,"SOFR",$K$2:$K$7,$L$2:$L$7,,,"Actual360","LogLinear",TRUE)</f>
        <v/>
      </c>
      <c r="E3557" s="8">
        <f>QS.INSTRUMENT.SWAP("swap.3555",C3557,H3557,B3557,"USD","SOFR",I3557,J3557,0,"Actual360","Simple","Annual","Annual","Annual")</f>
        <v/>
      </c>
      <c r="F3557" s="8">
        <f>QS.TRADE.CREATE("trade.3555",C3557,E3557,A3557,"Receive")</f>
        <v/>
      </c>
      <c r="G3557" s="5"/>
      <c r="H3557" s="7" t="s">
        <v>3501</v>
      </c>
      <c r="I3557" s="9">
        <v>1355500</v>
      </c>
      <c r="J3557" s="10">
        <v>0.0355</v>
      </c>
    </row>
    <row r="3558" spans="1:10">
      <c r="A3558" s="7" t="s">
        <v>3489</v>
      </c>
      <c r="B3558" s="7" t="s">
        <v>5425</v>
      </c>
      <c r="C3558" s="8">
        <f>QS.CONTEXT.CREATE("market.3556",A3558,"USD","SOFR")</f>
        <v/>
      </c>
      <c r="D3558" s="8">
        <f>QS.CONTEXT.ADD.CURVE(C3558,"SOFR",$K$2:$K$7,$L$2:$L$7,,,"Actual360","LogLinear",TRUE)</f>
        <v/>
      </c>
      <c r="E3558" s="8">
        <f>QS.INSTRUMENT.SWAP("swap.3556",C3558,H3558,B3558,"USD","SOFR",I3558,J3558,0,"Actual360","Simple","Annual","Annual","Annual")</f>
        <v/>
      </c>
      <c r="F3558" s="8">
        <f>QS.TRADE.CREATE("trade.3556",C3558,E3558,A3558,"Receive")</f>
        <v/>
      </c>
      <c r="G3558" s="5"/>
      <c r="H3558" s="7" t="s">
        <v>3503</v>
      </c>
      <c r="I3558" s="9">
        <v>1355600</v>
      </c>
      <c r="J3558" s="10">
        <v>0.03560000000000001</v>
      </c>
    </row>
    <row r="3559" spans="1:10">
      <c r="A3559" s="7" t="s">
        <v>3491</v>
      </c>
      <c r="B3559" s="7" t="s">
        <v>5426</v>
      </c>
      <c r="C3559" s="8">
        <f>QS.CONTEXT.CREATE("market.3557",A3559,"USD","SOFR")</f>
        <v/>
      </c>
      <c r="D3559" s="8">
        <f>QS.CONTEXT.ADD.CURVE(C3559,"SOFR",$K$2:$K$7,$L$2:$L$7,,,"Actual360","LogLinear",TRUE)</f>
        <v/>
      </c>
      <c r="E3559" s="8">
        <f>QS.INSTRUMENT.SWAP("swap.3557",C3559,H3559,B3559,"USD","SOFR",I3559,J3559,0,"Actual360","Simple","Annual","Annual","Annual")</f>
        <v/>
      </c>
      <c r="F3559" s="8">
        <f>QS.TRADE.CREATE("trade.3557",C3559,E3559,A3559,"Receive")</f>
        <v/>
      </c>
      <c r="G3559" s="5"/>
      <c r="H3559" s="7" t="s">
        <v>3505</v>
      </c>
      <c r="I3559" s="9">
        <v>1355700</v>
      </c>
      <c r="J3559" s="10">
        <v>0.0357</v>
      </c>
    </row>
    <row r="3560" spans="1:10">
      <c r="A3560" s="7" t="s">
        <v>3493</v>
      </c>
      <c r="B3560" s="7" t="s">
        <v>5427</v>
      </c>
      <c r="C3560" s="8">
        <f>QS.CONTEXT.CREATE("market.3558",A3560,"USD","SOFR")</f>
        <v/>
      </c>
      <c r="D3560" s="8">
        <f>QS.CONTEXT.ADD.CURVE(C3560,"SOFR",$K$2:$K$7,$L$2:$L$7,,,"Actual360","LogLinear",TRUE)</f>
        <v/>
      </c>
      <c r="E3560" s="8">
        <f>QS.INSTRUMENT.SWAP("swap.3558",C3560,H3560,B3560,"USD","SOFR",I3560,J3560,0,"Actual360","Simple","Annual","Annual","Annual")</f>
        <v/>
      </c>
      <c r="F3560" s="8">
        <f>QS.TRADE.CREATE("trade.3558",C3560,E3560,A3560,"Receive")</f>
        <v/>
      </c>
      <c r="G3560" s="5"/>
      <c r="H3560" s="7" t="s">
        <v>3507</v>
      </c>
      <c r="I3560" s="9">
        <v>1355800</v>
      </c>
      <c r="J3560" s="10">
        <v>0.03580000000000001</v>
      </c>
    </row>
    <row r="3561" spans="1:10">
      <c r="A3561" s="7" t="s">
        <v>3495</v>
      </c>
      <c r="B3561" s="7" t="s">
        <v>5428</v>
      </c>
      <c r="C3561" s="8">
        <f>QS.CONTEXT.CREATE("market.3559",A3561,"USD","SOFR")</f>
        <v/>
      </c>
      <c r="D3561" s="8">
        <f>QS.CONTEXT.ADD.CURVE(C3561,"SOFR",$K$2:$K$7,$L$2:$L$7,,,"Actual360","LogLinear",TRUE)</f>
        <v/>
      </c>
      <c r="E3561" s="8">
        <f>QS.INSTRUMENT.SWAP("swap.3559",C3561,H3561,B3561,"USD","SOFR",I3561,J3561,0,"Actual360","Simple","Annual","Annual","Annual")</f>
        <v/>
      </c>
      <c r="F3561" s="8">
        <f>QS.TRADE.CREATE("trade.3559",C3561,E3561,A3561,"Receive")</f>
        <v/>
      </c>
      <c r="G3561" s="5"/>
      <c r="H3561" s="7" t="s">
        <v>3509</v>
      </c>
      <c r="I3561" s="9">
        <v>1355900</v>
      </c>
      <c r="J3561" s="10">
        <v>0.0359</v>
      </c>
    </row>
    <row r="3562" spans="1:10">
      <c r="A3562" s="7" t="s">
        <v>3497</v>
      </c>
      <c r="B3562" s="7" t="s">
        <v>5429</v>
      </c>
      <c r="C3562" s="8">
        <f>QS.CONTEXT.CREATE("market.3560",A3562,"USD","SOFR")</f>
        <v/>
      </c>
      <c r="D3562" s="8">
        <f>QS.CONTEXT.ADD.CURVE(C3562,"SOFR",$K$2:$K$7,$L$2:$L$7,,,"Actual360","LogLinear",TRUE)</f>
        <v/>
      </c>
      <c r="E3562" s="8">
        <f>QS.INSTRUMENT.SWAP("swap.3560",C3562,H3562,B3562,"USD","SOFR",I3562,J3562,0,"Actual360","Simple","Annual","Annual","Annual")</f>
        <v/>
      </c>
      <c r="F3562" s="8">
        <f>QS.TRADE.CREATE("trade.3560",C3562,E3562,A3562,"Receive")</f>
        <v/>
      </c>
      <c r="G3562" s="5"/>
      <c r="H3562" s="7" t="s">
        <v>3511</v>
      </c>
      <c r="I3562" s="9">
        <v>1356000</v>
      </c>
      <c r="J3562" s="10">
        <v>0.036</v>
      </c>
    </row>
    <row r="3563" spans="1:10">
      <c r="A3563" s="7" t="s">
        <v>3499</v>
      </c>
      <c r="B3563" s="7" t="s">
        <v>5430</v>
      </c>
      <c r="C3563" s="8">
        <f>QS.CONTEXT.CREATE("market.3561",A3563,"USD","SOFR")</f>
        <v/>
      </c>
      <c r="D3563" s="8">
        <f>QS.CONTEXT.ADD.CURVE(C3563,"SOFR",$K$2:$K$7,$L$2:$L$7,,,"Actual360","LogLinear",TRUE)</f>
        <v/>
      </c>
      <c r="E3563" s="8">
        <f>QS.INSTRUMENT.SWAP("swap.3561",C3563,H3563,B3563,"USD","SOFR",I3563,J3563,0,"Actual360","Simple","Annual","Annual","Annual")</f>
        <v/>
      </c>
      <c r="F3563" s="8">
        <f>QS.TRADE.CREATE("trade.3561",C3563,E3563,A3563,"Receive")</f>
        <v/>
      </c>
      <c r="G3563" s="5"/>
      <c r="H3563" s="7" t="s">
        <v>3513</v>
      </c>
      <c r="I3563" s="9">
        <v>1356100</v>
      </c>
      <c r="J3563" s="10">
        <v>0.0361</v>
      </c>
    </row>
    <row r="3564" spans="1:10">
      <c r="A3564" s="7" t="s">
        <v>3501</v>
      </c>
      <c r="B3564" s="7" t="s">
        <v>5431</v>
      </c>
      <c r="C3564" s="8">
        <f>QS.CONTEXT.CREATE("market.3562",A3564,"USD","SOFR")</f>
        <v/>
      </c>
      <c r="D3564" s="8">
        <f>QS.CONTEXT.ADD.CURVE(C3564,"SOFR",$K$2:$K$7,$L$2:$L$7,,,"Actual360","LogLinear",TRUE)</f>
        <v/>
      </c>
      <c r="E3564" s="8">
        <f>QS.INSTRUMENT.SWAP("swap.3562",C3564,H3564,B3564,"USD","SOFR",I3564,J3564,0,"Actual360","Simple","Annual","Annual","Annual")</f>
        <v/>
      </c>
      <c r="F3564" s="8">
        <f>QS.TRADE.CREATE("trade.3562",C3564,E3564,A3564,"Receive")</f>
        <v/>
      </c>
      <c r="G3564" s="5"/>
      <c r="H3564" s="7" t="s">
        <v>3515</v>
      </c>
      <c r="I3564" s="9">
        <v>1356200</v>
      </c>
      <c r="J3564" s="10">
        <v>0.0362</v>
      </c>
    </row>
    <row r="3565" spans="1:10">
      <c r="A3565" s="7" t="s">
        <v>3503</v>
      </c>
      <c r="B3565" s="7" t="s">
        <v>5432</v>
      </c>
      <c r="C3565" s="8">
        <f>QS.CONTEXT.CREATE("market.3563",A3565,"USD","SOFR")</f>
        <v/>
      </c>
      <c r="D3565" s="8">
        <f>QS.CONTEXT.ADD.CURVE(C3565,"SOFR",$K$2:$K$7,$L$2:$L$7,,,"Actual360","LogLinear",TRUE)</f>
        <v/>
      </c>
      <c r="E3565" s="8">
        <f>QS.INSTRUMENT.SWAP("swap.3563",C3565,H3565,B3565,"USD","SOFR",I3565,J3565,0,"Actual360","Simple","Annual","Annual","Annual")</f>
        <v/>
      </c>
      <c r="F3565" s="8">
        <f>QS.TRADE.CREATE("trade.3563",C3565,E3565,A3565,"Receive")</f>
        <v/>
      </c>
      <c r="G3565" s="5"/>
      <c r="H3565" s="7" t="s">
        <v>3517</v>
      </c>
      <c r="I3565" s="9">
        <v>1356300</v>
      </c>
      <c r="J3565" s="10">
        <v>0.03630000000000001</v>
      </c>
    </row>
    <row r="3566" spans="1:10">
      <c r="A3566" s="7" t="s">
        <v>3505</v>
      </c>
      <c r="B3566" s="7" t="s">
        <v>5433</v>
      </c>
      <c r="C3566" s="8">
        <f>QS.CONTEXT.CREATE("market.3564",A3566,"USD","SOFR")</f>
        <v/>
      </c>
      <c r="D3566" s="8">
        <f>QS.CONTEXT.ADD.CURVE(C3566,"SOFR",$K$2:$K$7,$L$2:$L$7,,,"Actual360","LogLinear",TRUE)</f>
        <v/>
      </c>
      <c r="E3566" s="8">
        <f>QS.INSTRUMENT.SWAP("swap.3564",C3566,H3566,B3566,"USD","SOFR",I3566,J3566,0,"Actual360","Simple","Annual","Annual","Annual")</f>
        <v/>
      </c>
      <c r="F3566" s="8">
        <f>QS.TRADE.CREATE("trade.3564",C3566,E3566,A3566,"Receive")</f>
        <v/>
      </c>
      <c r="G3566" s="5"/>
      <c r="H3566" s="7" t="s">
        <v>3519</v>
      </c>
      <c r="I3566" s="9">
        <v>1356400</v>
      </c>
      <c r="J3566" s="10">
        <v>0.0364</v>
      </c>
    </row>
    <row r="3567" spans="1:10">
      <c r="A3567" s="7" t="s">
        <v>3507</v>
      </c>
      <c r="B3567" s="7" t="s">
        <v>5434</v>
      </c>
      <c r="C3567" s="8">
        <f>QS.CONTEXT.CREATE("market.3565",A3567,"USD","SOFR")</f>
        <v/>
      </c>
      <c r="D3567" s="8">
        <f>QS.CONTEXT.ADD.CURVE(C3567,"SOFR",$K$2:$K$7,$L$2:$L$7,,,"Actual360","LogLinear",TRUE)</f>
        <v/>
      </c>
      <c r="E3567" s="8">
        <f>QS.INSTRUMENT.SWAP("swap.3565",C3567,H3567,B3567,"USD","SOFR",I3567,J3567,0,"Actual360","Simple","Annual","Annual","Annual")</f>
        <v/>
      </c>
      <c r="F3567" s="8">
        <f>QS.TRADE.CREATE("trade.3565",C3567,E3567,A3567,"Receive")</f>
        <v/>
      </c>
      <c r="G3567" s="5"/>
      <c r="H3567" s="7" t="s">
        <v>3521</v>
      </c>
      <c r="I3567" s="9">
        <v>1356500</v>
      </c>
      <c r="J3567" s="10">
        <v>0.0365</v>
      </c>
    </row>
    <row r="3568" spans="1:10">
      <c r="A3568" s="7" t="s">
        <v>3509</v>
      </c>
      <c r="B3568" s="7" t="s">
        <v>5435</v>
      </c>
      <c r="C3568" s="8">
        <f>QS.CONTEXT.CREATE("market.3566",A3568,"USD","SOFR")</f>
        <v/>
      </c>
      <c r="D3568" s="8">
        <f>QS.CONTEXT.ADD.CURVE(C3568,"SOFR",$K$2:$K$7,$L$2:$L$7,,,"Actual360","LogLinear",TRUE)</f>
        <v/>
      </c>
      <c r="E3568" s="8">
        <f>QS.INSTRUMENT.SWAP("swap.3566",C3568,H3568,B3568,"USD","SOFR",I3568,J3568,0,"Actual360","Simple","Annual","Annual","Annual")</f>
        <v/>
      </c>
      <c r="F3568" s="8">
        <f>QS.TRADE.CREATE("trade.3566",C3568,E3568,A3568,"Receive")</f>
        <v/>
      </c>
      <c r="G3568" s="5"/>
      <c r="H3568" s="7" t="s">
        <v>3523</v>
      </c>
      <c r="I3568" s="9">
        <v>1356600</v>
      </c>
      <c r="J3568" s="10">
        <v>0.0366</v>
      </c>
    </row>
    <row r="3569" spans="1:10">
      <c r="A3569" s="7" t="s">
        <v>3511</v>
      </c>
      <c r="B3569" s="7" t="s">
        <v>5436</v>
      </c>
      <c r="C3569" s="8">
        <f>QS.CONTEXT.CREATE("market.3567",A3569,"USD","SOFR")</f>
        <v/>
      </c>
      <c r="D3569" s="8">
        <f>QS.CONTEXT.ADD.CURVE(C3569,"SOFR",$K$2:$K$7,$L$2:$L$7,,,"Actual360","LogLinear",TRUE)</f>
        <v/>
      </c>
      <c r="E3569" s="8">
        <f>QS.INSTRUMENT.SWAP("swap.3567",C3569,H3569,B3569,"USD","SOFR",I3569,J3569,0,"Actual360","Simple","Annual","Annual","Annual")</f>
        <v/>
      </c>
      <c r="F3569" s="8">
        <f>QS.TRADE.CREATE("trade.3567",C3569,E3569,A3569,"Receive")</f>
        <v/>
      </c>
      <c r="G3569" s="5"/>
      <c r="H3569" s="7" t="s">
        <v>3525</v>
      </c>
      <c r="I3569" s="9">
        <v>1356700</v>
      </c>
      <c r="J3569" s="10">
        <v>0.0367</v>
      </c>
    </row>
    <row r="3570" spans="1:10">
      <c r="A3570" s="7" t="s">
        <v>3513</v>
      </c>
      <c r="B3570" s="7" t="s">
        <v>5437</v>
      </c>
      <c r="C3570" s="8">
        <f>QS.CONTEXT.CREATE("market.3568",A3570,"USD","SOFR")</f>
        <v/>
      </c>
      <c r="D3570" s="8">
        <f>QS.CONTEXT.ADD.CURVE(C3570,"SOFR",$K$2:$K$7,$L$2:$L$7,,,"Actual360","LogLinear",TRUE)</f>
        <v/>
      </c>
      <c r="E3570" s="8">
        <f>QS.INSTRUMENT.SWAP("swap.3568",C3570,H3570,B3570,"USD","SOFR",I3570,J3570,0,"Actual360","Simple","Annual","Annual","Annual")</f>
        <v/>
      </c>
      <c r="F3570" s="8">
        <f>QS.TRADE.CREATE("trade.3568",C3570,E3570,A3570,"Receive")</f>
        <v/>
      </c>
      <c r="G3570" s="5"/>
      <c r="H3570" s="7" t="s">
        <v>3527</v>
      </c>
      <c r="I3570" s="9">
        <v>1356800</v>
      </c>
      <c r="J3570" s="10">
        <v>0.03680000000000001</v>
      </c>
    </row>
    <row r="3571" spans="1:10">
      <c r="A3571" s="7" t="s">
        <v>3515</v>
      </c>
      <c r="B3571" s="7" t="s">
        <v>5438</v>
      </c>
      <c r="C3571" s="8">
        <f>QS.CONTEXT.CREATE("market.3569",A3571,"USD","SOFR")</f>
        <v/>
      </c>
      <c r="D3571" s="8">
        <f>QS.CONTEXT.ADD.CURVE(C3571,"SOFR",$K$2:$K$7,$L$2:$L$7,,,"Actual360","LogLinear",TRUE)</f>
        <v/>
      </c>
      <c r="E3571" s="8">
        <f>QS.INSTRUMENT.SWAP("swap.3569",C3571,H3571,B3571,"USD","SOFR",I3571,J3571,0,"Actual360","Simple","Annual","Annual","Annual")</f>
        <v/>
      </c>
      <c r="F3571" s="8">
        <f>QS.TRADE.CREATE("trade.3569",C3571,E3571,A3571,"Receive")</f>
        <v/>
      </c>
      <c r="G3571" s="5"/>
      <c r="H3571" s="7" t="s">
        <v>3529</v>
      </c>
      <c r="I3571" s="9">
        <v>1356900</v>
      </c>
      <c r="J3571" s="10">
        <v>0.0369</v>
      </c>
    </row>
    <row r="3572" spans="1:10">
      <c r="A3572" s="7" t="s">
        <v>3517</v>
      </c>
      <c r="B3572" s="7" t="s">
        <v>5439</v>
      </c>
      <c r="C3572" s="8">
        <f>QS.CONTEXT.CREATE("market.3570",A3572,"USD","SOFR")</f>
        <v/>
      </c>
      <c r="D3572" s="8">
        <f>QS.CONTEXT.ADD.CURVE(C3572,"SOFR",$K$2:$K$7,$L$2:$L$7,,,"Actual360","LogLinear",TRUE)</f>
        <v/>
      </c>
      <c r="E3572" s="8">
        <f>QS.INSTRUMENT.SWAP("swap.3570",C3572,H3572,B3572,"USD","SOFR",I3572,J3572,0,"Actual360","Simple","Annual","Annual","Annual")</f>
        <v/>
      </c>
      <c r="F3572" s="8">
        <f>QS.TRADE.CREATE("trade.3570",C3572,E3572,A3572,"Receive")</f>
        <v/>
      </c>
      <c r="G3572" s="5"/>
      <c r="H3572" s="7" t="s">
        <v>3531</v>
      </c>
      <c r="I3572" s="9">
        <v>1357000</v>
      </c>
      <c r="J3572" s="10">
        <v>0.03700000000000001</v>
      </c>
    </row>
    <row r="3573" spans="1:10">
      <c r="A3573" s="7" t="s">
        <v>3519</v>
      </c>
      <c r="B3573" s="7" t="s">
        <v>5440</v>
      </c>
      <c r="C3573" s="8">
        <f>QS.CONTEXT.CREATE("market.3571",A3573,"USD","SOFR")</f>
        <v/>
      </c>
      <c r="D3573" s="8">
        <f>QS.CONTEXT.ADD.CURVE(C3573,"SOFR",$K$2:$K$7,$L$2:$L$7,,,"Actual360","LogLinear",TRUE)</f>
        <v/>
      </c>
      <c r="E3573" s="8">
        <f>QS.INSTRUMENT.SWAP("swap.3571",C3573,H3573,B3573,"USD","SOFR",I3573,J3573,0,"Actual360","Simple","Annual","Annual","Annual")</f>
        <v/>
      </c>
      <c r="F3573" s="8">
        <f>QS.TRADE.CREATE("trade.3571",C3573,E3573,A3573,"Receive")</f>
        <v/>
      </c>
      <c r="G3573" s="5"/>
      <c r="H3573" s="7" t="s">
        <v>3533</v>
      </c>
      <c r="I3573" s="9">
        <v>1357100</v>
      </c>
      <c r="J3573" s="10">
        <v>0.0371</v>
      </c>
    </row>
    <row r="3574" spans="1:10">
      <c r="A3574" s="7" t="s">
        <v>3521</v>
      </c>
      <c r="B3574" s="7" t="s">
        <v>5441</v>
      </c>
      <c r="C3574" s="8">
        <f>QS.CONTEXT.CREATE("market.3572",A3574,"USD","SOFR")</f>
        <v/>
      </c>
      <c r="D3574" s="8">
        <f>QS.CONTEXT.ADD.CURVE(C3574,"SOFR",$K$2:$K$7,$L$2:$L$7,,,"Actual360","LogLinear",TRUE)</f>
        <v/>
      </c>
      <c r="E3574" s="8">
        <f>QS.INSTRUMENT.SWAP("swap.3572",C3574,H3574,B3574,"USD","SOFR",I3574,J3574,0,"Actual360","Simple","Annual","Annual","Annual")</f>
        <v/>
      </c>
      <c r="F3574" s="8">
        <f>QS.TRADE.CREATE("trade.3572",C3574,E3574,A3574,"Receive")</f>
        <v/>
      </c>
      <c r="G3574" s="5"/>
      <c r="H3574" s="7" t="s">
        <v>3535</v>
      </c>
      <c r="I3574" s="9">
        <v>1357200</v>
      </c>
      <c r="J3574" s="10">
        <v>0.0372</v>
      </c>
    </row>
    <row r="3575" spans="1:10">
      <c r="A3575" s="7" t="s">
        <v>3523</v>
      </c>
      <c r="B3575" s="7" t="s">
        <v>5442</v>
      </c>
      <c r="C3575" s="8">
        <f>QS.CONTEXT.CREATE("market.3573",A3575,"USD","SOFR")</f>
        <v/>
      </c>
      <c r="D3575" s="8">
        <f>QS.CONTEXT.ADD.CURVE(C3575,"SOFR",$K$2:$K$7,$L$2:$L$7,,,"Actual360","LogLinear",TRUE)</f>
        <v/>
      </c>
      <c r="E3575" s="8">
        <f>QS.INSTRUMENT.SWAP("swap.3573",C3575,H3575,B3575,"USD","SOFR",I3575,J3575,0,"Actual360","Simple","Annual","Annual","Annual")</f>
        <v/>
      </c>
      <c r="F3575" s="8">
        <f>QS.TRADE.CREATE("trade.3573",C3575,E3575,A3575,"Receive")</f>
        <v/>
      </c>
      <c r="G3575" s="5"/>
      <c r="H3575" s="7" t="s">
        <v>3537</v>
      </c>
      <c r="I3575" s="9">
        <v>1357300</v>
      </c>
      <c r="J3575" s="10">
        <v>0.0373</v>
      </c>
    </row>
    <row r="3576" spans="1:10">
      <c r="A3576" s="7" t="s">
        <v>3525</v>
      </c>
      <c r="B3576" s="7" t="s">
        <v>5443</v>
      </c>
      <c r="C3576" s="8">
        <f>QS.CONTEXT.CREATE("market.3574",A3576,"USD","SOFR")</f>
        <v/>
      </c>
      <c r="D3576" s="8">
        <f>QS.CONTEXT.ADD.CURVE(C3576,"SOFR",$K$2:$K$7,$L$2:$L$7,,,"Actual360","LogLinear",TRUE)</f>
        <v/>
      </c>
      <c r="E3576" s="8">
        <f>QS.INSTRUMENT.SWAP("swap.3574",C3576,H3576,B3576,"USD","SOFR",I3576,J3576,0,"Actual360","Simple","Annual","Annual","Annual")</f>
        <v/>
      </c>
      <c r="F3576" s="8">
        <f>QS.TRADE.CREATE("trade.3574",C3576,E3576,A3576,"Receive")</f>
        <v/>
      </c>
      <c r="G3576" s="5"/>
      <c r="H3576" s="7" t="s">
        <v>3539</v>
      </c>
      <c r="I3576" s="9">
        <v>1357400</v>
      </c>
      <c r="J3576" s="10">
        <v>0.0374</v>
      </c>
    </row>
    <row r="3577" spans="1:10">
      <c r="A3577" s="7" t="s">
        <v>3527</v>
      </c>
      <c r="B3577" s="7" t="s">
        <v>5444</v>
      </c>
      <c r="C3577" s="8">
        <f>QS.CONTEXT.CREATE("market.3575",A3577,"USD","SOFR")</f>
        <v/>
      </c>
      <c r="D3577" s="8">
        <f>QS.CONTEXT.ADD.CURVE(C3577,"SOFR",$K$2:$K$7,$L$2:$L$7,,,"Actual360","LogLinear",TRUE)</f>
        <v/>
      </c>
      <c r="E3577" s="8">
        <f>QS.INSTRUMENT.SWAP("swap.3575",C3577,H3577,B3577,"USD","SOFR",I3577,J3577,0,"Actual360","Simple","Annual","Annual","Annual")</f>
        <v/>
      </c>
      <c r="F3577" s="8">
        <f>QS.TRADE.CREATE("trade.3575",C3577,E3577,A3577,"Receive")</f>
        <v/>
      </c>
      <c r="G3577" s="5"/>
      <c r="H3577" s="7" t="s">
        <v>3541</v>
      </c>
      <c r="I3577" s="9">
        <v>1357500</v>
      </c>
      <c r="J3577" s="10">
        <v>0.03750000000000001</v>
      </c>
    </row>
    <row r="3578" spans="1:10">
      <c r="A3578" s="7" t="s">
        <v>3529</v>
      </c>
      <c r="B3578" s="7" t="s">
        <v>5445</v>
      </c>
      <c r="C3578" s="8">
        <f>QS.CONTEXT.CREATE("market.3576",A3578,"USD","SOFR")</f>
        <v/>
      </c>
      <c r="D3578" s="8">
        <f>QS.CONTEXT.ADD.CURVE(C3578,"SOFR",$K$2:$K$7,$L$2:$L$7,,,"Actual360","LogLinear",TRUE)</f>
        <v/>
      </c>
      <c r="E3578" s="8">
        <f>QS.INSTRUMENT.SWAP("swap.3576",C3578,H3578,B3578,"USD","SOFR",I3578,J3578,0,"Actual360","Simple","Annual","Annual","Annual")</f>
        <v/>
      </c>
      <c r="F3578" s="8">
        <f>QS.TRADE.CREATE("trade.3576",C3578,E3578,A3578,"Receive")</f>
        <v/>
      </c>
      <c r="G3578" s="5"/>
      <c r="H3578" s="7" t="s">
        <v>3543</v>
      </c>
      <c r="I3578" s="9">
        <v>1357600</v>
      </c>
      <c r="J3578" s="10">
        <v>0.0376</v>
      </c>
    </row>
    <row r="3579" spans="1:10">
      <c r="A3579" s="7" t="s">
        <v>3531</v>
      </c>
      <c r="B3579" s="7" t="s">
        <v>5446</v>
      </c>
      <c r="C3579" s="8">
        <f>QS.CONTEXT.CREATE("market.3577",A3579,"USD","SOFR")</f>
        <v/>
      </c>
      <c r="D3579" s="8">
        <f>QS.CONTEXT.ADD.CURVE(C3579,"SOFR",$K$2:$K$7,$L$2:$L$7,,,"Actual360","LogLinear",TRUE)</f>
        <v/>
      </c>
      <c r="E3579" s="8">
        <f>QS.INSTRUMENT.SWAP("swap.3577",C3579,H3579,B3579,"USD","SOFR",I3579,J3579,0,"Actual360","Simple","Annual","Annual","Annual")</f>
        <v/>
      </c>
      <c r="F3579" s="8">
        <f>QS.TRADE.CREATE("trade.3577",C3579,E3579,A3579,"Receive")</f>
        <v/>
      </c>
      <c r="G3579" s="5"/>
      <c r="H3579" s="7" t="s">
        <v>3545</v>
      </c>
      <c r="I3579" s="9">
        <v>1357700</v>
      </c>
      <c r="J3579" s="10">
        <v>0.0377</v>
      </c>
    </row>
    <row r="3580" spans="1:10">
      <c r="A3580" s="7" t="s">
        <v>3533</v>
      </c>
      <c r="B3580" s="7" t="s">
        <v>5447</v>
      </c>
      <c r="C3580" s="8">
        <f>QS.CONTEXT.CREATE("market.3578",A3580,"USD","SOFR")</f>
        <v/>
      </c>
      <c r="D3580" s="8">
        <f>QS.CONTEXT.ADD.CURVE(C3580,"SOFR",$K$2:$K$7,$L$2:$L$7,,,"Actual360","LogLinear",TRUE)</f>
        <v/>
      </c>
      <c r="E3580" s="8">
        <f>QS.INSTRUMENT.SWAP("swap.3578",C3580,H3580,B3580,"USD","SOFR",I3580,J3580,0,"Actual360","Simple","Annual","Annual","Annual")</f>
        <v/>
      </c>
      <c r="F3580" s="8">
        <f>QS.TRADE.CREATE("trade.3578",C3580,E3580,A3580,"Receive")</f>
        <v/>
      </c>
      <c r="G3580" s="5"/>
      <c r="H3580" s="7" t="s">
        <v>3547</v>
      </c>
      <c r="I3580" s="9">
        <v>1357800</v>
      </c>
      <c r="J3580" s="10">
        <v>0.0378</v>
      </c>
    </row>
    <row r="3581" spans="1:10">
      <c r="A3581" s="7" t="s">
        <v>3535</v>
      </c>
      <c r="B3581" s="7" t="s">
        <v>5448</v>
      </c>
      <c r="C3581" s="8">
        <f>QS.CONTEXT.CREATE("market.3579",A3581,"USD","SOFR")</f>
        <v/>
      </c>
      <c r="D3581" s="8">
        <f>QS.CONTEXT.ADD.CURVE(C3581,"SOFR",$K$2:$K$7,$L$2:$L$7,,,"Actual360","LogLinear",TRUE)</f>
        <v/>
      </c>
      <c r="E3581" s="8">
        <f>QS.INSTRUMENT.SWAP("swap.3579",C3581,H3581,B3581,"USD","SOFR",I3581,J3581,0,"Actual360","Simple","Annual","Annual","Annual")</f>
        <v/>
      </c>
      <c r="F3581" s="8">
        <f>QS.TRADE.CREATE("trade.3579",C3581,E3581,A3581,"Receive")</f>
        <v/>
      </c>
      <c r="G3581" s="5"/>
      <c r="H3581" s="7" t="s">
        <v>3549</v>
      </c>
      <c r="I3581" s="9">
        <v>1357900</v>
      </c>
      <c r="J3581" s="10">
        <v>0.0379</v>
      </c>
    </row>
    <row r="3582" spans="1:10">
      <c r="A3582" s="7" t="s">
        <v>3537</v>
      </c>
      <c r="B3582" s="7" t="s">
        <v>5449</v>
      </c>
      <c r="C3582" s="8">
        <f>QS.CONTEXT.CREATE("market.3580",A3582,"USD","SOFR")</f>
        <v/>
      </c>
      <c r="D3582" s="8">
        <f>QS.CONTEXT.ADD.CURVE(C3582,"SOFR",$K$2:$K$7,$L$2:$L$7,,,"Actual360","LogLinear",TRUE)</f>
        <v/>
      </c>
      <c r="E3582" s="8">
        <f>QS.INSTRUMENT.SWAP("swap.3580",C3582,H3582,B3582,"USD","SOFR",I3582,J3582,0,"Actual360","Simple","Annual","Annual","Annual")</f>
        <v/>
      </c>
      <c r="F3582" s="8">
        <f>QS.TRADE.CREATE("trade.3580",C3582,E3582,A3582,"Receive")</f>
        <v/>
      </c>
      <c r="G3582" s="5"/>
      <c r="H3582" s="7" t="s">
        <v>3551</v>
      </c>
      <c r="I3582" s="9">
        <v>1358000</v>
      </c>
      <c r="J3582" s="10">
        <v>0.03800000000000001</v>
      </c>
    </row>
    <row r="3583" spans="1:10">
      <c r="A3583" s="7" t="s">
        <v>3539</v>
      </c>
      <c r="B3583" s="7" t="s">
        <v>5450</v>
      </c>
      <c r="C3583" s="8">
        <f>QS.CONTEXT.CREATE("market.3581",A3583,"USD","SOFR")</f>
        <v/>
      </c>
      <c r="D3583" s="8">
        <f>QS.CONTEXT.ADD.CURVE(C3583,"SOFR",$K$2:$K$7,$L$2:$L$7,,,"Actual360","LogLinear",TRUE)</f>
        <v/>
      </c>
      <c r="E3583" s="8">
        <f>QS.INSTRUMENT.SWAP("swap.3581",C3583,H3583,B3583,"USD","SOFR",I3583,J3583,0,"Actual360","Simple","Annual","Annual","Annual")</f>
        <v/>
      </c>
      <c r="F3583" s="8">
        <f>QS.TRADE.CREATE("trade.3581",C3583,E3583,A3583,"Receive")</f>
        <v/>
      </c>
      <c r="G3583" s="5"/>
      <c r="H3583" s="7" t="s">
        <v>3553</v>
      </c>
      <c r="I3583" s="9">
        <v>1358100</v>
      </c>
      <c r="J3583" s="10">
        <v>0.0381</v>
      </c>
    </row>
    <row r="3584" spans="1:10">
      <c r="A3584" s="7" t="s">
        <v>3541</v>
      </c>
      <c r="B3584" s="7" t="s">
        <v>5451</v>
      </c>
      <c r="C3584" s="8">
        <f>QS.CONTEXT.CREATE("market.3582",A3584,"USD","SOFR")</f>
        <v/>
      </c>
      <c r="D3584" s="8">
        <f>QS.CONTEXT.ADD.CURVE(C3584,"SOFR",$K$2:$K$7,$L$2:$L$7,,,"Actual360","LogLinear",TRUE)</f>
        <v/>
      </c>
      <c r="E3584" s="8">
        <f>QS.INSTRUMENT.SWAP("swap.3582",C3584,H3584,B3584,"USD","SOFR",I3584,J3584,0,"Actual360","Simple","Annual","Annual","Annual")</f>
        <v/>
      </c>
      <c r="F3584" s="8">
        <f>QS.TRADE.CREATE("trade.3582",C3584,E3584,A3584,"Receive")</f>
        <v/>
      </c>
      <c r="G3584" s="5"/>
      <c r="H3584" s="7" t="s">
        <v>3555</v>
      </c>
      <c r="I3584" s="9">
        <v>1358200</v>
      </c>
      <c r="J3584" s="10">
        <v>0.0382</v>
      </c>
    </row>
    <row r="3585" spans="1:10">
      <c r="A3585" s="7" t="s">
        <v>3543</v>
      </c>
      <c r="B3585" s="7" t="s">
        <v>5452</v>
      </c>
      <c r="C3585" s="8">
        <f>QS.CONTEXT.CREATE("market.3583",A3585,"USD","SOFR")</f>
        <v/>
      </c>
      <c r="D3585" s="8">
        <f>QS.CONTEXT.ADD.CURVE(C3585,"SOFR",$K$2:$K$7,$L$2:$L$7,,,"Actual360","LogLinear",TRUE)</f>
        <v/>
      </c>
      <c r="E3585" s="8">
        <f>QS.INSTRUMENT.SWAP("swap.3583",C3585,H3585,B3585,"USD","SOFR",I3585,J3585,0,"Actual360","Simple","Annual","Annual","Annual")</f>
        <v/>
      </c>
      <c r="F3585" s="8">
        <f>QS.TRADE.CREATE("trade.3583",C3585,E3585,A3585,"Receive")</f>
        <v/>
      </c>
      <c r="G3585" s="5"/>
      <c r="H3585" s="7" t="s">
        <v>3557</v>
      </c>
      <c r="I3585" s="9">
        <v>1358300</v>
      </c>
      <c r="J3585" s="10">
        <v>0.0383</v>
      </c>
    </row>
    <row r="3586" spans="1:10">
      <c r="A3586" s="7" t="s">
        <v>3545</v>
      </c>
      <c r="B3586" s="7" t="s">
        <v>5453</v>
      </c>
      <c r="C3586" s="8">
        <f>QS.CONTEXT.CREATE("market.3584",A3586,"USD","SOFR")</f>
        <v/>
      </c>
      <c r="D3586" s="8">
        <f>QS.CONTEXT.ADD.CURVE(C3586,"SOFR",$K$2:$K$7,$L$2:$L$7,,,"Actual360","LogLinear",TRUE)</f>
        <v/>
      </c>
      <c r="E3586" s="8">
        <f>QS.INSTRUMENT.SWAP("swap.3584",C3586,H3586,B3586,"USD","SOFR",I3586,J3586,0,"Actual360","Simple","Annual","Annual","Annual")</f>
        <v/>
      </c>
      <c r="F3586" s="8">
        <f>QS.TRADE.CREATE("trade.3584",C3586,E3586,A3586,"Receive")</f>
        <v/>
      </c>
      <c r="G3586" s="5"/>
      <c r="H3586" s="7" t="s">
        <v>3559</v>
      </c>
      <c r="I3586" s="9">
        <v>1358400</v>
      </c>
      <c r="J3586" s="10">
        <v>0.0384</v>
      </c>
    </row>
    <row r="3587" spans="1:10">
      <c r="A3587" s="7" t="s">
        <v>3547</v>
      </c>
      <c r="B3587" s="7" t="s">
        <v>5454</v>
      </c>
      <c r="C3587" s="8">
        <f>QS.CONTEXT.CREATE("market.3585",A3587,"USD","SOFR")</f>
        <v/>
      </c>
      <c r="D3587" s="8">
        <f>QS.CONTEXT.ADD.CURVE(C3587,"SOFR",$K$2:$K$7,$L$2:$L$7,,,"Actual360","LogLinear",TRUE)</f>
        <v/>
      </c>
      <c r="E3587" s="8">
        <f>QS.INSTRUMENT.SWAP("swap.3585",C3587,H3587,B3587,"USD","SOFR",I3587,J3587,0,"Actual360","Simple","Annual","Annual","Annual")</f>
        <v/>
      </c>
      <c r="F3587" s="8">
        <f>QS.TRADE.CREATE("trade.3585",C3587,E3587,A3587,"Receive")</f>
        <v/>
      </c>
      <c r="G3587" s="5"/>
      <c r="H3587" s="7" t="s">
        <v>3561</v>
      </c>
      <c r="I3587" s="9">
        <v>1358500</v>
      </c>
      <c r="J3587" s="10">
        <v>0.03850000000000001</v>
      </c>
    </row>
    <row r="3588" spans="1:10">
      <c r="A3588" s="7" t="s">
        <v>3549</v>
      </c>
      <c r="B3588" s="7" t="s">
        <v>5455</v>
      </c>
      <c r="C3588" s="8">
        <f>QS.CONTEXT.CREATE("market.3586",A3588,"USD","SOFR")</f>
        <v/>
      </c>
      <c r="D3588" s="8">
        <f>QS.CONTEXT.ADD.CURVE(C3588,"SOFR",$K$2:$K$7,$L$2:$L$7,,,"Actual360","LogLinear",TRUE)</f>
        <v/>
      </c>
      <c r="E3588" s="8">
        <f>QS.INSTRUMENT.SWAP("swap.3586",C3588,H3588,B3588,"USD","SOFR",I3588,J3588,0,"Actual360","Simple","Annual","Annual","Annual")</f>
        <v/>
      </c>
      <c r="F3588" s="8">
        <f>QS.TRADE.CREATE("trade.3586",C3588,E3588,A3588,"Receive")</f>
        <v/>
      </c>
      <c r="G3588" s="5"/>
      <c r="H3588" s="7" t="s">
        <v>3563</v>
      </c>
      <c r="I3588" s="9">
        <v>1358600</v>
      </c>
      <c r="J3588" s="10">
        <v>0.0386</v>
      </c>
    </row>
    <row r="3589" spans="1:10">
      <c r="A3589" s="7" t="s">
        <v>3551</v>
      </c>
      <c r="B3589" s="7" t="s">
        <v>5456</v>
      </c>
      <c r="C3589" s="8">
        <f>QS.CONTEXT.CREATE("market.3587",A3589,"USD","SOFR")</f>
        <v/>
      </c>
      <c r="D3589" s="8">
        <f>QS.CONTEXT.ADD.CURVE(C3589,"SOFR",$K$2:$K$7,$L$2:$L$7,,,"Actual360","LogLinear",TRUE)</f>
        <v/>
      </c>
      <c r="E3589" s="8">
        <f>QS.INSTRUMENT.SWAP("swap.3587",C3589,H3589,B3589,"USD","SOFR",I3589,J3589,0,"Actual360","Simple","Annual","Annual","Annual")</f>
        <v/>
      </c>
      <c r="F3589" s="8">
        <f>QS.TRADE.CREATE("trade.3587",C3589,E3589,A3589,"Receive")</f>
        <v/>
      </c>
      <c r="G3589" s="5"/>
      <c r="H3589" s="7" t="s">
        <v>3565</v>
      </c>
      <c r="I3589" s="9">
        <v>1358700</v>
      </c>
      <c r="J3589" s="10">
        <v>0.03870000000000001</v>
      </c>
    </row>
    <row r="3590" spans="1:10">
      <c r="A3590" s="7" t="s">
        <v>3553</v>
      </c>
      <c r="B3590" s="7" t="s">
        <v>5457</v>
      </c>
      <c r="C3590" s="8">
        <f>QS.CONTEXT.CREATE("market.3588",A3590,"USD","SOFR")</f>
        <v/>
      </c>
      <c r="D3590" s="8">
        <f>QS.CONTEXT.ADD.CURVE(C3590,"SOFR",$K$2:$K$7,$L$2:$L$7,,,"Actual360","LogLinear",TRUE)</f>
        <v/>
      </c>
      <c r="E3590" s="8">
        <f>QS.INSTRUMENT.SWAP("swap.3588",C3590,H3590,B3590,"USD","SOFR",I3590,J3590,0,"Actual360","Simple","Annual","Annual","Annual")</f>
        <v/>
      </c>
      <c r="F3590" s="8">
        <f>QS.TRADE.CREATE("trade.3588",C3590,E3590,A3590,"Receive")</f>
        <v/>
      </c>
      <c r="G3590" s="5"/>
      <c r="H3590" s="7" t="s">
        <v>3567</v>
      </c>
      <c r="I3590" s="9">
        <v>1358800</v>
      </c>
      <c r="J3590" s="10">
        <v>0.0388</v>
      </c>
    </row>
    <row r="3591" spans="1:10">
      <c r="A3591" s="7" t="s">
        <v>3555</v>
      </c>
      <c r="B3591" s="7" t="s">
        <v>5458</v>
      </c>
      <c r="C3591" s="8">
        <f>QS.CONTEXT.CREATE("market.3589",A3591,"USD","SOFR")</f>
        <v/>
      </c>
      <c r="D3591" s="8">
        <f>QS.CONTEXT.ADD.CURVE(C3591,"SOFR",$K$2:$K$7,$L$2:$L$7,,,"Actual360","LogLinear",TRUE)</f>
        <v/>
      </c>
      <c r="E3591" s="8">
        <f>QS.INSTRUMENT.SWAP("swap.3589",C3591,H3591,B3591,"USD","SOFR",I3591,J3591,0,"Actual360","Simple","Annual","Annual","Annual")</f>
        <v/>
      </c>
      <c r="F3591" s="8">
        <f>QS.TRADE.CREATE("trade.3589",C3591,E3591,A3591,"Receive")</f>
        <v/>
      </c>
      <c r="G3591" s="5"/>
      <c r="H3591" s="7" t="s">
        <v>3569</v>
      </c>
      <c r="I3591" s="9">
        <v>1358900</v>
      </c>
      <c r="J3591" s="10">
        <v>0.0389</v>
      </c>
    </row>
    <row r="3592" spans="1:10">
      <c r="A3592" s="7" t="s">
        <v>3557</v>
      </c>
      <c r="B3592" s="7" t="s">
        <v>5459</v>
      </c>
      <c r="C3592" s="8">
        <f>QS.CONTEXT.CREATE("market.3590",A3592,"USD","SOFR")</f>
        <v/>
      </c>
      <c r="D3592" s="8">
        <f>QS.CONTEXT.ADD.CURVE(C3592,"SOFR",$K$2:$K$7,$L$2:$L$7,,,"Actual360","LogLinear",TRUE)</f>
        <v/>
      </c>
      <c r="E3592" s="8">
        <f>QS.INSTRUMENT.SWAP("swap.3590",C3592,H3592,B3592,"USD","SOFR",I3592,J3592,0,"Actual360","Simple","Annual","Annual","Annual")</f>
        <v/>
      </c>
      <c r="F3592" s="8">
        <f>QS.TRADE.CREATE("trade.3590",C3592,E3592,A3592,"Receive")</f>
        <v/>
      </c>
      <c r="G3592" s="5"/>
      <c r="H3592" s="7" t="s">
        <v>3571</v>
      </c>
      <c r="I3592" s="9">
        <v>1359000</v>
      </c>
      <c r="J3592" s="10">
        <v>0.03900000000000001</v>
      </c>
    </row>
    <row r="3593" spans="1:10">
      <c r="A3593" s="7" t="s">
        <v>3559</v>
      </c>
      <c r="B3593" s="7" t="s">
        <v>5460</v>
      </c>
      <c r="C3593" s="8">
        <f>QS.CONTEXT.CREATE("market.3591",A3593,"USD","SOFR")</f>
        <v/>
      </c>
      <c r="D3593" s="8">
        <f>QS.CONTEXT.ADD.CURVE(C3593,"SOFR",$K$2:$K$7,$L$2:$L$7,,,"Actual360","LogLinear",TRUE)</f>
        <v/>
      </c>
      <c r="E3593" s="8">
        <f>QS.INSTRUMENT.SWAP("swap.3591",C3593,H3593,B3593,"USD","SOFR",I3593,J3593,0,"Actual360","Simple","Annual","Annual","Annual")</f>
        <v/>
      </c>
      <c r="F3593" s="8">
        <f>QS.TRADE.CREATE("trade.3591",C3593,E3593,A3593,"Receive")</f>
        <v/>
      </c>
      <c r="G3593" s="5"/>
      <c r="H3593" s="7" t="s">
        <v>3573</v>
      </c>
      <c r="I3593" s="9">
        <v>1359100</v>
      </c>
      <c r="J3593" s="10">
        <v>0.0391</v>
      </c>
    </row>
    <row r="3594" spans="1:10">
      <c r="A3594" s="7" t="s">
        <v>3561</v>
      </c>
      <c r="B3594" s="7" t="s">
        <v>5461</v>
      </c>
      <c r="C3594" s="8">
        <f>QS.CONTEXT.CREATE("market.3592",A3594,"USD","SOFR")</f>
        <v/>
      </c>
      <c r="D3594" s="8">
        <f>QS.CONTEXT.ADD.CURVE(C3594,"SOFR",$K$2:$K$7,$L$2:$L$7,,,"Actual360","LogLinear",TRUE)</f>
        <v/>
      </c>
      <c r="E3594" s="8">
        <f>QS.INSTRUMENT.SWAP("swap.3592",C3594,H3594,B3594,"USD","SOFR",I3594,J3594,0,"Actual360","Simple","Annual","Annual","Annual")</f>
        <v/>
      </c>
      <c r="F3594" s="8">
        <f>QS.TRADE.CREATE("trade.3592",C3594,E3594,A3594,"Receive")</f>
        <v/>
      </c>
      <c r="G3594" s="5"/>
      <c r="H3594" s="7" t="s">
        <v>3575</v>
      </c>
      <c r="I3594" s="9">
        <v>1359200</v>
      </c>
      <c r="J3594" s="10">
        <v>0.03920000000000001</v>
      </c>
    </row>
    <row r="3595" spans="1:10">
      <c r="A3595" s="7" t="s">
        <v>3563</v>
      </c>
      <c r="B3595" s="7" t="s">
        <v>5462</v>
      </c>
      <c r="C3595" s="8">
        <f>QS.CONTEXT.CREATE("market.3593",A3595,"USD","SOFR")</f>
        <v/>
      </c>
      <c r="D3595" s="8">
        <f>QS.CONTEXT.ADD.CURVE(C3595,"SOFR",$K$2:$K$7,$L$2:$L$7,,,"Actual360","LogLinear",TRUE)</f>
        <v/>
      </c>
      <c r="E3595" s="8">
        <f>QS.INSTRUMENT.SWAP("swap.3593",C3595,H3595,B3595,"USD","SOFR",I3595,J3595,0,"Actual360","Simple","Annual","Annual","Annual")</f>
        <v/>
      </c>
      <c r="F3595" s="8">
        <f>QS.TRADE.CREATE("trade.3593",C3595,E3595,A3595,"Receive")</f>
        <v/>
      </c>
      <c r="G3595" s="5"/>
      <c r="H3595" s="7" t="s">
        <v>3577</v>
      </c>
      <c r="I3595" s="9">
        <v>1359300</v>
      </c>
      <c r="J3595" s="10">
        <v>0.0393</v>
      </c>
    </row>
    <row r="3596" spans="1:10">
      <c r="A3596" s="7" t="s">
        <v>3565</v>
      </c>
      <c r="B3596" s="7" t="s">
        <v>5463</v>
      </c>
      <c r="C3596" s="8">
        <f>QS.CONTEXT.CREATE("market.3594",A3596,"USD","SOFR")</f>
        <v/>
      </c>
      <c r="D3596" s="8">
        <f>QS.CONTEXT.ADD.CURVE(C3596,"SOFR",$K$2:$K$7,$L$2:$L$7,,,"Actual360","LogLinear",TRUE)</f>
        <v/>
      </c>
      <c r="E3596" s="8">
        <f>QS.INSTRUMENT.SWAP("swap.3594",C3596,H3596,B3596,"USD","SOFR",I3596,J3596,0,"Actual360","Simple","Annual","Annual","Annual")</f>
        <v/>
      </c>
      <c r="F3596" s="8">
        <f>QS.TRADE.CREATE("trade.3594",C3596,E3596,A3596,"Receive")</f>
        <v/>
      </c>
      <c r="G3596" s="5"/>
      <c r="H3596" s="7" t="s">
        <v>3579</v>
      </c>
      <c r="I3596" s="9">
        <v>1359400</v>
      </c>
      <c r="J3596" s="10">
        <v>0.0394</v>
      </c>
    </row>
    <row r="3597" spans="1:10">
      <c r="A3597" s="7" t="s">
        <v>3567</v>
      </c>
      <c r="B3597" s="7" t="s">
        <v>5464</v>
      </c>
      <c r="C3597" s="8">
        <f>QS.CONTEXT.CREATE("market.3595",A3597,"USD","SOFR")</f>
        <v/>
      </c>
      <c r="D3597" s="8">
        <f>QS.CONTEXT.ADD.CURVE(C3597,"SOFR",$K$2:$K$7,$L$2:$L$7,,,"Actual360","LogLinear",TRUE)</f>
        <v/>
      </c>
      <c r="E3597" s="8">
        <f>QS.INSTRUMENT.SWAP("swap.3595",C3597,H3597,B3597,"USD","SOFR",I3597,J3597,0,"Actual360","Simple","Annual","Annual","Annual")</f>
        <v/>
      </c>
      <c r="F3597" s="8">
        <f>QS.TRADE.CREATE("trade.3595",C3597,E3597,A3597,"Receive")</f>
        <v/>
      </c>
      <c r="G3597" s="5"/>
      <c r="H3597" s="7" t="s">
        <v>3581</v>
      </c>
      <c r="I3597" s="9">
        <v>1359500</v>
      </c>
      <c r="J3597" s="10">
        <v>0.03950000000000001</v>
      </c>
    </row>
    <row r="3598" spans="1:10">
      <c r="A3598" s="7" t="s">
        <v>3569</v>
      </c>
      <c r="B3598" s="7" t="s">
        <v>5465</v>
      </c>
      <c r="C3598" s="8">
        <f>QS.CONTEXT.CREATE("market.3596",A3598,"USD","SOFR")</f>
        <v/>
      </c>
      <c r="D3598" s="8">
        <f>QS.CONTEXT.ADD.CURVE(C3598,"SOFR",$K$2:$K$7,$L$2:$L$7,,,"Actual360","LogLinear",TRUE)</f>
        <v/>
      </c>
      <c r="E3598" s="8">
        <f>QS.INSTRUMENT.SWAP("swap.3596",C3598,H3598,B3598,"USD","SOFR",I3598,J3598,0,"Actual360","Simple","Annual","Annual","Annual")</f>
        <v/>
      </c>
      <c r="F3598" s="8">
        <f>QS.TRADE.CREATE("trade.3596",C3598,E3598,A3598,"Receive")</f>
        <v/>
      </c>
      <c r="G3598" s="5"/>
      <c r="H3598" s="7" t="s">
        <v>3583</v>
      </c>
      <c r="I3598" s="9">
        <v>1359600</v>
      </c>
      <c r="J3598" s="10">
        <v>0.0396</v>
      </c>
    </row>
    <row r="3599" spans="1:10">
      <c r="A3599" s="7" t="s">
        <v>3571</v>
      </c>
      <c r="B3599" s="7" t="s">
        <v>5466</v>
      </c>
      <c r="C3599" s="8">
        <f>QS.CONTEXT.CREATE("market.3597",A3599,"USD","SOFR")</f>
        <v/>
      </c>
      <c r="D3599" s="8">
        <f>QS.CONTEXT.ADD.CURVE(C3599,"SOFR",$K$2:$K$7,$L$2:$L$7,,,"Actual360","LogLinear",TRUE)</f>
        <v/>
      </c>
      <c r="E3599" s="8">
        <f>QS.INSTRUMENT.SWAP("swap.3597",C3599,H3599,B3599,"USD","SOFR",I3599,J3599,0,"Actual360","Simple","Annual","Annual","Annual")</f>
        <v/>
      </c>
      <c r="F3599" s="8">
        <f>QS.TRADE.CREATE("trade.3597",C3599,E3599,A3599,"Receive")</f>
        <v/>
      </c>
      <c r="G3599" s="5"/>
      <c r="H3599" s="7" t="s">
        <v>3585</v>
      </c>
      <c r="I3599" s="9">
        <v>1359700</v>
      </c>
      <c r="J3599" s="10">
        <v>0.03970000000000001</v>
      </c>
    </row>
    <row r="3600" spans="1:10">
      <c r="A3600" s="7" t="s">
        <v>3573</v>
      </c>
      <c r="B3600" s="7" t="s">
        <v>5467</v>
      </c>
      <c r="C3600" s="8">
        <f>QS.CONTEXT.CREATE("market.3598",A3600,"USD","SOFR")</f>
        <v/>
      </c>
      <c r="D3600" s="8">
        <f>QS.CONTEXT.ADD.CURVE(C3600,"SOFR",$K$2:$K$7,$L$2:$L$7,,,"Actual360","LogLinear",TRUE)</f>
        <v/>
      </c>
      <c r="E3600" s="8">
        <f>QS.INSTRUMENT.SWAP("swap.3598",C3600,H3600,B3600,"USD","SOFR",I3600,J3600,0,"Actual360","Simple","Annual","Annual","Annual")</f>
        <v/>
      </c>
      <c r="F3600" s="8">
        <f>QS.TRADE.CREATE("trade.3598",C3600,E3600,A3600,"Receive")</f>
        <v/>
      </c>
      <c r="G3600" s="5"/>
      <c r="H3600" s="7" t="s">
        <v>3587</v>
      </c>
      <c r="I3600" s="9">
        <v>1359800</v>
      </c>
      <c r="J3600" s="10">
        <v>0.0398</v>
      </c>
    </row>
    <row r="3601" spans="1:10">
      <c r="A3601" s="7" t="s">
        <v>3575</v>
      </c>
      <c r="B3601" s="7" t="s">
        <v>5468</v>
      </c>
      <c r="C3601" s="8">
        <f>QS.CONTEXT.CREATE("market.3599",A3601,"USD","SOFR")</f>
        <v/>
      </c>
      <c r="D3601" s="8">
        <f>QS.CONTEXT.ADD.CURVE(C3601,"SOFR",$K$2:$K$7,$L$2:$L$7,,,"Actual360","LogLinear",TRUE)</f>
        <v/>
      </c>
      <c r="E3601" s="8">
        <f>QS.INSTRUMENT.SWAP("swap.3599",C3601,H3601,B3601,"USD","SOFR",I3601,J3601,0,"Actual360","Simple","Annual","Annual","Annual")</f>
        <v/>
      </c>
      <c r="F3601" s="8">
        <f>QS.TRADE.CREATE("trade.3599",C3601,E3601,A3601,"Receive")</f>
        <v/>
      </c>
      <c r="G3601" s="5"/>
      <c r="H3601" s="7" t="s">
        <v>3589</v>
      </c>
      <c r="I3601" s="9">
        <v>1359900</v>
      </c>
      <c r="J3601" s="10">
        <v>0.0399</v>
      </c>
    </row>
    <row r="3602" spans="1:10">
      <c r="A3602" s="7" t="s">
        <v>3577</v>
      </c>
      <c r="B3602" s="7" t="s">
        <v>5469</v>
      </c>
      <c r="C3602" s="8">
        <f>QS.CONTEXT.CREATE("market.3600",A3602,"USD","SOFR")</f>
        <v/>
      </c>
      <c r="D3602" s="8">
        <f>QS.CONTEXT.ADD.CURVE(C3602,"SOFR",$K$2:$K$7,$L$2:$L$7,,,"Actual360","LogLinear",TRUE)</f>
        <v/>
      </c>
      <c r="E3602" s="8">
        <f>QS.INSTRUMENT.SWAP("swap.3600",C3602,H3602,B3602,"USD","SOFR",I3602,J3602,0,"Actual360","Simple","Annual","Annual","Annual")</f>
        <v/>
      </c>
      <c r="F3602" s="8">
        <f>QS.TRADE.CREATE("trade.3600",C3602,E3602,A3602,"Receive")</f>
        <v/>
      </c>
      <c r="G3602" s="5"/>
      <c r="H3602" s="7" t="s">
        <v>3591</v>
      </c>
      <c r="I3602" s="9">
        <v>1360000</v>
      </c>
      <c r="J3602" s="10">
        <v>0.035</v>
      </c>
    </row>
    <row r="3603" spans="1:10">
      <c r="A3603" s="7" t="s">
        <v>3579</v>
      </c>
      <c r="B3603" s="7" t="s">
        <v>5470</v>
      </c>
      <c r="C3603" s="8">
        <f>QS.CONTEXT.CREATE("market.3601",A3603,"USD","SOFR")</f>
        <v/>
      </c>
      <c r="D3603" s="8">
        <f>QS.CONTEXT.ADD.CURVE(C3603,"SOFR",$K$2:$K$7,$L$2:$L$7,,,"Actual360","LogLinear",TRUE)</f>
        <v/>
      </c>
      <c r="E3603" s="8">
        <f>QS.INSTRUMENT.SWAP("swap.3601",C3603,H3603,B3603,"USD","SOFR",I3603,J3603,0,"Actual360","Simple","Annual","Annual","Annual")</f>
        <v/>
      </c>
      <c r="F3603" s="8">
        <f>QS.TRADE.CREATE("trade.3601",C3603,E3603,A3603,"Receive")</f>
        <v/>
      </c>
      <c r="G3603" s="5"/>
      <c r="H3603" s="7" t="s">
        <v>3593</v>
      </c>
      <c r="I3603" s="9">
        <v>1360100</v>
      </c>
      <c r="J3603" s="10">
        <v>0.03510000000000001</v>
      </c>
    </row>
    <row r="3604" spans="1:10">
      <c r="A3604" s="7" t="s">
        <v>3581</v>
      </c>
      <c r="B3604" s="7" t="s">
        <v>5471</v>
      </c>
      <c r="C3604" s="8">
        <f>QS.CONTEXT.CREATE("market.3602",A3604,"USD","SOFR")</f>
        <v/>
      </c>
      <c r="D3604" s="8">
        <f>QS.CONTEXT.ADD.CURVE(C3604,"SOFR",$K$2:$K$7,$L$2:$L$7,,,"Actual360","LogLinear",TRUE)</f>
        <v/>
      </c>
      <c r="E3604" s="8">
        <f>QS.INSTRUMENT.SWAP("swap.3602",C3604,H3604,B3604,"USD","SOFR",I3604,J3604,0,"Actual360","Simple","Annual","Annual","Annual")</f>
        <v/>
      </c>
      <c r="F3604" s="8">
        <f>QS.TRADE.CREATE("trade.3602",C3604,E3604,A3604,"Receive")</f>
        <v/>
      </c>
      <c r="G3604" s="5"/>
      <c r="H3604" s="7" t="s">
        <v>3595</v>
      </c>
      <c r="I3604" s="9">
        <v>1360200</v>
      </c>
      <c r="J3604" s="10">
        <v>0.0352</v>
      </c>
    </row>
    <row r="3605" spans="1:10">
      <c r="A3605" s="7" t="s">
        <v>3583</v>
      </c>
      <c r="B3605" s="7" t="s">
        <v>5472</v>
      </c>
      <c r="C3605" s="8">
        <f>QS.CONTEXT.CREATE("market.3603",A3605,"USD","SOFR")</f>
        <v/>
      </c>
      <c r="D3605" s="8">
        <f>QS.CONTEXT.ADD.CURVE(C3605,"SOFR",$K$2:$K$7,$L$2:$L$7,,,"Actual360","LogLinear",TRUE)</f>
        <v/>
      </c>
      <c r="E3605" s="8">
        <f>QS.INSTRUMENT.SWAP("swap.3603",C3605,H3605,B3605,"USD","SOFR",I3605,J3605,0,"Actual360","Simple","Annual","Annual","Annual")</f>
        <v/>
      </c>
      <c r="F3605" s="8">
        <f>QS.TRADE.CREATE("trade.3603",C3605,E3605,A3605,"Receive")</f>
        <v/>
      </c>
      <c r="G3605" s="5"/>
      <c r="H3605" s="7" t="s">
        <v>3597</v>
      </c>
      <c r="I3605" s="9">
        <v>1360300</v>
      </c>
      <c r="J3605" s="10">
        <v>0.0353</v>
      </c>
    </row>
    <row r="3606" spans="1:10">
      <c r="A3606" s="7" t="s">
        <v>3585</v>
      </c>
      <c r="B3606" s="7" t="s">
        <v>5473</v>
      </c>
      <c r="C3606" s="8">
        <f>QS.CONTEXT.CREATE("market.3604",A3606,"USD","SOFR")</f>
        <v/>
      </c>
      <c r="D3606" s="8">
        <f>QS.CONTEXT.ADD.CURVE(C3606,"SOFR",$K$2:$K$7,$L$2:$L$7,,,"Actual360","LogLinear",TRUE)</f>
        <v/>
      </c>
      <c r="E3606" s="8">
        <f>QS.INSTRUMENT.SWAP("swap.3604",C3606,H3606,B3606,"USD","SOFR",I3606,J3606,0,"Actual360","Simple","Annual","Annual","Annual")</f>
        <v/>
      </c>
      <c r="F3606" s="8">
        <f>QS.TRADE.CREATE("trade.3604",C3606,E3606,A3606,"Receive")</f>
        <v/>
      </c>
      <c r="G3606" s="5"/>
      <c r="H3606" s="7" t="s">
        <v>3599</v>
      </c>
      <c r="I3606" s="9">
        <v>1360400</v>
      </c>
      <c r="J3606" s="10">
        <v>0.0354</v>
      </c>
    </row>
    <row r="3607" spans="1:10">
      <c r="A3607" s="7" t="s">
        <v>3587</v>
      </c>
      <c r="B3607" s="7" t="s">
        <v>5474</v>
      </c>
      <c r="C3607" s="8">
        <f>QS.CONTEXT.CREATE("market.3605",A3607,"USD","SOFR")</f>
        <v/>
      </c>
      <c r="D3607" s="8">
        <f>QS.CONTEXT.ADD.CURVE(C3607,"SOFR",$K$2:$K$7,$L$2:$L$7,,,"Actual360","LogLinear",TRUE)</f>
        <v/>
      </c>
      <c r="E3607" s="8">
        <f>QS.INSTRUMENT.SWAP("swap.3605",C3607,H3607,B3607,"USD","SOFR",I3607,J3607,0,"Actual360","Simple","Annual","Annual","Annual")</f>
        <v/>
      </c>
      <c r="F3607" s="8">
        <f>QS.TRADE.CREATE("trade.3605",C3607,E3607,A3607,"Receive")</f>
        <v/>
      </c>
      <c r="G3607" s="5"/>
      <c r="H3607" s="7" t="s">
        <v>3601</v>
      </c>
      <c r="I3607" s="9">
        <v>1360500</v>
      </c>
      <c r="J3607" s="10">
        <v>0.0355</v>
      </c>
    </row>
    <row r="3608" spans="1:10">
      <c r="A3608" s="7" t="s">
        <v>3589</v>
      </c>
      <c r="B3608" s="7" t="s">
        <v>5475</v>
      </c>
      <c r="C3608" s="8">
        <f>QS.CONTEXT.CREATE("market.3606",A3608,"USD","SOFR")</f>
        <v/>
      </c>
      <c r="D3608" s="8">
        <f>QS.CONTEXT.ADD.CURVE(C3608,"SOFR",$K$2:$K$7,$L$2:$L$7,,,"Actual360","LogLinear",TRUE)</f>
        <v/>
      </c>
      <c r="E3608" s="8">
        <f>QS.INSTRUMENT.SWAP("swap.3606",C3608,H3608,B3608,"USD","SOFR",I3608,J3608,0,"Actual360","Simple","Annual","Annual","Annual")</f>
        <v/>
      </c>
      <c r="F3608" s="8">
        <f>QS.TRADE.CREATE("trade.3606",C3608,E3608,A3608,"Receive")</f>
        <v/>
      </c>
      <c r="G3608" s="5"/>
      <c r="H3608" s="7" t="s">
        <v>3603</v>
      </c>
      <c r="I3608" s="9">
        <v>1360600</v>
      </c>
      <c r="J3608" s="10">
        <v>0.03560000000000001</v>
      </c>
    </row>
    <row r="3609" spans="1:10">
      <c r="A3609" s="7" t="s">
        <v>3591</v>
      </c>
      <c r="B3609" s="7" t="s">
        <v>5476</v>
      </c>
      <c r="C3609" s="8">
        <f>QS.CONTEXT.CREATE("market.3607",A3609,"USD","SOFR")</f>
        <v/>
      </c>
      <c r="D3609" s="8">
        <f>QS.CONTEXT.ADD.CURVE(C3609,"SOFR",$K$2:$K$7,$L$2:$L$7,,,"Actual360","LogLinear",TRUE)</f>
        <v/>
      </c>
      <c r="E3609" s="8">
        <f>QS.INSTRUMENT.SWAP("swap.3607",C3609,H3609,B3609,"USD","SOFR",I3609,J3609,0,"Actual360","Simple","Annual","Annual","Annual")</f>
        <v/>
      </c>
      <c r="F3609" s="8">
        <f>QS.TRADE.CREATE("trade.3607",C3609,E3609,A3609,"Receive")</f>
        <v/>
      </c>
      <c r="G3609" s="5"/>
      <c r="H3609" s="7" t="s">
        <v>3605</v>
      </c>
      <c r="I3609" s="9">
        <v>1360700</v>
      </c>
      <c r="J3609" s="10">
        <v>0.0357</v>
      </c>
    </row>
    <row r="3610" spans="1:10">
      <c r="A3610" s="7" t="s">
        <v>3593</v>
      </c>
      <c r="B3610" s="7" t="s">
        <v>5477</v>
      </c>
      <c r="C3610" s="8">
        <f>QS.CONTEXT.CREATE("market.3608",A3610,"USD","SOFR")</f>
        <v/>
      </c>
      <c r="D3610" s="8">
        <f>QS.CONTEXT.ADD.CURVE(C3610,"SOFR",$K$2:$K$7,$L$2:$L$7,,,"Actual360","LogLinear",TRUE)</f>
        <v/>
      </c>
      <c r="E3610" s="8">
        <f>QS.INSTRUMENT.SWAP("swap.3608",C3610,H3610,B3610,"USD","SOFR",I3610,J3610,0,"Actual360","Simple","Annual","Annual","Annual")</f>
        <v/>
      </c>
      <c r="F3610" s="8">
        <f>QS.TRADE.CREATE("trade.3608",C3610,E3610,A3610,"Receive")</f>
        <v/>
      </c>
      <c r="G3610" s="5"/>
      <c r="H3610" s="7" t="s">
        <v>3607</v>
      </c>
      <c r="I3610" s="9">
        <v>1360800</v>
      </c>
      <c r="J3610" s="10">
        <v>0.03580000000000001</v>
      </c>
    </row>
    <row r="3611" spans="1:10">
      <c r="A3611" s="7" t="s">
        <v>3595</v>
      </c>
      <c r="B3611" s="7" t="s">
        <v>5478</v>
      </c>
      <c r="C3611" s="8">
        <f>QS.CONTEXT.CREATE("market.3609",A3611,"USD","SOFR")</f>
        <v/>
      </c>
      <c r="D3611" s="8">
        <f>QS.CONTEXT.ADD.CURVE(C3611,"SOFR",$K$2:$K$7,$L$2:$L$7,,,"Actual360","LogLinear",TRUE)</f>
        <v/>
      </c>
      <c r="E3611" s="8">
        <f>QS.INSTRUMENT.SWAP("swap.3609",C3611,H3611,B3611,"USD","SOFR",I3611,J3611,0,"Actual360","Simple","Annual","Annual","Annual")</f>
        <v/>
      </c>
      <c r="F3611" s="8">
        <f>QS.TRADE.CREATE("trade.3609",C3611,E3611,A3611,"Receive")</f>
        <v/>
      </c>
      <c r="G3611" s="5"/>
      <c r="H3611" s="7" t="s">
        <v>3609</v>
      </c>
      <c r="I3611" s="9">
        <v>1360900</v>
      </c>
      <c r="J3611" s="10">
        <v>0.0359</v>
      </c>
    </row>
    <row r="3612" spans="1:10">
      <c r="A3612" s="7" t="s">
        <v>3597</v>
      </c>
      <c r="B3612" s="7" t="s">
        <v>5479</v>
      </c>
      <c r="C3612" s="8">
        <f>QS.CONTEXT.CREATE("market.3610",A3612,"USD","SOFR")</f>
        <v/>
      </c>
      <c r="D3612" s="8">
        <f>QS.CONTEXT.ADD.CURVE(C3612,"SOFR",$K$2:$K$7,$L$2:$L$7,,,"Actual360","LogLinear",TRUE)</f>
        <v/>
      </c>
      <c r="E3612" s="8">
        <f>QS.INSTRUMENT.SWAP("swap.3610",C3612,H3612,B3612,"USD","SOFR",I3612,J3612,0,"Actual360","Simple","Annual","Annual","Annual")</f>
        <v/>
      </c>
      <c r="F3612" s="8">
        <f>QS.TRADE.CREATE("trade.3610",C3612,E3612,A3612,"Receive")</f>
        <v/>
      </c>
      <c r="G3612" s="5"/>
      <c r="H3612" s="7" t="s">
        <v>3611</v>
      </c>
      <c r="I3612" s="9">
        <v>1361000</v>
      </c>
      <c r="J3612" s="10">
        <v>0.036</v>
      </c>
    </row>
    <row r="3613" spans="1:10">
      <c r="A3613" s="7" t="s">
        <v>3599</v>
      </c>
      <c r="B3613" s="7" t="s">
        <v>5480</v>
      </c>
      <c r="C3613" s="8">
        <f>QS.CONTEXT.CREATE("market.3611",A3613,"USD","SOFR")</f>
        <v/>
      </c>
      <c r="D3613" s="8">
        <f>QS.CONTEXT.ADD.CURVE(C3613,"SOFR",$K$2:$K$7,$L$2:$L$7,,,"Actual360","LogLinear",TRUE)</f>
        <v/>
      </c>
      <c r="E3613" s="8">
        <f>QS.INSTRUMENT.SWAP("swap.3611",C3613,H3613,B3613,"USD","SOFR",I3613,J3613,0,"Actual360","Simple","Annual","Annual","Annual")</f>
        <v/>
      </c>
      <c r="F3613" s="8">
        <f>QS.TRADE.CREATE("trade.3611",C3613,E3613,A3613,"Receive")</f>
        <v/>
      </c>
      <c r="G3613" s="5"/>
      <c r="H3613" s="7" t="s">
        <v>3613</v>
      </c>
      <c r="I3613" s="9">
        <v>1361100</v>
      </c>
      <c r="J3613" s="10">
        <v>0.0361</v>
      </c>
    </row>
    <row r="3614" spans="1:10">
      <c r="A3614" s="7" t="s">
        <v>3601</v>
      </c>
      <c r="B3614" s="7" t="s">
        <v>5481</v>
      </c>
      <c r="C3614" s="8">
        <f>QS.CONTEXT.CREATE("market.3612",A3614,"USD","SOFR")</f>
        <v/>
      </c>
      <c r="D3614" s="8">
        <f>QS.CONTEXT.ADD.CURVE(C3614,"SOFR",$K$2:$K$7,$L$2:$L$7,,,"Actual360","LogLinear",TRUE)</f>
        <v/>
      </c>
      <c r="E3614" s="8">
        <f>QS.INSTRUMENT.SWAP("swap.3612",C3614,H3614,B3614,"USD","SOFR",I3614,J3614,0,"Actual360","Simple","Annual","Annual","Annual")</f>
        <v/>
      </c>
      <c r="F3614" s="8">
        <f>QS.TRADE.CREATE("trade.3612",C3614,E3614,A3614,"Receive")</f>
        <v/>
      </c>
      <c r="G3614" s="5"/>
      <c r="H3614" s="7" t="s">
        <v>3615</v>
      </c>
      <c r="I3614" s="9">
        <v>1361200</v>
      </c>
      <c r="J3614" s="10">
        <v>0.0362</v>
      </c>
    </row>
    <row r="3615" spans="1:10">
      <c r="A3615" s="7" t="s">
        <v>3603</v>
      </c>
      <c r="B3615" s="7" t="s">
        <v>5482</v>
      </c>
      <c r="C3615" s="8">
        <f>QS.CONTEXT.CREATE("market.3613",A3615,"USD","SOFR")</f>
        <v/>
      </c>
      <c r="D3615" s="8">
        <f>QS.CONTEXT.ADD.CURVE(C3615,"SOFR",$K$2:$K$7,$L$2:$L$7,,,"Actual360","LogLinear",TRUE)</f>
        <v/>
      </c>
      <c r="E3615" s="8">
        <f>QS.INSTRUMENT.SWAP("swap.3613",C3615,H3615,B3615,"USD","SOFR",I3615,J3615,0,"Actual360","Simple","Annual","Annual","Annual")</f>
        <v/>
      </c>
      <c r="F3615" s="8">
        <f>QS.TRADE.CREATE("trade.3613",C3615,E3615,A3615,"Receive")</f>
        <v/>
      </c>
      <c r="G3615" s="5"/>
      <c r="H3615" s="7" t="s">
        <v>3617</v>
      </c>
      <c r="I3615" s="9">
        <v>1361300</v>
      </c>
      <c r="J3615" s="10">
        <v>0.03630000000000001</v>
      </c>
    </row>
    <row r="3616" spans="1:10">
      <c r="A3616" s="7" t="s">
        <v>3605</v>
      </c>
      <c r="B3616" s="7" t="s">
        <v>5483</v>
      </c>
      <c r="C3616" s="8">
        <f>QS.CONTEXT.CREATE("market.3614",A3616,"USD","SOFR")</f>
        <v/>
      </c>
      <c r="D3616" s="8">
        <f>QS.CONTEXT.ADD.CURVE(C3616,"SOFR",$K$2:$K$7,$L$2:$L$7,,,"Actual360","LogLinear",TRUE)</f>
        <v/>
      </c>
      <c r="E3616" s="8">
        <f>QS.INSTRUMENT.SWAP("swap.3614",C3616,H3616,B3616,"USD","SOFR",I3616,J3616,0,"Actual360","Simple","Annual","Annual","Annual")</f>
        <v/>
      </c>
      <c r="F3616" s="8">
        <f>QS.TRADE.CREATE("trade.3614",C3616,E3616,A3616,"Receive")</f>
        <v/>
      </c>
      <c r="G3616" s="5"/>
      <c r="H3616" s="7" t="s">
        <v>3619</v>
      </c>
      <c r="I3616" s="9">
        <v>1361400</v>
      </c>
      <c r="J3616" s="10">
        <v>0.0364</v>
      </c>
    </row>
    <row r="3617" spans="1:10">
      <c r="A3617" s="7" t="s">
        <v>3607</v>
      </c>
      <c r="B3617" s="7" t="s">
        <v>5484</v>
      </c>
      <c r="C3617" s="8">
        <f>QS.CONTEXT.CREATE("market.3615",A3617,"USD","SOFR")</f>
        <v/>
      </c>
      <c r="D3617" s="8">
        <f>QS.CONTEXT.ADD.CURVE(C3617,"SOFR",$K$2:$K$7,$L$2:$L$7,,,"Actual360","LogLinear",TRUE)</f>
        <v/>
      </c>
      <c r="E3617" s="8">
        <f>QS.INSTRUMENT.SWAP("swap.3615",C3617,H3617,B3617,"USD","SOFR",I3617,J3617,0,"Actual360","Simple","Annual","Annual","Annual")</f>
        <v/>
      </c>
      <c r="F3617" s="8">
        <f>QS.TRADE.CREATE("trade.3615",C3617,E3617,A3617,"Receive")</f>
        <v/>
      </c>
      <c r="G3617" s="5"/>
      <c r="H3617" s="7" t="s">
        <v>3621</v>
      </c>
      <c r="I3617" s="9">
        <v>1361500</v>
      </c>
      <c r="J3617" s="10">
        <v>0.0365</v>
      </c>
    </row>
    <row r="3618" spans="1:10">
      <c r="A3618" s="7" t="s">
        <v>3609</v>
      </c>
      <c r="B3618" s="7" t="s">
        <v>5485</v>
      </c>
      <c r="C3618" s="8">
        <f>QS.CONTEXT.CREATE("market.3616",A3618,"USD","SOFR")</f>
        <v/>
      </c>
      <c r="D3618" s="8">
        <f>QS.CONTEXT.ADD.CURVE(C3618,"SOFR",$K$2:$K$7,$L$2:$L$7,,,"Actual360","LogLinear",TRUE)</f>
        <v/>
      </c>
      <c r="E3618" s="8">
        <f>QS.INSTRUMENT.SWAP("swap.3616",C3618,H3618,B3618,"USD","SOFR",I3618,J3618,0,"Actual360","Simple","Annual","Annual","Annual")</f>
        <v/>
      </c>
      <c r="F3618" s="8">
        <f>QS.TRADE.CREATE("trade.3616",C3618,E3618,A3618,"Receive")</f>
        <v/>
      </c>
      <c r="G3618" s="5"/>
      <c r="H3618" s="7" t="s">
        <v>3623</v>
      </c>
      <c r="I3618" s="9">
        <v>1361600</v>
      </c>
      <c r="J3618" s="10">
        <v>0.0366</v>
      </c>
    </row>
    <row r="3619" spans="1:10">
      <c r="A3619" s="7" t="s">
        <v>3611</v>
      </c>
      <c r="B3619" s="7" t="s">
        <v>5486</v>
      </c>
      <c r="C3619" s="8">
        <f>QS.CONTEXT.CREATE("market.3617",A3619,"USD","SOFR")</f>
        <v/>
      </c>
      <c r="D3619" s="8">
        <f>QS.CONTEXT.ADD.CURVE(C3619,"SOFR",$K$2:$K$7,$L$2:$L$7,,,"Actual360","LogLinear",TRUE)</f>
        <v/>
      </c>
      <c r="E3619" s="8">
        <f>QS.INSTRUMENT.SWAP("swap.3617",C3619,H3619,B3619,"USD","SOFR",I3619,J3619,0,"Actual360","Simple","Annual","Annual","Annual")</f>
        <v/>
      </c>
      <c r="F3619" s="8">
        <f>QS.TRADE.CREATE("trade.3617",C3619,E3619,A3619,"Receive")</f>
        <v/>
      </c>
      <c r="G3619" s="5"/>
      <c r="H3619" s="7" t="s">
        <v>3625</v>
      </c>
      <c r="I3619" s="9">
        <v>1361700</v>
      </c>
      <c r="J3619" s="10">
        <v>0.0367</v>
      </c>
    </row>
    <row r="3620" spans="1:10">
      <c r="A3620" s="7" t="s">
        <v>3613</v>
      </c>
      <c r="B3620" s="7" t="s">
        <v>5487</v>
      </c>
      <c r="C3620" s="8">
        <f>QS.CONTEXT.CREATE("market.3618",A3620,"USD","SOFR")</f>
        <v/>
      </c>
      <c r="D3620" s="8">
        <f>QS.CONTEXT.ADD.CURVE(C3620,"SOFR",$K$2:$K$7,$L$2:$L$7,,,"Actual360","LogLinear",TRUE)</f>
        <v/>
      </c>
      <c r="E3620" s="8">
        <f>QS.INSTRUMENT.SWAP("swap.3618",C3620,H3620,B3620,"USD","SOFR",I3620,J3620,0,"Actual360","Simple","Annual","Annual","Annual")</f>
        <v/>
      </c>
      <c r="F3620" s="8">
        <f>QS.TRADE.CREATE("trade.3618",C3620,E3620,A3620,"Receive")</f>
        <v/>
      </c>
      <c r="G3620" s="5"/>
      <c r="H3620" s="7" t="s">
        <v>3627</v>
      </c>
      <c r="I3620" s="9">
        <v>1361800</v>
      </c>
      <c r="J3620" s="10">
        <v>0.03680000000000001</v>
      </c>
    </row>
    <row r="3621" spans="1:10">
      <c r="A3621" s="7" t="s">
        <v>3615</v>
      </c>
      <c r="B3621" s="7" t="s">
        <v>5488</v>
      </c>
      <c r="C3621" s="8">
        <f>QS.CONTEXT.CREATE("market.3619",A3621,"USD","SOFR")</f>
        <v/>
      </c>
      <c r="D3621" s="8">
        <f>QS.CONTEXT.ADD.CURVE(C3621,"SOFR",$K$2:$K$7,$L$2:$L$7,,,"Actual360","LogLinear",TRUE)</f>
        <v/>
      </c>
      <c r="E3621" s="8">
        <f>QS.INSTRUMENT.SWAP("swap.3619",C3621,H3621,B3621,"USD","SOFR",I3621,J3621,0,"Actual360","Simple","Annual","Annual","Annual")</f>
        <v/>
      </c>
      <c r="F3621" s="8">
        <f>QS.TRADE.CREATE("trade.3619",C3621,E3621,A3621,"Receive")</f>
        <v/>
      </c>
      <c r="G3621" s="5"/>
      <c r="H3621" s="7" t="s">
        <v>3629</v>
      </c>
      <c r="I3621" s="9">
        <v>1361900</v>
      </c>
      <c r="J3621" s="10">
        <v>0.0369</v>
      </c>
    </row>
    <row r="3622" spans="1:10">
      <c r="A3622" s="7" t="s">
        <v>3617</v>
      </c>
      <c r="B3622" s="7" t="s">
        <v>5489</v>
      </c>
      <c r="C3622" s="8">
        <f>QS.CONTEXT.CREATE("market.3620",A3622,"USD","SOFR")</f>
        <v/>
      </c>
      <c r="D3622" s="8">
        <f>QS.CONTEXT.ADD.CURVE(C3622,"SOFR",$K$2:$K$7,$L$2:$L$7,,,"Actual360","LogLinear",TRUE)</f>
        <v/>
      </c>
      <c r="E3622" s="8">
        <f>QS.INSTRUMENT.SWAP("swap.3620",C3622,H3622,B3622,"USD","SOFR",I3622,J3622,0,"Actual360","Simple","Annual","Annual","Annual")</f>
        <v/>
      </c>
      <c r="F3622" s="8">
        <f>QS.TRADE.CREATE("trade.3620",C3622,E3622,A3622,"Receive")</f>
        <v/>
      </c>
      <c r="G3622" s="5"/>
      <c r="H3622" s="7" t="s">
        <v>3631</v>
      </c>
      <c r="I3622" s="9">
        <v>1362000</v>
      </c>
      <c r="J3622" s="10">
        <v>0.03700000000000001</v>
      </c>
    </row>
    <row r="3623" spans="1:10">
      <c r="A3623" s="7" t="s">
        <v>3619</v>
      </c>
      <c r="B3623" s="7" t="s">
        <v>5490</v>
      </c>
      <c r="C3623" s="8">
        <f>QS.CONTEXT.CREATE("market.3621",A3623,"USD","SOFR")</f>
        <v/>
      </c>
      <c r="D3623" s="8">
        <f>QS.CONTEXT.ADD.CURVE(C3623,"SOFR",$K$2:$K$7,$L$2:$L$7,,,"Actual360","LogLinear",TRUE)</f>
        <v/>
      </c>
      <c r="E3623" s="8">
        <f>QS.INSTRUMENT.SWAP("swap.3621",C3623,H3623,B3623,"USD","SOFR",I3623,J3623,0,"Actual360","Simple","Annual","Annual","Annual")</f>
        <v/>
      </c>
      <c r="F3623" s="8">
        <f>QS.TRADE.CREATE("trade.3621",C3623,E3623,A3623,"Receive")</f>
        <v/>
      </c>
      <c r="G3623" s="5"/>
      <c r="H3623" s="7" t="s">
        <v>3633</v>
      </c>
      <c r="I3623" s="9">
        <v>1362100</v>
      </c>
      <c r="J3623" s="10">
        <v>0.0371</v>
      </c>
    </row>
    <row r="3624" spans="1:10">
      <c r="A3624" s="7" t="s">
        <v>3621</v>
      </c>
      <c r="B3624" s="7" t="s">
        <v>5491</v>
      </c>
      <c r="C3624" s="8">
        <f>QS.CONTEXT.CREATE("market.3622",A3624,"USD","SOFR")</f>
        <v/>
      </c>
      <c r="D3624" s="8">
        <f>QS.CONTEXT.ADD.CURVE(C3624,"SOFR",$K$2:$K$7,$L$2:$L$7,,,"Actual360","LogLinear",TRUE)</f>
        <v/>
      </c>
      <c r="E3624" s="8">
        <f>QS.INSTRUMENT.SWAP("swap.3622",C3624,H3624,B3624,"USD","SOFR",I3624,J3624,0,"Actual360","Simple","Annual","Annual","Annual")</f>
        <v/>
      </c>
      <c r="F3624" s="8">
        <f>QS.TRADE.CREATE("trade.3622",C3624,E3624,A3624,"Receive")</f>
        <v/>
      </c>
      <c r="G3624" s="5"/>
      <c r="H3624" s="7" t="s">
        <v>3635</v>
      </c>
      <c r="I3624" s="9">
        <v>1362200</v>
      </c>
      <c r="J3624" s="10">
        <v>0.0372</v>
      </c>
    </row>
    <row r="3625" spans="1:10">
      <c r="A3625" s="7" t="s">
        <v>3623</v>
      </c>
      <c r="B3625" s="7" t="s">
        <v>5492</v>
      </c>
      <c r="C3625" s="8">
        <f>QS.CONTEXT.CREATE("market.3623",A3625,"USD","SOFR")</f>
        <v/>
      </c>
      <c r="D3625" s="8">
        <f>QS.CONTEXT.ADD.CURVE(C3625,"SOFR",$K$2:$K$7,$L$2:$L$7,,,"Actual360","LogLinear",TRUE)</f>
        <v/>
      </c>
      <c r="E3625" s="8">
        <f>QS.INSTRUMENT.SWAP("swap.3623",C3625,H3625,B3625,"USD","SOFR",I3625,J3625,0,"Actual360","Simple","Annual","Annual","Annual")</f>
        <v/>
      </c>
      <c r="F3625" s="8">
        <f>QS.TRADE.CREATE("trade.3623",C3625,E3625,A3625,"Receive")</f>
        <v/>
      </c>
      <c r="G3625" s="5"/>
      <c r="H3625" s="7" t="s">
        <v>3637</v>
      </c>
      <c r="I3625" s="9">
        <v>1362300</v>
      </c>
      <c r="J3625" s="10">
        <v>0.0373</v>
      </c>
    </row>
    <row r="3626" spans="1:10">
      <c r="A3626" s="7" t="s">
        <v>3625</v>
      </c>
      <c r="B3626" s="7" t="s">
        <v>5493</v>
      </c>
      <c r="C3626" s="8">
        <f>QS.CONTEXT.CREATE("market.3624",A3626,"USD","SOFR")</f>
        <v/>
      </c>
      <c r="D3626" s="8">
        <f>QS.CONTEXT.ADD.CURVE(C3626,"SOFR",$K$2:$K$7,$L$2:$L$7,,,"Actual360","LogLinear",TRUE)</f>
        <v/>
      </c>
      <c r="E3626" s="8">
        <f>QS.INSTRUMENT.SWAP("swap.3624",C3626,H3626,B3626,"USD","SOFR",I3626,J3626,0,"Actual360","Simple","Annual","Annual","Annual")</f>
        <v/>
      </c>
      <c r="F3626" s="8">
        <f>QS.TRADE.CREATE("trade.3624",C3626,E3626,A3626,"Receive")</f>
        <v/>
      </c>
      <c r="G3626" s="5"/>
      <c r="H3626" s="7" t="s">
        <v>3639</v>
      </c>
      <c r="I3626" s="9">
        <v>1362400</v>
      </c>
      <c r="J3626" s="10">
        <v>0.0374</v>
      </c>
    </row>
    <row r="3627" spans="1:10">
      <c r="A3627" s="7" t="s">
        <v>3627</v>
      </c>
      <c r="B3627" s="7" t="s">
        <v>5494</v>
      </c>
      <c r="C3627" s="8">
        <f>QS.CONTEXT.CREATE("market.3625",A3627,"USD","SOFR")</f>
        <v/>
      </c>
      <c r="D3627" s="8">
        <f>QS.CONTEXT.ADD.CURVE(C3627,"SOFR",$K$2:$K$7,$L$2:$L$7,,,"Actual360","LogLinear",TRUE)</f>
        <v/>
      </c>
      <c r="E3627" s="8">
        <f>QS.INSTRUMENT.SWAP("swap.3625",C3627,H3627,B3627,"USD","SOFR",I3627,J3627,0,"Actual360","Simple","Annual","Annual","Annual")</f>
        <v/>
      </c>
      <c r="F3627" s="8">
        <f>QS.TRADE.CREATE("trade.3625",C3627,E3627,A3627,"Receive")</f>
        <v/>
      </c>
      <c r="G3627" s="5"/>
      <c r="H3627" s="7" t="s">
        <v>3641</v>
      </c>
      <c r="I3627" s="9">
        <v>1362500</v>
      </c>
      <c r="J3627" s="10">
        <v>0.03750000000000001</v>
      </c>
    </row>
    <row r="3628" spans="1:10">
      <c r="A3628" s="7" t="s">
        <v>3629</v>
      </c>
      <c r="B3628" s="7" t="s">
        <v>5495</v>
      </c>
      <c r="C3628" s="8">
        <f>QS.CONTEXT.CREATE("market.3626",A3628,"USD","SOFR")</f>
        <v/>
      </c>
      <c r="D3628" s="8">
        <f>QS.CONTEXT.ADD.CURVE(C3628,"SOFR",$K$2:$K$7,$L$2:$L$7,,,"Actual360","LogLinear",TRUE)</f>
        <v/>
      </c>
      <c r="E3628" s="8">
        <f>QS.INSTRUMENT.SWAP("swap.3626",C3628,H3628,B3628,"USD","SOFR",I3628,J3628,0,"Actual360","Simple","Annual","Annual","Annual")</f>
        <v/>
      </c>
      <c r="F3628" s="8">
        <f>QS.TRADE.CREATE("trade.3626",C3628,E3628,A3628,"Receive")</f>
        <v/>
      </c>
      <c r="G3628" s="5"/>
      <c r="H3628" s="7" t="s">
        <v>3643</v>
      </c>
      <c r="I3628" s="9">
        <v>1362600</v>
      </c>
      <c r="J3628" s="10">
        <v>0.0376</v>
      </c>
    </row>
    <row r="3629" spans="1:10">
      <c r="A3629" s="7" t="s">
        <v>3631</v>
      </c>
      <c r="B3629" s="7" t="s">
        <v>5496</v>
      </c>
      <c r="C3629" s="8">
        <f>QS.CONTEXT.CREATE("market.3627",A3629,"USD","SOFR")</f>
        <v/>
      </c>
      <c r="D3629" s="8">
        <f>QS.CONTEXT.ADD.CURVE(C3629,"SOFR",$K$2:$K$7,$L$2:$L$7,,,"Actual360","LogLinear",TRUE)</f>
        <v/>
      </c>
      <c r="E3629" s="8">
        <f>QS.INSTRUMENT.SWAP("swap.3627",C3629,H3629,B3629,"USD","SOFR",I3629,J3629,0,"Actual360","Simple","Annual","Annual","Annual")</f>
        <v/>
      </c>
      <c r="F3629" s="8">
        <f>QS.TRADE.CREATE("trade.3627",C3629,E3629,A3629,"Receive")</f>
        <v/>
      </c>
      <c r="G3629" s="5"/>
      <c r="H3629" s="7" t="s">
        <v>3645</v>
      </c>
      <c r="I3629" s="9">
        <v>1362700</v>
      </c>
      <c r="J3629" s="10">
        <v>0.0377</v>
      </c>
    </row>
    <row r="3630" spans="1:10">
      <c r="A3630" s="7" t="s">
        <v>3633</v>
      </c>
      <c r="B3630" s="7" t="s">
        <v>5497</v>
      </c>
      <c r="C3630" s="8">
        <f>QS.CONTEXT.CREATE("market.3628",A3630,"USD","SOFR")</f>
        <v/>
      </c>
      <c r="D3630" s="8">
        <f>QS.CONTEXT.ADD.CURVE(C3630,"SOFR",$K$2:$K$7,$L$2:$L$7,,,"Actual360","LogLinear",TRUE)</f>
        <v/>
      </c>
      <c r="E3630" s="8">
        <f>QS.INSTRUMENT.SWAP("swap.3628",C3630,H3630,B3630,"USD","SOFR",I3630,J3630,0,"Actual360","Simple","Annual","Annual","Annual")</f>
        <v/>
      </c>
      <c r="F3630" s="8">
        <f>QS.TRADE.CREATE("trade.3628",C3630,E3630,A3630,"Receive")</f>
        <v/>
      </c>
      <c r="G3630" s="5"/>
      <c r="H3630" s="7" t="s">
        <v>3647</v>
      </c>
      <c r="I3630" s="9">
        <v>1362800</v>
      </c>
      <c r="J3630" s="10">
        <v>0.0378</v>
      </c>
    </row>
    <row r="3631" spans="1:10">
      <c r="A3631" s="7" t="s">
        <v>3635</v>
      </c>
      <c r="B3631" s="7" t="s">
        <v>5498</v>
      </c>
      <c r="C3631" s="8">
        <f>QS.CONTEXT.CREATE("market.3629",A3631,"USD","SOFR")</f>
        <v/>
      </c>
      <c r="D3631" s="8">
        <f>QS.CONTEXT.ADD.CURVE(C3631,"SOFR",$K$2:$K$7,$L$2:$L$7,,,"Actual360","LogLinear",TRUE)</f>
        <v/>
      </c>
      <c r="E3631" s="8">
        <f>QS.INSTRUMENT.SWAP("swap.3629",C3631,H3631,B3631,"USD","SOFR",I3631,J3631,0,"Actual360","Simple","Annual","Annual","Annual")</f>
        <v/>
      </c>
      <c r="F3631" s="8">
        <f>QS.TRADE.CREATE("trade.3629",C3631,E3631,A3631,"Receive")</f>
        <v/>
      </c>
      <c r="G3631" s="5"/>
      <c r="H3631" s="7" t="s">
        <v>3649</v>
      </c>
      <c r="I3631" s="9">
        <v>1362900</v>
      </c>
      <c r="J3631" s="10">
        <v>0.0379</v>
      </c>
    </row>
    <row r="3632" spans="1:10">
      <c r="A3632" s="7" t="s">
        <v>3637</v>
      </c>
      <c r="B3632" s="7" t="s">
        <v>5499</v>
      </c>
      <c r="C3632" s="8">
        <f>QS.CONTEXT.CREATE("market.3630",A3632,"USD","SOFR")</f>
        <v/>
      </c>
      <c r="D3632" s="8">
        <f>QS.CONTEXT.ADD.CURVE(C3632,"SOFR",$K$2:$K$7,$L$2:$L$7,,,"Actual360","LogLinear",TRUE)</f>
        <v/>
      </c>
      <c r="E3632" s="8">
        <f>QS.INSTRUMENT.SWAP("swap.3630",C3632,H3632,B3632,"USD","SOFR",I3632,J3632,0,"Actual360","Simple","Annual","Annual","Annual")</f>
        <v/>
      </c>
      <c r="F3632" s="8">
        <f>QS.TRADE.CREATE("trade.3630",C3632,E3632,A3632,"Receive")</f>
        <v/>
      </c>
      <c r="G3632" s="5"/>
      <c r="H3632" s="7" t="s">
        <v>3651</v>
      </c>
      <c r="I3632" s="9">
        <v>1363000</v>
      </c>
      <c r="J3632" s="10">
        <v>0.03800000000000001</v>
      </c>
    </row>
    <row r="3633" spans="1:10">
      <c r="A3633" s="7" t="s">
        <v>3639</v>
      </c>
      <c r="B3633" s="7" t="s">
        <v>5500</v>
      </c>
      <c r="C3633" s="8">
        <f>QS.CONTEXT.CREATE("market.3631",A3633,"USD","SOFR")</f>
        <v/>
      </c>
      <c r="D3633" s="8">
        <f>QS.CONTEXT.ADD.CURVE(C3633,"SOFR",$K$2:$K$7,$L$2:$L$7,,,"Actual360","LogLinear",TRUE)</f>
        <v/>
      </c>
      <c r="E3633" s="8">
        <f>QS.INSTRUMENT.SWAP("swap.3631",C3633,H3633,B3633,"USD","SOFR",I3633,J3633,0,"Actual360","Simple","Annual","Annual","Annual")</f>
        <v/>
      </c>
      <c r="F3633" s="8">
        <f>QS.TRADE.CREATE("trade.3631",C3633,E3633,A3633,"Receive")</f>
        <v/>
      </c>
      <c r="G3633" s="5"/>
      <c r="H3633" s="7" t="s">
        <v>3653</v>
      </c>
      <c r="I3633" s="9">
        <v>1363100</v>
      </c>
      <c r="J3633" s="10">
        <v>0.0381</v>
      </c>
    </row>
    <row r="3634" spans="1:10">
      <c r="A3634" s="7" t="s">
        <v>3641</v>
      </c>
      <c r="B3634" s="7" t="s">
        <v>5501</v>
      </c>
      <c r="C3634" s="8">
        <f>QS.CONTEXT.CREATE("market.3632",A3634,"USD","SOFR")</f>
        <v/>
      </c>
      <c r="D3634" s="8">
        <f>QS.CONTEXT.ADD.CURVE(C3634,"SOFR",$K$2:$K$7,$L$2:$L$7,,,"Actual360","LogLinear",TRUE)</f>
        <v/>
      </c>
      <c r="E3634" s="8">
        <f>QS.INSTRUMENT.SWAP("swap.3632",C3634,H3634,B3634,"USD","SOFR",I3634,J3634,0,"Actual360","Simple","Annual","Annual","Annual")</f>
        <v/>
      </c>
      <c r="F3634" s="8">
        <f>QS.TRADE.CREATE("trade.3632",C3634,E3634,A3634,"Receive")</f>
        <v/>
      </c>
      <c r="G3634" s="5"/>
      <c r="H3634" s="7" t="s">
        <v>3655</v>
      </c>
      <c r="I3634" s="9">
        <v>1363200</v>
      </c>
      <c r="J3634" s="10">
        <v>0.0382</v>
      </c>
    </row>
    <row r="3635" spans="1:10">
      <c r="A3635" s="7" t="s">
        <v>3643</v>
      </c>
      <c r="B3635" s="7" t="s">
        <v>5502</v>
      </c>
      <c r="C3635" s="8">
        <f>QS.CONTEXT.CREATE("market.3633",A3635,"USD","SOFR")</f>
        <v/>
      </c>
      <c r="D3635" s="8">
        <f>QS.CONTEXT.ADD.CURVE(C3635,"SOFR",$K$2:$K$7,$L$2:$L$7,,,"Actual360","LogLinear",TRUE)</f>
        <v/>
      </c>
      <c r="E3635" s="8">
        <f>QS.INSTRUMENT.SWAP("swap.3633",C3635,H3635,B3635,"USD","SOFR",I3635,J3635,0,"Actual360","Simple","Annual","Annual","Annual")</f>
        <v/>
      </c>
      <c r="F3635" s="8">
        <f>QS.TRADE.CREATE("trade.3633",C3635,E3635,A3635,"Receive")</f>
        <v/>
      </c>
      <c r="G3635" s="5"/>
      <c r="H3635" s="7" t="s">
        <v>3657</v>
      </c>
      <c r="I3635" s="9">
        <v>1363300</v>
      </c>
      <c r="J3635" s="10">
        <v>0.0383</v>
      </c>
    </row>
    <row r="3636" spans="1:10">
      <c r="A3636" s="7" t="s">
        <v>3645</v>
      </c>
      <c r="B3636" s="7" t="s">
        <v>5503</v>
      </c>
      <c r="C3636" s="8">
        <f>QS.CONTEXT.CREATE("market.3634",A3636,"USD","SOFR")</f>
        <v/>
      </c>
      <c r="D3636" s="8">
        <f>QS.CONTEXT.ADD.CURVE(C3636,"SOFR",$K$2:$K$7,$L$2:$L$7,,,"Actual360","LogLinear",TRUE)</f>
        <v/>
      </c>
      <c r="E3636" s="8">
        <f>QS.INSTRUMENT.SWAP("swap.3634",C3636,H3636,B3636,"USD","SOFR",I3636,J3636,0,"Actual360","Simple","Annual","Annual","Annual")</f>
        <v/>
      </c>
      <c r="F3636" s="8">
        <f>QS.TRADE.CREATE("trade.3634",C3636,E3636,A3636,"Receive")</f>
        <v/>
      </c>
      <c r="G3636" s="5"/>
      <c r="H3636" s="7" t="s">
        <v>3659</v>
      </c>
      <c r="I3636" s="9">
        <v>1363400</v>
      </c>
      <c r="J3636" s="10">
        <v>0.0384</v>
      </c>
    </row>
    <row r="3637" spans="1:10">
      <c r="A3637" s="7" t="s">
        <v>3647</v>
      </c>
      <c r="B3637" s="7" t="s">
        <v>5504</v>
      </c>
      <c r="C3637" s="8">
        <f>QS.CONTEXT.CREATE("market.3635",A3637,"USD","SOFR")</f>
        <v/>
      </c>
      <c r="D3637" s="8">
        <f>QS.CONTEXT.ADD.CURVE(C3637,"SOFR",$K$2:$K$7,$L$2:$L$7,,,"Actual360","LogLinear",TRUE)</f>
        <v/>
      </c>
      <c r="E3637" s="8">
        <f>QS.INSTRUMENT.SWAP("swap.3635",C3637,H3637,B3637,"USD","SOFR",I3637,J3637,0,"Actual360","Simple","Annual","Annual","Annual")</f>
        <v/>
      </c>
      <c r="F3637" s="8">
        <f>QS.TRADE.CREATE("trade.3635",C3637,E3637,A3637,"Receive")</f>
        <v/>
      </c>
      <c r="G3637" s="5"/>
      <c r="H3637" s="7" t="s">
        <v>3661</v>
      </c>
      <c r="I3637" s="9">
        <v>1363500</v>
      </c>
      <c r="J3637" s="10">
        <v>0.03850000000000001</v>
      </c>
    </row>
    <row r="3638" spans="1:10">
      <c r="A3638" s="7" t="s">
        <v>3649</v>
      </c>
      <c r="B3638" s="7" t="s">
        <v>5505</v>
      </c>
      <c r="C3638" s="8">
        <f>QS.CONTEXT.CREATE("market.3636",A3638,"USD","SOFR")</f>
        <v/>
      </c>
      <c r="D3638" s="8">
        <f>QS.CONTEXT.ADD.CURVE(C3638,"SOFR",$K$2:$K$7,$L$2:$L$7,,,"Actual360","LogLinear",TRUE)</f>
        <v/>
      </c>
      <c r="E3638" s="8">
        <f>QS.INSTRUMENT.SWAP("swap.3636",C3638,H3638,B3638,"USD","SOFR",I3638,J3638,0,"Actual360","Simple","Annual","Annual","Annual")</f>
        <v/>
      </c>
      <c r="F3638" s="8">
        <f>QS.TRADE.CREATE("trade.3636",C3638,E3638,A3638,"Receive")</f>
        <v/>
      </c>
      <c r="G3638" s="5"/>
      <c r="H3638" s="7" t="s">
        <v>3663</v>
      </c>
      <c r="I3638" s="9">
        <v>1363600</v>
      </c>
      <c r="J3638" s="10">
        <v>0.0386</v>
      </c>
    </row>
    <row r="3639" spans="1:10">
      <c r="A3639" s="7" t="s">
        <v>3651</v>
      </c>
      <c r="B3639" s="7" t="s">
        <v>5506</v>
      </c>
      <c r="C3639" s="8">
        <f>QS.CONTEXT.CREATE("market.3637",A3639,"USD","SOFR")</f>
        <v/>
      </c>
      <c r="D3639" s="8">
        <f>QS.CONTEXT.ADD.CURVE(C3639,"SOFR",$K$2:$K$7,$L$2:$L$7,,,"Actual360","LogLinear",TRUE)</f>
        <v/>
      </c>
      <c r="E3639" s="8">
        <f>QS.INSTRUMENT.SWAP("swap.3637",C3639,H3639,B3639,"USD","SOFR",I3639,J3639,0,"Actual360","Simple","Annual","Annual","Annual")</f>
        <v/>
      </c>
      <c r="F3639" s="8">
        <f>QS.TRADE.CREATE("trade.3637",C3639,E3639,A3639,"Receive")</f>
        <v/>
      </c>
      <c r="G3639" s="5"/>
      <c r="H3639" s="7" t="s">
        <v>3665</v>
      </c>
      <c r="I3639" s="9">
        <v>1363700</v>
      </c>
      <c r="J3639" s="10">
        <v>0.03870000000000001</v>
      </c>
    </row>
    <row r="3640" spans="1:10">
      <c r="A3640" s="7" t="s">
        <v>3653</v>
      </c>
      <c r="B3640" s="7" t="s">
        <v>5507</v>
      </c>
      <c r="C3640" s="8">
        <f>QS.CONTEXT.CREATE("market.3638",A3640,"USD","SOFR")</f>
        <v/>
      </c>
      <c r="D3640" s="8">
        <f>QS.CONTEXT.ADD.CURVE(C3640,"SOFR",$K$2:$K$7,$L$2:$L$7,,,"Actual360","LogLinear",TRUE)</f>
        <v/>
      </c>
      <c r="E3640" s="8">
        <f>QS.INSTRUMENT.SWAP("swap.3638",C3640,H3640,B3640,"USD","SOFR",I3640,J3640,0,"Actual360","Simple","Annual","Annual","Annual")</f>
        <v/>
      </c>
      <c r="F3640" s="8">
        <f>QS.TRADE.CREATE("trade.3638",C3640,E3640,A3640,"Receive")</f>
        <v/>
      </c>
      <c r="G3640" s="5"/>
      <c r="H3640" s="7" t="s">
        <v>3667</v>
      </c>
      <c r="I3640" s="9">
        <v>1363800</v>
      </c>
      <c r="J3640" s="10">
        <v>0.0388</v>
      </c>
    </row>
    <row r="3641" spans="1:10">
      <c r="A3641" s="7" t="s">
        <v>3655</v>
      </c>
      <c r="B3641" s="7" t="s">
        <v>5508</v>
      </c>
      <c r="C3641" s="8">
        <f>QS.CONTEXT.CREATE("market.3639",A3641,"USD","SOFR")</f>
        <v/>
      </c>
      <c r="D3641" s="8">
        <f>QS.CONTEXT.ADD.CURVE(C3641,"SOFR",$K$2:$K$7,$L$2:$L$7,,,"Actual360","LogLinear",TRUE)</f>
        <v/>
      </c>
      <c r="E3641" s="8">
        <f>QS.INSTRUMENT.SWAP("swap.3639",C3641,H3641,B3641,"USD","SOFR",I3641,J3641,0,"Actual360","Simple","Annual","Annual","Annual")</f>
        <v/>
      </c>
      <c r="F3641" s="8">
        <f>QS.TRADE.CREATE("trade.3639",C3641,E3641,A3641,"Receive")</f>
        <v/>
      </c>
      <c r="G3641" s="5"/>
      <c r="H3641" s="7" t="s">
        <v>3669</v>
      </c>
      <c r="I3641" s="9">
        <v>1363900</v>
      </c>
      <c r="J3641" s="10">
        <v>0.0389</v>
      </c>
    </row>
    <row r="3642" spans="1:10">
      <c r="A3642" s="7" t="s">
        <v>3657</v>
      </c>
      <c r="B3642" s="7" t="s">
        <v>5509</v>
      </c>
      <c r="C3642" s="8">
        <f>QS.CONTEXT.CREATE("market.3640",A3642,"USD","SOFR")</f>
        <v/>
      </c>
      <c r="D3642" s="8">
        <f>QS.CONTEXT.ADD.CURVE(C3642,"SOFR",$K$2:$K$7,$L$2:$L$7,,,"Actual360","LogLinear",TRUE)</f>
        <v/>
      </c>
      <c r="E3642" s="8">
        <f>QS.INSTRUMENT.SWAP("swap.3640",C3642,H3642,B3642,"USD","SOFR",I3642,J3642,0,"Actual360","Simple","Annual","Annual","Annual")</f>
        <v/>
      </c>
      <c r="F3642" s="8">
        <f>QS.TRADE.CREATE("trade.3640",C3642,E3642,A3642,"Receive")</f>
        <v/>
      </c>
      <c r="G3642" s="5"/>
      <c r="H3642" s="7" t="s">
        <v>3671</v>
      </c>
      <c r="I3642" s="9">
        <v>1364000</v>
      </c>
      <c r="J3642" s="10">
        <v>0.03900000000000001</v>
      </c>
    </row>
    <row r="3643" spans="1:10">
      <c r="A3643" s="7" t="s">
        <v>3659</v>
      </c>
      <c r="B3643" s="7" t="s">
        <v>5510</v>
      </c>
      <c r="C3643" s="8">
        <f>QS.CONTEXT.CREATE("market.3641",A3643,"USD","SOFR")</f>
        <v/>
      </c>
      <c r="D3643" s="8">
        <f>QS.CONTEXT.ADD.CURVE(C3643,"SOFR",$K$2:$K$7,$L$2:$L$7,,,"Actual360","LogLinear",TRUE)</f>
        <v/>
      </c>
      <c r="E3643" s="8">
        <f>QS.INSTRUMENT.SWAP("swap.3641",C3643,H3643,B3643,"USD","SOFR",I3643,J3643,0,"Actual360","Simple","Annual","Annual","Annual")</f>
        <v/>
      </c>
      <c r="F3643" s="8">
        <f>QS.TRADE.CREATE("trade.3641",C3643,E3643,A3643,"Receive")</f>
        <v/>
      </c>
      <c r="G3643" s="5"/>
      <c r="H3643" s="7" t="s">
        <v>3673</v>
      </c>
      <c r="I3643" s="9">
        <v>1364100</v>
      </c>
      <c r="J3643" s="10">
        <v>0.0391</v>
      </c>
    </row>
    <row r="3644" spans="1:10">
      <c r="A3644" s="7" t="s">
        <v>3661</v>
      </c>
      <c r="B3644" s="7" t="s">
        <v>5511</v>
      </c>
      <c r="C3644" s="8">
        <f>QS.CONTEXT.CREATE("market.3642",A3644,"USD","SOFR")</f>
        <v/>
      </c>
      <c r="D3644" s="8">
        <f>QS.CONTEXT.ADD.CURVE(C3644,"SOFR",$K$2:$K$7,$L$2:$L$7,,,"Actual360","LogLinear",TRUE)</f>
        <v/>
      </c>
      <c r="E3644" s="8">
        <f>QS.INSTRUMENT.SWAP("swap.3642",C3644,H3644,B3644,"USD","SOFR",I3644,J3644,0,"Actual360","Simple","Annual","Annual","Annual")</f>
        <v/>
      </c>
      <c r="F3644" s="8">
        <f>QS.TRADE.CREATE("trade.3642",C3644,E3644,A3644,"Receive")</f>
        <v/>
      </c>
      <c r="G3644" s="5"/>
      <c r="H3644" s="7" t="s">
        <v>3675</v>
      </c>
      <c r="I3644" s="9">
        <v>1364200</v>
      </c>
      <c r="J3644" s="10">
        <v>0.03920000000000001</v>
      </c>
    </row>
    <row r="3645" spans="1:10">
      <c r="A3645" s="7" t="s">
        <v>3663</v>
      </c>
      <c r="B3645" s="7" t="s">
        <v>5512</v>
      </c>
      <c r="C3645" s="8">
        <f>QS.CONTEXT.CREATE("market.3643",A3645,"USD","SOFR")</f>
        <v/>
      </c>
      <c r="D3645" s="8">
        <f>QS.CONTEXT.ADD.CURVE(C3645,"SOFR",$K$2:$K$7,$L$2:$L$7,,,"Actual360","LogLinear",TRUE)</f>
        <v/>
      </c>
      <c r="E3645" s="8">
        <f>QS.INSTRUMENT.SWAP("swap.3643",C3645,H3645,B3645,"USD","SOFR",I3645,J3645,0,"Actual360","Simple","Annual","Annual","Annual")</f>
        <v/>
      </c>
      <c r="F3645" s="8">
        <f>QS.TRADE.CREATE("trade.3643",C3645,E3645,A3645,"Receive")</f>
        <v/>
      </c>
      <c r="G3645" s="5"/>
      <c r="H3645" s="7" t="s">
        <v>3677</v>
      </c>
      <c r="I3645" s="9">
        <v>1364300</v>
      </c>
      <c r="J3645" s="10">
        <v>0.0393</v>
      </c>
    </row>
    <row r="3646" spans="1:10">
      <c r="A3646" s="7" t="s">
        <v>3665</v>
      </c>
      <c r="B3646" s="7" t="s">
        <v>5513</v>
      </c>
      <c r="C3646" s="8">
        <f>QS.CONTEXT.CREATE("market.3644",A3646,"USD","SOFR")</f>
        <v/>
      </c>
      <c r="D3646" s="8">
        <f>QS.CONTEXT.ADD.CURVE(C3646,"SOFR",$K$2:$K$7,$L$2:$L$7,,,"Actual360","LogLinear",TRUE)</f>
        <v/>
      </c>
      <c r="E3646" s="8">
        <f>QS.INSTRUMENT.SWAP("swap.3644",C3646,H3646,B3646,"USD","SOFR",I3646,J3646,0,"Actual360","Simple","Annual","Annual","Annual")</f>
        <v/>
      </c>
      <c r="F3646" s="8">
        <f>QS.TRADE.CREATE("trade.3644",C3646,E3646,A3646,"Receive")</f>
        <v/>
      </c>
      <c r="G3646" s="5"/>
      <c r="H3646" s="7" t="s">
        <v>3679</v>
      </c>
      <c r="I3646" s="9">
        <v>1364400</v>
      </c>
      <c r="J3646" s="10">
        <v>0.0394</v>
      </c>
    </row>
    <row r="3647" spans="1:10">
      <c r="A3647" s="7" t="s">
        <v>3667</v>
      </c>
      <c r="B3647" s="7" t="s">
        <v>5514</v>
      </c>
      <c r="C3647" s="8">
        <f>QS.CONTEXT.CREATE("market.3645",A3647,"USD","SOFR")</f>
        <v/>
      </c>
      <c r="D3647" s="8">
        <f>QS.CONTEXT.ADD.CURVE(C3647,"SOFR",$K$2:$K$7,$L$2:$L$7,,,"Actual360","LogLinear",TRUE)</f>
        <v/>
      </c>
      <c r="E3647" s="8">
        <f>QS.INSTRUMENT.SWAP("swap.3645",C3647,H3647,B3647,"USD","SOFR",I3647,J3647,0,"Actual360","Simple","Annual","Annual","Annual")</f>
        <v/>
      </c>
      <c r="F3647" s="8">
        <f>QS.TRADE.CREATE("trade.3645",C3647,E3647,A3647,"Receive")</f>
        <v/>
      </c>
      <c r="G3647" s="5"/>
      <c r="H3647" s="7" t="s">
        <v>3681</v>
      </c>
      <c r="I3647" s="9">
        <v>1364500</v>
      </c>
      <c r="J3647" s="10">
        <v>0.03950000000000001</v>
      </c>
    </row>
    <row r="3648" spans="1:10">
      <c r="A3648" s="7" t="s">
        <v>3669</v>
      </c>
      <c r="B3648" s="7" t="s">
        <v>5515</v>
      </c>
      <c r="C3648" s="8">
        <f>QS.CONTEXT.CREATE("market.3646",A3648,"USD","SOFR")</f>
        <v/>
      </c>
      <c r="D3648" s="8">
        <f>QS.CONTEXT.ADD.CURVE(C3648,"SOFR",$K$2:$K$7,$L$2:$L$7,,,"Actual360","LogLinear",TRUE)</f>
        <v/>
      </c>
      <c r="E3648" s="8">
        <f>QS.INSTRUMENT.SWAP("swap.3646",C3648,H3648,B3648,"USD","SOFR",I3648,J3648,0,"Actual360","Simple","Annual","Annual","Annual")</f>
        <v/>
      </c>
      <c r="F3648" s="8">
        <f>QS.TRADE.CREATE("trade.3646",C3648,E3648,A3648,"Receive")</f>
        <v/>
      </c>
      <c r="G3648" s="5"/>
      <c r="H3648" s="7" t="s">
        <v>3683</v>
      </c>
      <c r="I3648" s="9">
        <v>1364600</v>
      </c>
      <c r="J3648" s="10">
        <v>0.0396</v>
      </c>
    </row>
    <row r="3649" spans="1:10">
      <c r="A3649" s="7" t="s">
        <v>3671</v>
      </c>
      <c r="B3649" s="7" t="s">
        <v>5516</v>
      </c>
      <c r="C3649" s="8">
        <f>QS.CONTEXT.CREATE("market.3647",A3649,"USD","SOFR")</f>
        <v/>
      </c>
      <c r="D3649" s="8">
        <f>QS.CONTEXT.ADD.CURVE(C3649,"SOFR",$K$2:$K$7,$L$2:$L$7,,,"Actual360","LogLinear",TRUE)</f>
        <v/>
      </c>
      <c r="E3649" s="8">
        <f>QS.INSTRUMENT.SWAP("swap.3647",C3649,H3649,B3649,"USD","SOFR",I3649,J3649,0,"Actual360","Simple","Annual","Annual","Annual")</f>
        <v/>
      </c>
      <c r="F3649" s="8">
        <f>QS.TRADE.CREATE("trade.3647",C3649,E3649,A3649,"Receive")</f>
        <v/>
      </c>
      <c r="G3649" s="5"/>
      <c r="H3649" s="7" t="s">
        <v>3685</v>
      </c>
      <c r="I3649" s="9">
        <v>1364700</v>
      </c>
      <c r="J3649" s="10">
        <v>0.03970000000000001</v>
      </c>
    </row>
    <row r="3650" spans="1:10">
      <c r="A3650" s="7" t="s">
        <v>3673</v>
      </c>
      <c r="B3650" s="7" t="s">
        <v>5517</v>
      </c>
      <c r="C3650" s="8">
        <f>QS.CONTEXT.CREATE("market.3648",A3650,"USD","SOFR")</f>
        <v/>
      </c>
      <c r="D3650" s="8">
        <f>QS.CONTEXT.ADD.CURVE(C3650,"SOFR",$K$2:$K$7,$L$2:$L$7,,,"Actual360","LogLinear",TRUE)</f>
        <v/>
      </c>
      <c r="E3650" s="8">
        <f>QS.INSTRUMENT.SWAP("swap.3648",C3650,H3650,B3650,"USD","SOFR",I3650,J3650,0,"Actual360","Simple","Annual","Annual","Annual")</f>
        <v/>
      </c>
      <c r="F3650" s="8">
        <f>QS.TRADE.CREATE("trade.3648",C3650,E3650,A3650,"Receive")</f>
        <v/>
      </c>
      <c r="G3650" s="5"/>
      <c r="H3650" s="7" t="s">
        <v>3687</v>
      </c>
      <c r="I3650" s="9">
        <v>1364800</v>
      </c>
      <c r="J3650" s="10">
        <v>0.0398</v>
      </c>
    </row>
    <row r="3651" spans="1:10">
      <c r="A3651" s="7" t="s">
        <v>3675</v>
      </c>
      <c r="B3651" s="7" t="s">
        <v>5518</v>
      </c>
      <c r="C3651" s="8">
        <f>QS.CONTEXT.CREATE("market.3649",A3651,"USD","SOFR")</f>
        <v/>
      </c>
      <c r="D3651" s="8">
        <f>QS.CONTEXT.ADD.CURVE(C3651,"SOFR",$K$2:$K$7,$L$2:$L$7,,,"Actual360","LogLinear",TRUE)</f>
        <v/>
      </c>
      <c r="E3651" s="8">
        <f>QS.INSTRUMENT.SWAP("swap.3649",C3651,H3651,B3651,"USD","SOFR",I3651,J3651,0,"Actual360","Simple","Annual","Annual","Annual")</f>
        <v/>
      </c>
      <c r="F3651" s="8">
        <f>QS.TRADE.CREATE("trade.3649",C3651,E3651,A3651,"Receive")</f>
        <v/>
      </c>
      <c r="G3651" s="5"/>
      <c r="H3651" s="7" t="s">
        <v>3689</v>
      </c>
      <c r="I3651" s="9">
        <v>1364900</v>
      </c>
      <c r="J3651" s="10">
        <v>0.0399</v>
      </c>
    </row>
    <row r="3652" spans="1:10">
      <c r="A3652" s="7" t="s">
        <v>3677</v>
      </c>
      <c r="B3652" s="7" t="s">
        <v>5519</v>
      </c>
      <c r="C3652" s="8">
        <f>QS.CONTEXT.CREATE("market.3650",A3652,"USD","SOFR")</f>
        <v/>
      </c>
      <c r="D3652" s="8">
        <f>QS.CONTEXT.ADD.CURVE(C3652,"SOFR",$K$2:$K$7,$L$2:$L$7,,,"Actual360","LogLinear",TRUE)</f>
        <v/>
      </c>
      <c r="E3652" s="8">
        <f>QS.INSTRUMENT.SWAP("swap.3650",C3652,H3652,B3652,"USD","SOFR",I3652,J3652,0,"Actual360","Simple","Annual","Annual","Annual")</f>
        <v/>
      </c>
      <c r="F3652" s="8">
        <f>QS.TRADE.CREATE("trade.3650",C3652,E3652,A3652,"Receive")</f>
        <v/>
      </c>
      <c r="G3652" s="5"/>
      <c r="H3652" s="7" t="s">
        <v>3691</v>
      </c>
      <c r="I3652" s="9">
        <v>1365000</v>
      </c>
      <c r="J3652" s="10">
        <v>0.035</v>
      </c>
    </row>
    <row r="3653" spans="1:10">
      <c r="A3653" s="7" t="s">
        <v>3679</v>
      </c>
      <c r="B3653" s="7" t="s">
        <v>5520</v>
      </c>
      <c r="C3653" s="8">
        <f>QS.CONTEXT.CREATE("market.3651",A3653,"USD","SOFR")</f>
        <v/>
      </c>
      <c r="D3653" s="8">
        <f>QS.CONTEXT.ADD.CURVE(C3653,"SOFR",$K$2:$K$7,$L$2:$L$7,,,"Actual360","LogLinear",TRUE)</f>
        <v/>
      </c>
      <c r="E3653" s="8">
        <f>QS.INSTRUMENT.SWAP("swap.3651",C3653,H3653,B3653,"USD","SOFR",I3653,J3653,0,"Actual360","Simple","Annual","Annual","Annual")</f>
        <v/>
      </c>
      <c r="F3653" s="8">
        <f>QS.TRADE.CREATE("trade.3651",C3653,E3653,A3653,"Receive")</f>
        <v/>
      </c>
      <c r="G3653" s="5"/>
      <c r="H3653" s="7" t="s">
        <v>3693</v>
      </c>
      <c r="I3653" s="9">
        <v>1365100</v>
      </c>
      <c r="J3653" s="10">
        <v>0.03510000000000001</v>
      </c>
    </row>
    <row r="3654" spans="1:10">
      <c r="A3654" s="7" t="s">
        <v>3681</v>
      </c>
      <c r="B3654" s="7" t="s">
        <v>5521</v>
      </c>
      <c r="C3654" s="8">
        <f>QS.CONTEXT.CREATE("market.3652",A3654,"USD","SOFR")</f>
        <v/>
      </c>
      <c r="D3654" s="8">
        <f>QS.CONTEXT.ADD.CURVE(C3654,"SOFR",$K$2:$K$7,$L$2:$L$7,,,"Actual360","LogLinear",TRUE)</f>
        <v/>
      </c>
      <c r="E3654" s="8">
        <f>QS.INSTRUMENT.SWAP("swap.3652",C3654,H3654,B3654,"USD","SOFR",I3654,J3654,0,"Actual360","Simple","Annual","Annual","Annual")</f>
        <v/>
      </c>
      <c r="F3654" s="8">
        <f>QS.TRADE.CREATE("trade.3652",C3654,E3654,A3654,"Receive")</f>
        <v/>
      </c>
      <c r="G3654" s="5"/>
      <c r="H3654" s="7" t="s">
        <v>3695</v>
      </c>
      <c r="I3654" s="9">
        <v>1365200</v>
      </c>
      <c r="J3654" s="10">
        <v>0.0352</v>
      </c>
    </row>
    <row r="3655" spans="1:10">
      <c r="A3655" s="7" t="s">
        <v>3683</v>
      </c>
      <c r="B3655" s="7" t="s">
        <v>5522</v>
      </c>
      <c r="C3655" s="8">
        <f>QS.CONTEXT.CREATE("market.3653",A3655,"USD","SOFR")</f>
        <v/>
      </c>
      <c r="D3655" s="8">
        <f>QS.CONTEXT.ADD.CURVE(C3655,"SOFR",$K$2:$K$7,$L$2:$L$7,,,"Actual360","LogLinear",TRUE)</f>
        <v/>
      </c>
      <c r="E3655" s="8">
        <f>QS.INSTRUMENT.SWAP("swap.3653",C3655,H3655,B3655,"USD","SOFR",I3655,J3655,0,"Actual360","Simple","Annual","Annual","Annual")</f>
        <v/>
      </c>
      <c r="F3655" s="8">
        <f>QS.TRADE.CREATE("trade.3653",C3655,E3655,A3655,"Receive")</f>
        <v/>
      </c>
      <c r="G3655" s="5"/>
      <c r="H3655" s="7" t="s">
        <v>3696</v>
      </c>
      <c r="I3655" s="9">
        <v>1365300</v>
      </c>
      <c r="J3655" s="10">
        <v>0.0353</v>
      </c>
    </row>
    <row r="3656" spans="1:10">
      <c r="A3656" s="7" t="s">
        <v>3685</v>
      </c>
      <c r="B3656" s="7" t="s">
        <v>5523</v>
      </c>
      <c r="C3656" s="8">
        <f>QS.CONTEXT.CREATE("market.3654",A3656,"USD","SOFR")</f>
        <v/>
      </c>
      <c r="D3656" s="8">
        <f>QS.CONTEXT.ADD.CURVE(C3656,"SOFR",$K$2:$K$7,$L$2:$L$7,,,"Actual360","LogLinear",TRUE)</f>
        <v/>
      </c>
      <c r="E3656" s="8">
        <f>QS.INSTRUMENT.SWAP("swap.3654",C3656,H3656,B3656,"USD","SOFR",I3656,J3656,0,"Actual360","Simple","Annual","Annual","Annual")</f>
        <v/>
      </c>
      <c r="F3656" s="8">
        <f>QS.TRADE.CREATE("trade.3654",C3656,E3656,A3656,"Receive")</f>
        <v/>
      </c>
      <c r="G3656" s="5"/>
      <c r="H3656" s="7" t="s">
        <v>3697</v>
      </c>
      <c r="I3656" s="9">
        <v>1365400</v>
      </c>
      <c r="J3656" s="10">
        <v>0.0354</v>
      </c>
    </row>
    <row r="3657" spans="1:10">
      <c r="A3657" s="7" t="s">
        <v>3687</v>
      </c>
      <c r="B3657" s="7" t="s">
        <v>5524</v>
      </c>
      <c r="C3657" s="8">
        <f>QS.CONTEXT.CREATE("market.3655",A3657,"USD","SOFR")</f>
        <v/>
      </c>
      <c r="D3657" s="8">
        <f>QS.CONTEXT.ADD.CURVE(C3657,"SOFR",$K$2:$K$7,$L$2:$L$7,,,"Actual360","LogLinear",TRUE)</f>
        <v/>
      </c>
      <c r="E3657" s="8">
        <f>QS.INSTRUMENT.SWAP("swap.3655",C3657,H3657,B3657,"USD","SOFR",I3657,J3657,0,"Actual360","Simple","Annual","Annual","Annual")</f>
        <v/>
      </c>
      <c r="F3657" s="8">
        <f>QS.TRADE.CREATE("trade.3655",C3657,E3657,A3657,"Receive")</f>
        <v/>
      </c>
      <c r="G3657" s="5"/>
      <c r="H3657" s="7" t="s">
        <v>3698</v>
      </c>
      <c r="I3657" s="9">
        <v>1365500</v>
      </c>
      <c r="J3657" s="10">
        <v>0.0355</v>
      </c>
    </row>
    <row r="3658" spans="1:10">
      <c r="A3658" s="7" t="s">
        <v>3689</v>
      </c>
      <c r="B3658" s="7" t="s">
        <v>5525</v>
      </c>
      <c r="C3658" s="8">
        <f>QS.CONTEXT.CREATE("market.3656",A3658,"USD","SOFR")</f>
        <v/>
      </c>
      <c r="D3658" s="8">
        <f>QS.CONTEXT.ADD.CURVE(C3658,"SOFR",$K$2:$K$7,$L$2:$L$7,,,"Actual360","LogLinear",TRUE)</f>
        <v/>
      </c>
      <c r="E3658" s="8">
        <f>QS.INSTRUMENT.SWAP("swap.3656",C3658,H3658,B3658,"USD","SOFR",I3658,J3658,0,"Actual360","Simple","Annual","Annual","Annual")</f>
        <v/>
      </c>
      <c r="F3658" s="8">
        <f>QS.TRADE.CREATE("trade.3656",C3658,E3658,A3658,"Receive")</f>
        <v/>
      </c>
      <c r="G3658" s="5"/>
      <c r="H3658" s="7" t="s">
        <v>3699</v>
      </c>
      <c r="I3658" s="9">
        <v>1365600</v>
      </c>
      <c r="J3658" s="10">
        <v>0.03560000000000001</v>
      </c>
    </row>
    <row r="3659" spans="1:10">
      <c r="A3659" s="7" t="s">
        <v>3691</v>
      </c>
      <c r="B3659" s="7" t="s">
        <v>5526</v>
      </c>
      <c r="C3659" s="8">
        <f>QS.CONTEXT.CREATE("market.3657",A3659,"USD","SOFR")</f>
        <v/>
      </c>
      <c r="D3659" s="8">
        <f>QS.CONTEXT.ADD.CURVE(C3659,"SOFR",$K$2:$K$7,$L$2:$L$7,,,"Actual360","LogLinear",TRUE)</f>
        <v/>
      </c>
      <c r="E3659" s="8">
        <f>QS.INSTRUMENT.SWAP("swap.3657",C3659,H3659,B3659,"USD","SOFR",I3659,J3659,0,"Actual360","Simple","Annual","Annual","Annual")</f>
        <v/>
      </c>
      <c r="F3659" s="8">
        <f>QS.TRADE.CREATE("trade.3657",C3659,E3659,A3659,"Receive")</f>
        <v/>
      </c>
      <c r="G3659" s="5"/>
      <c r="H3659" s="7" t="s">
        <v>3700</v>
      </c>
      <c r="I3659" s="9">
        <v>1365700</v>
      </c>
      <c r="J3659" s="10">
        <v>0.0357</v>
      </c>
    </row>
    <row r="3660" spans="1:10">
      <c r="A3660" s="7" t="s">
        <v>3693</v>
      </c>
      <c r="B3660" s="7" t="s">
        <v>5527</v>
      </c>
      <c r="C3660" s="8">
        <f>QS.CONTEXT.CREATE("market.3658",A3660,"USD","SOFR")</f>
        <v/>
      </c>
      <c r="D3660" s="8">
        <f>QS.CONTEXT.ADD.CURVE(C3660,"SOFR",$K$2:$K$7,$L$2:$L$7,,,"Actual360","LogLinear",TRUE)</f>
        <v/>
      </c>
      <c r="E3660" s="8">
        <f>QS.INSTRUMENT.SWAP("swap.3658",C3660,H3660,B3660,"USD","SOFR",I3660,J3660,0,"Actual360","Simple","Annual","Annual","Annual")</f>
        <v/>
      </c>
      <c r="F3660" s="8">
        <f>QS.TRADE.CREATE("trade.3658",C3660,E3660,A3660,"Receive")</f>
        <v/>
      </c>
      <c r="G3660" s="5"/>
      <c r="H3660" s="7" t="s">
        <v>3701</v>
      </c>
      <c r="I3660" s="9">
        <v>1365800</v>
      </c>
      <c r="J3660" s="10">
        <v>0.03580000000000001</v>
      </c>
    </row>
    <row r="3661" spans="1:10">
      <c r="A3661" s="7" t="s">
        <v>3695</v>
      </c>
      <c r="B3661" s="7" t="s">
        <v>5528</v>
      </c>
      <c r="C3661" s="8">
        <f>QS.CONTEXT.CREATE("market.3659",A3661,"USD","SOFR")</f>
        <v/>
      </c>
      <c r="D3661" s="8">
        <f>QS.CONTEXT.ADD.CURVE(C3661,"SOFR",$K$2:$K$7,$L$2:$L$7,,,"Actual360","LogLinear",TRUE)</f>
        <v/>
      </c>
      <c r="E3661" s="8">
        <f>QS.INSTRUMENT.SWAP("swap.3659",C3661,H3661,B3661,"USD","SOFR",I3661,J3661,0,"Actual360","Simple","Annual","Annual","Annual")</f>
        <v/>
      </c>
      <c r="F3661" s="8">
        <f>QS.TRADE.CREATE("trade.3659",C3661,E3661,A3661,"Receive")</f>
        <v/>
      </c>
      <c r="G3661" s="5"/>
      <c r="H3661" s="7" t="s">
        <v>3702</v>
      </c>
      <c r="I3661" s="9">
        <v>1365900</v>
      </c>
      <c r="J3661" s="10">
        <v>0.0359</v>
      </c>
    </row>
    <row r="3662" spans="1:10">
      <c r="A3662" s="7" t="s">
        <v>3696</v>
      </c>
      <c r="B3662" s="7" t="s">
        <v>5529</v>
      </c>
      <c r="C3662" s="8">
        <f>QS.CONTEXT.CREATE("market.3660",A3662,"USD","SOFR")</f>
        <v/>
      </c>
      <c r="D3662" s="8">
        <f>QS.CONTEXT.ADD.CURVE(C3662,"SOFR",$K$2:$K$7,$L$2:$L$7,,,"Actual360","LogLinear",TRUE)</f>
        <v/>
      </c>
      <c r="E3662" s="8">
        <f>QS.INSTRUMENT.SWAP("swap.3660",C3662,H3662,B3662,"USD","SOFR",I3662,J3662,0,"Actual360","Simple","Annual","Annual","Annual")</f>
        <v/>
      </c>
      <c r="F3662" s="8">
        <f>QS.TRADE.CREATE("trade.3660",C3662,E3662,A3662,"Receive")</f>
        <v/>
      </c>
      <c r="G3662" s="5"/>
      <c r="H3662" s="7" t="s">
        <v>3703</v>
      </c>
      <c r="I3662" s="9">
        <v>1366000</v>
      </c>
      <c r="J3662" s="10">
        <v>0.036</v>
      </c>
    </row>
    <row r="3663" spans="1:10">
      <c r="A3663" s="7" t="s">
        <v>3697</v>
      </c>
      <c r="B3663" s="7" t="s">
        <v>5530</v>
      </c>
      <c r="C3663" s="8">
        <f>QS.CONTEXT.CREATE("market.3661",A3663,"USD","SOFR")</f>
        <v/>
      </c>
      <c r="D3663" s="8">
        <f>QS.CONTEXT.ADD.CURVE(C3663,"SOFR",$K$2:$K$7,$L$2:$L$7,,,"Actual360","LogLinear",TRUE)</f>
        <v/>
      </c>
      <c r="E3663" s="8">
        <f>QS.INSTRUMENT.SWAP("swap.3661",C3663,H3663,B3663,"USD","SOFR",I3663,J3663,0,"Actual360","Simple","Annual","Annual","Annual")</f>
        <v/>
      </c>
      <c r="F3663" s="8">
        <f>QS.TRADE.CREATE("trade.3661",C3663,E3663,A3663,"Receive")</f>
        <v/>
      </c>
      <c r="G3663" s="5"/>
      <c r="H3663" s="7" t="s">
        <v>3704</v>
      </c>
      <c r="I3663" s="9">
        <v>1366100</v>
      </c>
      <c r="J3663" s="10">
        <v>0.0361</v>
      </c>
    </row>
    <row r="3664" spans="1:10">
      <c r="A3664" s="7" t="s">
        <v>3698</v>
      </c>
      <c r="B3664" s="7" t="s">
        <v>5531</v>
      </c>
      <c r="C3664" s="8">
        <f>QS.CONTEXT.CREATE("market.3662",A3664,"USD","SOFR")</f>
        <v/>
      </c>
      <c r="D3664" s="8">
        <f>QS.CONTEXT.ADD.CURVE(C3664,"SOFR",$K$2:$K$7,$L$2:$L$7,,,"Actual360","LogLinear",TRUE)</f>
        <v/>
      </c>
      <c r="E3664" s="8">
        <f>QS.INSTRUMENT.SWAP("swap.3662",C3664,H3664,B3664,"USD","SOFR",I3664,J3664,0,"Actual360","Simple","Annual","Annual","Annual")</f>
        <v/>
      </c>
      <c r="F3664" s="8">
        <f>QS.TRADE.CREATE("trade.3662",C3664,E3664,A3664,"Receive")</f>
        <v/>
      </c>
      <c r="G3664" s="5"/>
      <c r="H3664" s="7" t="s">
        <v>3705</v>
      </c>
      <c r="I3664" s="9">
        <v>1366200</v>
      </c>
      <c r="J3664" s="10">
        <v>0.0362</v>
      </c>
    </row>
    <row r="3665" spans="1:10">
      <c r="A3665" s="7" t="s">
        <v>3699</v>
      </c>
      <c r="B3665" s="7" t="s">
        <v>5532</v>
      </c>
      <c r="C3665" s="8">
        <f>QS.CONTEXT.CREATE("market.3663",A3665,"USD","SOFR")</f>
        <v/>
      </c>
      <c r="D3665" s="8">
        <f>QS.CONTEXT.ADD.CURVE(C3665,"SOFR",$K$2:$K$7,$L$2:$L$7,,,"Actual360","LogLinear",TRUE)</f>
        <v/>
      </c>
      <c r="E3665" s="8">
        <f>QS.INSTRUMENT.SWAP("swap.3663",C3665,H3665,B3665,"USD","SOFR",I3665,J3665,0,"Actual360","Simple","Annual","Annual","Annual")</f>
        <v/>
      </c>
      <c r="F3665" s="8">
        <f>QS.TRADE.CREATE("trade.3663",C3665,E3665,A3665,"Receive")</f>
        <v/>
      </c>
      <c r="G3665" s="5"/>
      <c r="H3665" s="7" t="s">
        <v>3706</v>
      </c>
      <c r="I3665" s="9">
        <v>1366300</v>
      </c>
      <c r="J3665" s="10">
        <v>0.03630000000000001</v>
      </c>
    </row>
    <row r="3666" spans="1:10">
      <c r="A3666" s="7" t="s">
        <v>3700</v>
      </c>
      <c r="B3666" s="7" t="s">
        <v>5533</v>
      </c>
      <c r="C3666" s="8">
        <f>QS.CONTEXT.CREATE("market.3664",A3666,"USD","SOFR")</f>
        <v/>
      </c>
      <c r="D3666" s="8">
        <f>QS.CONTEXT.ADD.CURVE(C3666,"SOFR",$K$2:$K$7,$L$2:$L$7,,,"Actual360","LogLinear",TRUE)</f>
        <v/>
      </c>
      <c r="E3666" s="8">
        <f>QS.INSTRUMENT.SWAP("swap.3664",C3666,H3666,B3666,"USD","SOFR",I3666,J3666,0,"Actual360","Simple","Annual","Annual","Annual")</f>
        <v/>
      </c>
      <c r="F3666" s="8">
        <f>QS.TRADE.CREATE("trade.3664",C3666,E3666,A3666,"Receive")</f>
        <v/>
      </c>
      <c r="G3666" s="5"/>
      <c r="H3666" s="7" t="s">
        <v>3707</v>
      </c>
      <c r="I3666" s="9">
        <v>1366400</v>
      </c>
      <c r="J3666" s="10">
        <v>0.0364</v>
      </c>
    </row>
    <row r="3667" spans="1:10">
      <c r="A3667" s="7" t="s">
        <v>3701</v>
      </c>
      <c r="B3667" s="7" t="s">
        <v>5534</v>
      </c>
      <c r="C3667" s="8">
        <f>QS.CONTEXT.CREATE("market.3665",A3667,"USD","SOFR")</f>
        <v/>
      </c>
      <c r="D3667" s="8">
        <f>QS.CONTEXT.ADD.CURVE(C3667,"SOFR",$K$2:$K$7,$L$2:$L$7,,,"Actual360","LogLinear",TRUE)</f>
        <v/>
      </c>
      <c r="E3667" s="8">
        <f>QS.INSTRUMENT.SWAP("swap.3665",C3667,H3667,B3667,"USD","SOFR",I3667,J3667,0,"Actual360","Simple","Annual","Annual","Annual")</f>
        <v/>
      </c>
      <c r="F3667" s="8">
        <f>QS.TRADE.CREATE("trade.3665",C3667,E3667,A3667,"Receive")</f>
        <v/>
      </c>
      <c r="G3667" s="5"/>
      <c r="H3667" s="7" t="s">
        <v>3708</v>
      </c>
      <c r="I3667" s="9">
        <v>1366500</v>
      </c>
      <c r="J3667" s="10">
        <v>0.0365</v>
      </c>
    </row>
    <row r="3668" spans="1:10">
      <c r="A3668" s="7" t="s">
        <v>3702</v>
      </c>
      <c r="B3668" s="7" t="s">
        <v>5535</v>
      </c>
      <c r="C3668" s="8">
        <f>QS.CONTEXT.CREATE("market.3666",A3668,"USD","SOFR")</f>
        <v/>
      </c>
      <c r="D3668" s="8">
        <f>QS.CONTEXT.ADD.CURVE(C3668,"SOFR",$K$2:$K$7,$L$2:$L$7,,,"Actual360","LogLinear",TRUE)</f>
        <v/>
      </c>
      <c r="E3668" s="8">
        <f>QS.INSTRUMENT.SWAP("swap.3666",C3668,H3668,B3668,"USD","SOFR",I3668,J3668,0,"Actual360","Simple","Annual","Annual","Annual")</f>
        <v/>
      </c>
      <c r="F3668" s="8">
        <f>QS.TRADE.CREATE("trade.3666",C3668,E3668,A3668,"Receive")</f>
        <v/>
      </c>
      <c r="G3668" s="5"/>
      <c r="H3668" s="7" t="s">
        <v>3709</v>
      </c>
      <c r="I3668" s="9">
        <v>1366600</v>
      </c>
      <c r="J3668" s="10">
        <v>0.0366</v>
      </c>
    </row>
    <row r="3669" spans="1:10">
      <c r="A3669" s="7" t="s">
        <v>3703</v>
      </c>
      <c r="B3669" s="7" t="s">
        <v>5536</v>
      </c>
      <c r="C3669" s="8">
        <f>QS.CONTEXT.CREATE("market.3667",A3669,"USD","SOFR")</f>
        <v/>
      </c>
      <c r="D3669" s="8">
        <f>QS.CONTEXT.ADD.CURVE(C3669,"SOFR",$K$2:$K$7,$L$2:$L$7,,,"Actual360","LogLinear",TRUE)</f>
        <v/>
      </c>
      <c r="E3669" s="8">
        <f>QS.INSTRUMENT.SWAP("swap.3667",C3669,H3669,B3669,"USD","SOFR",I3669,J3669,0,"Actual360","Simple","Annual","Annual","Annual")</f>
        <v/>
      </c>
      <c r="F3669" s="8">
        <f>QS.TRADE.CREATE("trade.3667",C3669,E3669,A3669,"Receive")</f>
        <v/>
      </c>
      <c r="G3669" s="5"/>
      <c r="H3669" s="7" t="s">
        <v>3710</v>
      </c>
      <c r="I3669" s="9">
        <v>1366700</v>
      </c>
      <c r="J3669" s="10">
        <v>0.0367</v>
      </c>
    </row>
    <row r="3670" spans="1:10">
      <c r="A3670" s="7" t="s">
        <v>3704</v>
      </c>
      <c r="B3670" s="7" t="s">
        <v>5537</v>
      </c>
      <c r="C3670" s="8">
        <f>QS.CONTEXT.CREATE("market.3668",A3670,"USD","SOFR")</f>
        <v/>
      </c>
      <c r="D3670" s="8">
        <f>QS.CONTEXT.ADD.CURVE(C3670,"SOFR",$K$2:$K$7,$L$2:$L$7,,,"Actual360","LogLinear",TRUE)</f>
        <v/>
      </c>
      <c r="E3670" s="8">
        <f>QS.INSTRUMENT.SWAP("swap.3668",C3670,H3670,B3670,"USD","SOFR",I3670,J3670,0,"Actual360","Simple","Annual","Annual","Annual")</f>
        <v/>
      </c>
      <c r="F3670" s="8">
        <f>QS.TRADE.CREATE("trade.3668",C3670,E3670,A3670,"Receive")</f>
        <v/>
      </c>
      <c r="G3670" s="5"/>
      <c r="H3670" s="7" t="s">
        <v>3711</v>
      </c>
      <c r="I3670" s="9">
        <v>1366800</v>
      </c>
      <c r="J3670" s="10">
        <v>0.03680000000000001</v>
      </c>
    </row>
    <row r="3671" spans="1:10">
      <c r="A3671" s="7" t="s">
        <v>3705</v>
      </c>
      <c r="B3671" s="7" t="s">
        <v>5538</v>
      </c>
      <c r="C3671" s="8">
        <f>QS.CONTEXT.CREATE("market.3669",A3671,"USD","SOFR")</f>
        <v/>
      </c>
      <c r="D3671" s="8">
        <f>QS.CONTEXT.ADD.CURVE(C3671,"SOFR",$K$2:$K$7,$L$2:$L$7,,,"Actual360","LogLinear",TRUE)</f>
        <v/>
      </c>
      <c r="E3671" s="8">
        <f>QS.INSTRUMENT.SWAP("swap.3669",C3671,H3671,B3671,"USD","SOFR",I3671,J3671,0,"Actual360","Simple","Annual","Annual","Annual")</f>
        <v/>
      </c>
      <c r="F3671" s="8">
        <f>QS.TRADE.CREATE("trade.3669",C3671,E3671,A3671,"Receive")</f>
        <v/>
      </c>
      <c r="G3671" s="5"/>
      <c r="H3671" s="7" t="s">
        <v>3712</v>
      </c>
      <c r="I3671" s="9">
        <v>1366900</v>
      </c>
      <c r="J3671" s="10">
        <v>0.0369</v>
      </c>
    </row>
    <row r="3672" spans="1:10">
      <c r="A3672" s="7" t="s">
        <v>3706</v>
      </c>
      <c r="B3672" s="7" t="s">
        <v>5539</v>
      </c>
      <c r="C3672" s="8">
        <f>QS.CONTEXT.CREATE("market.3670",A3672,"USD","SOFR")</f>
        <v/>
      </c>
      <c r="D3672" s="8">
        <f>QS.CONTEXT.ADD.CURVE(C3672,"SOFR",$K$2:$K$7,$L$2:$L$7,,,"Actual360","LogLinear",TRUE)</f>
        <v/>
      </c>
      <c r="E3672" s="8">
        <f>QS.INSTRUMENT.SWAP("swap.3670",C3672,H3672,B3672,"USD","SOFR",I3672,J3672,0,"Actual360","Simple","Annual","Annual","Annual")</f>
        <v/>
      </c>
      <c r="F3672" s="8">
        <f>QS.TRADE.CREATE("trade.3670",C3672,E3672,A3672,"Receive")</f>
        <v/>
      </c>
      <c r="G3672" s="5"/>
      <c r="H3672" s="7" t="s">
        <v>3713</v>
      </c>
      <c r="I3672" s="9">
        <v>1367000</v>
      </c>
      <c r="J3672" s="10">
        <v>0.03700000000000001</v>
      </c>
    </row>
    <row r="3673" spans="1:10">
      <c r="A3673" s="7" t="s">
        <v>3707</v>
      </c>
      <c r="B3673" s="7" t="s">
        <v>5540</v>
      </c>
      <c r="C3673" s="8">
        <f>QS.CONTEXT.CREATE("market.3671",A3673,"USD","SOFR")</f>
        <v/>
      </c>
      <c r="D3673" s="8">
        <f>QS.CONTEXT.ADD.CURVE(C3673,"SOFR",$K$2:$K$7,$L$2:$L$7,,,"Actual360","LogLinear",TRUE)</f>
        <v/>
      </c>
      <c r="E3673" s="8">
        <f>QS.INSTRUMENT.SWAP("swap.3671",C3673,H3673,B3673,"USD","SOFR",I3673,J3673,0,"Actual360","Simple","Annual","Annual","Annual")</f>
        <v/>
      </c>
      <c r="F3673" s="8">
        <f>QS.TRADE.CREATE("trade.3671",C3673,E3673,A3673,"Receive")</f>
        <v/>
      </c>
      <c r="G3673" s="5"/>
      <c r="H3673" s="7" t="s">
        <v>3714</v>
      </c>
      <c r="I3673" s="9">
        <v>1367100</v>
      </c>
      <c r="J3673" s="10">
        <v>0.0371</v>
      </c>
    </row>
    <row r="3674" spans="1:10">
      <c r="A3674" s="7" t="s">
        <v>3708</v>
      </c>
      <c r="B3674" s="7" t="s">
        <v>5541</v>
      </c>
      <c r="C3674" s="8">
        <f>QS.CONTEXT.CREATE("market.3672",A3674,"USD","SOFR")</f>
        <v/>
      </c>
      <c r="D3674" s="8">
        <f>QS.CONTEXT.ADD.CURVE(C3674,"SOFR",$K$2:$K$7,$L$2:$L$7,,,"Actual360","LogLinear",TRUE)</f>
        <v/>
      </c>
      <c r="E3674" s="8">
        <f>QS.INSTRUMENT.SWAP("swap.3672",C3674,H3674,B3674,"USD","SOFR",I3674,J3674,0,"Actual360","Simple","Annual","Annual","Annual")</f>
        <v/>
      </c>
      <c r="F3674" s="8">
        <f>QS.TRADE.CREATE("trade.3672",C3674,E3674,A3674,"Receive")</f>
        <v/>
      </c>
      <c r="G3674" s="5"/>
      <c r="H3674" s="7" t="s">
        <v>3715</v>
      </c>
      <c r="I3674" s="9">
        <v>1367200</v>
      </c>
      <c r="J3674" s="10">
        <v>0.0372</v>
      </c>
    </row>
    <row r="3675" spans="1:10">
      <c r="A3675" s="7" t="s">
        <v>3709</v>
      </c>
      <c r="B3675" s="7" t="s">
        <v>5542</v>
      </c>
      <c r="C3675" s="8">
        <f>QS.CONTEXT.CREATE("market.3673",A3675,"USD","SOFR")</f>
        <v/>
      </c>
      <c r="D3675" s="8">
        <f>QS.CONTEXT.ADD.CURVE(C3675,"SOFR",$K$2:$K$7,$L$2:$L$7,,,"Actual360","LogLinear",TRUE)</f>
        <v/>
      </c>
      <c r="E3675" s="8">
        <f>QS.INSTRUMENT.SWAP("swap.3673",C3675,H3675,B3675,"USD","SOFR",I3675,J3675,0,"Actual360","Simple","Annual","Annual","Annual")</f>
        <v/>
      </c>
      <c r="F3675" s="8">
        <f>QS.TRADE.CREATE("trade.3673",C3675,E3675,A3675,"Receive")</f>
        <v/>
      </c>
      <c r="G3675" s="5"/>
      <c r="H3675" s="7" t="s">
        <v>3716</v>
      </c>
      <c r="I3675" s="9">
        <v>1367300</v>
      </c>
      <c r="J3675" s="10">
        <v>0.0373</v>
      </c>
    </row>
    <row r="3676" spans="1:10">
      <c r="A3676" s="7" t="s">
        <v>3710</v>
      </c>
      <c r="B3676" s="7" t="s">
        <v>5543</v>
      </c>
      <c r="C3676" s="8">
        <f>QS.CONTEXT.CREATE("market.3674",A3676,"USD","SOFR")</f>
        <v/>
      </c>
      <c r="D3676" s="8">
        <f>QS.CONTEXT.ADD.CURVE(C3676,"SOFR",$K$2:$K$7,$L$2:$L$7,,,"Actual360","LogLinear",TRUE)</f>
        <v/>
      </c>
      <c r="E3676" s="8">
        <f>QS.INSTRUMENT.SWAP("swap.3674",C3676,H3676,B3676,"USD","SOFR",I3676,J3676,0,"Actual360","Simple","Annual","Annual","Annual")</f>
        <v/>
      </c>
      <c r="F3676" s="8">
        <f>QS.TRADE.CREATE("trade.3674",C3676,E3676,A3676,"Receive")</f>
        <v/>
      </c>
      <c r="G3676" s="5"/>
      <c r="H3676" s="7" t="s">
        <v>3717</v>
      </c>
      <c r="I3676" s="9">
        <v>1367400</v>
      </c>
      <c r="J3676" s="10">
        <v>0.0374</v>
      </c>
    </row>
    <row r="3677" spans="1:10">
      <c r="A3677" s="7" t="s">
        <v>3711</v>
      </c>
      <c r="B3677" s="7" t="s">
        <v>5544</v>
      </c>
      <c r="C3677" s="8">
        <f>QS.CONTEXT.CREATE("market.3675",A3677,"USD","SOFR")</f>
        <v/>
      </c>
      <c r="D3677" s="8">
        <f>QS.CONTEXT.ADD.CURVE(C3677,"SOFR",$K$2:$K$7,$L$2:$L$7,,,"Actual360","LogLinear",TRUE)</f>
        <v/>
      </c>
      <c r="E3677" s="8">
        <f>QS.INSTRUMENT.SWAP("swap.3675",C3677,H3677,B3677,"USD","SOFR",I3677,J3677,0,"Actual360","Simple","Annual","Annual","Annual")</f>
        <v/>
      </c>
      <c r="F3677" s="8">
        <f>QS.TRADE.CREATE("trade.3675",C3677,E3677,A3677,"Receive")</f>
        <v/>
      </c>
      <c r="G3677" s="5"/>
      <c r="H3677" s="7" t="s">
        <v>3718</v>
      </c>
      <c r="I3677" s="9">
        <v>1367500</v>
      </c>
      <c r="J3677" s="10">
        <v>0.03750000000000001</v>
      </c>
    </row>
    <row r="3678" spans="1:10">
      <c r="A3678" s="7" t="s">
        <v>3712</v>
      </c>
      <c r="B3678" s="7" t="s">
        <v>5545</v>
      </c>
      <c r="C3678" s="8">
        <f>QS.CONTEXT.CREATE("market.3676",A3678,"USD","SOFR")</f>
        <v/>
      </c>
      <c r="D3678" s="8">
        <f>QS.CONTEXT.ADD.CURVE(C3678,"SOFR",$K$2:$K$7,$L$2:$L$7,,,"Actual360","LogLinear",TRUE)</f>
        <v/>
      </c>
      <c r="E3678" s="8">
        <f>QS.INSTRUMENT.SWAP("swap.3676",C3678,H3678,B3678,"USD","SOFR",I3678,J3678,0,"Actual360","Simple","Annual","Annual","Annual")</f>
        <v/>
      </c>
      <c r="F3678" s="8">
        <f>QS.TRADE.CREATE("trade.3676",C3678,E3678,A3678,"Receive")</f>
        <v/>
      </c>
      <c r="G3678" s="5"/>
      <c r="H3678" s="7" t="s">
        <v>3719</v>
      </c>
      <c r="I3678" s="9">
        <v>1367600</v>
      </c>
      <c r="J3678" s="10">
        <v>0.0376</v>
      </c>
    </row>
    <row r="3679" spans="1:10">
      <c r="A3679" s="7" t="s">
        <v>3713</v>
      </c>
      <c r="B3679" s="7" t="s">
        <v>5546</v>
      </c>
      <c r="C3679" s="8">
        <f>QS.CONTEXT.CREATE("market.3677",A3679,"USD","SOFR")</f>
        <v/>
      </c>
      <c r="D3679" s="8">
        <f>QS.CONTEXT.ADD.CURVE(C3679,"SOFR",$K$2:$K$7,$L$2:$L$7,,,"Actual360","LogLinear",TRUE)</f>
        <v/>
      </c>
      <c r="E3679" s="8">
        <f>QS.INSTRUMENT.SWAP("swap.3677",C3679,H3679,B3679,"USD","SOFR",I3679,J3679,0,"Actual360","Simple","Annual","Annual","Annual")</f>
        <v/>
      </c>
      <c r="F3679" s="8">
        <f>QS.TRADE.CREATE("trade.3677",C3679,E3679,A3679,"Receive")</f>
        <v/>
      </c>
      <c r="G3679" s="5"/>
      <c r="H3679" s="7" t="s">
        <v>3720</v>
      </c>
      <c r="I3679" s="9">
        <v>1367700</v>
      </c>
      <c r="J3679" s="10">
        <v>0.0377</v>
      </c>
    </row>
    <row r="3680" spans="1:10">
      <c r="A3680" s="7" t="s">
        <v>3714</v>
      </c>
      <c r="B3680" s="7" t="s">
        <v>5547</v>
      </c>
      <c r="C3680" s="8">
        <f>QS.CONTEXT.CREATE("market.3678",A3680,"USD","SOFR")</f>
        <v/>
      </c>
      <c r="D3680" s="8">
        <f>QS.CONTEXT.ADD.CURVE(C3680,"SOFR",$K$2:$K$7,$L$2:$L$7,,,"Actual360","LogLinear",TRUE)</f>
        <v/>
      </c>
      <c r="E3680" s="8">
        <f>QS.INSTRUMENT.SWAP("swap.3678",C3680,H3680,B3680,"USD","SOFR",I3680,J3680,0,"Actual360","Simple","Annual","Annual","Annual")</f>
        <v/>
      </c>
      <c r="F3680" s="8">
        <f>QS.TRADE.CREATE("trade.3678",C3680,E3680,A3680,"Receive")</f>
        <v/>
      </c>
      <c r="G3680" s="5"/>
      <c r="H3680" s="7" t="s">
        <v>3721</v>
      </c>
      <c r="I3680" s="9">
        <v>1367800</v>
      </c>
      <c r="J3680" s="10">
        <v>0.0378</v>
      </c>
    </row>
    <row r="3681" spans="1:10">
      <c r="A3681" s="7" t="s">
        <v>3715</v>
      </c>
      <c r="B3681" s="7" t="s">
        <v>5548</v>
      </c>
      <c r="C3681" s="8">
        <f>QS.CONTEXT.CREATE("market.3679",A3681,"USD","SOFR")</f>
        <v/>
      </c>
      <c r="D3681" s="8">
        <f>QS.CONTEXT.ADD.CURVE(C3681,"SOFR",$K$2:$K$7,$L$2:$L$7,,,"Actual360","LogLinear",TRUE)</f>
        <v/>
      </c>
      <c r="E3681" s="8">
        <f>QS.INSTRUMENT.SWAP("swap.3679",C3681,H3681,B3681,"USD","SOFR",I3681,J3681,0,"Actual360","Simple","Annual","Annual","Annual")</f>
        <v/>
      </c>
      <c r="F3681" s="8">
        <f>QS.TRADE.CREATE("trade.3679",C3681,E3681,A3681,"Receive")</f>
        <v/>
      </c>
      <c r="G3681" s="5"/>
      <c r="H3681" s="7" t="s">
        <v>3722</v>
      </c>
      <c r="I3681" s="9">
        <v>1367900</v>
      </c>
      <c r="J3681" s="10">
        <v>0.0379</v>
      </c>
    </row>
    <row r="3682" spans="1:10">
      <c r="A3682" s="7" t="s">
        <v>3716</v>
      </c>
      <c r="B3682" s="7" t="s">
        <v>5549</v>
      </c>
      <c r="C3682" s="8">
        <f>QS.CONTEXT.CREATE("market.3680",A3682,"USD","SOFR")</f>
        <v/>
      </c>
      <c r="D3682" s="8">
        <f>QS.CONTEXT.ADD.CURVE(C3682,"SOFR",$K$2:$K$7,$L$2:$L$7,,,"Actual360","LogLinear",TRUE)</f>
        <v/>
      </c>
      <c r="E3682" s="8">
        <f>QS.INSTRUMENT.SWAP("swap.3680",C3682,H3682,B3682,"USD","SOFR",I3682,J3682,0,"Actual360","Simple","Annual","Annual","Annual")</f>
        <v/>
      </c>
      <c r="F3682" s="8">
        <f>QS.TRADE.CREATE("trade.3680",C3682,E3682,A3682,"Receive")</f>
        <v/>
      </c>
      <c r="G3682" s="5"/>
      <c r="H3682" s="7" t="s">
        <v>3723</v>
      </c>
      <c r="I3682" s="9">
        <v>1368000</v>
      </c>
      <c r="J3682" s="10">
        <v>0.03800000000000001</v>
      </c>
    </row>
    <row r="3683" spans="1:10">
      <c r="A3683" s="7" t="s">
        <v>3717</v>
      </c>
      <c r="B3683" s="7" t="s">
        <v>5550</v>
      </c>
      <c r="C3683" s="8">
        <f>QS.CONTEXT.CREATE("market.3681",A3683,"USD","SOFR")</f>
        <v/>
      </c>
      <c r="D3683" s="8">
        <f>QS.CONTEXT.ADD.CURVE(C3683,"SOFR",$K$2:$K$7,$L$2:$L$7,,,"Actual360","LogLinear",TRUE)</f>
        <v/>
      </c>
      <c r="E3683" s="8">
        <f>QS.INSTRUMENT.SWAP("swap.3681",C3683,H3683,B3683,"USD","SOFR",I3683,J3683,0,"Actual360","Simple","Annual","Annual","Annual")</f>
        <v/>
      </c>
      <c r="F3683" s="8">
        <f>QS.TRADE.CREATE("trade.3681",C3683,E3683,A3683,"Receive")</f>
        <v/>
      </c>
      <c r="G3683" s="5"/>
      <c r="H3683" s="7" t="s">
        <v>3724</v>
      </c>
      <c r="I3683" s="9">
        <v>1368100</v>
      </c>
      <c r="J3683" s="10">
        <v>0.0381</v>
      </c>
    </row>
    <row r="3684" spans="1:10">
      <c r="A3684" s="7" t="s">
        <v>3718</v>
      </c>
      <c r="B3684" s="7" t="s">
        <v>5551</v>
      </c>
      <c r="C3684" s="8">
        <f>QS.CONTEXT.CREATE("market.3682",A3684,"USD","SOFR")</f>
        <v/>
      </c>
      <c r="D3684" s="8">
        <f>QS.CONTEXT.ADD.CURVE(C3684,"SOFR",$K$2:$K$7,$L$2:$L$7,,,"Actual360","LogLinear",TRUE)</f>
        <v/>
      </c>
      <c r="E3684" s="8">
        <f>QS.INSTRUMENT.SWAP("swap.3682",C3684,H3684,B3684,"USD","SOFR",I3684,J3684,0,"Actual360","Simple","Annual","Annual","Annual")</f>
        <v/>
      </c>
      <c r="F3684" s="8">
        <f>QS.TRADE.CREATE("trade.3682",C3684,E3684,A3684,"Receive")</f>
        <v/>
      </c>
      <c r="G3684" s="5"/>
      <c r="H3684" s="7" t="s">
        <v>3725</v>
      </c>
      <c r="I3684" s="9">
        <v>1368200</v>
      </c>
      <c r="J3684" s="10">
        <v>0.0382</v>
      </c>
    </row>
    <row r="3685" spans="1:10">
      <c r="A3685" s="7" t="s">
        <v>3719</v>
      </c>
      <c r="B3685" s="7" t="s">
        <v>5552</v>
      </c>
      <c r="C3685" s="8">
        <f>QS.CONTEXT.CREATE("market.3683",A3685,"USD","SOFR")</f>
        <v/>
      </c>
      <c r="D3685" s="8">
        <f>QS.CONTEXT.ADD.CURVE(C3685,"SOFR",$K$2:$K$7,$L$2:$L$7,,,"Actual360","LogLinear",TRUE)</f>
        <v/>
      </c>
      <c r="E3685" s="8">
        <f>QS.INSTRUMENT.SWAP("swap.3683",C3685,H3685,B3685,"USD","SOFR",I3685,J3685,0,"Actual360","Simple","Annual","Annual","Annual")</f>
        <v/>
      </c>
      <c r="F3685" s="8">
        <f>QS.TRADE.CREATE("trade.3683",C3685,E3685,A3685,"Receive")</f>
        <v/>
      </c>
      <c r="G3685" s="5"/>
      <c r="H3685" s="7" t="s">
        <v>3726</v>
      </c>
      <c r="I3685" s="9">
        <v>1368300</v>
      </c>
      <c r="J3685" s="10">
        <v>0.0383</v>
      </c>
    </row>
    <row r="3686" spans="1:10">
      <c r="A3686" s="7" t="s">
        <v>3720</v>
      </c>
      <c r="B3686" s="7" t="s">
        <v>5553</v>
      </c>
      <c r="C3686" s="8">
        <f>QS.CONTEXT.CREATE("market.3684",A3686,"USD","SOFR")</f>
        <v/>
      </c>
      <c r="D3686" s="8">
        <f>QS.CONTEXT.ADD.CURVE(C3686,"SOFR",$K$2:$K$7,$L$2:$L$7,,,"Actual360","LogLinear",TRUE)</f>
        <v/>
      </c>
      <c r="E3686" s="8">
        <f>QS.INSTRUMENT.SWAP("swap.3684",C3686,H3686,B3686,"USD","SOFR",I3686,J3686,0,"Actual360","Simple","Annual","Annual","Annual")</f>
        <v/>
      </c>
      <c r="F3686" s="8">
        <f>QS.TRADE.CREATE("trade.3684",C3686,E3686,A3686,"Receive")</f>
        <v/>
      </c>
      <c r="G3686" s="5"/>
      <c r="H3686" s="7" t="s">
        <v>3727</v>
      </c>
      <c r="I3686" s="9">
        <v>1368400</v>
      </c>
      <c r="J3686" s="10">
        <v>0.0384</v>
      </c>
    </row>
    <row r="3687" spans="1:10">
      <c r="A3687" s="7" t="s">
        <v>3721</v>
      </c>
      <c r="B3687" s="7" t="s">
        <v>5554</v>
      </c>
      <c r="C3687" s="8">
        <f>QS.CONTEXT.CREATE("market.3685",A3687,"USD","SOFR")</f>
        <v/>
      </c>
      <c r="D3687" s="8">
        <f>QS.CONTEXT.ADD.CURVE(C3687,"SOFR",$K$2:$K$7,$L$2:$L$7,,,"Actual360","LogLinear",TRUE)</f>
        <v/>
      </c>
      <c r="E3687" s="8">
        <f>QS.INSTRUMENT.SWAP("swap.3685",C3687,H3687,B3687,"USD","SOFR",I3687,J3687,0,"Actual360","Simple","Annual","Annual","Annual")</f>
        <v/>
      </c>
      <c r="F3687" s="8">
        <f>QS.TRADE.CREATE("trade.3685",C3687,E3687,A3687,"Receive")</f>
        <v/>
      </c>
      <c r="G3687" s="5"/>
      <c r="H3687" s="7" t="s">
        <v>3728</v>
      </c>
      <c r="I3687" s="9">
        <v>1368500</v>
      </c>
      <c r="J3687" s="10">
        <v>0.03850000000000001</v>
      </c>
    </row>
    <row r="3688" spans="1:10">
      <c r="A3688" s="7" t="s">
        <v>3722</v>
      </c>
      <c r="B3688" s="7" t="s">
        <v>5555</v>
      </c>
      <c r="C3688" s="8">
        <f>QS.CONTEXT.CREATE("market.3686",A3688,"USD","SOFR")</f>
        <v/>
      </c>
      <c r="D3688" s="8">
        <f>QS.CONTEXT.ADD.CURVE(C3688,"SOFR",$K$2:$K$7,$L$2:$L$7,,,"Actual360","LogLinear",TRUE)</f>
        <v/>
      </c>
      <c r="E3688" s="8">
        <f>QS.INSTRUMENT.SWAP("swap.3686",C3688,H3688,B3688,"USD","SOFR",I3688,J3688,0,"Actual360","Simple","Annual","Annual","Annual")</f>
        <v/>
      </c>
      <c r="F3688" s="8">
        <f>QS.TRADE.CREATE("trade.3686",C3688,E3688,A3688,"Receive")</f>
        <v/>
      </c>
      <c r="G3688" s="5"/>
      <c r="H3688" s="7" t="s">
        <v>3729</v>
      </c>
      <c r="I3688" s="9">
        <v>1368600</v>
      </c>
      <c r="J3688" s="10">
        <v>0.0386</v>
      </c>
    </row>
    <row r="3689" spans="1:10">
      <c r="A3689" s="7" t="s">
        <v>3723</v>
      </c>
      <c r="B3689" s="7" t="s">
        <v>5556</v>
      </c>
      <c r="C3689" s="8">
        <f>QS.CONTEXT.CREATE("market.3687",A3689,"USD","SOFR")</f>
        <v/>
      </c>
      <c r="D3689" s="8">
        <f>QS.CONTEXT.ADD.CURVE(C3689,"SOFR",$K$2:$K$7,$L$2:$L$7,,,"Actual360","LogLinear",TRUE)</f>
        <v/>
      </c>
      <c r="E3689" s="8">
        <f>QS.INSTRUMENT.SWAP("swap.3687",C3689,H3689,B3689,"USD","SOFR",I3689,J3689,0,"Actual360","Simple","Annual","Annual","Annual")</f>
        <v/>
      </c>
      <c r="F3689" s="8">
        <f>QS.TRADE.CREATE("trade.3687",C3689,E3689,A3689,"Receive")</f>
        <v/>
      </c>
      <c r="G3689" s="5"/>
      <c r="H3689" s="7" t="s">
        <v>3730</v>
      </c>
      <c r="I3689" s="9">
        <v>1368700</v>
      </c>
      <c r="J3689" s="10">
        <v>0.03870000000000001</v>
      </c>
    </row>
    <row r="3690" spans="1:10">
      <c r="A3690" s="7" t="s">
        <v>3724</v>
      </c>
      <c r="B3690" s="7" t="s">
        <v>5557</v>
      </c>
      <c r="C3690" s="8">
        <f>QS.CONTEXT.CREATE("market.3688",A3690,"USD","SOFR")</f>
        <v/>
      </c>
      <c r="D3690" s="8">
        <f>QS.CONTEXT.ADD.CURVE(C3690,"SOFR",$K$2:$K$7,$L$2:$L$7,,,"Actual360","LogLinear",TRUE)</f>
        <v/>
      </c>
      <c r="E3690" s="8">
        <f>QS.INSTRUMENT.SWAP("swap.3688",C3690,H3690,B3690,"USD","SOFR",I3690,J3690,0,"Actual360","Simple","Annual","Annual","Annual")</f>
        <v/>
      </c>
      <c r="F3690" s="8">
        <f>QS.TRADE.CREATE("trade.3688",C3690,E3690,A3690,"Receive")</f>
        <v/>
      </c>
      <c r="G3690" s="5"/>
      <c r="H3690" s="7" t="s">
        <v>3731</v>
      </c>
      <c r="I3690" s="9">
        <v>1368800</v>
      </c>
      <c r="J3690" s="10">
        <v>0.0388</v>
      </c>
    </row>
    <row r="3691" spans="1:10">
      <c r="A3691" s="7" t="s">
        <v>3725</v>
      </c>
      <c r="B3691" s="7" t="s">
        <v>5558</v>
      </c>
      <c r="C3691" s="8">
        <f>QS.CONTEXT.CREATE("market.3689",A3691,"USD","SOFR")</f>
        <v/>
      </c>
      <c r="D3691" s="8">
        <f>QS.CONTEXT.ADD.CURVE(C3691,"SOFR",$K$2:$K$7,$L$2:$L$7,,,"Actual360","LogLinear",TRUE)</f>
        <v/>
      </c>
      <c r="E3691" s="8">
        <f>QS.INSTRUMENT.SWAP("swap.3689",C3691,H3691,B3691,"USD","SOFR",I3691,J3691,0,"Actual360","Simple","Annual","Annual","Annual")</f>
        <v/>
      </c>
      <c r="F3691" s="8">
        <f>QS.TRADE.CREATE("trade.3689",C3691,E3691,A3691,"Receive")</f>
        <v/>
      </c>
      <c r="G3691" s="5"/>
      <c r="H3691" s="7" t="s">
        <v>3732</v>
      </c>
      <c r="I3691" s="9">
        <v>1368900</v>
      </c>
      <c r="J3691" s="10">
        <v>0.0389</v>
      </c>
    </row>
    <row r="3692" spans="1:10">
      <c r="A3692" s="7" t="s">
        <v>3726</v>
      </c>
      <c r="B3692" s="7" t="s">
        <v>5559</v>
      </c>
      <c r="C3692" s="8">
        <f>QS.CONTEXT.CREATE("market.3690",A3692,"USD","SOFR")</f>
        <v/>
      </c>
      <c r="D3692" s="8">
        <f>QS.CONTEXT.ADD.CURVE(C3692,"SOFR",$K$2:$K$7,$L$2:$L$7,,,"Actual360","LogLinear",TRUE)</f>
        <v/>
      </c>
      <c r="E3692" s="8">
        <f>QS.INSTRUMENT.SWAP("swap.3690",C3692,H3692,B3692,"USD","SOFR",I3692,J3692,0,"Actual360","Simple","Annual","Annual","Annual")</f>
        <v/>
      </c>
      <c r="F3692" s="8">
        <f>QS.TRADE.CREATE("trade.3690",C3692,E3692,A3692,"Receive")</f>
        <v/>
      </c>
      <c r="G3692" s="5"/>
      <c r="H3692" s="7" t="s">
        <v>3733</v>
      </c>
      <c r="I3692" s="9">
        <v>1369000</v>
      </c>
      <c r="J3692" s="10">
        <v>0.03900000000000001</v>
      </c>
    </row>
    <row r="3693" spans="1:10">
      <c r="A3693" s="7" t="s">
        <v>3727</v>
      </c>
      <c r="B3693" s="7" t="s">
        <v>5560</v>
      </c>
      <c r="C3693" s="8">
        <f>QS.CONTEXT.CREATE("market.3691",A3693,"USD","SOFR")</f>
        <v/>
      </c>
      <c r="D3693" s="8">
        <f>QS.CONTEXT.ADD.CURVE(C3693,"SOFR",$K$2:$K$7,$L$2:$L$7,,,"Actual360","LogLinear",TRUE)</f>
        <v/>
      </c>
      <c r="E3693" s="8">
        <f>QS.INSTRUMENT.SWAP("swap.3691",C3693,H3693,B3693,"USD","SOFR",I3693,J3693,0,"Actual360","Simple","Annual","Annual","Annual")</f>
        <v/>
      </c>
      <c r="F3693" s="8">
        <f>QS.TRADE.CREATE("trade.3691",C3693,E3693,A3693,"Receive")</f>
        <v/>
      </c>
      <c r="G3693" s="5"/>
      <c r="H3693" s="7" t="s">
        <v>3734</v>
      </c>
      <c r="I3693" s="9">
        <v>1369100</v>
      </c>
      <c r="J3693" s="10">
        <v>0.0391</v>
      </c>
    </row>
    <row r="3694" spans="1:10">
      <c r="A3694" s="7" t="s">
        <v>3728</v>
      </c>
      <c r="B3694" s="7" t="s">
        <v>5561</v>
      </c>
      <c r="C3694" s="8">
        <f>QS.CONTEXT.CREATE("market.3692",A3694,"USD","SOFR")</f>
        <v/>
      </c>
      <c r="D3694" s="8">
        <f>QS.CONTEXT.ADD.CURVE(C3694,"SOFR",$K$2:$K$7,$L$2:$L$7,,,"Actual360","LogLinear",TRUE)</f>
        <v/>
      </c>
      <c r="E3694" s="8">
        <f>QS.INSTRUMENT.SWAP("swap.3692",C3694,H3694,B3694,"USD","SOFR",I3694,J3694,0,"Actual360","Simple","Annual","Annual","Annual")</f>
        <v/>
      </c>
      <c r="F3694" s="8">
        <f>QS.TRADE.CREATE("trade.3692",C3694,E3694,A3694,"Receive")</f>
        <v/>
      </c>
      <c r="G3694" s="5"/>
      <c r="H3694" s="7" t="s">
        <v>3735</v>
      </c>
      <c r="I3694" s="9">
        <v>1369200</v>
      </c>
      <c r="J3694" s="10">
        <v>0.03920000000000001</v>
      </c>
    </row>
    <row r="3695" spans="1:10">
      <c r="A3695" s="7" t="s">
        <v>3729</v>
      </c>
      <c r="B3695" s="7" t="s">
        <v>5562</v>
      </c>
      <c r="C3695" s="8">
        <f>QS.CONTEXT.CREATE("market.3693",A3695,"USD","SOFR")</f>
        <v/>
      </c>
      <c r="D3695" s="8">
        <f>QS.CONTEXT.ADD.CURVE(C3695,"SOFR",$K$2:$K$7,$L$2:$L$7,,,"Actual360","LogLinear",TRUE)</f>
        <v/>
      </c>
      <c r="E3695" s="8">
        <f>QS.INSTRUMENT.SWAP("swap.3693",C3695,H3695,B3695,"USD","SOFR",I3695,J3695,0,"Actual360","Simple","Annual","Annual","Annual")</f>
        <v/>
      </c>
      <c r="F3695" s="8">
        <f>QS.TRADE.CREATE("trade.3693",C3695,E3695,A3695,"Receive")</f>
        <v/>
      </c>
      <c r="G3695" s="5"/>
      <c r="H3695" s="7" t="s">
        <v>3736</v>
      </c>
      <c r="I3695" s="9">
        <v>1369300</v>
      </c>
      <c r="J3695" s="10">
        <v>0.0393</v>
      </c>
    </row>
    <row r="3696" spans="1:10">
      <c r="A3696" s="7" t="s">
        <v>3730</v>
      </c>
      <c r="B3696" s="7" t="s">
        <v>5563</v>
      </c>
      <c r="C3696" s="8">
        <f>QS.CONTEXT.CREATE("market.3694",A3696,"USD","SOFR")</f>
        <v/>
      </c>
      <c r="D3696" s="8">
        <f>QS.CONTEXT.ADD.CURVE(C3696,"SOFR",$K$2:$K$7,$L$2:$L$7,,,"Actual360","LogLinear",TRUE)</f>
        <v/>
      </c>
      <c r="E3696" s="8">
        <f>QS.INSTRUMENT.SWAP("swap.3694",C3696,H3696,B3696,"USD","SOFR",I3696,J3696,0,"Actual360","Simple","Annual","Annual","Annual")</f>
        <v/>
      </c>
      <c r="F3696" s="8">
        <f>QS.TRADE.CREATE("trade.3694",C3696,E3696,A3696,"Receive")</f>
        <v/>
      </c>
      <c r="G3696" s="5"/>
      <c r="H3696" s="7" t="s">
        <v>3737</v>
      </c>
      <c r="I3696" s="9">
        <v>1369400</v>
      </c>
      <c r="J3696" s="10">
        <v>0.0394</v>
      </c>
    </row>
    <row r="3697" spans="1:10">
      <c r="A3697" s="7" t="s">
        <v>3731</v>
      </c>
      <c r="B3697" s="7" t="s">
        <v>5564</v>
      </c>
      <c r="C3697" s="8">
        <f>QS.CONTEXT.CREATE("market.3695",A3697,"USD","SOFR")</f>
        <v/>
      </c>
      <c r="D3697" s="8">
        <f>QS.CONTEXT.ADD.CURVE(C3697,"SOFR",$K$2:$K$7,$L$2:$L$7,,,"Actual360","LogLinear",TRUE)</f>
        <v/>
      </c>
      <c r="E3697" s="8">
        <f>QS.INSTRUMENT.SWAP("swap.3695",C3697,H3697,B3697,"USD","SOFR",I3697,J3697,0,"Actual360","Simple","Annual","Annual","Annual")</f>
        <v/>
      </c>
      <c r="F3697" s="8">
        <f>QS.TRADE.CREATE("trade.3695",C3697,E3697,A3697,"Receive")</f>
        <v/>
      </c>
      <c r="G3697" s="5"/>
      <c r="H3697" s="7" t="s">
        <v>3738</v>
      </c>
      <c r="I3697" s="9">
        <v>1369500</v>
      </c>
      <c r="J3697" s="10">
        <v>0.03950000000000001</v>
      </c>
    </row>
    <row r="3698" spans="1:10">
      <c r="A3698" s="7" t="s">
        <v>3732</v>
      </c>
      <c r="B3698" s="7" t="s">
        <v>5565</v>
      </c>
      <c r="C3698" s="8">
        <f>QS.CONTEXT.CREATE("market.3696",A3698,"USD","SOFR")</f>
        <v/>
      </c>
      <c r="D3698" s="8">
        <f>QS.CONTEXT.ADD.CURVE(C3698,"SOFR",$K$2:$K$7,$L$2:$L$7,,,"Actual360","LogLinear",TRUE)</f>
        <v/>
      </c>
      <c r="E3698" s="8">
        <f>QS.INSTRUMENT.SWAP("swap.3696",C3698,H3698,B3698,"USD","SOFR",I3698,J3698,0,"Actual360","Simple","Annual","Annual","Annual")</f>
        <v/>
      </c>
      <c r="F3698" s="8">
        <f>QS.TRADE.CREATE("trade.3696",C3698,E3698,A3698,"Receive")</f>
        <v/>
      </c>
      <c r="G3698" s="5"/>
      <c r="H3698" s="7" t="s">
        <v>3739</v>
      </c>
      <c r="I3698" s="9">
        <v>1369600</v>
      </c>
      <c r="J3698" s="10">
        <v>0.0396</v>
      </c>
    </row>
    <row r="3699" spans="1:10">
      <c r="A3699" s="7" t="s">
        <v>3733</v>
      </c>
      <c r="B3699" s="7" t="s">
        <v>5566</v>
      </c>
      <c r="C3699" s="8">
        <f>QS.CONTEXT.CREATE("market.3697",A3699,"USD","SOFR")</f>
        <v/>
      </c>
      <c r="D3699" s="8">
        <f>QS.CONTEXT.ADD.CURVE(C3699,"SOFR",$K$2:$K$7,$L$2:$L$7,,,"Actual360","LogLinear",TRUE)</f>
        <v/>
      </c>
      <c r="E3699" s="8">
        <f>QS.INSTRUMENT.SWAP("swap.3697",C3699,H3699,B3699,"USD","SOFR",I3699,J3699,0,"Actual360","Simple","Annual","Annual","Annual")</f>
        <v/>
      </c>
      <c r="F3699" s="8">
        <f>QS.TRADE.CREATE("trade.3697",C3699,E3699,A3699,"Receive")</f>
        <v/>
      </c>
      <c r="G3699" s="5"/>
      <c r="H3699" s="7" t="s">
        <v>3740</v>
      </c>
      <c r="I3699" s="9">
        <v>1369700</v>
      </c>
      <c r="J3699" s="10">
        <v>0.03970000000000001</v>
      </c>
    </row>
    <row r="3700" spans="1:10">
      <c r="A3700" s="7" t="s">
        <v>3734</v>
      </c>
      <c r="B3700" s="7" t="s">
        <v>5567</v>
      </c>
      <c r="C3700" s="8">
        <f>QS.CONTEXT.CREATE("market.3698",A3700,"USD","SOFR")</f>
        <v/>
      </c>
      <c r="D3700" s="8">
        <f>QS.CONTEXT.ADD.CURVE(C3700,"SOFR",$K$2:$K$7,$L$2:$L$7,,,"Actual360","LogLinear",TRUE)</f>
        <v/>
      </c>
      <c r="E3700" s="8">
        <f>QS.INSTRUMENT.SWAP("swap.3698",C3700,H3700,B3700,"USD","SOFR",I3700,J3700,0,"Actual360","Simple","Annual","Annual","Annual")</f>
        <v/>
      </c>
      <c r="F3700" s="8">
        <f>QS.TRADE.CREATE("trade.3698",C3700,E3700,A3700,"Receive")</f>
        <v/>
      </c>
      <c r="G3700" s="5"/>
      <c r="H3700" s="7" t="s">
        <v>3741</v>
      </c>
      <c r="I3700" s="9">
        <v>1369800</v>
      </c>
      <c r="J3700" s="10">
        <v>0.0398</v>
      </c>
    </row>
    <row r="3701" spans="1:10">
      <c r="A3701" s="7" t="s">
        <v>3735</v>
      </c>
      <c r="B3701" s="7" t="s">
        <v>5568</v>
      </c>
      <c r="C3701" s="8">
        <f>QS.CONTEXT.CREATE("market.3699",A3701,"USD","SOFR")</f>
        <v/>
      </c>
      <c r="D3701" s="8">
        <f>QS.CONTEXT.ADD.CURVE(C3701,"SOFR",$K$2:$K$7,$L$2:$L$7,,,"Actual360","LogLinear",TRUE)</f>
        <v/>
      </c>
      <c r="E3701" s="8">
        <f>QS.INSTRUMENT.SWAP("swap.3699",C3701,H3701,B3701,"USD","SOFR",I3701,J3701,0,"Actual360","Simple","Annual","Annual","Annual")</f>
        <v/>
      </c>
      <c r="F3701" s="8">
        <f>QS.TRADE.CREATE("trade.3699",C3701,E3701,A3701,"Receive")</f>
        <v/>
      </c>
      <c r="G3701" s="5"/>
      <c r="H3701" s="7" t="s">
        <v>3742</v>
      </c>
      <c r="I3701" s="9">
        <v>1369900</v>
      </c>
      <c r="J3701" s="10">
        <v>0.0399</v>
      </c>
    </row>
    <row r="3702" spans="1:10">
      <c r="A3702" s="7" t="s">
        <v>3736</v>
      </c>
      <c r="B3702" s="7" t="s">
        <v>5569</v>
      </c>
      <c r="C3702" s="8">
        <f>QS.CONTEXT.CREATE("market.3700",A3702,"USD","SOFR")</f>
        <v/>
      </c>
      <c r="D3702" s="8">
        <f>QS.CONTEXT.ADD.CURVE(C3702,"SOFR",$K$2:$K$7,$L$2:$L$7,,,"Actual360","LogLinear",TRUE)</f>
        <v/>
      </c>
      <c r="E3702" s="8">
        <f>QS.INSTRUMENT.SWAP("swap.3700",C3702,H3702,B3702,"USD","SOFR",I3702,J3702,0,"Actual360","Simple","Annual","Annual","Annual")</f>
        <v/>
      </c>
      <c r="F3702" s="8">
        <f>QS.TRADE.CREATE("trade.3700",C3702,E3702,A3702,"Receive")</f>
        <v/>
      </c>
      <c r="G3702" s="5"/>
      <c r="H3702" s="7" t="s">
        <v>3743</v>
      </c>
      <c r="I3702" s="9">
        <v>1370000</v>
      </c>
      <c r="J3702" s="10">
        <v>0.035</v>
      </c>
    </row>
    <row r="3703" spans="1:10">
      <c r="A3703" s="7" t="s">
        <v>3737</v>
      </c>
      <c r="B3703" s="7" t="s">
        <v>5570</v>
      </c>
      <c r="C3703" s="8">
        <f>QS.CONTEXT.CREATE("market.3701",A3703,"USD","SOFR")</f>
        <v/>
      </c>
      <c r="D3703" s="8">
        <f>QS.CONTEXT.ADD.CURVE(C3703,"SOFR",$K$2:$K$7,$L$2:$L$7,,,"Actual360","LogLinear",TRUE)</f>
        <v/>
      </c>
      <c r="E3703" s="8">
        <f>QS.INSTRUMENT.SWAP("swap.3701",C3703,H3703,B3703,"USD","SOFR",I3703,J3703,0,"Actual360","Simple","Annual","Annual","Annual")</f>
        <v/>
      </c>
      <c r="F3703" s="8">
        <f>QS.TRADE.CREATE("trade.3701",C3703,E3703,A3703,"Receive")</f>
        <v/>
      </c>
      <c r="G3703" s="5"/>
      <c r="H3703" s="7" t="s">
        <v>3744</v>
      </c>
      <c r="I3703" s="9">
        <v>1370100</v>
      </c>
      <c r="J3703" s="10">
        <v>0.03510000000000001</v>
      </c>
    </row>
    <row r="3704" spans="1:10">
      <c r="A3704" s="7" t="s">
        <v>3738</v>
      </c>
      <c r="B3704" s="7" t="s">
        <v>5571</v>
      </c>
      <c r="C3704" s="8">
        <f>QS.CONTEXT.CREATE("market.3702",A3704,"USD","SOFR")</f>
        <v/>
      </c>
      <c r="D3704" s="8">
        <f>QS.CONTEXT.ADD.CURVE(C3704,"SOFR",$K$2:$K$7,$L$2:$L$7,,,"Actual360","LogLinear",TRUE)</f>
        <v/>
      </c>
      <c r="E3704" s="8">
        <f>QS.INSTRUMENT.SWAP("swap.3702",C3704,H3704,B3704,"USD","SOFR",I3704,J3704,0,"Actual360","Simple","Annual","Annual","Annual")</f>
        <v/>
      </c>
      <c r="F3704" s="8">
        <f>QS.TRADE.CREATE("trade.3702",C3704,E3704,A3704,"Receive")</f>
        <v/>
      </c>
      <c r="G3704" s="5"/>
      <c r="H3704" s="7" t="s">
        <v>3745</v>
      </c>
      <c r="I3704" s="9">
        <v>1370200</v>
      </c>
      <c r="J3704" s="10">
        <v>0.0352</v>
      </c>
    </row>
    <row r="3705" spans="1:10">
      <c r="A3705" s="7" t="s">
        <v>3739</v>
      </c>
      <c r="B3705" s="7" t="s">
        <v>5572</v>
      </c>
      <c r="C3705" s="8">
        <f>QS.CONTEXT.CREATE("market.3703",A3705,"USD","SOFR")</f>
        <v/>
      </c>
      <c r="D3705" s="8">
        <f>QS.CONTEXT.ADD.CURVE(C3705,"SOFR",$K$2:$K$7,$L$2:$L$7,,,"Actual360","LogLinear",TRUE)</f>
        <v/>
      </c>
      <c r="E3705" s="8">
        <f>QS.INSTRUMENT.SWAP("swap.3703",C3705,H3705,B3705,"USD","SOFR",I3705,J3705,0,"Actual360","Simple","Annual","Annual","Annual")</f>
        <v/>
      </c>
      <c r="F3705" s="8">
        <f>QS.TRADE.CREATE("trade.3703",C3705,E3705,A3705,"Receive")</f>
        <v/>
      </c>
      <c r="G3705" s="5"/>
      <c r="H3705" s="7" t="s">
        <v>3746</v>
      </c>
      <c r="I3705" s="9">
        <v>1370300</v>
      </c>
      <c r="J3705" s="10">
        <v>0.0353</v>
      </c>
    </row>
    <row r="3706" spans="1:10">
      <c r="A3706" s="7" t="s">
        <v>3740</v>
      </c>
      <c r="B3706" s="7" t="s">
        <v>5572</v>
      </c>
      <c r="C3706" s="8">
        <f>QS.CONTEXT.CREATE("market.3704",A3706,"USD","SOFR")</f>
        <v/>
      </c>
      <c r="D3706" s="8">
        <f>QS.CONTEXT.ADD.CURVE(C3706,"SOFR",$K$2:$K$7,$L$2:$L$7,,,"Actual360","LogLinear",TRUE)</f>
        <v/>
      </c>
      <c r="E3706" s="8">
        <f>QS.INSTRUMENT.SWAP("swap.3704",C3706,H3706,B3706,"USD","SOFR",I3706,J3706,0,"Actual360","Simple","Annual","Annual","Annual")</f>
        <v/>
      </c>
      <c r="F3706" s="8">
        <f>QS.TRADE.CREATE("trade.3704",C3706,E3706,A3706,"Receive")</f>
        <v/>
      </c>
      <c r="G3706" s="5"/>
      <c r="H3706" s="7" t="s">
        <v>5573</v>
      </c>
      <c r="I3706" s="9">
        <v>1370400</v>
      </c>
      <c r="J3706" s="10">
        <v>0.0354</v>
      </c>
    </row>
    <row r="3707" spans="1:10">
      <c r="A3707" s="7" t="s">
        <v>3741</v>
      </c>
      <c r="B3707" s="7" t="s">
        <v>5574</v>
      </c>
      <c r="C3707" s="8">
        <f>QS.CONTEXT.CREATE("market.3705",A3707,"USD","SOFR")</f>
        <v/>
      </c>
      <c r="D3707" s="8">
        <f>QS.CONTEXT.ADD.CURVE(C3707,"SOFR",$K$2:$K$7,$L$2:$L$7,,,"Actual360","LogLinear",TRUE)</f>
        <v/>
      </c>
      <c r="E3707" s="8">
        <f>QS.INSTRUMENT.SWAP("swap.3705",C3707,H3707,B3707,"USD","SOFR",I3707,J3707,0,"Actual360","Simple","Annual","Annual","Annual")</f>
        <v/>
      </c>
      <c r="F3707" s="8">
        <f>QS.TRADE.CREATE("trade.3705",C3707,E3707,A3707,"Receive")</f>
        <v/>
      </c>
      <c r="G3707" s="5"/>
      <c r="H3707" s="7" t="s">
        <v>3747</v>
      </c>
      <c r="I3707" s="9">
        <v>1370500</v>
      </c>
      <c r="J3707" s="10">
        <v>0.0355</v>
      </c>
    </row>
    <row r="3708" spans="1:10">
      <c r="A3708" s="7" t="s">
        <v>3742</v>
      </c>
      <c r="B3708" s="7" t="s">
        <v>5575</v>
      </c>
      <c r="C3708" s="8">
        <f>QS.CONTEXT.CREATE("market.3706",A3708,"USD","SOFR")</f>
        <v/>
      </c>
      <c r="D3708" s="8">
        <f>QS.CONTEXT.ADD.CURVE(C3708,"SOFR",$K$2:$K$7,$L$2:$L$7,,,"Actual360","LogLinear",TRUE)</f>
        <v/>
      </c>
      <c r="E3708" s="8">
        <f>QS.INSTRUMENT.SWAP("swap.3706",C3708,H3708,B3708,"USD","SOFR",I3708,J3708,0,"Actual360","Simple","Annual","Annual","Annual")</f>
        <v/>
      </c>
      <c r="F3708" s="8">
        <f>QS.TRADE.CREATE("trade.3706",C3708,E3708,A3708,"Receive")</f>
        <v/>
      </c>
      <c r="G3708" s="5"/>
      <c r="H3708" s="7" t="s">
        <v>3748</v>
      </c>
      <c r="I3708" s="9">
        <v>1370600</v>
      </c>
      <c r="J3708" s="10">
        <v>0.03560000000000001</v>
      </c>
    </row>
    <row r="3709" spans="1:10">
      <c r="A3709" s="7" t="s">
        <v>3743</v>
      </c>
      <c r="B3709" s="7" t="s">
        <v>5576</v>
      </c>
      <c r="C3709" s="8">
        <f>QS.CONTEXT.CREATE("market.3707",A3709,"USD","SOFR")</f>
        <v/>
      </c>
      <c r="D3709" s="8">
        <f>QS.CONTEXT.ADD.CURVE(C3709,"SOFR",$K$2:$K$7,$L$2:$L$7,,,"Actual360","LogLinear",TRUE)</f>
        <v/>
      </c>
      <c r="E3709" s="8">
        <f>QS.INSTRUMENT.SWAP("swap.3707",C3709,H3709,B3709,"USD","SOFR",I3709,J3709,0,"Actual360","Simple","Annual","Annual","Annual")</f>
        <v/>
      </c>
      <c r="F3709" s="8">
        <f>QS.TRADE.CREATE("trade.3707",C3709,E3709,A3709,"Receive")</f>
        <v/>
      </c>
      <c r="G3709" s="5"/>
      <c r="H3709" s="7" t="s">
        <v>3749</v>
      </c>
      <c r="I3709" s="9">
        <v>1370700</v>
      </c>
      <c r="J3709" s="10">
        <v>0.0357</v>
      </c>
    </row>
    <row r="3710" spans="1:10">
      <c r="A3710" s="7" t="s">
        <v>3744</v>
      </c>
      <c r="B3710" s="7" t="s">
        <v>5577</v>
      </c>
      <c r="C3710" s="8">
        <f>QS.CONTEXT.CREATE("market.3708",A3710,"USD","SOFR")</f>
        <v/>
      </c>
      <c r="D3710" s="8">
        <f>QS.CONTEXT.ADD.CURVE(C3710,"SOFR",$K$2:$K$7,$L$2:$L$7,,,"Actual360","LogLinear",TRUE)</f>
        <v/>
      </c>
      <c r="E3710" s="8">
        <f>QS.INSTRUMENT.SWAP("swap.3708",C3710,H3710,B3710,"USD","SOFR",I3710,J3710,0,"Actual360","Simple","Annual","Annual","Annual")</f>
        <v/>
      </c>
      <c r="F3710" s="8">
        <f>QS.TRADE.CREATE("trade.3708",C3710,E3710,A3710,"Receive")</f>
        <v/>
      </c>
      <c r="G3710" s="5"/>
      <c r="H3710" s="7" t="s">
        <v>3750</v>
      </c>
      <c r="I3710" s="9">
        <v>1370800</v>
      </c>
      <c r="J3710" s="10">
        <v>0.03580000000000001</v>
      </c>
    </row>
    <row r="3711" spans="1:10">
      <c r="A3711" s="7" t="s">
        <v>3745</v>
      </c>
      <c r="B3711" s="7" t="s">
        <v>5578</v>
      </c>
      <c r="C3711" s="8">
        <f>QS.CONTEXT.CREATE("market.3709",A3711,"USD","SOFR")</f>
        <v/>
      </c>
      <c r="D3711" s="8">
        <f>QS.CONTEXT.ADD.CURVE(C3711,"SOFR",$K$2:$K$7,$L$2:$L$7,,,"Actual360","LogLinear",TRUE)</f>
        <v/>
      </c>
      <c r="E3711" s="8">
        <f>QS.INSTRUMENT.SWAP("swap.3709",C3711,H3711,B3711,"USD","SOFR",I3711,J3711,0,"Actual360","Simple","Annual","Annual","Annual")</f>
        <v/>
      </c>
      <c r="F3711" s="8">
        <f>QS.TRADE.CREATE("trade.3709",C3711,E3711,A3711,"Receive")</f>
        <v/>
      </c>
      <c r="G3711" s="5"/>
      <c r="H3711" s="7" t="s">
        <v>3751</v>
      </c>
      <c r="I3711" s="9">
        <v>1370900</v>
      </c>
      <c r="J3711" s="10">
        <v>0.0359</v>
      </c>
    </row>
    <row r="3712" spans="1:10">
      <c r="A3712" s="7" t="s">
        <v>3746</v>
      </c>
      <c r="B3712" s="7" t="s">
        <v>5579</v>
      </c>
      <c r="C3712" s="8">
        <f>QS.CONTEXT.CREATE("market.3710",A3712,"USD","SOFR")</f>
        <v/>
      </c>
      <c r="D3712" s="8">
        <f>QS.CONTEXT.ADD.CURVE(C3712,"SOFR",$K$2:$K$7,$L$2:$L$7,,,"Actual360","LogLinear",TRUE)</f>
        <v/>
      </c>
      <c r="E3712" s="8">
        <f>QS.INSTRUMENT.SWAP("swap.3710",C3712,H3712,B3712,"USD","SOFR",I3712,J3712,0,"Actual360","Simple","Annual","Annual","Annual")</f>
        <v/>
      </c>
      <c r="F3712" s="8">
        <f>QS.TRADE.CREATE("trade.3710",C3712,E3712,A3712,"Receive")</f>
        <v/>
      </c>
      <c r="G3712" s="5"/>
      <c r="H3712" s="7" t="s">
        <v>3752</v>
      </c>
      <c r="I3712" s="9">
        <v>1371000</v>
      </c>
      <c r="J3712" s="10">
        <v>0.036</v>
      </c>
    </row>
    <row r="3713" spans="1:10">
      <c r="A3713" s="7" t="s">
        <v>5573</v>
      </c>
      <c r="B3713" s="7" t="s">
        <v>5580</v>
      </c>
      <c r="C3713" s="8">
        <f>QS.CONTEXT.CREATE("market.3711",A3713,"USD","SOFR")</f>
        <v/>
      </c>
      <c r="D3713" s="8">
        <f>QS.CONTEXT.ADD.CURVE(C3713,"SOFR",$K$2:$K$7,$L$2:$L$7,,,"Actual360","LogLinear",TRUE)</f>
        <v/>
      </c>
      <c r="E3713" s="8">
        <f>QS.INSTRUMENT.SWAP("swap.3711",C3713,H3713,B3713,"USD","SOFR",I3713,J3713,0,"Actual360","Simple","Annual","Annual","Annual")</f>
        <v/>
      </c>
      <c r="F3713" s="8">
        <f>QS.TRADE.CREATE("trade.3711",C3713,E3713,A3713,"Receive")</f>
        <v/>
      </c>
      <c r="G3713" s="5"/>
      <c r="H3713" s="7" t="s">
        <v>3753</v>
      </c>
      <c r="I3713" s="9">
        <v>1371100</v>
      </c>
      <c r="J3713" s="10">
        <v>0.0361</v>
      </c>
    </row>
    <row r="3714" spans="1:10">
      <c r="A3714" s="7" t="s">
        <v>3747</v>
      </c>
      <c r="B3714" s="7" t="s">
        <v>5581</v>
      </c>
      <c r="C3714" s="8">
        <f>QS.CONTEXT.CREATE("market.3712",A3714,"USD","SOFR")</f>
        <v/>
      </c>
      <c r="D3714" s="8">
        <f>QS.CONTEXT.ADD.CURVE(C3714,"SOFR",$K$2:$K$7,$L$2:$L$7,,,"Actual360","LogLinear",TRUE)</f>
        <v/>
      </c>
      <c r="E3714" s="8">
        <f>QS.INSTRUMENT.SWAP("swap.3712",C3714,H3714,B3714,"USD","SOFR",I3714,J3714,0,"Actual360","Simple","Annual","Annual","Annual")</f>
        <v/>
      </c>
      <c r="F3714" s="8">
        <f>QS.TRADE.CREATE("trade.3712",C3714,E3714,A3714,"Receive")</f>
        <v/>
      </c>
      <c r="G3714" s="5"/>
      <c r="H3714" s="7" t="s">
        <v>3754</v>
      </c>
      <c r="I3714" s="9">
        <v>1371200</v>
      </c>
      <c r="J3714" s="10">
        <v>0.0362</v>
      </c>
    </row>
    <row r="3715" spans="1:10">
      <c r="A3715" s="7" t="s">
        <v>3748</v>
      </c>
      <c r="B3715" s="7" t="s">
        <v>5582</v>
      </c>
      <c r="C3715" s="8">
        <f>QS.CONTEXT.CREATE("market.3713",A3715,"USD","SOFR")</f>
        <v/>
      </c>
      <c r="D3715" s="8">
        <f>QS.CONTEXT.ADD.CURVE(C3715,"SOFR",$K$2:$K$7,$L$2:$L$7,,,"Actual360","LogLinear",TRUE)</f>
        <v/>
      </c>
      <c r="E3715" s="8">
        <f>QS.INSTRUMENT.SWAP("swap.3713",C3715,H3715,B3715,"USD","SOFR",I3715,J3715,0,"Actual360","Simple","Annual","Annual","Annual")</f>
        <v/>
      </c>
      <c r="F3715" s="8">
        <f>QS.TRADE.CREATE("trade.3713",C3715,E3715,A3715,"Receive")</f>
        <v/>
      </c>
      <c r="G3715" s="5"/>
      <c r="H3715" s="7" t="s">
        <v>3755</v>
      </c>
      <c r="I3715" s="9">
        <v>1371300</v>
      </c>
      <c r="J3715" s="10">
        <v>0.03630000000000001</v>
      </c>
    </row>
    <row r="3716" spans="1:10">
      <c r="A3716" s="7" t="s">
        <v>3749</v>
      </c>
      <c r="B3716" s="7" t="s">
        <v>5583</v>
      </c>
      <c r="C3716" s="8">
        <f>QS.CONTEXT.CREATE("market.3714",A3716,"USD","SOFR")</f>
        <v/>
      </c>
      <c r="D3716" s="8">
        <f>QS.CONTEXT.ADD.CURVE(C3716,"SOFR",$K$2:$K$7,$L$2:$L$7,,,"Actual360","LogLinear",TRUE)</f>
        <v/>
      </c>
      <c r="E3716" s="8">
        <f>QS.INSTRUMENT.SWAP("swap.3714",C3716,H3716,B3716,"USD","SOFR",I3716,J3716,0,"Actual360","Simple","Annual","Annual","Annual")</f>
        <v/>
      </c>
      <c r="F3716" s="8">
        <f>QS.TRADE.CREATE("trade.3714",C3716,E3716,A3716,"Receive")</f>
        <v/>
      </c>
      <c r="G3716" s="5"/>
      <c r="H3716" s="7" t="s">
        <v>3756</v>
      </c>
      <c r="I3716" s="9">
        <v>1371400</v>
      </c>
      <c r="J3716" s="10">
        <v>0.0364</v>
      </c>
    </row>
    <row r="3717" spans="1:10">
      <c r="A3717" s="7" t="s">
        <v>3750</v>
      </c>
      <c r="B3717" s="7" t="s">
        <v>5584</v>
      </c>
      <c r="C3717" s="8">
        <f>QS.CONTEXT.CREATE("market.3715",A3717,"USD","SOFR")</f>
        <v/>
      </c>
      <c r="D3717" s="8">
        <f>QS.CONTEXT.ADD.CURVE(C3717,"SOFR",$K$2:$K$7,$L$2:$L$7,,,"Actual360","LogLinear",TRUE)</f>
        <v/>
      </c>
      <c r="E3717" s="8">
        <f>QS.INSTRUMENT.SWAP("swap.3715",C3717,H3717,B3717,"USD","SOFR",I3717,J3717,0,"Actual360","Simple","Annual","Annual","Annual")</f>
        <v/>
      </c>
      <c r="F3717" s="8">
        <f>QS.TRADE.CREATE("trade.3715",C3717,E3717,A3717,"Receive")</f>
        <v/>
      </c>
      <c r="G3717" s="5"/>
      <c r="H3717" s="7" t="s">
        <v>3757</v>
      </c>
      <c r="I3717" s="9">
        <v>1371500</v>
      </c>
      <c r="J3717" s="10">
        <v>0.0365</v>
      </c>
    </row>
    <row r="3718" spans="1:10">
      <c r="A3718" s="7" t="s">
        <v>3751</v>
      </c>
      <c r="B3718" s="7" t="s">
        <v>5585</v>
      </c>
      <c r="C3718" s="8">
        <f>QS.CONTEXT.CREATE("market.3716",A3718,"USD","SOFR")</f>
        <v/>
      </c>
      <c r="D3718" s="8">
        <f>QS.CONTEXT.ADD.CURVE(C3718,"SOFR",$K$2:$K$7,$L$2:$L$7,,,"Actual360","LogLinear",TRUE)</f>
        <v/>
      </c>
      <c r="E3718" s="8">
        <f>QS.INSTRUMENT.SWAP("swap.3716",C3718,H3718,B3718,"USD","SOFR",I3718,J3718,0,"Actual360","Simple","Annual","Annual","Annual")</f>
        <v/>
      </c>
      <c r="F3718" s="8">
        <f>QS.TRADE.CREATE("trade.3716",C3718,E3718,A3718,"Receive")</f>
        <v/>
      </c>
      <c r="G3718" s="5"/>
      <c r="H3718" s="7" t="s">
        <v>3758</v>
      </c>
      <c r="I3718" s="9">
        <v>1371600</v>
      </c>
      <c r="J3718" s="10">
        <v>0.0366</v>
      </c>
    </row>
    <row r="3719" spans="1:10">
      <c r="A3719" s="7" t="s">
        <v>3752</v>
      </c>
      <c r="B3719" s="7" t="s">
        <v>5586</v>
      </c>
      <c r="C3719" s="8">
        <f>QS.CONTEXT.CREATE("market.3717",A3719,"USD","SOFR")</f>
        <v/>
      </c>
      <c r="D3719" s="8">
        <f>QS.CONTEXT.ADD.CURVE(C3719,"SOFR",$K$2:$K$7,$L$2:$L$7,,,"Actual360","LogLinear",TRUE)</f>
        <v/>
      </c>
      <c r="E3719" s="8">
        <f>QS.INSTRUMENT.SWAP("swap.3717",C3719,H3719,B3719,"USD","SOFR",I3719,J3719,0,"Actual360","Simple","Annual","Annual","Annual")</f>
        <v/>
      </c>
      <c r="F3719" s="8">
        <f>QS.TRADE.CREATE("trade.3717",C3719,E3719,A3719,"Receive")</f>
        <v/>
      </c>
      <c r="G3719" s="5"/>
      <c r="H3719" s="7" t="s">
        <v>3759</v>
      </c>
      <c r="I3719" s="9">
        <v>1371700</v>
      </c>
      <c r="J3719" s="10">
        <v>0.0367</v>
      </c>
    </row>
    <row r="3720" spans="1:10">
      <c r="A3720" s="7" t="s">
        <v>3753</v>
      </c>
      <c r="B3720" s="7" t="s">
        <v>5587</v>
      </c>
      <c r="C3720" s="8">
        <f>QS.CONTEXT.CREATE("market.3718",A3720,"USD","SOFR")</f>
        <v/>
      </c>
      <c r="D3720" s="8">
        <f>QS.CONTEXT.ADD.CURVE(C3720,"SOFR",$K$2:$K$7,$L$2:$L$7,,,"Actual360","LogLinear",TRUE)</f>
        <v/>
      </c>
      <c r="E3720" s="8">
        <f>QS.INSTRUMENT.SWAP("swap.3718",C3720,H3720,B3720,"USD","SOFR",I3720,J3720,0,"Actual360","Simple","Annual","Annual","Annual")</f>
        <v/>
      </c>
      <c r="F3720" s="8">
        <f>QS.TRADE.CREATE("trade.3718",C3720,E3720,A3720,"Receive")</f>
        <v/>
      </c>
      <c r="G3720" s="5"/>
      <c r="H3720" s="7" t="s">
        <v>3760</v>
      </c>
      <c r="I3720" s="9">
        <v>1371800</v>
      </c>
      <c r="J3720" s="10">
        <v>0.03680000000000001</v>
      </c>
    </row>
    <row r="3721" spans="1:10">
      <c r="A3721" s="7" t="s">
        <v>3754</v>
      </c>
      <c r="B3721" s="7" t="s">
        <v>5588</v>
      </c>
      <c r="C3721" s="8">
        <f>QS.CONTEXT.CREATE("market.3719",A3721,"USD","SOFR")</f>
        <v/>
      </c>
      <c r="D3721" s="8">
        <f>QS.CONTEXT.ADD.CURVE(C3721,"SOFR",$K$2:$K$7,$L$2:$L$7,,,"Actual360","LogLinear",TRUE)</f>
        <v/>
      </c>
      <c r="E3721" s="8">
        <f>QS.INSTRUMENT.SWAP("swap.3719",C3721,H3721,B3721,"USD","SOFR",I3721,J3721,0,"Actual360","Simple","Annual","Annual","Annual")</f>
        <v/>
      </c>
      <c r="F3721" s="8">
        <f>QS.TRADE.CREATE("trade.3719",C3721,E3721,A3721,"Receive")</f>
        <v/>
      </c>
      <c r="G3721" s="5"/>
      <c r="H3721" s="7" t="s">
        <v>3761</v>
      </c>
      <c r="I3721" s="9">
        <v>1371900</v>
      </c>
      <c r="J3721" s="10">
        <v>0.0369</v>
      </c>
    </row>
    <row r="3722" spans="1:10">
      <c r="A3722" s="7" t="s">
        <v>3755</v>
      </c>
      <c r="B3722" s="7" t="s">
        <v>5589</v>
      </c>
      <c r="C3722" s="8">
        <f>QS.CONTEXT.CREATE("market.3720",A3722,"USD","SOFR")</f>
        <v/>
      </c>
      <c r="D3722" s="8">
        <f>QS.CONTEXT.ADD.CURVE(C3722,"SOFR",$K$2:$K$7,$L$2:$L$7,,,"Actual360","LogLinear",TRUE)</f>
        <v/>
      </c>
      <c r="E3722" s="8">
        <f>QS.INSTRUMENT.SWAP("swap.3720",C3722,H3722,B3722,"USD","SOFR",I3722,J3722,0,"Actual360","Simple","Annual","Annual","Annual")</f>
        <v/>
      </c>
      <c r="F3722" s="8">
        <f>QS.TRADE.CREATE("trade.3720",C3722,E3722,A3722,"Receive")</f>
        <v/>
      </c>
      <c r="G3722" s="5"/>
      <c r="H3722" s="7" t="s">
        <v>3762</v>
      </c>
      <c r="I3722" s="9">
        <v>1372000</v>
      </c>
      <c r="J3722" s="10">
        <v>0.03700000000000001</v>
      </c>
    </row>
    <row r="3723" spans="1:10">
      <c r="A3723" s="7" t="s">
        <v>3756</v>
      </c>
      <c r="B3723" s="7" t="s">
        <v>5590</v>
      </c>
      <c r="C3723" s="8">
        <f>QS.CONTEXT.CREATE("market.3721",A3723,"USD","SOFR")</f>
        <v/>
      </c>
      <c r="D3723" s="8">
        <f>QS.CONTEXT.ADD.CURVE(C3723,"SOFR",$K$2:$K$7,$L$2:$L$7,,,"Actual360","LogLinear",TRUE)</f>
        <v/>
      </c>
      <c r="E3723" s="8">
        <f>QS.INSTRUMENT.SWAP("swap.3721",C3723,H3723,B3723,"USD","SOFR",I3723,J3723,0,"Actual360","Simple","Annual","Annual","Annual")</f>
        <v/>
      </c>
      <c r="F3723" s="8">
        <f>QS.TRADE.CREATE("trade.3721",C3723,E3723,A3723,"Receive")</f>
        <v/>
      </c>
      <c r="G3723" s="5"/>
      <c r="H3723" s="7" t="s">
        <v>3763</v>
      </c>
      <c r="I3723" s="9">
        <v>1372100</v>
      </c>
      <c r="J3723" s="10">
        <v>0.0371</v>
      </c>
    </row>
    <row r="3724" spans="1:10">
      <c r="A3724" s="7" t="s">
        <v>3757</v>
      </c>
      <c r="B3724" s="7" t="s">
        <v>5591</v>
      </c>
      <c r="C3724" s="8">
        <f>QS.CONTEXT.CREATE("market.3722",A3724,"USD","SOFR")</f>
        <v/>
      </c>
      <c r="D3724" s="8">
        <f>QS.CONTEXT.ADD.CURVE(C3724,"SOFR",$K$2:$K$7,$L$2:$L$7,,,"Actual360","LogLinear",TRUE)</f>
        <v/>
      </c>
      <c r="E3724" s="8">
        <f>QS.INSTRUMENT.SWAP("swap.3722",C3724,H3724,B3724,"USD","SOFR",I3724,J3724,0,"Actual360","Simple","Annual","Annual","Annual")</f>
        <v/>
      </c>
      <c r="F3724" s="8">
        <f>QS.TRADE.CREATE("trade.3722",C3724,E3724,A3724,"Receive")</f>
        <v/>
      </c>
      <c r="G3724" s="5"/>
      <c r="H3724" s="7" t="s">
        <v>3764</v>
      </c>
      <c r="I3724" s="9">
        <v>1372200</v>
      </c>
      <c r="J3724" s="10">
        <v>0.0372</v>
      </c>
    </row>
    <row r="3725" spans="1:10">
      <c r="A3725" s="7" t="s">
        <v>3758</v>
      </c>
      <c r="B3725" s="7" t="s">
        <v>5592</v>
      </c>
      <c r="C3725" s="8">
        <f>QS.CONTEXT.CREATE("market.3723",A3725,"USD","SOFR")</f>
        <v/>
      </c>
      <c r="D3725" s="8">
        <f>QS.CONTEXT.ADD.CURVE(C3725,"SOFR",$K$2:$K$7,$L$2:$L$7,,,"Actual360","LogLinear",TRUE)</f>
        <v/>
      </c>
      <c r="E3725" s="8">
        <f>QS.INSTRUMENT.SWAP("swap.3723",C3725,H3725,B3725,"USD","SOFR",I3725,J3725,0,"Actual360","Simple","Annual","Annual","Annual")</f>
        <v/>
      </c>
      <c r="F3725" s="8">
        <f>QS.TRADE.CREATE("trade.3723",C3725,E3725,A3725,"Receive")</f>
        <v/>
      </c>
      <c r="G3725" s="5"/>
      <c r="H3725" s="7" t="s">
        <v>3765</v>
      </c>
      <c r="I3725" s="9">
        <v>1372300</v>
      </c>
      <c r="J3725" s="10">
        <v>0.0373</v>
      </c>
    </row>
    <row r="3726" spans="1:10">
      <c r="A3726" s="7" t="s">
        <v>3759</v>
      </c>
      <c r="B3726" s="7" t="s">
        <v>5593</v>
      </c>
      <c r="C3726" s="8">
        <f>QS.CONTEXT.CREATE("market.3724",A3726,"USD","SOFR")</f>
        <v/>
      </c>
      <c r="D3726" s="8">
        <f>QS.CONTEXT.ADD.CURVE(C3726,"SOFR",$K$2:$K$7,$L$2:$L$7,,,"Actual360","LogLinear",TRUE)</f>
        <v/>
      </c>
      <c r="E3726" s="8">
        <f>QS.INSTRUMENT.SWAP("swap.3724",C3726,H3726,B3726,"USD","SOFR",I3726,J3726,0,"Actual360","Simple","Annual","Annual","Annual")</f>
        <v/>
      </c>
      <c r="F3726" s="8">
        <f>QS.TRADE.CREATE("trade.3724",C3726,E3726,A3726,"Receive")</f>
        <v/>
      </c>
      <c r="G3726" s="5"/>
      <c r="H3726" s="7" t="s">
        <v>3766</v>
      </c>
      <c r="I3726" s="9">
        <v>1372400</v>
      </c>
      <c r="J3726" s="10">
        <v>0.0374</v>
      </c>
    </row>
    <row r="3727" spans="1:10">
      <c r="A3727" s="7" t="s">
        <v>3760</v>
      </c>
      <c r="B3727" s="7" t="s">
        <v>5594</v>
      </c>
      <c r="C3727" s="8">
        <f>QS.CONTEXT.CREATE("market.3725",A3727,"USD","SOFR")</f>
        <v/>
      </c>
      <c r="D3727" s="8">
        <f>QS.CONTEXT.ADD.CURVE(C3727,"SOFR",$K$2:$K$7,$L$2:$L$7,,,"Actual360","LogLinear",TRUE)</f>
        <v/>
      </c>
      <c r="E3727" s="8">
        <f>QS.INSTRUMENT.SWAP("swap.3725",C3727,H3727,B3727,"USD","SOFR",I3727,J3727,0,"Actual360","Simple","Annual","Annual","Annual")</f>
        <v/>
      </c>
      <c r="F3727" s="8">
        <f>QS.TRADE.CREATE("trade.3725",C3727,E3727,A3727,"Receive")</f>
        <v/>
      </c>
      <c r="G3727" s="5"/>
      <c r="H3727" s="7" t="s">
        <v>3767</v>
      </c>
      <c r="I3727" s="9">
        <v>1372500</v>
      </c>
      <c r="J3727" s="10">
        <v>0.03750000000000001</v>
      </c>
    </row>
    <row r="3728" spans="1:10">
      <c r="A3728" s="7" t="s">
        <v>3761</v>
      </c>
      <c r="B3728" s="7" t="s">
        <v>5595</v>
      </c>
      <c r="C3728" s="8">
        <f>QS.CONTEXT.CREATE("market.3726",A3728,"USD","SOFR")</f>
        <v/>
      </c>
      <c r="D3728" s="8">
        <f>QS.CONTEXT.ADD.CURVE(C3728,"SOFR",$K$2:$K$7,$L$2:$L$7,,,"Actual360","LogLinear",TRUE)</f>
        <v/>
      </c>
      <c r="E3728" s="8">
        <f>QS.INSTRUMENT.SWAP("swap.3726",C3728,H3728,B3728,"USD","SOFR",I3728,J3728,0,"Actual360","Simple","Annual","Annual","Annual")</f>
        <v/>
      </c>
      <c r="F3728" s="8">
        <f>QS.TRADE.CREATE("trade.3726",C3728,E3728,A3728,"Receive")</f>
        <v/>
      </c>
      <c r="G3728" s="5"/>
      <c r="H3728" s="7" t="s">
        <v>3768</v>
      </c>
      <c r="I3728" s="9">
        <v>1372600</v>
      </c>
      <c r="J3728" s="10">
        <v>0.0376</v>
      </c>
    </row>
    <row r="3729" spans="1:10">
      <c r="A3729" s="7" t="s">
        <v>3762</v>
      </c>
      <c r="B3729" s="7" t="s">
        <v>5596</v>
      </c>
      <c r="C3729" s="8">
        <f>QS.CONTEXT.CREATE("market.3727",A3729,"USD","SOFR")</f>
        <v/>
      </c>
      <c r="D3729" s="8">
        <f>QS.CONTEXT.ADD.CURVE(C3729,"SOFR",$K$2:$K$7,$L$2:$L$7,,,"Actual360","LogLinear",TRUE)</f>
        <v/>
      </c>
      <c r="E3729" s="8">
        <f>QS.INSTRUMENT.SWAP("swap.3727",C3729,H3729,B3729,"USD","SOFR",I3729,J3729,0,"Actual360","Simple","Annual","Annual","Annual")</f>
        <v/>
      </c>
      <c r="F3729" s="8">
        <f>QS.TRADE.CREATE("trade.3727",C3729,E3729,A3729,"Receive")</f>
        <v/>
      </c>
      <c r="G3729" s="5"/>
      <c r="H3729" s="7" t="s">
        <v>3769</v>
      </c>
      <c r="I3729" s="9">
        <v>1372700</v>
      </c>
      <c r="J3729" s="10">
        <v>0.0377</v>
      </c>
    </row>
    <row r="3730" spans="1:10">
      <c r="A3730" s="7" t="s">
        <v>3763</v>
      </c>
      <c r="B3730" s="7" t="s">
        <v>5597</v>
      </c>
      <c r="C3730" s="8">
        <f>QS.CONTEXT.CREATE("market.3728",A3730,"USD","SOFR")</f>
        <v/>
      </c>
      <c r="D3730" s="8">
        <f>QS.CONTEXT.ADD.CURVE(C3730,"SOFR",$K$2:$K$7,$L$2:$L$7,,,"Actual360","LogLinear",TRUE)</f>
        <v/>
      </c>
      <c r="E3730" s="8">
        <f>QS.INSTRUMENT.SWAP("swap.3728",C3730,H3730,B3730,"USD","SOFR",I3730,J3730,0,"Actual360","Simple","Annual","Annual","Annual")</f>
        <v/>
      </c>
      <c r="F3730" s="8">
        <f>QS.TRADE.CREATE("trade.3728",C3730,E3730,A3730,"Receive")</f>
        <v/>
      </c>
      <c r="G3730" s="5"/>
      <c r="H3730" s="7" t="s">
        <v>3770</v>
      </c>
      <c r="I3730" s="9">
        <v>1372800</v>
      </c>
      <c r="J3730" s="10">
        <v>0.0378</v>
      </c>
    </row>
    <row r="3731" spans="1:10">
      <c r="A3731" s="7" t="s">
        <v>3764</v>
      </c>
      <c r="B3731" s="7" t="s">
        <v>5598</v>
      </c>
      <c r="C3731" s="8">
        <f>QS.CONTEXT.CREATE("market.3729",A3731,"USD","SOFR")</f>
        <v/>
      </c>
      <c r="D3731" s="8">
        <f>QS.CONTEXT.ADD.CURVE(C3731,"SOFR",$K$2:$K$7,$L$2:$L$7,,,"Actual360","LogLinear",TRUE)</f>
        <v/>
      </c>
      <c r="E3731" s="8">
        <f>QS.INSTRUMENT.SWAP("swap.3729",C3731,H3731,B3731,"USD","SOFR",I3731,J3731,0,"Actual360","Simple","Annual","Annual","Annual")</f>
        <v/>
      </c>
      <c r="F3731" s="8">
        <f>QS.TRADE.CREATE("trade.3729",C3731,E3731,A3731,"Receive")</f>
        <v/>
      </c>
      <c r="G3731" s="5"/>
      <c r="H3731" s="7" t="s">
        <v>3771</v>
      </c>
      <c r="I3731" s="9">
        <v>1372900</v>
      </c>
      <c r="J3731" s="10">
        <v>0.0379</v>
      </c>
    </row>
    <row r="3732" spans="1:10">
      <c r="A3732" s="7" t="s">
        <v>3765</v>
      </c>
      <c r="B3732" s="7" t="s">
        <v>5599</v>
      </c>
      <c r="C3732" s="8">
        <f>QS.CONTEXT.CREATE("market.3730",A3732,"USD","SOFR")</f>
        <v/>
      </c>
      <c r="D3732" s="8">
        <f>QS.CONTEXT.ADD.CURVE(C3732,"SOFR",$K$2:$K$7,$L$2:$L$7,,,"Actual360","LogLinear",TRUE)</f>
        <v/>
      </c>
      <c r="E3732" s="8">
        <f>QS.INSTRUMENT.SWAP("swap.3730",C3732,H3732,B3732,"USD","SOFR",I3732,J3732,0,"Actual360","Simple","Annual","Annual","Annual")</f>
        <v/>
      </c>
      <c r="F3732" s="8">
        <f>QS.TRADE.CREATE("trade.3730",C3732,E3732,A3732,"Receive")</f>
        <v/>
      </c>
      <c r="G3732" s="5"/>
      <c r="H3732" s="7" t="s">
        <v>3772</v>
      </c>
      <c r="I3732" s="9">
        <v>1373000</v>
      </c>
      <c r="J3732" s="10">
        <v>0.03800000000000001</v>
      </c>
    </row>
    <row r="3733" spans="1:10">
      <c r="A3733" s="7" t="s">
        <v>3766</v>
      </c>
      <c r="B3733" s="7" t="s">
        <v>5600</v>
      </c>
      <c r="C3733" s="8">
        <f>QS.CONTEXT.CREATE("market.3731",A3733,"USD","SOFR")</f>
        <v/>
      </c>
      <c r="D3733" s="8">
        <f>QS.CONTEXT.ADD.CURVE(C3733,"SOFR",$K$2:$K$7,$L$2:$L$7,,,"Actual360","LogLinear",TRUE)</f>
        <v/>
      </c>
      <c r="E3733" s="8">
        <f>QS.INSTRUMENT.SWAP("swap.3731",C3733,H3733,B3733,"USD","SOFR",I3733,J3733,0,"Actual360","Simple","Annual","Annual","Annual")</f>
        <v/>
      </c>
      <c r="F3733" s="8">
        <f>QS.TRADE.CREATE("trade.3731",C3733,E3733,A3733,"Receive")</f>
        <v/>
      </c>
      <c r="G3733" s="5"/>
      <c r="H3733" s="7" t="s">
        <v>3773</v>
      </c>
      <c r="I3733" s="9">
        <v>1373100</v>
      </c>
      <c r="J3733" s="10">
        <v>0.0381</v>
      </c>
    </row>
    <row r="3734" spans="1:10">
      <c r="A3734" s="7" t="s">
        <v>3767</v>
      </c>
      <c r="B3734" s="7" t="s">
        <v>5601</v>
      </c>
      <c r="C3734" s="8">
        <f>QS.CONTEXT.CREATE("market.3732",A3734,"USD","SOFR")</f>
        <v/>
      </c>
      <c r="D3734" s="8">
        <f>QS.CONTEXT.ADD.CURVE(C3734,"SOFR",$K$2:$K$7,$L$2:$L$7,,,"Actual360","LogLinear",TRUE)</f>
        <v/>
      </c>
      <c r="E3734" s="8">
        <f>QS.INSTRUMENT.SWAP("swap.3732",C3734,H3734,B3734,"USD","SOFR",I3734,J3734,0,"Actual360","Simple","Annual","Annual","Annual")</f>
        <v/>
      </c>
      <c r="F3734" s="8">
        <f>QS.TRADE.CREATE("trade.3732",C3734,E3734,A3734,"Receive")</f>
        <v/>
      </c>
      <c r="G3734" s="5"/>
      <c r="H3734" s="7" t="s">
        <v>3774</v>
      </c>
      <c r="I3734" s="9">
        <v>1373200</v>
      </c>
      <c r="J3734" s="10">
        <v>0.0382</v>
      </c>
    </row>
    <row r="3735" spans="1:10">
      <c r="A3735" s="7" t="s">
        <v>3768</v>
      </c>
      <c r="B3735" s="7" t="s">
        <v>5602</v>
      </c>
      <c r="C3735" s="8">
        <f>QS.CONTEXT.CREATE("market.3733",A3735,"USD","SOFR")</f>
        <v/>
      </c>
      <c r="D3735" s="8">
        <f>QS.CONTEXT.ADD.CURVE(C3735,"SOFR",$K$2:$K$7,$L$2:$L$7,,,"Actual360","LogLinear",TRUE)</f>
        <v/>
      </c>
      <c r="E3735" s="8">
        <f>QS.INSTRUMENT.SWAP("swap.3733",C3735,H3735,B3735,"USD","SOFR",I3735,J3735,0,"Actual360","Simple","Annual","Annual","Annual")</f>
        <v/>
      </c>
      <c r="F3735" s="8">
        <f>QS.TRADE.CREATE("trade.3733",C3735,E3735,A3735,"Receive")</f>
        <v/>
      </c>
      <c r="G3735" s="5"/>
      <c r="H3735" s="7" t="s">
        <v>3775</v>
      </c>
      <c r="I3735" s="9">
        <v>1373300</v>
      </c>
      <c r="J3735" s="10">
        <v>0.0383</v>
      </c>
    </row>
    <row r="3736" spans="1:10">
      <c r="A3736" s="7" t="s">
        <v>3769</v>
      </c>
      <c r="B3736" s="7" t="s">
        <v>5603</v>
      </c>
      <c r="C3736" s="8">
        <f>QS.CONTEXT.CREATE("market.3734",A3736,"USD","SOFR")</f>
        <v/>
      </c>
      <c r="D3736" s="8">
        <f>QS.CONTEXT.ADD.CURVE(C3736,"SOFR",$K$2:$K$7,$L$2:$L$7,,,"Actual360","LogLinear",TRUE)</f>
        <v/>
      </c>
      <c r="E3736" s="8">
        <f>QS.INSTRUMENT.SWAP("swap.3734",C3736,H3736,B3736,"USD","SOFR",I3736,J3736,0,"Actual360","Simple","Annual","Annual","Annual")</f>
        <v/>
      </c>
      <c r="F3736" s="8">
        <f>QS.TRADE.CREATE("trade.3734",C3736,E3736,A3736,"Receive")</f>
        <v/>
      </c>
      <c r="G3736" s="5"/>
      <c r="H3736" s="7" t="s">
        <v>3776</v>
      </c>
      <c r="I3736" s="9">
        <v>1373400</v>
      </c>
      <c r="J3736" s="10">
        <v>0.0384</v>
      </c>
    </row>
    <row r="3737" spans="1:10">
      <c r="A3737" s="7" t="s">
        <v>3770</v>
      </c>
      <c r="B3737" s="7" t="s">
        <v>5604</v>
      </c>
      <c r="C3737" s="8">
        <f>QS.CONTEXT.CREATE("market.3735",A3737,"USD","SOFR")</f>
        <v/>
      </c>
      <c r="D3737" s="8">
        <f>QS.CONTEXT.ADD.CURVE(C3737,"SOFR",$K$2:$K$7,$L$2:$L$7,,,"Actual360","LogLinear",TRUE)</f>
        <v/>
      </c>
      <c r="E3737" s="8">
        <f>QS.INSTRUMENT.SWAP("swap.3735",C3737,H3737,B3737,"USD","SOFR",I3737,J3737,0,"Actual360","Simple","Annual","Annual","Annual")</f>
        <v/>
      </c>
      <c r="F3737" s="8">
        <f>QS.TRADE.CREATE("trade.3735",C3737,E3737,A3737,"Receive")</f>
        <v/>
      </c>
      <c r="G3737" s="5"/>
      <c r="H3737" s="7" t="s">
        <v>3777</v>
      </c>
      <c r="I3737" s="9">
        <v>1373500</v>
      </c>
      <c r="J3737" s="10">
        <v>0.03850000000000001</v>
      </c>
    </row>
    <row r="3738" spans="1:10">
      <c r="A3738" s="7" t="s">
        <v>3771</v>
      </c>
      <c r="B3738" s="7" t="s">
        <v>5605</v>
      </c>
      <c r="C3738" s="8">
        <f>QS.CONTEXT.CREATE("market.3736",A3738,"USD","SOFR")</f>
        <v/>
      </c>
      <c r="D3738" s="8">
        <f>QS.CONTEXT.ADD.CURVE(C3738,"SOFR",$K$2:$K$7,$L$2:$L$7,,,"Actual360","LogLinear",TRUE)</f>
        <v/>
      </c>
      <c r="E3738" s="8">
        <f>QS.INSTRUMENT.SWAP("swap.3736",C3738,H3738,B3738,"USD","SOFR",I3738,J3738,0,"Actual360","Simple","Annual","Annual","Annual")</f>
        <v/>
      </c>
      <c r="F3738" s="8">
        <f>QS.TRADE.CREATE("trade.3736",C3738,E3738,A3738,"Receive")</f>
        <v/>
      </c>
      <c r="G3738" s="5"/>
      <c r="H3738" s="7" t="s">
        <v>3778</v>
      </c>
      <c r="I3738" s="9">
        <v>1373600</v>
      </c>
      <c r="J3738" s="10">
        <v>0.0386</v>
      </c>
    </row>
    <row r="3739" spans="1:10">
      <c r="A3739" s="7" t="s">
        <v>3772</v>
      </c>
      <c r="B3739" s="7" t="s">
        <v>5606</v>
      </c>
      <c r="C3739" s="8">
        <f>QS.CONTEXT.CREATE("market.3737",A3739,"USD","SOFR")</f>
        <v/>
      </c>
      <c r="D3739" s="8">
        <f>QS.CONTEXT.ADD.CURVE(C3739,"SOFR",$K$2:$K$7,$L$2:$L$7,,,"Actual360","LogLinear",TRUE)</f>
        <v/>
      </c>
      <c r="E3739" s="8">
        <f>QS.INSTRUMENT.SWAP("swap.3737",C3739,H3739,B3739,"USD","SOFR",I3739,J3739,0,"Actual360","Simple","Annual","Annual","Annual")</f>
        <v/>
      </c>
      <c r="F3739" s="8">
        <f>QS.TRADE.CREATE("trade.3737",C3739,E3739,A3739,"Receive")</f>
        <v/>
      </c>
      <c r="G3739" s="5"/>
      <c r="H3739" s="7" t="s">
        <v>3779</v>
      </c>
      <c r="I3739" s="9">
        <v>1373700</v>
      </c>
      <c r="J3739" s="10">
        <v>0.03870000000000001</v>
      </c>
    </row>
    <row r="3740" spans="1:10">
      <c r="A3740" s="7" t="s">
        <v>3773</v>
      </c>
      <c r="B3740" s="7" t="s">
        <v>5607</v>
      </c>
      <c r="C3740" s="8">
        <f>QS.CONTEXT.CREATE("market.3738",A3740,"USD","SOFR")</f>
        <v/>
      </c>
      <c r="D3740" s="8">
        <f>QS.CONTEXT.ADD.CURVE(C3740,"SOFR",$K$2:$K$7,$L$2:$L$7,,,"Actual360","LogLinear",TRUE)</f>
        <v/>
      </c>
      <c r="E3740" s="8">
        <f>QS.INSTRUMENT.SWAP("swap.3738",C3740,H3740,B3740,"USD","SOFR",I3740,J3740,0,"Actual360","Simple","Annual","Annual","Annual")</f>
        <v/>
      </c>
      <c r="F3740" s="8">
        <f>QS.TRADE.CREATE("trade.3738",C3740,E3740,A3740,"Receive")</f>
        <v/>
      </c>
      <c r="G3740" s="5"/>
      <c r="H3740" s="7" t="s">
        <v>3780</v>
      </c>
      <c r="I3740" s="9">
        <v>1373800</v>
      </c>
      <c r="J3740" s="10">
        <v>0.0388</v>
      </c>
    </row>
    <row r="3741" spans="1:10">
      <c r="A3741" s="7" t="s">
        <v>3774</v>
      </c>
      <c r="B3741" s="7" t="s">
        <v>5608</v>
      </c>
      <c r="C3741" s="8">
        <f>QS.CONTEXT.CREATE("market.3739",A3741,"USD","SOFR")</f>
        <v/>
      </c>
      <c r="D3741" s="8">
        <f>QS.CONTEXT.ADD.CURVE(C3741,"SOFR",$K$2:$K$7,$L$2:$L$7,,,"Actual360","LogLinear",TRUE)</f>
        <v/>
      </c>
      <c r="E3741" s="8">
        <f>QS.INSTRUMENT.SWAP("swap.3739",C3741,H3741,B3741,"USD","SOFR",I3741,J3741,0,"Actual360","Simple","Annual","Annual","Annual")</f>
        <v/>
      </c>
      <c r="F3741" s="8">
        <f>QS.TRADE.CREATE("trade.3739",C3741,E3741,A3741,"Receive")</f>
        <v/>
      </c>
      <c r="G3741" s="5"/>
      <c r="H3741" s="7" t="s">
        <v>3781</v>
      </c>
      <c r="I3741" s="9">
        <v>1373900</v>
      </c>
      <c r="J3741" s="10">
        <v>0.0389</v>
      </c>
    </row>
    <row r="3742" spans="1:10">
      <c r="A3742" s="7" t="s">
        <v>3775</v>
      </c>
      <c r="B3742" s="7" t="s">
        <v>5609</v>
      </c>
      <c r="C3742" s="8">
        <f>QS.CONTEXT.CREATE("market.3740",A3742,"USD","SOFR")</f>
        <v/>
      </c>
      <c r="D3742" s="8">
        <f>QS.CONTEXT.ADD.CURVE(C3742,"SOFR",$K$2:$K$7,$L$2:$L$7,,,"Actual360","LogLinear",TRUE)</f>
        <v/>
      </c>
      <c r="E3742" s="8">
        <f>QS.INSTRUMENT.SWAP("swap.3740",C3742,H3742,B3742,"USD","SOFR",I3742,J3742,0,"Actual360","Simple","Annual","Annual","Annual")</f>
        <v/>
      </c>
      <c r="F3742" s="8">
        <f>QS.TRADE.CREATE("trade.3740",C3742,E3742,A3742,"Receive")</f>
        <v/>
      </c>
      <c r="G3742" s="5"/>
      <c r="H3742" s="7" t="s">
        <v>3782</v>
      </c>
      <c r="I3742" s="9">
        <v>1374000</v>
      </c>
      <c r="J3742" s="10">
        <v>0.03900000000000001</v>
      </c>
    </row>
    <row r="3743" spans="1:10">
      <c r="A3743" s="7" t="s">
        <v>3776</v>
      </c>
      <c r="B3743" s="7" t="s">
        <v>5610</v>
      </c>
      <c r="C3743" s="8">
        <f>QS.CONTEXT.CREATE("market.3741",A3743,"USD","SOFR")</f>
        <v/>
      </c>
      <c r="D3743" s="8">
        <f>QS.CONTEXT.ADD.CURVE(C3743,"SOFR",$K$2:$K$7,$L$2:$L$7,,,"Actual360","LogLinear",TRUE)</f>
        <v/>
      </c>
      <c r="E3743" s="8">
        <f>QS.INSTRUMENT.SWAP("swap.3741",C3743,H3743,B3743,"USD","SOFR",I3743,J3743,0,"Actual360","Simple","Annual","Annual","Annual")</f>
        <v/>
      </c>
      <c r="F3743" s="8">
        <f>QS.TRADE.CREATE("trade.3741",C3743,E3743,A3743,"Receive")</f>
        <v/>
      </c>
      <c r="G3743" s="5"/>
      <c r="H3743" s="7" t="s">
        <v>3783</v>
      </c>
      <c r="I3743" s="9">
        <v>1374100</v>
      </c>
      <c r="J3743" s="10">
        <v>0.0391</v>
      </c>
    </row>
    <row r="3744" spans="1:10">
      <c r="A3744" s="7" t="s">
        <v>3777</v>
      </c>
      <c r="B3744" s="7" t="s">
        <v>5611</v>
      </c>
      <c r="C3744" s="8">
        <f>QS.CONTEXT.CREATE("market.3742",A3744,"USD","SOFR")</f>
        <v/>
      </c>
      <c r="D3744" s="8">
        <f>QS.CONTEXT.ADD.CURVE(C3744,"SOFR",$K$2:$K$7,$L$2:$L$7,,,"Actual360","LogLinear",TRUE)</f>
        <v/>
      </c>
      <c r="E3744" s="8">
        <f>QS.INSTRUMENT.SWAP("swap.3742",C3744,H3744,B3744,"USD","SOFR",I3744,J3744,0,"Actual360","Simple","Annual","Annual","Annual")</f>
        <v/>
      </c>
      <c r="F3744" s="8">
        <f>QS.TRADE.CREATE("trade.3742",C3744,E3744,A3744,"Receive")</f>
        <v/>
      </c>
      <c r="G3744" s="5"/>
      <c r="H3744" s="7" t="s">
        <v>3784</v>
      </c>
      <c r="I3744" s="9">
        <v>1374200</v>
      </c>
      <c r="J3744" s="10">
        <v>0.03920000000000001</v>
      </c>
    </row>
    <row r="3745" spans="1:10">
      <c r="A3745" s="7" t="s">
        <v>3778</v>
      </c>
      <c r="B3745" s="7" t="s">
        <v>5612</v>
      </c>
      <c r="C3745" s="8">
        <f>QS.CONTEXT.CREATE("market.3743",A3745,"USD","SOFR")</f>
        <v/>
      </c>
      <c r="D3745" s="8">
        <f>QS.CONTEXT.ADD.CURVE(C3745,"SOFR",$K$2:$K$7,$L$2:$L$7,,,"Actual360","LogLinear",TRUE)</f>
        <v/>
      </c>
      <c r="E3745" s="8">
        <f>QS.INSTRUMENT.SWAP("swap.3743",C3745,H3745,B3745,"USD","SOFR",I3745,J3745,0,"Actual360","Simple","Annual","Annual","Annual")</f>
        <v/>
      </c>
      <c r="F3745" s="8">
        <f>QS.TRADE.CREATE("trade.3743",C3745,E3745,A3745,"Receive")</f>
        <v/>
      </c>
      <c r="G3745" s="5"/>
      <c r="H3745" s="7" t="s">
        <v>3785</v>
      </c>
      <c r="I3745" s="9">
        <v>1374300</v>
      </c>
      <c r="J3745" s="10">
        <v>0.0393</v>
      </c>
    </row>
    <row r="3746" spans="1:10">
      <c r="A3746" s="7" t="s">
        <v>3779</v>
      </c>
      <c r="B3746" s="7" t="s">
        <v>5613</v>
      </c>
      <c r="C3746" s="8">
        <f>QS.CONTEXT.CREATE("market.3744",A3746,"USD","SOFR")</f>
        <v/>
      </c>
      <c r="D3746" s="8">
        <f>QS.CONTEXT.ADD.CURVE(C3746,"SOFR",$K$2:$K$7,$L$2:$L$7,,,"Actual360","LogLinear",TRUE)</f>
        <v/>
      </c>
      <c r="E3746" s="8">
        <f>QS.INSTRUMENT.SWAP("swap.3744",C3746,H3746,B3746,"USD","SOFR",I3746,J3746,0,"Actual360","Simple","Annual","Annual","Annual")</f>
        <v/>
      </c>
      <c r="F3746" s="8">
        <f>QS.TRADE.CREATE("trade.3744",C3746,E3746,A3746,"Receive")</f>
        <v/>
      </c>
      <c r="G3746" s="5"/>
      <c r="H3746" s="7" t="s">
        <v>3786</v>
      </c>
      <c r="I3746" s="9">
        <v>1374400</v>
      </c>
      <c r="J3746" s="10">
        <v>0.0394</v>
      </c>
    </row>
    <row r="3747" spans="1:10">
      <c r="A3747" s="7" t="s">
        <v>3780</v>
      </c>
      <c r="B3747" s="7" t="s">
        <v>5614</v>
      </c>
      <c r="C3747" s="8">
        <f>QS.CONTEXT.CREATE("market.3745",A3747,"USD","SOFR")</f>
        <v/>
      </c>
      <c r="D3747" s="8">
        <f>QS.CONTEXT.ADD.CURVE(C3747,"SOFR",$K$2:$K$7,$L$2:$L$7,,,"Actual360","LogLinear",TRUE)</f>
        <v/>
      </c>
      <c r="E3747" s="8">
        <f>QS.INSTRUMENT.SWAP("swap.3745",C3747,H3747,B3747,"USD","SOFR",I3747,J3747,0,"Actual360","Simple","Annual","Annual","Annual")</f>
        <v/>
      </c>
      <c r="F3747" s="8">
        <f>QS.TRADE.CREATE("trade.3745",C3747,E3747,A3747,"Receive")</f>
        <v/>
      </c>
      <c r="G3747" s="5"/>
      <c r="H3747" s="7" t="s">
        <v>3787</v>
      </c>
      <c r="I3747" s="9">
        <v>1374500</v>
      </c>
      <c r="J3747" s="10">
        <v>0.03950000000000001</v>
      </c>
    </row>
    <row r="3748" spans="1:10">
      <c r="A3748" s="7" t="s">
        <v>3781</v>
      </c>
      <c r="B3748" s="7" t="s">
        <v>5615</v>
      </c>
      <c r="C3748" s="8">
        <f>QS.CONTEXT.CREATE("market.3746",A3748,"USD","SOFR")</f>
        <v/>
      </c>
      <c r="D3748" s="8">
        <f>QS.CONTEXT.ADD.CURVE(C3748,"SOFR",$K$2:$K$7,$L$2:$L$7,,,"Actual360","LogLinear",TRUE)</f>
        <v/>
      </c>
      <c r="E3748" s="8">
        <f>QS.INSTRUMENT.SWAP("swap.3746",C3748,H3748,B3748,"USD","SOFR",I3748,J3748,0,"Actual360","Simple","Annual","Annual","Annual")</f>
        <v/>
      </c>
      <c r="F3748" s="8">
        <f>QS.TRADE.CREATE("trade.3746",C3748,E3748,A3748,"Receive")</f>
        <v/>
      </c>
      <c r="G3748" s="5"/>
      <c r="H3748" s="7" t="s">
        <v>3788</v>
      </c>
      <c r="I3748" s="9">
        <v>1374600</v>
      </c>
      <c r="J3748" s="10">
        <v>0.0396</v>
      </c>
    </row>
    <row r="3749" spans="1:10">
      <c r="A3749" s="7" t="s">
        <v>3782</v>
      </c>
      <c r="B3749" s="7" t="s">
        <v>5616</v>
      </c>
      <c r="C3749" s="8">
        <f>QS.CONTEXT.CREATE("market.3747",A3749,"USD","SOFR")</f>
        <v/>
      </c>
      <c r="D3749" s="8">
        <f>QS.CONTEXT.ADD.CURVE(C3749,"SOFR",$K$2:$K$7,$L$2:$L$7,,,"Actual360","LogLinear",TRUE)</f>
        <v/>
      </c>
      <c r="E3749" s="8">
        <f>QS.INSTRUMENT.SWAP("swap.3747",C3749,H3749,B3749,"USD","SOFR",I3749,J3749,0,"Actual360","Simple","Annual","Annual","Annual")</f>
        <v/>
      </c>
      <c r="F3749" s="8">
        <f>QS.TRADE.CREATE("trade.3747",C3749,E3749,A3749,"Receive")</f>
        <v/>
      </c>
      <c r="G3749" s="5"/>
      <c r="H3749" s="7" t="s">
        <v>3789</v>
      </c>
      <c r="I3749" s="9">
        <v>1374700</v>
      </c>
      <c r="J3749" s="10">
        <v>0.03970000000000001</v>
      </c>
    </row>
    <row r="3750" spans="1:10">
      <c r="A3750" s="7" t="s">
        <v>3783</v>
      </c>
      <c r="B3750" s="7" t="s">
        <v>5617</v>
      </c>
      <c r="C3750" s="8">
        <f>QS.CONTEXT.CREATE("market.3748",A3750,"USD","SOFR")</f>
        <v/>
      </c>
      <c r="D3750" s="8">
        <f>QS.CONTEXT.ADD.CURVE(C3750,"SOFR",$K$2:$K$7,$L$2:$L$7,,,"Actual360","LogLinear",TRUE)</f>
        <v/>
      </c>
      <c r="E3750" s="8">
        <f>QS.INSTRUMENT.SWAP("swap.3748",C3750,H3750,B3750,"USD","SOFR",I3750,J3750,0,"Actual360","Simple","Annual","Annual","Annual")</f>
        <v/>
      </c>
      <c r="F3750" s="8">
        <f>QS.TRADE.CREATE("trade.3748",C3750,E3750,A3750,"Receive")</f>
        <v/>
      </c>
      <c r="G3750" s="5"/>
      <c r="H3750" s="7" t="s">
        <v>3790</v>
      </c>
      <c r="I3750" s="9">
        <v>1374800</v>
      </c>
      <c r="J3750" s="10">
        <v>0.0398</v>
      </c>
    </row>
    <row r="3751" spans="1:10">
      <c r="A3751" s="7" t="s">
        <v>3784</v>
      </c>
      <c r="B3751" s="7" t="s">
        <v>5618</v>
      </c>
      <c r="C3751" s="8">
        <f>QS.CONTEXT.CREATE("market.3749",A3751,"USD","SOFR")</f>
        <v/>
      </c>
      <c r="D3751" s="8">
        <f>QS.CONTEXT.ADD.CURVE(C3751,"SOFR",$K$2:$K$7,$L$2:$L$7,,,"Actual360","LogLinear",TRUE)</f>
        <v/>
      </c>
      <c r="E3751" s="8">
        <f>QS.INSTRUMENT.SWAP("swap.3749",C3751,H3751,B3751,"USD","SOFR",I3751,J3751,0,"Actual360","Simple","Annual","Annual","Annual")</f>
        <v/>
      </c>
      <c r="F3751" s="8">
        <f>QS.TRADE.CREATE("trade.3749",C3751,E3751,A3751,"Receive")</f>
        <v/>
      </c>
      <c r="G3751" s="5"/>
      <c r="H3751" s="7" t="s">
        <v>3791</v>
      </c>
      <c r="I3751" s="9">
        <v>1374900</v>
      </c>
      <c r="J3751" s="10">
        <v>0.0399</v>
      </c>
    </row>
    <row r="3752" spans="1:10">
      <c r="A3752" s="7" t="s">
        <v>3785</v>
      </c>
      <c r="B3752" s="7" t="s">
        <v>5619</v>
      </c>
      <c r="C3752" s="8">
        <f>QS.CONTEXT.CREATE("market.3750",A3752,"USD","SOFR")</f>
        <v/>
      </c>
      <c r="D3752" s="8">
        <f>QS.CONTEXT.ADD.CURVE(C3752,"SOFR",$K$2:$K$7,$L$2:$L$7,,,"Actual360","LogLinear",TRUE)</f>
        <v/>
      </c>
      <c r="E3752" s="8">
        <f>QS.INSTRUMENT.SWAP("swap.3750",C3752,H3752,B3752,"USD","SOFR",I3752,J3752,0,"Actual360","Simple","Annual","Annual","Annual")</f>
        <v/>
      </c>
      <c r="F3752" s="8">
        <f>QS.TRADE.CREATE("trade.3750",C3752,E3752,A3752,"Receive")</f>
        <v/>
      </c>
      <c r="G3752" s="5"/>
      <c r="H3752" s="7" t="s">
        <v>3792</v>
      </c>
      <c r="I3752" s="9">
        <v>1375000</v>
      </c>
      <c r="J3752" s="10">
        <v>0.035</v>
      </c>
    </row>
    <row r="3753" spans="1:10">
      <c r="A3753" s="7" t="s">
        <v>3786</v>
      </c>
      <c r="B3753" s="7" t="s">
        <v>5620</v>
      </c>
      <c r="C3753" s="8">
        <f>QS.CONTEXT.CREATE("market.3751",A3753,"USD","SOFR")</f>
        <v/>
      </c>
      <c r="D3753" s="8">
        <f>QS.CONTEXT.ADD.CURVE(C3753,"SOFR",$K$2:$K$7,$L$2:$L$7,,,"Actual360","LogLinear",TRUE)</f>
        <v/>
      </c>
      <c r="E3753" s="8">
        <f>QS.INSTRUMENT.SWAP("swap.3751",C3753,H3753,B3753,"USD","SOFR",I3753,J3753,0,"Actual360","Simple","Annual","Annual","Annual")</f>
        <v/>
      </c>
      <c r="F3753" s="8">
        <f>QS.TRADE.CREATE("trade.3751",C3753,E3753,A3753,"Receive")</f>
        <v/>
      </c>
      <c r="G3753" s="5"/>
      <c r="H3753" s="7" t="s">
        <v>3793</v>
      </c>
      <c r="I3753" s="9">
        <v>1375100</v>
      </c>
      <c r="J3753" s="10">
        <v>0.03510000000000001</v>
      </c>
    </row>
    <row r="3754" spans="1:10">
      <c r="A3754" s="7" t="s">
        <v>3787</v>
      </c>
      <c r="B3754" s="7" t="s">
        <v>5621</v>
      </c>
      <c r="C3754" s="8">
        <f>QS.CONTEXT.CREATE("market.3752",A3754,"USD","SOFR")</f>
        <v/>
      </c>
      <c r="D3754" s="8">
        <f>QS.CONTEXT.ADD.CURVE(C3754,"SOFR",$K$2:$K$7,$L$2:$L$7,,,"Actual360","LogLinear",TRUE)</f>
        <v/>
      </c>
      <c r="E3754" s="8">
        <f>QS.INSTRUMENT.SWAP("swap.3752",C3754,H3754,B3754,"USD","SOFR",I3754,J3754,0,"Actual360","Simple","Annual","Annual","Annual")</f>
        <v/>
      </c>
      <c r="F3754" s="8">
        <f>QS.TRADE.CREATE("trade.3752",C3754,E3754,A3754,"Receive")</f>
        <v/>
      </c>
      <c r="G3754" s="5"/>
      <c r="H3754" s="7" t="s">
        <v>3794</v>
      </c>
      <c r="I3754" s="9">
        <v>1375200</v>
      </c>
      <c r="J3754" s="10">
        <v>0.0352</v>
      </c>
    </row>
    <row r="3755" spans="1:10">
      <c r="A3755" s="7" t="s">
        <v>3788</v>
      </c>
      <c r="B3755" s="7" t="s">
        <v>5622</v>
      </c>
      <c r="C3755" s="8">
        <f>QS.CONTEXT.CREATE("market.3753",A3755,"USD","SOFR")</f>
        <v/>
      </c>
      <c r="D3755" s="8">
        <f>QS.CONTEXT.ADD.CURVE(C3755,"SOFR",$K$2:$K$7,$L$2:$L$7,,,"Actual360","LogLinear",TRUE)</f>
        <v/>
      </c>
      <c r="E3755" s="8">
        <f>QS.INSTRUMENT.SWAP("swap.3753",C3755,H3755,B3755,"USD","SOFR",I3755,J3755,0,"Actual360","Simple","Annual","Annual","Annual")</f>
        <v/>
      </c>
      <c r="F3755" s="8">
        <f>QS.TRADE.CREATE("trade.3753",C3755,E3755,A3755,"Receive")</f>
        <v/>
      </c>
      <c r="G3755" s="5"/>
      <c r="H3755" s="7" t="s">
        <v>3795</v>
      </c>
      <c r="I3755" s="9">
        <v>1375300</v>
      </c>
      <c r="J3755" s="10">
        <v>0.0353</v>
      </c>
    </row>
    <row r="3756" spans="1:10">
      <c r="A3756" s="7" t="s">
        <v>3789</v>
      </c>
      <c r="B3756" s="7" t="s">
        <v>5623</v>
      </c>
      <c r="C3756" s="8">
        <f>QS.CONTEXT.CREATE("market.3754",A3756,"USD","SOFR")</f>
        <v/>
      </c>
      <c r="D3756" s="8">
        <f>QS.CONTEXT.ADD.CURVE(C3756,"SOFR",$K$2:$K$7,$L$2:$L$7,,,"Actual360","LogLinear",TRUE)</f>
        <v/>
      </c>
      <c r="E3756" s="8">
        <f>QS.INSTRUMENT.SWAP("swap.3754",C3756,H3756,B3756,"USD","SOFR",I3756,J3756,0,"Actual360","Simple","Annual","Annual","Annual")</f>
        <v/>
      </c>
      <c r="F3756" s="8">
        <f>QS.TRADE.CREATE("trade.3754",C3756,E3756,A3756,"Receive")</f>
        <v/>
      </c>
      <c r="G3756" s="5"/>
      <c r="H3756" s="7" t="s">
        <v>3796</v>
      </c>
      <c r="I3756" s="9">
        <v>1375400</v>
      </c>
      <c r="J3756" s="10">
        <v>0.0354</v>
      </c>
    </row>
    <row r="3757" spans="1:10">
      <c r="A3757" s="7" t="s">
        <v>3790</v>
      </c>
      <c r="B3757" s="7" t="s">
        <v>5624</v>
      </c>
      <c r="C3757" s="8">
        <f>QS.CONTEXT.CREATE("market.3755",A3757,"USD","SOFR")</f>
        <v/>
      </c>
      <c r="D3757" s="8">
        <f>QS.CONTEXT.ADD.CURVE(C3757,"SOFR",$K$2:$K$7,$L$2:$L$7,,,"Actual360","LogLinear",TRUE)</f>
        <v/>
      </c>
      <c r="E3757" s="8">
        <f>QS.INSTRUMENT.SWAP("swap.3755",C3757,H3757,B3757,"USD","SOFR",I3757,J3757,0,"Actual360","Simple","Annual","Annual","Annual")</f>
        <v/>
      </c>
      <c r="F3757" s="8">
        <f>QS.TRADE.CREATE("trade.3755",C3757,E3757,A3757,"Receive")</f>
        <v/>
      </c>
      <c r="G3757" s="5"/>
      <c r="H3757" s="7" t="s">
        <v>3797</v>
      </c>
      <c r="I3757" s="9">
        <v>1375500</v>
      </c>
      <c r="J3757" s="10">
        <v>0.0355</v>
      </c>
    </row>
    <row r="3758" spans="1:10">
      <c r="A3758" s="7" t="s">
        <v>3791</v>
      </c>
      <c r="B3758" s="7" t="s">
        <v>5625</v>
      </c>
      <c r="C3758" s="8">
        <f>QS.CONTEXT.CREATE("market.3756",A3758,"USD","SOFR")</f>
        <v/>
      </c>
      <c r="D3758" s="8">
        <f>QS.CONTEXT.ADD.CURVE(C3758,"SOFR",$K$2:$K$7,$L$2:$L$7,,,"Actual360","LogLinear",TRUE)</f>
        <v/>
      </c>
      <c r="E3758" s="8">
        <f>QS.INSTRUMENT.SWAP("swap.3756",C3758,H3758,B3758,"USD","SOFR",I3758,J3758,0,"Actual360","Simple","Annual","Annual","Annual")</f>
        <v/>
      </c>
      <c r="F3758" s="8">
        <f>QS.TRADE.CREATE("trade.3756",C3758,E3758,A3758,"Receive")</f>
        <v/>
      </c>
      <c r="G3758" s="5"/>
      <c r="H3758" s="7" t="s">
        <v>3798</v>
      </c>
      <c r="I3758" s="9">
        <v>1375600</v>
      </c>
      <c r="J3758" s="10">
        <v>0.03560000000000001</v>
      </c>
    </row>
    <row r="3759" spans="1:10">
      <c r="A3759" s="7" t="s">
        <v>3792</v>
      </c>
      <c r="B3759" s="7" t="s">
        <v>5626</v>
      </c>
      <c r="C3759" s="8">
        <f>QS.CONTEXT.CREATE("market.3757",A3759,"USD","SOFR")</f>
        <v/>
      </c>
      <c r="D3759" s="8">
        <f>QS.CONTEXT.ADD.CURVE(C3759,"SOFR",$K$2:$K$7,$L$2:$L$7,,,"Actual360","LogLinear",TRUE)</f>
        <v/>
      </c>
      <c r="E3759" s="8">
        <f>QS.INSTRUMENT.SWAP("swap.3757",C3759,H3759,B3759,"USD","SOFR",I3759,J3759,0,"Actual360","Simple","Annual","Annual","Annual")</f>
        <v/>
      </c>
      <c r="F3759" s="8">
        <f>QS.TRADE.CREATE("trade.3757",C3759,E3759,A3759,"Receive")</f>
        <v/>
      </c>
      <c r="G3759" s="5"/>
      <c r="H3759" s="7" t="s">
        <v>3799</v>
      </c>
      <c r="I3759" s="9">
        <v>1375700</v>
      </c>
      <c r="J3759" s="10">
        <v>0.0357</v>
      </c>
    </row>
    <row r="3760" spans="1:10">
      <c r="A3760" s="7" t="s">
        <v>3793</v>
      </c>
      <c r="B3760" s="7" t="s">
        <v>5627</v>
      </c>
      <c r="C3760" s="8">
        <f>QS.CONTEXT.CREATE("market.3758",A3760,"USD","SOFR")</f>
        <v/>
      </c>
      <c r="D3760" s="8">
        <f>QS.CONTEXT.ADD.CURVE(C3760,"SOFR",$K$2:$K$7,$L$2:$L$7,,,"Actual360","LogLinear",TRUE)</f>
        <v/>
      </c>
      <c r="E3760" s="8">
        <f>QS.INSTRUMENT.SWAP("swap.3758",C3760,H3760,B3760,"USD","SOFR",I3760,J3760,0,"Actual360","Simple","Annual","Annual","Annual")</f>
        <v/>
      </c>
      <c r="F3760" s="8">
        <f>QS.TRADE.CREATE("trade.3758",C3760,E3760,A3760,"Receive")</f>
        <v/>
      </c>
      <c r="G3760" s="5"/>
      <c r="H3760" s="7" t="s">
        <v>3800</v>
      </c>
      <c r="I3760" s="9">
        <v>1375800</v>
      </c>
      <c r="J3760" s="10">
        <v>0.03580000000000001</v>
      </c>
    </row>
    <row r="3761" spans="1:10">
      <c r="A3761" s="7" t="s">
        <v>3794</v>
      </c>
      <c r="B3761" s="7" t="s">
        <v>5628</v>
      </c>
      <c r="C3761" s="8">
        <f>QS.CONTEXT.CREATE("market.3759",A3761,"USD","SOFR")</f>
        <v/>
      </c>
      <c r="D3761" s="8">
        <f>QS.CONTEXT.ADD.CURVE(C3761,"SOFR",$K$2:$K$7,$L$2:$L$7,,,"Actual360","LogLinear",TRUE)</f>
        <v/>
      </c>
      <c r="E3761" s="8">
        <f>QS.INSTRUMENT.SWAP("swap.3759",C3761,H3761,B3761,"USD","SOFR",I3761,J3761,0,"Actual360","Simple","Annual","Annual","Annual")</f>
        <v/>
      </c>
      <c r="F3761" s="8">
        <f>QS.TRADE.CREATE("trade.3759",C3761,E3761,A3761,"Receive")</f>
        <v/>
      </c>
      <c r="G3761" s="5"/>
      <c r="H3761" s="7" t="s">
        <v>3801</v>
      </c>
      <c r="I3761" s="9">
        <v>1375900</v>
      </c>
      <c r="J3761" s="10">
        <v>0.0359</v>
      </c>
    </row>
    <row r="3762" spans="1:10">
      <c r="A3762" s="7" t="s">
        <v>3795</v>
      </c>
      <c r="B3762" s="7" t="s">
        <v>5629</v>
      </c>
      <c r="C3762" s="8">
        <f>QS.CONTEXT.CREATE("market.3760",A3762,"USD","SOFR")</f>
        <v/>
      </c>
      <c r="D3762" s="8">
        <f>QS.CONTEXT.ADD.CURVE(C3762,"SOFR",$K$2:$K$7,$L$2:$L$7,,,"Actual360","LogLinear",TRUE)</f>
        <v/>
      </c>
      <c r="E3762" s="8">
        <f>QS.INSTRUMENT.SWAP("swap.3760",C3762,H3762,B3762,"USD","SOFR",I3762,J3762,0,"Actual360","Simple","Annual","Annual","Annual")</f>
        <v/>
      </c>
      <c r="F3762" s="8">
        <f>QS.TRADE.CREATE("trade.3760",C3762,E3762,A3762,"Receive")</f>
        <v/>
      </c>
      <c r="G3762" s="5"/>
      <c r="H3762" s="7" t="s">
        <v>3802</v>
      </c>
      <c r="I3762" s="9">
        <v>1376000</v>
      </c>
      <c r="J3762" s="10">
        <v>0.036</v>
      </c>
    </row>
    <row r="3763" spans="1:10">
      <c r="A3763" s="7" t="s">
        <v>3796</v>
      </c>
      <c r="B3763" s="7" t="s">
        <v>5630</v>
      </c>
      <c r="C3763" s="8">
        <f>QS.CONTEXT.CREATE("market.3761",A3763,"USD","SOFR")</f>
        <v/>
      </c>
      <c r="D3763" s="8">
        <f>QS.CONTEXT.ADD.CURVE(C3763,"SOFR",$K$2:$K$7,$L$2:$L$7,,,"Actual360","LogLinear",TRUE)</f>
        <v/>
      </c>
      <c r="E3763" s="8">
        <f>QS.INSTRUMENT.SWAP("swap.3761",C3763,H3763,B3763,"USD","SOFR",I3763,J3763,0,"Actual360","Simple","Annual","Annual","Annual")</f>
        <v/>
      </c>
      <c r="F3763" s="8">
        <f>QS.TRADE.CREATE("trade.3761",C3763,E3763,A3763,"Receive")</f>
        <v/>
      </c>
      <c r="G3763" s="5"/>
      <c r="H3763" s="7" t="s">
        <v>3803</v>
      </c>
      <c r="I3763" s="9">
        <v>1376100</v>
      </c>
      <c r="J3763" s="10">
        <v>0.0361</v>
      </c>
    </row>
    <row r="3764" spans="1:10">
      <c r="A3764" s="7" t="s">
        <v>3797</v>
      </c>
      <c r="B3764" s="7" t="s">
        <v>5631</v>
      </c>
      <c r="C3764" s="8">
        <f>QS.CONTEXT.CREATE("market.3762",A3764,"USD","SOFR")</f>
        <v/>
      </c>
      <c r="D3764" s="8">
        <f>QS.CONTEXT.ADD.CURVE(C3764,"SOFR",$K$2:$K$7,$L$2:$L$7,,,"Actual360","LogLinear",TRUE)</f>
        <v/>
      </c>
      <c r="E3764" s="8">
        <f>QS.INSTRUMENT.SWAP("swap.3762",C3764,H3764,B3764,"USD","SOFR",I3764,J3764,0,"Actual360","Simple","Annual","Annual","Annual")</f>
        <v/>
      </c>
      <c r="F3764" s="8">
        <f>QS.TRADE.CREATE("trade.3762",C3764,E3764,A3764,"Receive")</f>
        <v/>
      </c>
      <c r="G3764" s="5"/>
      <c r="H3764" s="7" t="s">
        <v>3804</v>
      </c>
      <c r="I3764" s="9">
        <v>1376200</v>
      </c>
      <c r="J3764" s="10">
        <v>0.0362</v>
      </c>
    </row>
    <row r="3765" spans="1:10">
      <c r="A3765" s="7" t="s">
        <v>3798</v>
      </c>
      <c r="B3765" s="7" t="s">
        <v>5632</v>
      </c>
      <c r="C3765" s="8">
        <f>QS.CONTEXT.CREATE("market.3763",A3765,"USD","SOFR")</f>
        <v/>
      </c>
      <c r="D3765" s="8">
        <f>QS.CONTEXT.ADD.CURVE(C3765,"SOFR",$K$2:$K$7,$L$2:$L$7,,,"Actual360","LogLinear",TRUE)</f>
        <v/>
      </c>
      <c r="E3765" s="8">
        <f>QS.INSTRUMENT.SWAP("swap.3763",C3765,H3765,B3765,"USD","SOFR",I3765,J3765,0,"Actual360","Simple","Annual","Annual","Annual")</f>
        <v/>
      </c>
      <c r="F3765" s="8">
        <f>QS.TRADE.CREATE("trade.3763",C3765,E3765,A3765,"Receive")</f>
        <v/>
      </c>
      <c r="G3765" s="5"/>
      <c r="H3765" s="7" t="s">
        <v>3805</v>
      </c>
      <c r="I3765" s="9">
        <v>1376300</v>
      </c>
      <c r="J3765" s="10">
        <v>0.03630000000000001</v>
      </c>
    </row>
    <row r="3766" spans="1:10">
      <c r="A3766" s="7" t="s">
        <v>3799</v>
      </c>
      <c r="B3766" s="7" t="s">
        <v>5633</v>
      </c>
      <c r="C3766" s="8">
        <f>QS.CONTEXT.CREATE("market.3764",A3766,"USD","SOFR")</f>
        <v/>
      </c>
      <c r="D3766" s="8">
        <f>QS.CONTEXT.ADD.CURVE(C3766,"SOFR",$K$2:$K$7,$L$2:$L$7,,,"Actual360","LogLinear",TRUE)</f>
        <v/>
      </c>
      <c r="E3766" s="8">
        <f>QS.INSTRUMENT.SWAP("swap.3764",C3766,H3766,B3766,"USD","SOFR",I3766,J3766,0,"Actual360","Simple","Annual","Annual","Annual")</f>
        <v/>
      </c>
      <c r="F3766" s="8">
        <f>QS.TRADE.CREATE("trade.3764",C3766,E3766,A3766,"Receive")</f>
        <v/>
      </c>
      <c r="G3766" s="5"/>
      <c r="H3766" s="7" t="s">
        <v>3806</v>
      </c>
      <c r="I3766" s="9">
        <v>1376400</v>
      </c>
      <c r="J3766" s="10">
        <v>0.0364</v>
      </c>
    </row>
    <row r="3767" spans="1:10">
      <c r="A3767" s="7" t="s">
        <v>3800</v>
      </c>
      <c r="B3767" s="7" t="s">
        <v>5634</v>
      </c>
      <c r="C3767" s="8">
        <f>QS.CONTEXT.CREATE("market.3765",A3767,"USD","SOFR")</f>
        <v/>
      </c>
      <c r="D3767" s="8">
        <f>QS.CONTEXT.ADD.CURVE(C3767,"SOFR",$K$2:$K$7,$L$2:$L$7,,,"Actual360","LogLinear",TRUE)</f>
        <v/>
      </c>
      <c r="E3767" s="8">
        <f>QS.INSTRUMENT.SWAP("swap.3765",C3767,H3767,B3767,"USD","SOFR",I3767,J3767,0,"Actual360","Simple","Annual","Annual","Annual")</f>
        <v/>
      </c>
      <c r="F3767" s="8">
        <f>QS.TRADE.CREATE("trade.3765",C3767,E3767,A3767,"Receive")</f>
        <v/>
      </c>
      <c r="G3767" s="5"/>
      <c r="H3767" s="7" t="s">
        <v>3807</v>
      </c>
      <c r="I3767" s="9">
        <v>1376500</v>
      </c>
      <c r="J3767" s="10">
        <v>0.0365</v>
      </c>
    </row>
    <row r="3768" spans="1:10">
      <c r="A3768" s="7" t="s">
        <v>3801</v>
      </c>
      <c r="B3768" s="7" t="s">
        <v>5635</v>
      </c>
      <c r="C3768" s="8">
        <f>QS.CONTEXT.CREATE("market.3766",A3768,"USD","SOFR")</f>
        <v/>
      </c>
      <c r="D3768" s="8">
        <f>QS.CONTEXT.ADD.CURVE(C3768,"SOFR",$K$2:$K$7,$L$2:$L$7,,,"Actual360","LogLinear",TRUE)</f>
        <v/>
      </c>
      <c r="E3768" s="8">
        <f>QS.INSTRUMENT.SWAP("swap.3766",C3768,H3768,B3768,"USD","SOFR",I3768,J3768,0,"Actual360","Simple","Annual","Annual","Annual")</f>
        <v/>
      </c>
      <c r="F3768" s="8">
        <f>QS.TRADE.CREATE("trade.3766",C3768,E3768,A3768,"Receive")</f>
        <v/>
      </c>
      <c r="G3768" s="5"/>
      <c r="H3768" s="7" t="s">
        <v>3808</v>
      </c>
      <c r="I3768" s="9">
        <v>1376600</v>
      </c>
      <c r="J3768" s="10">
        <v>0.0366</v>
      </c>
    </row>
    <row r="3769" spans="1:10">
      <c r="A3769" s="7" t="s">
        <v>3802</v>
      </c>
      <c r="B3769" s="7" t="s">
        <v>5636</v>
      </c>
      <c r="C3769" s="8">
        <f>QS.CONTEXT.CREATE("market.3767",A3769,"USD","SOFR")</f>
        <v/>
      </c>
      <c r="D3769" s="8">
        <f>QS.CONTEXT.ADD.CURVE(C3769,"SOFR",$K$2:$K$7,$L$2:$L$7,,,"Actual360","LogLinear",TRUE)</f>
        <v/>
      </c>
      <c r="E3769" s="8">
        <f>QS.INSTRUMENT.SWAP("swap.3767",C3769,H3769,B3769,"USD","SOFR",I3769,J3769,0,"Actual360","Simple","Annual","Annual","Annual")</f>
        <v/>
      </c>
      <c r="F3769" s="8">
        <f>QS.TRADE.CREATE("trade.3767",C3769,E3769,A3769,"Receive")</f>
        <v/>
      </c>
      <c r="G3769" s="5"/>
      <c r="H3769" s="7" t="s">
        <v>3809</v>
      </c>
      <c r="I3769" s="9">
        <v>1376700</v>
      </c>
      <c r="J3769" s="10">
        <v>0.0367</v>
      </c>
    </row>
    <row r="3770" spans="1:10">
      <c r="A3770" s="7" t="s">
        <v>3803</v>
      </c>
      <c r="B3770" s="7" t="s">
        <v>5637</v>
      </c>
      <c r="C3770" s="8">
        <f>QS.CONTEXT.CREATE("market.3768",A3770,"USD","SOFR")</f>
        <v/>
      </c>
      <c r="D3770" s="8">
        <f>QS.CONTEXT.ADD.CURVE(C3770,"SOFR",$K$2:$K$7,$L$2:$L$7,,,"Actual360","LogLinear",TRUE)</f>
        <v/>
      </c>
      <c r="E3770" s="8">
        <f>QS.INSTRUMENT.SWAP("swap.3768",C3770,H3770,B3770,"USD","SOFR",I3770,J3770,0,"Actual360","Simple","Annual","Annual","Annual")</f>
        <v/>
      </c>
      <c r="F3770" s="8">
        <f>QS.TRADE.CREATE("trade.3768",C3770,E3770,A3770,"Receive")</f>
        <v/>
      </c>
      <c r="G3770" s="5"/>
      <c r="H3770" s="7" t="s">
        <v>3810</v>
      </c>
      <c r="I3770" s="9">
        <v>1376800</v>
      </c>
      <c r="J3770" s="10">
        <v>0.03680000000000001</v>
      </c>
    </row>
    <row r="3771" spans="1:10">
      <c r="A3771" s="7" t="s">
        <v>3804</v>
      </c>
      <c r="B3771" s="7" t="s">
        <v>5638</v>
      </c>
      <c r="C3771" s="8">
        <f>QS.CONTEXT.CREATE("market.3769",A3771,"USD","SOFR")</f>
        <v/>
      </c>
      <c r="D3771" s="8">
        <f>QS.CONTEXT.ADD.CURVE(C3771,"SOFR",$K$2:$K$7,$L$2:$L$7,,,"Actual360","LogLinear",TRUE)</f>
        <v/>
      </c>
      <c r="E3771" s="8">
        <f>QS.INSTRUMENT.SWAP("swap.3769",C3771,H3771,B3771,"USD","SOFR",I3771,J3771,0,"Actual360","Simple","Annual","Annual","Annual")</f>
        <v/>
      </c>
      <c r="F3771" s="8">
        <f>QS.TRADE.CREATE("trade.3769",C3771,E3771,A3771,"Receive")</f>
        <v/>
      </c>
      <c r="G3771" s="5"/>
      <c r="H3771" s="7" t="s">
        <v>3811</v>
      </c>
      <c r="I3771" s="9">
        <v>1376900</v>
      </c>
      <c r="J3771" s="10">
        <v>0.0369</v>
      </c>
    </row>
    <row r="3772" spans="1:10">
      <c r="A3772" s="7" t="s">
        <v>3805</v>
      </c>
      <c r="B3772" s="7" t="s">
        <v>5639</v>
      </c>
      <c r="C3772" s="8">
        <f>QS.CONTEXT.CREATE("market.3770",A3772,"USD","SOFR")</f>
        <v/>
      </c>
      <c r="D3772" s="8">
        <f>QS.CONTEXT.ADD.CURVE(C3772,"SOFR",$K$2:$K$7,$L$2:$L$7,,,"Actual360","LogLinear",TRUE)</f>
        <v/>
      </c>
      <c r="E3772" s="8">
        <f>QS.INSTRUMENT.SWAP("swap.3770",C3772,H3772,B3772,"USD","SOFR",I3772,J3772,0,"Actual360","Simple","Annual","Annual","Annual")</f>
        <v/>
      </c>
      <c r="F3772" s="8">
        <f>QS.TRADE.CREATE("trade.3770",C3772,E3772,A3772,"Receive")</f>
        <v/>
      </c>
      <c r="G3772" s="5"/>
      <c r="H3772" s="7" t="s">
        <v>3812</v>
      </c>
      <c r="I3772" s="9">
        <v>1377000</v>
      </c>
      <c r="J3772" s="10">
        <v>0.03700000000000001</v>
      </c>
    </row>
    <row r="3773" spans="1:10">
      <c r="A3773" s="7" t="s">
        <v>3806</v>
      </c>
      <c r="B3773" s="7" t="s">
        <v>5640</v>
      </c>
      <c r="C3773" s="8">
        <f>QS.CONTEXT.CREATE("market.3771",A3773,"USD","SOFR")</f>
        <v/>
      </c>
      <c r="D3773" s="8">
        <f>QS.CONTEXT.ADD.CURVE(C3773,"SOFR",$K$2:$K$7,$L$2:$L$7,,,"Actual360","LogLinear",TRUE)</f>
        <v/>
      </c>
      <c r="E3773" s="8">
        <f>QS.INSTRUMENT.SWAP("swap.3771",C3773,H3773,B3773,"USD","SOFR",I3773,J3773,0,"Actual360","Simple","Annual","Annual","Annual")</f>
        <v/>
      </c>
      <c r="F3773" s="8">
        <f>QS.TRADE.CREATE("trade.3771",C3773,E3773,A3773,"Receive")</f>
        <v/>
      </c>
      <c r="G3773" s="5"/>
      <c r="H3773" s="7" t="s">
        <v>3813</v>
      </c>
      <c r="I3773" s="9">
        <v>1377100</v>
      </c>
      <c r="J3773" s="10">
        <v>0.0371</v>
      </c>
    </row>
    <row r="3774" spans="1:10">
      <c r="A3774" s="7" t="s">
        <v>3807</v>
      </c>
      <c r="B3774" s="7" t="s">
        <v>5641</v>
      </c>
      <c r="C3774" s="8">
        <f>QS.CONTEXT.CREATE("market.3772",A3774,"USD","SOFR")</f>
        <v/>
      </c>
      <c r="D3774" s="8">
        <f>QS.CONTEXT.ADD.CURVE(C3774,"SOFR",$K$2:$K$7,$L$2:$L$7,,,"Actual360","LogLinear",TRUE)</f>
        <v/>
      </c>
      <c r="E3774" s="8">
        <f>QS.INSTRUMENT.SWAP("swap.3772",C3774,H3774,B3774,"USD","SOFR",I3774,J3774,0,"Actual360","Simple","Annual","Annual","Annual")</f>
        <v/>
      </c>
      <c r="F3774" s="8">
        <f>QS.TRADE.CREATE("trade.3772",C3774,E3774,A3774,"Receive")</f>
        <v/>
      </c>
      <c r="G3774" s="5"/>
      <c r="H3774" s="7" t="s">
        <v>3814</v>
      </c>
      <c r="I3774" s="9">
        <v>1377200</v>
      </c>
      <c r="J3774" s="10">
        <v>0.0372</v>
      </c>
    </row>
    <row r="3775" spans="1:10">
      <c r="A3775" s="7" t="s">
        <v>3808</v>
      </c>
      <c r="B3775" s="7" t="s">
        <v>5642</v>
      </c>
      <c r="C3775" s="8">
        <f>QS.CONTEXT.CREATE("market.3773",A3775,"USD","SOFR")</f>
        <v/>
      </c>
      <c r="D3775" s="8">
        <f>QS.CONTEXT.ADD.CURVE(C3775,"SOFR",$K$2:$K$7,$L$2:$L$7,,,"Actual360","LogLinear",TRUE)</f>
        <v/>
      </c>
      <c r="E3775" s="8">
        <f>QS.INSTRUMENT.SWAP("swap.3773",C3775,H3775,B3775,"USD","SOFR",I3775,J3775,0,"Actual360","Simple","Annual","Annual","Annual")</f>
        <v/>
      </c>
      <c r="F3775" s="8">
        <f>QS.TRADE.CREATE("trade.3773",C3775,E3775,A3775,"Receive")</f>
        <v/>
      </c>
      <c r="G3775" s="5"/>
      <c r="H3775" s="7" t="s">
        <v>3815</v>
      </c>
      <c r="I3775" s="9">
        <v>1377300</v>
      </c>
      <c r="J3775" s="10">
        <v>0.0373</v>
      </c>
    </row>
    <row r="3776" spans="1:10">
      <c r="A3776" s="7" t="s">
        <v>3809</v>
      </c>
      <c r="B3776" s="7" t="s">
        <v>5643</v>
      </c>
      <c r="C3776" s="8">
        <f>QS.CONTEXT.CREATE("market.3774",A3776,"USD","SOFR")</f>
        <v/>
      </c>
      <c r="D3776" s="8">
        <f>QS.CONTEXT.ADD.CURVE(C3776,"SOFR",$K$2:$K$7,$L$2:$L$7,,,"Actual360","LogLinear",TRUE)</f>
        <v/>
      </c>
      <c r="E3776" s="8">
        <f>QS.INSTRUMENT.SWAP("swap.3774",C3776,H3776,B3776,"USD","SOFR",I3776,J3776,0,"Actual360","Simple","Annual","Annual","Annual")</f>
        <v/>
      </c>
      <c r="F3776" s="8">
        <f>QS.TRADE.CREATE("trade.3774",C3776,E3776,A3776,"Receive")</f>
        <v/>
      </c>
      <c r="G3776" s="5"/>
      <c r="H3776" s="7" t="s">
        <v>3816</v>
      </c>
      <c r="I3776" s="9">
        <v>1377400</v>
      </c>
      <c r="J3776" s="10">
        <v>0.0374</v>
      </c>
    </row>
    <row r="3777" spans="1:10">
      <c r="A3777" s="7" t="s">
        <v>3810</v>
      </c>
      <c r="B3777" s="7" t="s">
        <v>5644</v>
      </c>
      <c r="C3777" s="8">
        <f>QS.CONTEXT.CREATE("market.3775",A3777,"USD","SOFR")</f>
        <v/>
      </c>
      <c r="D3777" s="8">
        <f>QS.CONTEXT.ADD.CURVE(C3777,"SOFR",$K$2:$K$7,$L$2:$L$7,,,"Actual360","LogLinear",TRUE)</f>
        <v/>
      </c>
      <c r="E3777" s="8">
        <f>QS.INSTRUMENT.SWAP("swap.3775",C3777,H3777,B3777,"USD","SOFR",I3777,J3777,0,"Actual360","Simple","Annual","Annual","Annual")</f>
        <v/>
      </c>
      <c r="F3777" s="8">
        <f>QS.TRADE.CREATE("trade.3775",C3777,E3777,A3777,"Receive")</f>
        <v/>
      </c>
      <c r="G3777" s="5"/>
      <c r="H3777" s="7" t="s">
        <v>3817</v>
      </c>
      <c r="I3777" s="9">
        <v>1377500</v>
      </c>
      <c r="J3777" s="10">
        <v>0.03750000000000001</v>
      </c>
    </row>
    <row r="3778" spans="1:10">
      <c r="A3778" s="7" t="s">
        <v>3811</v>
      </c>
      <c r="B3778" s="7" t="s">
        <v>5645</v>
      </c>
      <c r="C3778" s="8">
        <f>QS.CONTEXT.CREATE("market.3776",A3778,"USD","SOFR")</f>
        <v/>
      </c>
      <c r="D3778" s="8">
        <f>QS.CONTEXT.ADD.CURVE(C3778,"SOFR",$K$2:$K$7,$L$2:$L$7,,,"Actual360","LogLinear",TRUE)</f>
        <v/>
      </c>
      <c r="E3778" s="8">
        <f>QS.INSTRUMENT.SWAP("swap.3776",C3778,H3778,B3778,"USD","SOFR",I3778,J3778,0,"Actual360","Simple","Annual","Annual","Annual")</f>
        <v/>
      </c>
      <c r="F3778" s="8">
        <f>QS.TRADE.CREATE("trade.3776",C3778,E3778,A3778,"Receive")</f>
        <v/>
      </c>
      <c r="G3778" s="5"/>
      <c r="H3778" s="7" t="s">
        <v>3818</v>
      </c>
      <c r="I3778" s="9">
        <v>1377600</v>
      </c>
      <c r="J3778" s="10">
        <v>0.0376</v>
      </c>
    </row>
    <row r="3779" spans="1:10">
      <c r="A3779" s="7" t="s">
        <v>3812</v>
      </c>
      <c r="B3779" s="7" t="s">
        <v>5646</v>
      </c>
      <c r="C3779" s="8">
        <f>QS.CONTEXT.CREATE("market.3777",A3779,"USD","SOFR")</f>
        <v/>
      </c>
      <c r="D3779" s="8">
        <f>QS.CONTEXT.ADD.CURVE(C3779,"SOFR",$K$2:$K$7,$L$2:$L$7,,,"Actual360","LogLinear",TRUE)</f>
        <v/>
      </c>
      <c r="E3779" s="8">
        <f>QS.INSTRUMENT.SWAP("swap.3777",C3779,H3779,B3779,"USD","SOFR",I3779,J3779,0,"Actual360","Simple","Annual","Annual","Annual")</f>
        <v/>
      </c>
      <c r="F3779" s="8">
        <f>QS.TRADE.CREATE("trade.3777",C3779,E3779,A3779,"Receive")</f>
        <v/>
      </c>
      <c r="G3779" s="5"/>
      <c r="H3779" s="7" t="s">
        <v>3819</v>
      </c>
      <c r="I3779" s="9">
        <v>1377700</v>
      </c>
      <c r="J3779" s="10">
        <v>0.0377</v>
      </c>
    </row>
    <row r="3780" spans="1:10">
      <c r="A3780" s="7" t="s">
        <v>3813</v>
      </c>
      <c r="B3780" s="7" t="s">
        <v>5647</v>
      </c>
      <c r="C3780" s="8">
        <f>QS.CONTEXT.CREATE("market.3778",A3780,"USD","SOFR")</f>
        <v/>
      </c>
      <c r="D3780" s="8">
        <f>QS.CONTEXT.ADD.CURVE(C3780,"SOFR",$K$2:$K$7,$L$2:$L$7,,,"Actual360","LogLinear",TRUE)</f>
        <v/>
      </c>
      <c r="E3780" s="8">
        <f>QS.INSTRUMENT.SWAP("swap.3778",C3780,H3780,B3780,"USD","SOFR",I3780,J3780,0,"Actual360","Simple","Annual","Annual","Annual")</f>
        <v/>
      </c>
      <c r="F3780" s="8">
        <f>QS.TRADE.CREATE("trade.3778",C3780,E3780,A3780,"Receive")</f>
        <v/>
      </c>
      <c r="G3780" s="5"/>
      <c r="H3780" s="7" t="s">
        <v>3820</v>
      </c>
      <c r="I3780" s="9">
        <v>1377800</v>
      </c>
      <c r="J3780" s="10">
        <v>0.0378</v>
      </c>
    </row>
    <row r="3781" spans="1:10">
      <c r="A3781" s="7" t="s">
        <v>3814</v>
      </c>
      <c r="B3781" s="7" t="s">
        <v>5648</v>
      </c>
      <c r="C3781" s="8">
        <f>QS.CONTEXT.CREATE("market.3779",A3781,"USD","SOFR")</f>
        <v/>
      </c>
      <c r="D3781" s="8">
        <f>QS.CONTEXT.ADD.CURVE(C3781,"SOFR",$K$2:$K$7,$L$2:$L$7,,,"Actual360","LogLinear",TRUE)</f>
        <v/>
      </c>
      <c r="E3781" s="8">
        <f>QS.INSTRUMENT.SWAP("swap.3779",C3781,H3781,B3781,"USD","SOFR",I3781,J3781,0,"Actual360","Simple","Annual","Annual","Annual")</f>
        <v/>
      </c>
      <c r="F3781" s="8">
        <f>QS.TRADE.CREATE("trade.3779",C3781,E3781,A3781,"Receive")</f>
        <v/>
      </c>
      <c r="G3781" s="5"/>
      <c r="H3781" s="7" t="s">
        <v>3821</v>
      </c>
      <c r="I3781" s="9">
        <v>1377900</v>
      </c>
      <c r="J3781" s="10">
        <v>0.0379</v>
      </c>
    </row>
    <row r="3782" spans="1:10">
      <c r="A3782" s="7" t="s">
        <v>3815</v>
      </c>
      <c r="B3782" s="7" t="s">
        <v>5649</v>
      </c>
      <c r="C3782" s="8">
        <f>QS.CONTEXT.CREATE("market.3780",A3782,"USD","SOFR")</f>
        <v/>
      </c>
      <c r="D3782" s="8">
        <f>QS.CONTEXT.ADD.CURVE(C3782,"SOFR",$K$2:$K$7,$L$2:$L$7,,,"Actual360","LogLinear",TRUE)</f>
        <v/>
      </c>
      <c r="E3782" s="8">
        <f>QS.INSTRUMENT.SWAP("swap.3780",C3782,H3782,B3782,"USD","SOFR",I3782,J3782,0,"Actual360","Simple","Annual","Annual","Annual")</f>
        <v/>
      </c>
      <c r="F3782" s="8">
        <f>QS.TRADE.CREATE("trade.3780",C3782,E3782,A3782,"Receive")</f>
        <v/>
      </c>
      <c r="G3782" s="5"/>
      <c r="H3782" s="7" t="s">
        <v>3822</v>
      </c>
      <c r="I3782" s="9">
        <v>1378000</v>
      </c>
      <c r="J3782" s="10">
        <v>0.03800000000000001</v>
      </c>
    </row>
    <row r="3783" spans="1:10">
      <c r="A3783" s="7" t="s">
        <v>3816</v>
      </c>
      <c r="B3783" s="7" t="s">
        <v>5650</v>
      </c>
      <c r="C3783" s="8">
        <f>QS.CONTEXT.CREATE("market.3781",A3783,"USD","SOFR")</f>
        <v/>
      </c>
      <c r="D3783" s="8">
        <f>QS.CONTEXT.ADD.CURVE(C3783,"SOFR",$K$2:$K$7,$L$2:$L$7,,,"Actual360","LogLinear",TRUE)</f>
        <v/>
      </c>
      <c r="E3783" s="8">
        <f>QS.INSTRUMENT.SWAP("swap.3781",C3783,H3783,B3783,"USD","SOFR",I3783,J3783,0,"Actual360","Simple","Annual","Annual","Annual")</f>
        <v/>
      </c>
      <c r="F3783" s="8">
        <f>QS.TRADE.CREATE("trade.3781",C3783,E3783,A3783,"Receive")</f>
        <v/>
      </c>
      <c r="G3783" s="5"/>
      <c r="H3783" s="7" t="s">
        <v>3823</v>
      </c>
      <c r="I3783" s="9">
        <v>1378100</v>
      </c>
      <c r="J3783" s="10">
        <v>0.0381</v>
      </c>
    </row>
    <row r="3784" spans="1:10">
      <c r="A3784" s="7" t="s">
        <v>3817</v>
      </c>
      <c r="B3784" s="7" t="s">
        <v>5651</v>
      </c>
      <c r="C3784" s="8">
        <f>QS.CONTEXT.CREATE("market.3782",A3784,"USD","SOFR")</f>
        <v/>
      </c>
      <c r="D3784" s="8">
        <f>QS.CONTEXT.ADD.CURVE(C3784,"SOFR",$K$2:$K$7,$L$2:$L$7,,,"Actual360","LogLinear",TRUE)</f>
        <v/>
      </c>
      <c r="E3784" s="8">
        <f>QS.INSTRUMENT.SWAP("swap.3782",C3784,H3784,B3784,"USD","SOFR",I3784,J3784,0,"Actual360","Simple","Annual","Annual","Annual")</f>
        <v/>
      </c>
      <c r="F3784" s="8">
        <f>QS.TRADE.CREATE("trade.3782",C3784,E3784,A3784,"Receive")</f>
        <v/>
      </c>
      <c r="G3784" s="5"/>
      <c r="H3784" s="7" t="s">
        <v>3824</v>
      </c>
      <c r="I3784" s="9">
        <v>1378200</v>
      </c>
      <c r="J3784" s="10">
        <v>0.0382</v>
      </c>
    </row>
    <row r="3785" spans="1:10">
      <c r="A3785" s="7" t="s">
        <v>3818</v>
      </c>
      <c r="B3785" s="7" t="s">
        <v>5652</v>
      </c>
      <c r="C3785" s="8">
        <f>QS.CONTEXT.CREATE("market.3783",A3785,"USD","SOFR")</f>
        <v/>
      </c>
      <c r="D3785" s="8">
        <f>QS.CONTEXT.ADD.CURVE(C3785,"SOFR",$K$2:$K$7,$L$2:$L$7,,,"Actual360","LogLinear",TRUE)</f>
        <v/>
      </c>
      <c r="E3785" s="8">
        <f>QS.INSTRUMENT.SWAP("swap.3783",C3785,H3785,B3785,"USD","SOFR",I3785,J3785,0,"Actual360","Simple","Annual","Annual","Annual")</f>
        <v/>
      </c>
      <c r="F3785" s="8">
        <f>QS.TRADE.CREATE("trade.3783",C3785,E3785,A3785,"Receive")</f>
        <v/>
      </c>
      <c r="G3785" s="5"/>
      <c r="H3785" s="7" t="s">
        <v>3825</v>
      </c>
      <c r="I3785" s="9">
        <v>1378300</v>
      </c>
      <c r="J3785" s="10">
        <v>0.0383</v>
      </c>
    </row>
    <row r="3786" spans="1:10">
      <c r="A3786" s="7" t="s">
        <v>3819</v>
      </c>
      <c r="B3786" s="7" t="s">
        <v>5653</v>
      </c>
      <c r="C3786" s="8">
        <f>QS.CONTEXT.CREATE("market.3784",A3786,"USD","SOFR")</f>
        <v/>
      </c>
      <c r="D3786" s="8">
        <f>QS.CONTEXT.ADD.CURVE(C3786,"SOFR",$K$2:$K$7,$L$2:$L$7,,,"Actual360","LogLinear",TRUE)</f>
        <v/>
      </c>
      <c r="E3786" s="8">
        <f>QS.INSTRUMENT.SWAP("swap.3784",C3786,H3786,B3786,"USD","SOFR",I3786,J3786,0,"Actual360","Simple","Annual","Annual","Annual")</f>
        <v/>
      </c>
      <c r="F3786" s="8">
        <f>QS.TRADE.CREATE("trade.3784",C3786,E3786,A3786,"Receive")</f>
        <v/>
      </c>
      <c r="G3786" s="5"/>
      <c r="H3786" s="7" t="s">
        <v>3826</v>
      </c>
      <c r="I3786" s="9">
        <v>1378400</v>
      </c>
      <c r="J3786" s="10">
        <v>0.0384</v>
      </c>
    </row>
    <row r="3787" spans="1:10">
      <c r="A3787" s="7" t="s">
        <v>3820</v>
      </c>
      <c r="B3787" s="7" t="s">
        <v>5654</v>
      </c>
      <c r="C3787" s="8">
        <f>QS.CONTEXT.CREATE("market.3785",A3787,"USD","SOFR")</f>
        <v/>
      </c>
      <c r="D3787" s="8">
        <f>QS.CONTEXT.ADD.CURVE(C3787,"SOFR",$K$2:$K$7,$L$2:$L$7,,,"Actual360","LogLinear",TRUE)</f>
        <v/>
      </c>
      <c r="E3787" s="8">
        <f>QS.INSTRUMENT.SWAP("swap.3785",C3787,H3787,B3787,"USD","SOFR",I3787,J3787,0,"Actual360","Simple","Annual","Annual","Annual")</f>
        <v/>
      </c>
      <c r="F3787" s="8">
        <f>QS.TRADE.CREATE("trade.3785",C3787,E3787,A3787,"Receive")</f>
        <v/>
      </c>
      <c r="G3787" s="5"/>
      <c r="H3787" s="7" t="s">
        <v>3827</v>
      </c>
      <c r="I3787" s="9">
        <v>1378500</v>
      </c>
      <c r="J3787" s="10">
        <v>0.03850000000000001</v>
      </c>
    </row>
    <row r="3788" spans="1:10">
      <c r="A3788" s="7" t="s">
        <v>3821</v>
      </c>
      <c r="B3788" s="7" t="s">
        <v>5655</v>
      </c>
      <c r="C3788" s="8">
        <f>QS.CONTEXT.CREATE("market.3786",A3788,"USD","SOFR")</f>
        <v/>
      </c>
      <c r="D3788" s="8">
        <f>QS.CONTEXT.ADD.CURVE(C3788,"SOFR",$K$2:$K$7,$L$2:$L$7,,,"Actual360","LogLinear",TRUE)</f>
        <v/>
      </c>
      <c r="E3788" s="8">
        <f>QS.INSTRUMENT.SWAP("swap.3786",C3788,H3788,B3788,"USD","SOFR",I3788,J3788,0,"Actual360","Simple","Annual","Annual","Annual")</f>
        <v/>
      </c>
      <c r="F3788" s="8">
        <f>QS.TRADE.CREATE("trade.3786",C3788,E3788,A3788,"Receive")</f>
        <v/>
      </c>
      <c r="G3788" s="5"/>
      <c r="H3788" s="7" t="s">
        <v>3828</v>
      </c>
      <c r="I3788" s="9">
        <v>1378600</v>
      </c>
      <c r="J3788" s="10">
        <v>0.0386</v>
      </c>
    </row>
    <row r="3789" spans="1:10">
      <c r="A3789" s="7" t="s">
        <v>3822</v>
      </c>
      <c r="B3789" s="7" t="s">
        <v>5656</v>
      </c>
      <c r="C3789" s="8">
        <f>QS.CONTEXT.CREATE("market.3787",A3789,"USD","SOFR")</f>
        <v/>
      </c>
      <c r="D3789" s="8">
        <f>QS.CONTEXT.ADD.CURVE(C3789,"SOFR",$K$2:$K$7,$L$2:$L$7,,,"Actual360","LogLinear",TRUE)</f>
        <v/>
      </c>
      <c r="E3789" s="8">
        <f>QS.INSTRUMENT.SWAP("swap.3787",C3789,H3789,B3789,"USD","SOFR",I3789,J3789,0,"Actual360","Simple","Annual","Annual","Annual")</f>
        <v/>
      </c>
      <c r="F3789" s="8">
        <f>QS.TRADE.CREATE("trade.3787",C3789,E3789,A3789,"Receive")</f>
        <v/>
      </c>
      <c r="G3789" s="5"/>
      <c r="H3789" s="7" t="s">
        <v>3829</v>
      </c>
      <c r="I3789" s="9">
        <v>1378700</v>
      </c>
      <c r="J3789" s="10">
        <v>0.03870000000000001</v>
      </c>
    </row>
    <row r="3790" spans="1:10">
      <c r="A3790" s="7" t="s">
        <v>3823</v>
      </c>
      <c r="B3790" s="7" t="s">
        <v>5657</v>
      </c>
      <c r="C3790" s="8">
        <f>QS.CONTEXT.CREATE("market.3788",A3790,"USD","SOFR")</f>
        <v/>
      </c>
      <c r="D3790" s="8">
        <f>QS.CONTEXT.ADD.CURVE(C3790,"SOFR",$K$2:$K$7,$L$2:$L$7,,,"Actual360","LogLinear",TRUE)</f>
        <v/>
      </c>
      <c r="E3790" s="8">
        <f>QS.INSTRUMENT.SWAP("swap.3788",C3790,H3790,B3790,"USD","SOFR",I3790,J3790,0,"Actual360","Simple","Annual","Annual","Annual")</f>
        <v/>
      </c>
      <c r="F3790" s="8">
        <f>QS.TRADE.CREATE("trade.3788",C3790,E3790,A3790,"Receive")</f>
        <v/>
      </c>
      <c r="G3790" s="5"/>
      <c r="H3790" s="7" t="s">
        <v>3830</v>
      </c>
      <c r="I3790" s="9">
        <v>1378800</v>
      </c>
      <c r="J3790" s="10">
        <v>0.0388</v>
      </c>
    </row>
    <row r="3791" spans="1:10">
      <c r="A3791" s="7" t="s">
        <v>3824</v>
      </c>
      <c r="B3791" s="7" t="s">
        <v>5658</v>
      </c>
      <c r="C3791" s="8">
        <f>QS.CONTEXT.CREATE("market.3789",A3791,"USD","SOFR")</f>
        <v/>
      </c>
      <c r="D3791" s="8">
        <f>QS.CONTEXT.ADD.CURVE(C3791,"SOFR",$K$2:$K$7,$L$2:$L$7,,,"Actual360","LogLinear",TRUE)</f>
        <v/>
      </c>
      <c r="E3791" s="8">
        <f>QS.INSTRUMENT.SWAP("swap.3789",C3791,H3791,B3791,"USD","SOFR",I3791,J3791,0,"Actual360","Simple","Annual","Annual","Annual")</f>
        <v/>
      </c>
      <c r="F3791" s="8">
        <f>QS.TRADE.CREATE("trade.3789",C3791,E3791,A3791,"Receive")</f>
        <v/>
      </c>
      <c r="G3791" s="5"/>
      <c r="H3791" s="7" t="s">
        <v>3831</v>
      </c>
      <c r="I3791" s="9">
        <v>1378900</v>
      </c>
      <c r="J3791" s="10">
        <v>0.0389</v>
      </c>
    </row>
    <row r="3792" spans="1:10">
      <c r="A3792" s="7" t="s">
        <v>3825</v>
      </c>
      <c r="B3792" s="7" t="s">
        <v>5659</v>
      </c>
      <c r="C3792" s="8">
        <f>QS.CONTEXT.CREATE("market.3790",A3792,"USD","SOFR")</f>
        <v/>
      </c>
      <c r="D3792" s="8">
        <f>QS.CONTEXT.ADD.CURVE(C3792,"SOFR",$K$2:$K$7,$L$2:$L$7,,,"Actual360","LogLinear",TRUE)</f>
        <v/>
      </c>
      <c r="E3792" s="8">
        <f>QS.INSTRUMENT.SWAP("swap.3790",C3792,H3792,B3792,"USD","SOFR",I3792,J3792,0,"Actual360","Simple","Annual","Annual","Annual")</f>
        <v/>
      </c>
      <c r="F3792" s="8">
        <f>QS.TRADE.CREATE("trade.3790",C3792,E3792,A3792,"Receive")</f>
        <v/>
      </c>
      <c r="G3792" s="5"/>
      <c r="H3792" s="7" t="s">
        <v>3832</v>
      </c>
      <c r="I3792" s="9">
        <v>1379000</v>
      </c>
      <c r="J3792" s="10">
        <v>0.03900000000000001</v>
      </c>
    </row>
    <row r="3793" spans="1:10">
      <c r="A3793" s="7" t="s">
        <v>3826</v>
      </c>
      <c r="B3793" s="7" t="s">
        <v>5660</v>
      </c>
      <c r="C3793" s="8">
        <f>QS.CONTEXT.CREATE("market.3791",A3793,"USD","SOFR")</f>
        <v/>
      </c>
      <c r="D3793" s="8">
        <f>QS.CONTEXT.ADD.CURVE(C3793,"SOFR",$K$2:$K$7,$L$2:$L$7,,,"Actual360","LogLinear",TRUE)</f>
        <v/>
      </c>
      <c r="E3793" s="8">
        <f>QS.INSTRUMENT.SWAP("swap.3791",C3793,H3793,B3793,"USD","SOFR",I3793,J3793,0,"Actual360","Simple","Annual","Annual","Annual")</f>
        <v/>
      </c>
      <c r="F3793" s="8">
        <f>QS.TRADE.CREATE("trade.3791",C3793,E3793,A3793,"Receive")</f>
        <v/>
      </c>
      <c r="G3793" s="5"/>
      <c r="H3793" s="7" t="s">
        <v>3833</v>
      </c>
      <c r="I3793" s="9">
        <v>1379100</v>
      </c>
      <c r="J3793" s="10">
        <v>0.0391</v>
      </c>
    </row>
    <row r="3794" spans="1:10">
      <c r="A3794" s="7" t="s">
        <v>3827</v>
      </c>
      <c r="B3794" s="7" t="s">
        <v>5661</v>
      </c>
      <c r="C3794" s="8">
        <f>QS.CONTEXT.CREATE("market.3792",A3794,"USD","SOFR")</f>
        <v/>
      </c>
      <c r="D3794" s="8">
        <f>QS.CONTEXT.ADD.CURVE(C3794,"SOFR",$K$2:$K$7,$L$2:$L$7,,,"Actual360","LogLinear",TRUE)</f>
        <v/>
      </c>
      <c r="E3794" s="8">
        <f>QS.INSTRUMENT.SWAP("swap.3792",C3794,H3794,B3794,"USD","SOFR",I3794,J3794,0,"Actual360","Simple","Annual","Annual","Annual")</f>
        <v/>
      </c>
      <c r="F3794" s="8">
        <f>QS.TRADE.CREATE("trade.3792",C3794,E3794,A3794,"Receive")</f>
        <v/>
      </c>
      <c r="G3794" s="5"/>
      <c r="H3794" s="7" t="s">
        <v>3834</v>
      </c>
      <c r="I3794" s="9">
        <v>1379200</v>
      </c>
      <c r="J3794" s="10">
        <v>0.03920000000000001</v>
      </c>
    </row>
    <row r="3795" spans="1:10">
      <c r="A3795" s="7" t="s">
        <v>3828</v>
      </c>
      <c r="B3795" s="7" t="s">
        <v>5662</v>
      </c>
      <c r="C3795" s="8">
        <f>QS.CONTEXT.CREATE("market.3793",A3795,"USD","SOFR")</f>
        <v/>
      </c>
      <c r="D3795" s="8">
        <f>QS.CONTEXT.ADD.CURVE(C3795,"SOFR",$K$2:$K$7,$L$2:$L$7,,,"Actual360","LogLinear",TRUE)</f>
        <v/>
      </c>
      <c r="E3795" s="8">
        <f>QS.INSTRUMENT.SWAP("swap.3793",C3795,H3795,B3795,"USD","SOFR",I3795,J3795,0,"Actual360","Simple","Annual","Annual","Annual")</f>
        <v/>
      </c>
      <c r="F3795" s="8">
        <f>QS.TRADE.CREATE("trade.3793",C3795,E3795,A3795,"Receive")</f>
        <v/>
      </c>
      <c r="G3795" s="5"/>
      <c r="H3795" s="7" t="s">
        <v>3835</v>
      </c>
      <c r="I3795" s="9">
        <v>1379300</v>
      </c>
      <c r="J3795" s="10">
        <v>0.0393</v>
      </c>
    </row>
    <row r="3796" spans="1:10">
      <c r="A3796" s="7" t="s">
        <v>3829</v>
      </c>
      <c r="B3796" s="7" t="s">
        <v>5663</v>
      </c>
      <c r="C3796" s="8">
        <f>QS.CONTEXT.CREATE("market.3794",A3796,"USD","SOFR")</f>
        <v/>
      </c>
      <c r="D3796" s="8">
        <f>QS.CONTEXT.ADD.CURVE(C3796,"SOFR",$K$2:$K$7,$L$2:$L$7,,,"Actual360","LogLinear",TRUE)</f>
        <v/>
      </c>
      <c r="E3796" s="8">
        <f>QS.INSTRUMENT.SWAP("swap.3794",C3796,H3796,B3796,"USD","SOFR",I3796,J3796,0,"Actual360","Simple","Annual","Annual","Annual")</f>
        <v/>
      </c>
      <c r="F3796" s="8">
        <f>QS.TRADE.CREATE("trade.3794",C3796,E3796,A3796,"Receive")</f>
        <v/>
      </c>
      <c r="G3796" s="5"/>
      <c r="H3796" s="7" t="s">
        <v>3836</v>
      </c>
      <c r="I3796" s="9">
        <v>1379400</v>
      </c>
      <c r="J3796" s="10">
        <v>0.0394</v>
      </c>
    </row>
    <row r="3797" spans="1:10">
      <c r="A3797" s="7" t="s">
        <v>3830</v>
      </c>
      <c r="B3797" s="7" t="s">
        <v>5664</v>
      </c>
      <c r="C3797" s="8">
        <f>QS.CONTEXT.CREATE("market.3795",A3797,"USD","SOFR")</f>
        <v/>
      </c>
      <c r="D3797" s="8">
        <f>QS.CONTEXT.ADD.CURVE(C3797,"SOFR",$K$2:$K$7,$L$2:$L$7,,,"Actual360","LogLinear",TRUE)</f>
        <v/>
      </c>
      <c r="E3797" s="8">
        <f>QS.INSTRUMENT.SWAP("swap.3795",C3797,H3797,B3797,"USD","SOFR",I3797,J3797,0,"Actual360","Simple","Annual","Annual","Annual")</f>
        <v/>
      </c>
      <c r="F3797" s="8">
        <f>QS.TRADE.CREATE("trade.3795",C3797,E3797,A3797,"Receive")</f>
        <v/>
      </c>
      <c r="G3797" s="5"/>
      <c r="H3797" s="7" t="s">
        <v>3837</v>
      </c>
      <c r="I3797" s="9">
        <v>1379500</v>
      </c>
      <c r="J3797" s="10">
        <v>0.03950000000000001</v>
      </c>
    </row>
    <row r="3798" spans="1:10">
      <c r="A3798" s="7" t="s">
        <v>3831</v>
      </c>
      <c r="B3798" s="7" t="s">
        <v>5665</v>
      </c>
      <c r="C3798" s="8">
        <f>QS.CONTEXT.CREATE("market.3796",A3798,"USD","SOFR")</f>
        <v/>
      </c>
      <c r="D3798" s="8">
        <f>QS.CONTEXT.ADD.CURVE(C3798,"SOFR",$K$2:$K$7,$L$2:$L$7,,,"Actual360","LogLinear",TRUE)</f>
        <v/>
      </c>
      <c r="E3798" s="8">
        <f>QS.INSTRUMENT.SWAP("swap.3796",C3798,H3798,B3798,"USD","SOFR",I3798,J3798,0,"Actual360","Simple","Annual","Annual","Annual")</f>
        <v/>
      </c>
      <c r="F3798" s="8">
        <f>QS.TRADE.CREATE("trade.3796",C3798,E3798,A3798,"Receive")</f>
        <v/>
      </c>
      <c r="G3798" s="5"/>
      <c r="H3798" s="7" t="s">
        <v>3838</v>
      </c>
      <c r="I3798" s="9">
        <v>1379600</v>
      </c>
      <c r="J3798" s="10">
        <v>0.0396</v>
      </c>
    </row>
    <row r="3799" spans="1:10">
      <c r="A3799" s="7" t="s">
        <v>3832</v>
      </c>
      <c r="B3799" s="7" t="s">
        <v>5666</v>
      </c>
      <c r="C3799" s="8">
        <f>QS.CONTEXT.CREATE("market.3797",A3799,"USD","SOFR")</f>
        <v/>
      </c>
      <c r="D3799" s="8">
        <f>QS.CONTEXT.ADD.CURVE(C3799,"SOFR",$K$2:$K$7,$L$2:$L$7,,,"Actual360","LogLinear",TRUE)</f>
        <v/>
      </c>
      <c r="E3799" s="8">
        <f>QS.INSTRUMENT.SWAP("swap.3797",C3799,H3799,B3799,"USD","SOFR",I3799,J3799,0,"Actual360","Simple","Annual","Annual","Annual")</f>
        <v/>
      </c>
      <c r="F3799" s="8">
        <f>QS.TRADE.CREATE("trade.3797",C3799,E3799,A3799,"Receive")</f>
        <v/>
      </c>
      <c r="G3799" s="5"/>
      <c r="H3799" s="7" t="s">
        <v>3839</v>
      </c>
      <c r="I3799" s="9">
        <v>1379700</v>
      </c>
      <c r="J3799" s="10">
        <v>0.03970000000000001</v>
      </c>
    </row>
    <row r="3800" spans="1:10">
      <c r="A3800" s="7" t="s">
        <v>3833</v>
      </c>
      <c r="B3800" s="7" t="s">
        <v>5667</v>
      </c>
      <c r="C3800" s="8">
        <f>QS.CONTEXT.CREATE("market.3798",A3800,"USD","SOFR")</f>
        <v/>
      </c>
      <c r="D3800" s="8">
        <f>QS.CONTEXT.ADD.CURVE(C3800,"SOFR",$K$2:$K$7,$L$2:$L$7,,,"Actual360","LogLinear",TRUE)</f>
        <v/>
      </c>
      <c r="E3800" s="8">
        <f>QS.INSTRUMENT.SWAP("swap.3798",C3800,H3800,B3800,"USD","SOFR",I3800,J3800,0,"Actual360","Simple","Annual","Annual","Annual")</f>
        <v/>
      </c>
      <c r="F3800" s="8">
        <f>QS.TRADE.CREATE("trade.3798",C3800,E3800,A3800,"Receive")</f>
        <v/>
      </c>
      <c r="G3800" s="5"/>
      <c r="H3800" s="7" t="s">
        <v>3840</v>
      </c>
      <c r="I3800" s="9">
        <v>1379800</v>
      </c>
      <c r="J3800" s="10">
        <v>0.0398</v>
      </c>
    </row>
    <row r="3801" spans="1:10">
      <c r="A3801" s="7" t="s">
        <v>3834</v>
      </c>
      <c r="B3801" s="7" t="s">
        <v>5668</v>
      </c>
      <c r="C3801" s="8">
        <f>QS.CONTEXT.CREATE("market.3799",A3801,"USD","SOFR")</f>
        <v/>
      </c>
      <c r="D3801" s="8">
        <f>QS.CONTEXT.ADD.CURVE(C3801,"SOFR",$K$2:$K$7,$L$2:$L$7,,,"Actual360","LogLinear",TRUE)</f>
        <v/>
      </c>
      <c r="E3801" s="8">
        <f>QS.INSTRUMENT.SWAP("swap.3799",C3801,H3801,B3801,"USD","SOFR",I3801,J3801,0,"Actual360","Simple","Annual","Annual","Annual")</f>
        <v/>
      </c>
      <c r="F3801" s="8">
        <f>QS.TRADE.CREATE("trade.3799",C3801,E3801,A3801,"Receive")</f>
        <v/>
      </c>
      <c r="G3801" s="5"/>
      <c r="H3801" s="7" t="s">
        <v>3841</v>
      </c>
      <c r="I3801" s="9">
        <v>1379900</v>
      </c>
      <c r="J3801" s="10">
        <v>0.0399</v>
      </c>
    </row>
    <row r="3802" spans="1:10">
      <c r="A3802" s="7" t="s">
        <v>3835</v>
      </c>
      <c r="B3802" s="7" t="s">
        <v>5669</v>
      </c>
      <c r="C3802" s="8">
        <f>QS.CONTEXT.CREATE("market.3800",A3802,"USD","SOFR")</f>
        <v/>
      </c>
      <c r="D3802" s="8">
        <f>QS.CONTEXT.ADD.CURVE(C3802,"SOFR",$K$2:$K$7,$L$2:$L$7,,,"Actual360","LogLinear",TRUE)</f>
        <v/>
      </c>
      <c r="E3802" s="8">
        <f>QS.INSTRUMENT.SWAP("swap.3800",C3802,H3802,B3802,"USD","SOFR",I3802,J3802,0,"Actual360","Simple","Annual","Annual","Annual")</f>
        <v/>
      </c>
      <c r="F3802" s="8">
        <f>QS.TRADE.CREATE("trade.3800",C3802,E3802,A3802,"Receive")</f>
        <v/>
      </c>
      <c r="G3802" s="5"/>
      <c r="H3802" s="7" t="s">
        <v>3842</v>
      </c>
      <c r="I3802" s="9">
        <v>1380000</v>
      </c>
      <c r="J3802" s="10">
        <v>0.035</v>
      </c>
    </row>
    <row r="3803" spans="1:10">
      <c r="A3803" s="7" t="s">
        <v>3836</v>
      </c>
      <c r="B3803" s="7" t="s">
        <v>5670</v>
      </c>
      <c r="C3803" s="8">
        <f>QS.CONTEXT.CREATE("market.3801",A3803,"USD","SOFR")</f>
        <v/>
      </c>
      <c r="D3803" s="8">
        <f>QS.CONTEXT.ADD.CURVE(C3803,"SOFR",$K$2:$K$7,$L$2:$L$7,,,"Actual360","LogLinear",TRUE)</f>
        <v/>
      </c>
      <c r="E3803" s="8">
        <f>QS.INSTRUMENT.SWAP("swap.3801",C3803,H3803,B3803,"USD","SOFR",I3803,J3803,0,"Actual360","Simple","Annual","Annual","Annual")</f>
        <v/>
      </c>
      <c r="F3803" s="8">
        <f>QS.TRADE.CREATE("trade.3801",C3803,E3803,A3803,"Receive")</f>
        <v/>
      </c>
      <c r="G3803" s="5"/>
      <c r="H3803" s="7" t="s">
        <v>3843</v>
      </c>
      <c r="I3803" s="9">
        <v>1380100</v>
      </c>
      <c r="J3803" s="10">
        <v>0.03510000000000001</v>
      </c>
    </row>
    <row r="3804" spans="1:10">
      <c r="A3804" s="7" t="s">
        <v>3837</v>
      </c>
      <c r="B3804" s="7" t="s">
        <v>5671</v>
      </c>
      <c r="C3804" s="8">
        <f>QS.CONTEXT.CREATE("market.3802",A3804,"USD","SOFR")</f>
        <v/>
      </c>
      <c r="D3804" s="8">
        <f>QS.CONTEXT.ADD.CURVE(C3804,"SOFR",$K$2:$K$7,$L$2:$L$7,,,"Actual360","LogLinear",TRUE)</f>
        <v/>
      </c>
      <c r="E3804" s="8">
        <f>QS.INSTRUMENT.SWAP("swap.3802",C3804,H3804,B3804,"USD","SOFR",I3804,J3804,0,"Actual360","Simple","Annual","Annual","Annual")</f>
        <v/>
      </c>
      <c r="F3804" s="8">
        <f>QS.TRADE.CREATE("trade.3802",C3804,E3804,A3804,"Receive")</f>
        <v/>
      </c>
      <c r="G3804" s="5"/>
      <c r="H3804" s="7" t="s">
        <v>3844</v>
      </c>
      <c r="I3804" s="9">
        <v>1380200</v>
      </c>
      <c r="J3804" s="10">
        <v>0.0352</v>
      </c>
    </row>
    <row r="3805" spans="1:10">
      <c r="A3805" s="7" t="s">
        <v>3838</v>
      </c>
      <c r="B3805" s="7" t="s">
        <v>5672</v>
      </c>
      <c r="C3805" s="8">
        <f>QS.CONTEXT.CREATE("market.3803",A3805,"USD","SOFR")</f>
        <v/>
      </c>
      <c r="D3805" s="8">
        <f>QS.CONTEXT.ADD.CURVE(C3805,"SOFR",$K$2:$K$7,$L$2:$L$7,,,"Actual360","LogLinear",TRUE)</f>
        <v/>
      </c>
      <c r="E3805" s="8">
        <f>QS.INSTRUMENT.SWAP("swap.3803",C3805,H3805,B3805,"USD","SOFR",I3805,J3805,0,"Actual360","Simple","Annual","Annual","Annual")</f>
        <v/>
      </c>
      <c r="F3805" s="8">
        <f>QS.TRADE.CREATE("trade.3803",C3805,E3805,A3805,"Receive")</f>
        <v/>
      </c>
      <c r="G3805" s="5"/>
      <c r="H3805" s="7" t="s">
        <v>3845</v>
      </c>
      <c r="I3805" s="9">
        <v>1380300</v>
      </c>
      <c r="J3805" s="10">
        <v>0.0353</v>
      </c>
    </row>
    <row r="3806" spans="1:10">
      <c r="A3806" s="7" t="s">
        <v>3839</v>
      </c>
      <c r="B3806" s="7" t="s">
        <v>5673</v>
      </c>
      <c r="C3806" s="8">
        <f>QS.CONTEXT.CREATE("market.3804",A3806,"USD","SOFR")</f>
        <v/>
      </c>
      <c r="D3806" s="8">
        <f>QS.CONTEXT.ADD.CURVE(C3806,"SOFR",$K$2:$K$7,$L$2:$L$7,,,"Actual360","LogLinear",TRUE)</f>
        <v/>
      </c>
      <c r="E3806" s="8">
        <f>QS.INSTRUMENT.SWAP("swap.3804",C3806,H3806,B3806,"USD","SOFR",I3806,J3806,0,"Actual360","Simple","Annual","Annual","Annual")</f>
        <v/>
      </c>
      <c r="F3806" s="8">
        <f>QS.TRADE.CREATE("trade.3804",C3806,E3806,A3806,"Receive")</f>
        <v/>
      </c>
      <c r="G3806" s="5"/>
      <c r="H3806" s="7" t="s">
        <v>3846</v>
      </c>
      <c r="I3806" s="9">
        <v>1380400</v>
      </c>
      <c r="J3806" s="10">
        <v>0.0354</v>
      </c>
    </row>
    <row r="3807" spans="1:10">
      <c r="A3807" s="7" t="s">
        <v>3840</v>
      </c>
      <c r="B3807" s="7" t="s">
        <v>5674</v>
      </c>
      <c r="C3807" s="8">
        <f>QS.CONTEXT.CREATE("market.3805",A3807,"USD","SOFR")</f>
        <v/>
      </c>
      <c r="D3807" s="8">
        <f>QS.CONTEXT.ADD.CURVE(C3807,"SOFR",$K$2:$K$7,$L$2:$L$7,,,"Actual360","LogLinear",TRUE)</f>
        <v/>
      </c>
      <c r="E3807" s="8">
        <f>QS.INSTRUMENT.SWAP("swap.3805",C3807,H3807,B3807,"USD","SOFR",I3807,J3807,0,"Actual360","Simple","Annual","Annual","Annual")</f>
        <v/>
      </c>
      <c r="F3807" s="8">
        <f>QS.TRADE.CREATE("trade.3805",C3807,E3807,A3807,"Receive")</f>
        <v/>
      </c>
      <c r="G3807" s="5"/>
      <c r="H3807" s="7" t="s">
        <v>3847</v>
      </c>
      <c r="I3807" s="9">
        <v>1380500</v>
      </c>
      <c r="J3807" s="10">
        <v>0.0355</v>
      </c>
    </row>
    <row r="3808" spans="1:10">
      <c r="A3808" s="7" t="s">
        <v>3841</v>
      </c>
      <c r="B3808" s="7" t="s">
        <v>5675</v>
      </c>
      <c r="C3808" s="8">
        <f>QS.CONTEXT.CREATE("market.3806",A3808,"USD","SOFR")</f>
        <v/>
      </c>
      <c r="D3808" s="8">
        <f>QS.CONTEXT.ADD.CURVE(C3808,"SOFR",$K$2:$K$7,$L$2:$L$7,,,"Actual360","LogLinear",TRUE)</f>
        <v/>
      </c>
      <c r="E3808" s="8">
        <f>QS.INSTRUMENT.SWAP("swap.3806",C3808,H3808,B3808,"USD","SOFR",I3808,J3808,0,"Actual360","Simple","Annual","Annual","Annual")</f>
        <v/>
      </c>
      <c r="F3808" s="8">
        <f>QS.TRADE.CREATE("trade.3806",C3808,E3808,A3808,"Receive")</f>
        <v/>
      </c>
      <c r="G3808" s="5"/>
      <c r="H3808" s="7" t="s">
        <v>3848</v>
      </c>
      <c r="I3808" s="9">
        <v>1380600</v>
      </c>
      <c r="J3808" s="10">
        <v>0.03560000000000001</v>
      </c>
    </row>
    <row r="3809" spans="1:10">
      <c r="A3809" s="7" t="s">
        <v>3842</v>
      </c>
      <c r="B3809" s="7" t="s">
        <v>5676</v>
      </c>
      <c r="C3809" s="8">
        <f>QS.CONTEXT.CREATE("market.3807",A3809,"USD","SOFR")</f>
        <v/>
      </c>
      <c r="D3809" s="8">
        <f>QS.CONTEXT.ADD.CURVE(C3809,"SOFR",$K$2:$K$7,$L$2:$L$7,,,"Actual360","LogLinear",TRUE)</f>
        <v/>
      </c>
      <c r="E3809" s="8">
        <f>QS.INSTRUMENT.SWAP("swap.3807",C3809,H3809,B3809,"USD","SOFR",I3809,J3809,0,"Actual360","Simple","Annual","Annual","Annual")</f>
        <v/>
      </c>
      <c r="F3809" s="8">
        <f>QS.TRADE.CREATE("trade.3807",C3809,E3809,A3809,"Receive")</f>
        <v/>
      </c>
      <c r="G3809" s="5"/>
      <c r="H3809" s="7" t="s">
        <v>3849</v>
      </c>
      <c r="I3809" s="9">
        <v>1380700</v>
      </c>
      <c r="J3809" s="10">
        <v>0.0357</v>
      </c>
    </row>
    <row r="3810" spans="1:10">
      <c r="A3810" s="7" t="s">
        <v>3843</v>
      </c>
      <c r="B3810" s="7" t="s">
        <v>5677</v>
      </c>
      <c r="C3810" s="8">
        <f>QS.CONTEXT.CREATE("market.3808",A3810,"USD","SOFR")</f>
        <v/>
      </c>
      <c r="D3810" s="8">
        <f>QS.CONTEXT.ADD.CURVE(C3810,"SOFR",$K$2:$K$7,$L$2:$L$7,,,"Actual360","LogLinear",TRUE)</f>
        <v/>
      </c>
      <c r="E3810" s="8">
        <f>QS.INSTRUMENT.SWAP("swap.3808",C3810,H3810,B3810,"USD","SOFR",I3810,J3810,0,"Actual360","Simple","Annual","Annual","Annual")</f>
        <v/>
      </c>
      <c r="F3810" s="8">
        <f>QS.TRADE.CREATE("trade.3808",C3810,E3810,A3810,"Receive")</f>
        <v/>
      </c>
      <c r="G3810" s="5"/>
      <c r="H3810" s="7" t="s">
        <v>3850</v>
      </c>
      <c r="I3810" s="9">
        <v>1380800</v>
      </c>
      <c r="J3810" s="10">
        <v>0.03580000000000001</v>
      </c>
    </row>
    <row r="3811" spans="1:10">
      <c r="A3811" s="7" t="s">
        <v>3844</v>
      </c>
      <c r="B3811" s="7" t="s">
        <v>5678</v>
      </c>
      <c r="C3811" s="8">
        <f>QS.CONTEXT.CREATE("market.3809",A3811,"USD","SOFR")</f>
        <v/>
      </c>
      <c r="D3811" s="8">
        <f>QS.CONTEXT.ADD.CURVE(C3811,"SOFR",$K$2:$K$7,$L$2:$L$7,,,"Actual360","LogLinear",TRUE)</f>
        <v/>
      </c>
      <c r="E3811" s="8">
        <f>QS.INSTRUMENT.SWAP("swap.3809",C3811,H3811,B3811,"USD","SOFR",I3811,J3811,0,"Actual360","Simple","Annual","Annual","Annual")</f>
        <v/>
      </c>
      <c r="F3811" s="8">
        <f>QS.TRADE.CREATE("trade.3809",C3811,E3811,A3811,"Receive")</f>
        <v/>
      </c>
      <c r="G3811" s="5"/>
      <c r="H3811" s="7" t="s">
        <v>3851</v>
      </c>
      <c r="I3811" s="9">
        <v>1380900</v>
      </c>
      <c r="J3811" s="10">
        <v>0.0359</v>
      </c>
    </row>
    <row r="3812" spans="1:10">
      <c r="A3812" s="7" t="s">
        <v>3845</v>
      </c>
      <c r="B3812" s="7" t="s">
        <v>5679</v>
      </c>
      <c r="C3812" s="8">
        <f>QS.CONTEXT.CREATE("market.3810",A3812,"USD","SOFR")</f>
        <v/>
      </c>
      <c r="D3812" s="8">
        <f>QS.CONTEXT.ADD.CURVE(C3812,"SOFR",$K$2:$K$7,$L$2:$L$7,,,"Actual360","LogLinear",TRUE)</f>
        <v/>
      </c>
      <c r="E3812" s="8">
        <f>QS.INSTRUMENT.SWAP("swap.3810",C3812,H3812,B3812,"USD","SOFR",I3812,J3812,0,"Actual360","Simple","Annual","Annual","Annual")</f>
        <v/>
      </c>
      <c r="F3812" s="8">
        <f>QS.TRADE.CREATE("trade.3810",C3812,E3812,A3812,"Receive")</f>
        <v/>
      </c>
      <c r="G3812" s="5"/>
      <c r="H3812" s="7" t="s">
        <v>3852</v>
      </c>
      <c r="I3812" s="9">
        <v>1381000</v>
      </c>
      <c r="J3812" s="10">
        <v>0.036</v>
      </c>
    </row>
    <row r="3813" spans="1:10">
      <c r="A3813" s="7" t="s">
        <v>3846</v>
      </c>
      <c r="B3813" s="7" t="s">
        <v>5680</v>
      </c>
      <c r="C3813" s="8">
        <f>QS.CONTEXT.CREATE("market.3811",A3813,"USD","SOFR")</f>
        <v/>
      </c>
      <c r="D3813" s="8">
        <f>QS.CONTEXT.ADD.CURVE(C3813,"SOFR",$K$2:$K$7,$L$2:$L$7,,,"Actual360","LogLinear",TRUE)</f>
        <v/>
      </c>
      <c r="E3813" s="8">
        <f>QS.INSTRUMENT.SWAP("swap.3811",C3813,H3813,B3813,"USD","SOFR",I3813,J3813,0,"Actual360","Simple","Annual","Annual","Annual")</f>
        <v/>
      </c>
      <c r="F3813" s="8">
        <f>QS.TRADE.CREATE("trade.3811",C3813,E3813,A3813,"Receive")</f>
        <v/>
      </c>
      <c r="G3813" s="5"/>
      <c r="H3813" s="7" t="s">
        <v>3853</v>
      </c>
      <c r="I3813" s="9">
        <v>1381100</v>
      </c>
      <c r="J3813" s="10">
        <v>0.0361</v>
      </c>
    </row>
    <row r="3814" spans="1:10">
      <c r="A3814" s="7" t="s">
        <v>3847</v>
      </c>
      <c r="B3814" s="7" t="s">
        <v>5681</v>
      </c>
      <c r="C3814" s="8">
        <f>QS.CONTEXT.CREATE("market.3812",A3814,"USD","SOFR")</f>
        <v/>
      </c>
      <c r="D3814" s="8">
        <f>QS.CONTEXT.ADD.CURVE(C3814,"SOFR",$K$2:$K$7,$L$2:$L$7,,,"Actual360","LogLinear",TRUE)</f>
        <v/>
      </c>
      <c r="E3814" s="8">
        <f>QS.INSTRUMENT.SWAP("swap.3812",C3814,H3814,B3814,"USD","SOFR",I3814,J3814,0,"Actual360","Simple","Annual","Annual","Annual")</f>
        <v/>
      </c>
      <c r="F3814" s="8">
        <f>QS.TRADE.CREATE("trade.3812",C3814,E3814,A3814,"Receive")</f>
        <v/>
      </c>
      <c r="G3814" s="5"/>
      <c r="H3814" s="7" t="s">
        <v>3854</v>
      </c>
      <c r="I3814" s="9">
        <v>1381200</v>
      </c>
      <c r="J3814" s="10">
        <v>0.0362</v>
      </c>
    </row>
    <row r="3815" spans="1:10">
      <c r="A3815" s="7" t="s">
        <v>3848</v>
      </c>
      <c r="B3815" s="7" t="s">
        <v>5682</v>
      </c>
      <c r="C3815" s="8">
        <f>QS.CONTEXT.CREATE("market.3813",A3815,"USD","SOFR")</f>
        <v/>
      </c>
      <c r="D3815" s="8">
        <f>QS.CONTEXT.ADD.CURVE(C3815,"SOFR",$K$2:$K$7,$L$2:$L$7,,,"Actual360","LogLinear",TRUE)</f>
        <v/>
      </c>
      <c r="E3815" s="8">
        <f>QS.INSTRUMENT.SWAP("swap.3813",C3815,H3815,B3815,"USD","SOFR",I3815,J3815,0,"Actual360","Simple","Annual","Annual","Annual")</f>
        <v/>
      </c>
      <c r="F3815" s="8">
        <f>QS.TRADE.CREATE("trade.3813",C3815,E3815,A3815,"Receive")</f>
        <v/>
      </c>
      <c r="G3815" s="5"/>
      <c r="H3815" s="7" t="s">
        <v>3855</v>
      </c>
      <c r="I3815" s="9">
        <v>1381300</v>
      </c>
      <c r="J3815" s="10">
        <v>0.03630000000000001</v>
      </c>
    </row>
    <row r="3816" spans="1:10">
      <c r="A3816" s="7" t="s">
        <v>3849</v>
      </c>
      <c r="B3816" s="7" t="s">
        <v>5683</v>
      </c>
      <c r="C3816" s="8">
        <f>QS.CONTEXT.CREATE("market.3814",A3816,"USD","SOFR")</f>
        <v/>
      </c>
      <c r="D3816" s="8">
        <f>QS.CONTEXT.ADD.CURVE(C3816,"SOFR",$K$2:$K$7,$L$2:$L$7,,,"Actual360","LogLinear",TRUE)</f>
        <v/>
      </c>
      <c r="E3816" s="8">
        <f>QS.INSTRUMENT.SWAP("swap.3814",C3816,H3816,B3816,"USD","SOFR",I3816,J3816,0,"Actual360","Simple","Annual","Annual","Annual")</f>
        <v/>
      </c>
      <c r="F3816" s="8">
        <f>QS.TRADE.CREATE("trade.3814",C3816,E3816,A3816,"Receive")</f>
        <v/>
      </c>
      <c r="G3816" s="5"/>
      <c r="H3816" s="7" t="s">
        <v>3856</v>
      </c>
      <c r="I3816" s="9">
        <v>1381400</v>
      </c>
      <c r="J3816" s="10">
        <v>0.0364</v>
      </c>
    </row>
    <row r="3817" spans="1:10">
      <c r="A3817" s="7" t="s">
        <v>3850</v>
      </c>
      <c r="B3817" s="7" t="s">
        <v>5684</v>
      </c>
      <c r="C3817" s="8">
        <f>QS.CONTEXT.CREATE("market.3815",A3817,"USD","SOFR")</f>
        <v/>
      </c>
      <c r="D3817" s="8">
        <f>QS.CONTEXT.ADD.CURVE(C3817,"SOFR",$K$2:$K$7,$L$2:$L$7,,,"Actual360","LogLinear",TRUE)</f>
        <v/>
      </c>
      <c r="E3817" s="8">
        <f>QS.INSTRUMENT.SWAP("swap.3815",C3817,H3817,B3817,"USD","SOFR",I3817,J3817,0,"Actual360","Simple","Annual","Annual","Annual")</f>
        <v/>
      </c>
      <c r="F3817" s="8">
        <f>QS.TRADE.CREATE("trade.3815",C3817,E3817,A3817,"Receive")</f>
        <v/>
      </c>
      <c r="G3817" s="5"/>
      <c r="H3817" s="7" t="s">
        <v>3857</v>
      </c>
      <c r="I3817" s="9">
        <v>1381500</v>
      </c>
      <c r="J3817" s="10">
        <v>0.0365</v>
      </c>
    </row>
    <row r="3818" spans="1:10">
      <c r="A3818" s="7" t="s">
        <v>3851</v>
      </c>
      <c r="B3818" s="7" t="s">
        <v>5685</v>
      </c>
      <c r="C3818" s="8">
        <f>QS.CONTEXT.CREATE("market.3816",A3818,"USD","SOFR")</f>
        <v/>
      </c>
      <c r="D3818" s="8">
        <f>QS.CONTEXT.ADD.CURVE(C3818,"SOFR",$K$2:$K$7,$L$2:$L$7,,,"Actual360","LogLinear",TRUE)</f>
        <v/>
      </c>
      <c r="E3818" s="8">
        <f>QS.INSTRUMENT.SWAP("swap.3816",C3818,H3818,B3818,"USD","SOFR",I3818,J3818,0,"Actual360","Simple","Annual","Annual","Annual")</f>
        <v/>
      </c>
      <c r="F3818" s="8">
        <f>QS.TRADE.CREATE("trade.3816",C3818,E3818,A3818,"Receive")</f>
        <v/>
      </c>
      <c r="G3818" s="5"/>
      <c r="H3818" s="7" t="s">
        <v>3858</v>
      </c>
      <c r="I3818" s="9">
        <v>1381600</v>
      </c>
      <c r="J3818" s="10">
        <v>0.0366</v>
      </c>
    </row>
    <row r="3819" spans="1:10">
      <c r="A3819" s="7" t="s">
        <v>3852</v>
      </c>
      <c r="B3819" s="7" t="s">
        <v>5686</v>
      </c>
      <c r="C3819" s="8">
        <f>QS.CONTEXT.CREATE("market.3817",A3819,"USD","SOFR")</f>
        <v/>
      </c>
      <c r="D3819" s="8">
        <f>QS.CONTEXT.ADD.CURVE(C3819,"SOFR",$K$2:$K$7,$L$2:$L$7,,,"Actual360","LogLinear",TRUE)</f>
        <v/>
      </c>
      <c r="E3819" s="8">
        <f>QS.INSTRUMENT.SWAP("swap.3817",C3819,H3819,B3819,"USD","SOFR",I3819,J3819,0,"Actual360","Simple","Annual","Annual","Annual")</f>
        <v/>
      </c>
      <c r="F3819" s="8">
        <f>QS.TRADE.CREATE("trade.3817",C3819,E3819,A3819,"Receive")</f>
        <v/>
      </c>
      <c r="G3819" s="5"/>
      <c r="H3819" s="7" t="s">
        <v>3859</v>
      </c>
      <c r="I3819" s="9">
        <v>1381700</v>
      </c>
      <c r="J3819" s="10">
        <v>0.0367</v>
      </c>
    </row>
    <row r="3820" spans="1:10">
      <c r="A3820" s="7" t="s">
        <v>3853</v>
      </c>
      <c r="B3820" s="7" t="s">
        <v>5687</v>
      </c>
      <c r="C3820" s="8">
        <f>QS.CONTEXT.CREATE("market.3818",A3820,"USD","SOFR")</f>
        <v/>
      </c>
      <c r="D3820" s="8">
        <f>QS.CONTEXT.ADD.CURVE(C3820,"SOFR",$K$2:$K$7,$L$2:$L$7,,,"Actual360","LogLinear",TRUE)</f>
        <v/>
      </c>
      <c r="E3820" s="8">
        <f>QS.INSTRUMENT.SWAP("swap.3818",C3820,H3820,B3820,"USD","SOFR",I3820,J3820,0,"Actual360","Simple","Annual","Annual","Annual")</f>
        <v/>
      </c>
      <c r="F3820" s="8">
        <f>QS.TRADE.CREATE("trade.3818",C3820,E3820,A3820,"Receive")</f>
        <v/>
      </c>
      <c r="G3820" s="5"/>
      <c r="H3820" s="7" t="s">
        <v>3860</v>
      </c>
      <c r="I3820" s="9">
        <v>1381800</v>
      </c>
      <c r="J3820" s="10">
        <v>0.03680000000000001</v>
      </c>
    </row>
    <row r="3821" spans="1:10">
      <c r="A3821" s="7" t="s">
        <v>3854</v>
      </c>
      <c r="B3821" s="7" t="s">
        <v>5688</v>
      </c>
      <c r="C3821" s="8">
        <f>QS.CONTEXT.CREATE("market.3819",A3821,"USD","SOFR")</f>
        <v/>
      </c>
      <c r="D3821" s="8">
        <f>QS.CONTEXT.ADD.CURVE(C3821,"SOFR",$K$2:$K$7,$L$2:$L$7,,,"Actual360","LogLinear",TRUE)</f>
        <v/>
      </c>
      <c r="E3821" s="8">
        <f>QS.INSTRUMENT.SWAP("swap.3819",C3821,H3821,B3821,"USD","SOFR",I3821,J3821,0,"Actual360","Simple","Annual","Annual","Annual")</f>
        <v/>
      </c>
      <c r="F3821" s="8">
        <f>QS.TRADE.CREATE("trade.3819",C3821,E3821,A3821,"Receive")</f>
        <v/>
      </c>
      <c r="G3821" s="5"/>
      <c r="H3821" s="7" t="s">
        <v>3861</v>
      </c>
      <c r="I3821" s="9">
        <v>1381900</v>
      </c>
      <c r="J3821" s="10">
        <v>0.0369</v>
      </c>
    </row>
    <row r="3822" spans="1:10">
      <c r="A3822" s="7" t="s">
        <v>3855</v>
      </c>
      <c r="B3822" s="7" t="s">
        <v>5689</v>
      </c>
      <c r="C3822" s="8">
        <f>QS.CONTEXT.CREATE("market.3820",A3822,"USD","SOFR")</f>
        <v/>
      </c>
      <c r="D3822" s="8">
        <f>QS.CONTEXT.ADD.CURVE(C3822,"SOFR",$K$2:$K$7,$L$2:$L$7,,,"Actual360","LogLinear",TRUE)</f>
        <v/>
      </c>
      <c r="E3822" s="8">
        <f>QS.INSTRUMENT.SWAP("swap.3820",C3822,H3822,B3822,"USD","SOFR",I3822,J3822,0,"Actual360","Simple","Annual","Annual","Annual")</f>
        <v/>
      </c>
      <c r="F3822" s="8">
        <f>QS.TRADE.CREATE("trade.3820",C3822,E3822,A3822,"Receive")</f>
        <v/>
      </c>
      <c r="G3822" s="5"/>
      <c r="H3822" s="7" t="s">
        <v>3862</v>
      </c>
      <c r="I3822" s="9">
        <v>1382000</v>
      </c>
      <c r="J3822" s="10">
        <v>0.03700000000000001</v>
      </c>
    </row>
    <row r="3823" spans="1:10">
      <c r="A3823" s="7" t="s">
        <v>3856</v>
      </c>
      <c r="B3823" s="7" t="s">
        <v>5690</v>
      </c>
      <c r="C3823" s="8">
        <f>QS.CONTEXT.CREATE("market.3821",A3823,"USD","SOFR")</f>
        <v/>
      </c>
      <c r="D3823" s="8">
        <f>QS.CONTEXT.ADD.CURVE(C3823,"SOFR",$K$2:$K$7,$L$2:$L$7,,,"Actual360","LogLinear",TRUE)</f>
        <v/>
      </c>
      <c r="E3823" s="8">
        <f>QS.INSTRUMENT.SWAP("swap.3821",C3823,H3823,B3823,"USD","SOFR",I3823,J3823,0,"Actual360","Simple","Annual","Annual","Annual")</f>
        <v/>
      </c>
      <c r="F3823" s="8">
        <f>QS.TRADE.CREATE("trade.3821",C3823,E3823,A3823,"Receive")</f>
        <v/>
      </c>
      <c r="G3823" s="5"/>
      <c r="H3823" s="7" t="s">
        <v>3863</v>
      </c>
      <c r="I3823" s="9">
        <v>1382100</v>
      </c>
      <c r="J3823" s="10">
        <v>0.0371</v>
      </c>
    </row>
    <row r="3824" spans="1:10">
      <c r="A3824" s="7" t="s">
        <v>3857</v>
      </c>
      <c r="B3824" s="7" t="s">
        <v>5691</v>
      </c>
      <c r="C3824" s="8">
        <f>QS.CONTEXT.CREATE("market.3822",A3824,"USD","SOFR")</f>
        <v/>
      </c>
      <c r="D3824" s="8">
        <f>QS.CONTEXT.ADD.CURVE(C3824,"SOFR",$K$2:$K$7,$L$2:$L$7,,,"Actual360","LogLinear",TRUE)</f>
        <v/>
      </c>
      <c r="E3824" s="8">
        <f>QS.INSTRUMENT.SWAP("swap.3822",C3824,H3824,B3824,"USD","SOFR",I3824,J3824,0,"Actual360","Simple","Annual","Annual","Annual")</f>
        <v/>
      </c>
      <c r="F3824" s="8">
        <f>QS.TRADE.CREATE("trade.3822",C3824,E3824,A3824,"Receive")</f>
        <v/>
      </c>
      <c r="G3824" s="5"/>
      <c r="H3824" s="7" t="s">
        <v>3864</v>
      </c>
      <c r="I3824" s="9">
        <v>1382200</v>
      </c>
      <c r="J3824" s="10">
        <v>0.0372</v>
      </c>
    </row>
    <row r="3825" spans="1:10">
      <c r="A3825" s="7" t="s">
        <v>3858</v>
      </c>
      <c r="B3825" s="7" t="s">
        <v>5692</v>
      </c>
      <c r="C3825" s="8">
        <f>QS.CONTEXT.CREATE("market.3823",A3825,"USD","SOFR")</f>
        <v/>
      </c>
      <c r="D3825" s="8">
        <f>QS.CONTEXT.ADD.CURVE(C3825,"SOFR",$K$2:$K$7,$L$2:$L$7,,,"Actual360","LogLinear",TRUE)</f>
        <v/>
      </c>
      <c r="E3825" s="8">
        <f>QS.INSTRUMENT.SWAP("swap.3823",C3825,H3825,B3825,"USD","SOFR",I3825,J3825,0,"Actual360","Simple","Annual","Annual","Annual")</f>
        <v/>
      </c>
      <c r="F3825" s="8">
        <f>QS.TRADE.CREATE("trade.3823",C3825,E3825,A3825,"Receive")</f>
        <v/>
      </c>
      <c r="G3825" s="5"/>
      <c r="H3825" s="7" t="s">
        <v>3865</v>
      </c>
      <c r="I3825" s="9">
        <v>1382300</v>
      </c>
      <c r="J3825" s="10">
        <v>0.0373</v>
      </c>
    </row>
    <row r="3826" spans="1:10">
      <c r="A3826" s="7" t="s">
        <v>3859</v>
      </c>
      <c r="B3826" s="7" t="s">
        <v>5693</v>
      </c>
      <c r="C3826" s="8">
        <f>QS.CONTEXT.CREATE("market.3824",A3826,"USD","SOFR")</f>
        <v/>
      </c>
      <c r="D3826" s="8">
        <f>QS.CONTEXT.ADD.CURVE(C3826,"SOFR",$K$2:$K$7,$L$2:$L$7,,,"Actual360","LogLinear",TRUE)</f>
        <v/>
      </c>
      <c r="E3826" s="8">
        <f>QS.INSTRUMENT.SWAP("swap.3824",C3826,H3826,B3826,"USD","SOFR",I3826,J3826,0,"Actual360","Simple","Annual","Annual","Annual")</f>
        <v/>
      </c>
      <c r="F3826" s="8">
        <f>QS.TRADE.CREATE("trade.3824",C3826,E3826,A3826,"Receive")</f>
        <v/>
      </c>
      <c r="G3826" s="5"/>
      <c r="H3826" s="7" t="s">
        <v>3866</v>
      </c>
      <c r="I3826" s="9">
        <v>1382400</v>
      </c>
      <c r="J3826" s="10">
        <v>0.0374</v>
      </c>
    </row>
    <row r="3827" spans="1:10">
      <c r="A3827" s="7" t="s">
        <v>3860</v>
      </c>
      <c r="B3827" s="7" t="s">
        <v>5694</v>
      </c>
      <c r="C3827" s="8">
        <f>QS.CONTEXT.CREATE("market.3825",A3827,"USD","SOFR")</f>
        <v/>
      </c>
      <c r="D3827" s="8">
        <f>QS.CONTEXT.ADD.CURVE(C3827,"SOFR",$K$2:$K$7,$L$2:$L$7,,,"Actual360","LogLinear",TRUE)</f>
        <v/>
      </c>
      <c r="E3827" s="8">
        <f>QS.INSTRUMENT.SWAP("swap.3825",C3827,H3827,B3827,"USD","SOFR",I3827,J3827,0,"Actual360","Simple","Annual","Annual","Annual")</f>
        <v/>
      </c>
      <c r="F3827" s="8">
        <f>QS.TRADE.CREATE("trade.3825",C3827,E3827,A3827,"Receive")</f>
        <v/>
      </c>
      <c r="G3827" s="5"/>
      <c r="H3827" s="7" t="s">
        <v>3867</v>
      </c>
      <c r="I3827" s="9">
        <v>1382500</v>
      </c>
      <c r="J3827" s="10">
        <v>0.03750000000000001</v>
      </c>
    </row>
    <row r="3828" spans="1:10">
      <c r="A3828" s="7" t="s">
        <v>3861</v>
      </c>
      <c r="B3828" s="7" t="s">
        <v>5695</v>
      </c>
      <c r="C3828" s="8">
        <f>QS.CONTEXT.CREATE("market.3826",A3828,"USD","SOFR")</f>
        <v/>
      </c>
      <c r="D3828" s="8">
        <f>QS.CONTEXT.ADD.CURVE(C3828,"SOFR",$K$2:$K$7,$L$2:$L$7,,,"Actual360","LogLinear",TRUE)</f>
        <v/>
      </c>
      <c r="E3828" s="8">
        <f>QS.INSTRUMENT.SWAP("swap.3826",C3828,H3828,B3828,"USD","SOFR",I3828,J3828,0,"Actual360","Simple","Annual","Annual","Annual")</f>
        <v/>
      </c>
      <c r="F3828" s="8">
        <f>QS.TRADE.CREATE("trade.3826",C3828,E3828,A3828,"Receive")</f>
        <v/>
      </c>
      <c r="G3828" s="5"/>
      <c r="H3828" s="7" t="s">
        <v>3868</v>
      </c>
      <c r="I3828" s="9">
        <v>1382600</v>
      </c>
      <c r="J3828" s="10">
        <v>0.0376</v>
      </c>
    </row>
    <row r="3829" spans="1:10">
      <c r="A3829" s="7" t="s">
        <v>3862</v>
      </c>
      <c r="B3829" s="7" t="s">
        <v>5696</v>
      </c>
      <c r="C3829" s="8">
        <f>QS.CONTEXT.CREATE("market.3827",A3829,"USD","SOFR")</f>
        <v/>
      </c>
      <c r="D3829" s="8">
        <f>QS.CONTEXT.ADD.CURVE(C3829,"SOFR",$K$2:$K$7,$L$2:$L$7,,,"Actual360","LogLinear",TRUE)</f>
        <v/>
      </c>
      <c r="E3829" s="8">
        <f>QS.INSTRUMENT.SWAP("swap.3827",C3829,H3829,B3829,"USD","SOFR",I3829,J3829,0,"Actual360","Simple","Annual","Annual","Annual")</f>
        <v/>
      </c>
      <c r="F3829" s="8">
        <f>QS.TRADE.CREATE("trade.3827",C3829,E3829,A3829,"Receive")</f>
        <v/>
      </c>
      <c r="G3829" s="5"/>
      <c r="H3829" s="7" t="s">
        <v>3869</v>
      </c>
      <c r="I3829" s="9">
        <v>1382700</v>
      </c>
      <c r="J3829" s="10">
        <v>0.0377</v>
      </c>
    </row>
    <row r="3830" spans="1:10">
      <c r="A3830" s="7" t="s">
        <v>3863</v>
      </c>
      <c r="B3830" s="7" t="s">
        <v>5697</v>
      </c>
      <c r="C3830" s="8">
        <f>QS.CONTEXT.CREATE("market.3828",A3830,"USD","SOFR")</f>
        <v/>
      </c>
      <c r="D3830" s="8">
        <f>QS.CONTEXT.ADD.CURVE(C3830,"SOFR",$K$2:$K$7,$L$2:$L$7,,,"Actual360","LogLinear",TRUE)</f>
        <v/>
      </c>
      <c r="E3830" s="8">
        <f>QS.INSTRUMENT.SWAP("swap.3828",C3830,H3830,B3830,"USD","SOFR",I3830,J3830,0,"Actual360","Simple","Annual","Annual","Annual")</f>
        <v/>
      </c>
      <c r="F3830" s="8">
        <f>QS.TRADE.CREATE("trade.3828",C3830,E3830,A3830,"Receive")</f>
        <v/>
      </c>
      <c r="G3830" s="5"/>
      <c r="H3830" s="7" t="s">
        <v>3870</v>
      </c>
      <c r="I3830" s="9">
        <v>1382800</v>
      </c>
      <c r="J3830" s="10">
        <v>0.0378</v>
      </c>
    </row>
    <row r="3831" spans="1:10">
      <c r="A3831" s="7" t="s">
        <v>3864</v>
      </c>
      <c r="B3831" s="7" t="s">
        <v>5698</v>
      </c>
      <c r="C3831" s="8">
        <f>QS.CONTEXT.CREATE("market.3829",A3831,"USD","SOFR")</f>
        <v/>
      </c>
      <c r="D3831" s="8">
        <f>QS.CONTEXT.ADD.CURVE(C3831,"SOFR",$K$2:$K$7,$L$2:$L$7,,,"Actual360","LogLinear",TRUE)</f>
        <v/>
      </c>
      <c r="E3831" s="8">
        <f>QS.INSTRUMENT.SWAP("swap.3829",C3831,H3831,B3831,"USD","SOFR",I3831,J3831,0,"Actual360","Simple","Annual","Annual","Annual")</f>
        <v/>
      </c>
      <c r="F3831" s="8">
        <f>QS.TRADE.CREATE("trade.3829",C3831,E3831,A3831,"Receive")</f>
        <v/>
      </c>
      <c r="G3831" s="5"/>
      <c r="H3831" s="7" t="s">
        <v>3871</v>
      </c>
      <c r="I3831" s="9">
        <v>1382900</v>
      </c>
      <c r="J3831" s="10">
        <v>0.0379</v>
      </c>
    </row>
    <row r="3832" spans="1:10">
      <c r="A3832" s="7" t="s">
        <v>3865</v>
      </c>
      <c r="B3832" s="7" t="s">
        <v>5699</v>
      </c>
      <c r="C3832" s="8">
        <f>QS.CONTEXT.CREATE("market.3830",A3832,"USD","SOFR")</f>
        <v/>
      </c>
      <c r="D3832" s="8">
        <f>QS.CONTEXT.ADD.CURVE(C3832,"SOFR",$K$2:$K$7,$L$2:$L$7,,,"Actual360","LogLinear",TRUE)</f>
        <v/>
      </c>
      <c r="E3832" s="8">
        <f>QS.INSTRUMENT.SWAP("swap.3830",C3832,H3832,B3832,"USD","SOFR",I3832,J3832,0,"Actual360","Simple","Annual","Annual","Annual")</f>
        <v/>
      </c>
      <c r="F3832" s="8">
        <f>QS.TRADE.CREATE("trade.3830",C3832,E3832,A3832,"Receive")</f>
        <v/>
      </c>
      <c r="G3832" s="5"/>
      <c r="H3832" s="7" t="s">
        <v>3872</v>
      </c>
      <c r="I3832" s="9">
        <v>1383000</v>
      </c>
      <c r="J3832" s="10">
        <v>0.03800000000000001</v>
      </c>
    </row>
    <row r="3833" spans="1:10">
      <c r="A3833" s="7" t="s">
        <v>3866</v>
      </c>
      <c r="B3833" s="7" t="s">
        <v>5700</v>
      </c>
      <c r="C3833" s="8">
        <f>QS.CONTEXT.CREATE("market.3831",A3833,"USD","SOFR")</f>
        <v/>
      </c>
      <c r="D3833" s="8">
        <f>QS.CONTEXT.ADD.CURVE(C3833,"SOFR",$K$2:$K$7,$L$2:$L$7,,,"Actual360","LogLinear",TRUE)</f>
        <v/>
      </c>
      <c r="E3833" s="8">
        <f>QS.INSTRUMENT.SWAP("swap.3831",C3833,H3833,B3833,"USD","SOFR",I3833,J3833,0,"Actual360","Simple","Annual","Annual","Annual")</f>
        <v/>
      </c>
      <c r="F3833" s="8">
        <f>QS.TRADE.CREATE("trade.3831",C3833,E3833,A3833,"Receive")</f>
        <v/>
      </c>
      <c r="G3833" s="5"/>
      <c r="H3833" s="7" t="s">
        <v>3873</v>
      </c>
      <c r="I3833" s="9">
        <v>1383100</v>
      </c>
      <c r="J3833" s="10">
        <v>0.0381</v>
      </c>
    </row>
    <row r="3834" spans="1:10">
      <c r="A3834" s="7" t="s">
        <v>3867</v>
      </c>
      <c r="B3834" s="7" t="s">
        <v>5701</v>
      </c>
      <c r="C3834" s="8">
        <f>QS.CONTEXT.CREATE("market.3832",A3834,"USD","SOFR")</f>
        <v/>
      </c>
      <c r="D3834" s="8">
        <f>QS.CONTEXT.ADD.CURVE(C3834,"SOFR",$K$2:$K$7,$L$2:$L$7,,,"Actual360","LogLinear",TRUE)</f>
        <v/>
      </c>
      <c r="E3834" s="8">
        <f>QS.INSTRUMENT.SWAP("swap.3832",C3834,H3834,B3834,"USD","SOFR",I3834,J3834,0,"Actual360","Simple","Annual","Annual","Annual")</f>
        <v/>
      </c>
      <c r="F3834" s="8">
        <f>QS.TRADE.CREATE("trade.3832",C3834,E3834,A3834,"Receive")</f>
        <v/>
      </c>
      <c r="G3834" s="5"/>
      <c r="H3834" s="7" t="s">
        <v>3874</v>
      </c>
      <c r="I3834" s="9">
        <v>1383200</v>
      </c>
      <c r="J3834" s="10">
        <v>0.0382</v>
      </c>
    </row>
    <row r="3835" spans="1:10">
      <c r="A3835" s="7" t="s">
        <v>3868</v>
      </c>
      <c r="B3835" s="7" t="s">
        <v>5702</v>
      </c>
      <c r="C3835" s="8">
        <f>QS.CONTEXT.CREATE("market.3833",A3835,"USD","SOFR")</f>
        <v/>
      </c>
      <c r="D3835" s="8">
        <f>QS.CONTEXT.ADD.CURVE(C3835,"SOFR",$K$2:$K$7,$L$2:$L$7,,,"Actual360","LogLinear",TRUE)</f>
        <v/>
      </c>
      <c r="E3835" s="8">
        <f>QS.INSTRUMENT.SWAP("swap.3833",C3835,H3835,B3835,"USD","SOFR",I3835,J3835,0,"Actual360","Simple","Annual","Annual","Annual")</f>
        <v/>
      </c>
      <c r="F3835" s="8">
        <f>QS.TRADE.CREATE("trade.3833",C3835,E3835,A3835,"Receive")</f>
        <v/>
      </c>
      <c r="G3835" s="5"/>
      <c r="H3835" s="7" t="s">
        <v>3875</v>
      </c>
      <c r="I3835" s="9">
        <v>1383300</v>
      </c>
      <c r="J3835" s="10">
        <v>0.0383</v>
      </c>
    </row>
    <row r="3836" spans="1:10">
      <c r="A3836" s="7" t="s">
        <v>3869</v>
      </c>
      <c r="B3836" s="7" t="s">
        <v>5703</v>
      </c>
      <c r="C3836" s="8">
        <f>QS.CONTEXT.CREATE("market.3834",A3836,"USD","SOFR")</f>
        <v/>
      </c>
      <c r="D3836" s="8">
        <f>QS.CONTEXT.ADD.CURVE(C3836,"SOFR",$K$2:$K$7,$L$2:$L$7,,,"Actual360","LogLinear",TRUE)</f>
        <v/>
      </c>
      <c r="E3836" s="8">
        <f>QS.INSTRUMENT.SWAP("swap.3834",C3836,H3836,B3836,"USD","SOFR",I3836,J3836,0,"Actual360","Simple","Annual","Annual","Annual")</f>
        <v/>
      </c>
      <c r="F3836" s="8">
        <f>QS.TRADE.CREATE("trade.3834",C3836,E3836,A3836,"Receive")</f>
        <v/>
      </c>
      <c r="G3836" s="5"/>
      <c r="H3836" s="7" t="s">
        <v>3876</v>
      </c>
      <c r="I3836" s="9">
        <v>1383400</v>
      </c>
      <c r="J3836" s="10">
        <v>0.0384</v>
      </c>
    </row>
    <row r="3837" spans="1:10">
      <c r="A3837" s="7" t="s">
        <v>3870</v>
      </c>
      <c r="B3837" s="7" t="s">
        <v>5704</v>
      </c>
      <c r="C3837" s="8">
        <f>QS.CONTEXT.CREATE("market.3835",A3837,"USD","SOFR")</f>
        <v/>
      </c>
      <c r="D3837" s="8">
        <f>QS.CONTEXT.ADD.CURVE(C3837,"SOFR",$K$2:$K$7,$L$2:$L$7,,,"Actual360","LogLinear",TRUE)</f>
        <v/>
      </c>
      <c r="E3837" s="8">
        <f>QS.INSTRUMENT.SWAP("swap.3835",C3837,H3837,B3837,"USD","SOFR",I3837,J3837,0,"Actual360","Simple","Annual","Annual","Annual")</f>
        <v/>
      </c>
      <c r="F3837" s="8">
        <f>QS.TRADE.CREATE("trade.3835",C3837,E3837,A3837,"Receive")</f>
        <v/>
      </c>
      <c r="G3837" s="5"/>
      <c r="H3837" s="7" t="s">
        <v>3877</v>
      </c>
      <c r="I3837" s="9">
        <v>1383500</v>
      </c>
      <c r="J3837" s="10">
        <v>0.03850000000000001</v>
      </c>
    </row>
    <row r="3838" spans="1:10">
      <c r="A3838" s="7" t="s">
        <v>3871</v>
      </c>
      <c r="B3838" s="7" t="s">
        <v>5705</v>
      </c>
      <c r="C3838" s="8">
        <f>QS.CONTEXT.CREATE("market.3836",A3838,"USD","SOFR")</f>
        <v/>
      </c>
      <c r="D3838" s="8">
        <f>QS.CONTEXT.ADD.CURVE(C3838,"SOFR",$K$2:$K$7,$L$2:$L$7,,,"Actual360","LogLinear",TRUE)</f>
        <v/>
      </c>
      <c r="E3838" s="8">
        <f>QS.INSTRUMENT.SWAP("swap.3836",C3838,H3838,B3838,"USD","SOFR",I3838,J3838,0,"Actual360","Simple","Annual","Annual","Annual")</f>
        <v/>
      </c>
      <c r="F3838" s="8">
        <f>QS.TRADE.CREATE("trade.3836",C3838,E3838,A3838,"Receive")</f>
        <v/>
      </c>
      <c r="G3838" s="5"/>
      <c r="H3838" s="7" t="s">
        <v>3878</v>
      </c>
      <c r="I3838" s="9">
        <v>1383600</v>
      </c>
      <c r="J3838" s="10">
        <v>0.0386</v>
      </c>
    </row>
    <row r="3839" spans="1:10">
      <c r="A3839" s="7" t="s">
        <v>3872</v>
      </c>
      <c r="B3839" s="7" t="s">
        <v>5706</v>
      </c>
      <c r="C3839" s="8">
        <f>QS.CONTEXT.CREATE("market.3837",A3839,"USD","SOFR")</f>
        <v/>
      </c>
      <c r="D3839" s="8">
        <f>QS.CONTEXT.ADD.CURVE(C3839,"SOFR",$K$2:$K$7,$L$2:$L$7,,,"Actual360","LogLinear",TRUE)</f>
        <v/>
      </c>
      <c r="E3839" s="8">
        <f>QS.INSTRUMENT.SWAP("swap.3837",C3839,H3839,B3839,"USD","SOFR",I3839,J3839,0,"Actual360","Simple","Annual","Annual","Annual")</f>
        <v/>
      </c>
      <c r="F3839" s="8">
        <f>QS.TRADE.CREATE("trade.3837",C3839,E3839,A3839,"Receive")</f>
        <v/>
      </c>
      <c r="G3839" s="5"/>
      <c r="H3839" s="7" t="s">
        <v>3879</v>
      </c>
      <c r="I3839" s="9">
        <v>1383700</v>
      </c>
      <c r="J3839" s="10">
        <v>0.03870000000000001</v>
      </c>
    </row>
    <row r="3840" spans="1:10">
      <c r="A3840" s="7" t="s">
        <v>3873</v>
      </c>
      <c r="B3840" s="7" t="s">
        <v>5707</v>
      </c>
      <c r="C3840" s="8">
        <f>QS.CONTEXT.CREATE("market.3838",A3840,"USD","SOFR")</f>
        <v/>
      </c>
      <c r="D3840" s="8">
        <f>QS.CONTEXT.ADD.CURVE(C3840,"SOFR",$K$2:$K$7,$L$2:$L$7,,,"Actual360","LogLinear",TRUE)</f>
        <v/>
      </c>
      <c r="E3840" s="8">
        <f>QS.INSTRUMENT.SWAP("swap.3838",C3840,H3840,B3840,"USD","SOFR",I3840,J3840,0,"Actual360","Simple","Annual","Annual","Annual")</f>
        <v/>
      </c>
      <c r="F3840" s="8">
        <f>QS.TRADE.CREATE("trade.3838",C3840,E3840,A3840,"Receive")</f>
        <v/>
      </c>
      <c r="G3840" s="5"/>
      <c r="H3840" s="7" t="s">
        <v>3880</v>
      </c>
      <c r="I3840" s="9">
        <v>1383800</v>
      </c>
      <c r="J3840" s="10">
        <v>0.0388</v>
      </c>
    </row>
    <row r="3841" spans="1:10">
      <c r="A3841" s="7" t="s">
        <v>3874</v>
      </c>
      <c r="B3841" s="7" t="s">
        <v>5708</v>
      </c>
      <c r="C3841" s="8">
        <f>QS.CONTEXT.CREATE("market.3839",A3841,"USD","SOFR")</f>
        <v/>
      </c>
      <c r="D3841" s="8">
        <f>QS.CONTEXT.ADD.CURVE(C3841,"SOFR",$K$2:$K$7,$L$2:$L$7,,,"Actual360","LogLinear",TRUE)</f>
        <v/>
      </c>
      <c r="E3841" s="8">
        <f>QS.INSTRUMENT.SWAP("swap.3839",C3841,H3841,B3841,"USD","SOFR",I3841,J3841,0,"Actual360","Simple","Annual","Annual","Annual")</f>
        <v/>
      </c>
      <c r="F3841" s="8">
        <f>QS.TRADE.CREATE("trade.3839",C3841,E3841,A3841,"Receive")</f>
        <v/>
      </c>
      <c r="G3841" s="5"/>
      <c r="H3841" s="7" t="s">
        <v>3881</v>
      </c>
      <c r="I3841" s="9">
        <v>1383900</v>
      </c>
      <c r="J3841" s="10">
        <v>0.0389</v>
      </c>
    </row>
    <row r="3842" spans="1:10">
      <c r="A3842" s="7" t="s">
        <v>3875</v>
      </c>
      <c r="B3842" s="7" t="s">
        <v>5709</v>
      </c>
      <c r="C3842" s="8">
        <f>QS.CONTEXT.CREATE("market.3840",A3842,"USD","SOFR")</f>
        <v/>
      </c>
      <c r="D3842" s="8">
        <f>QS.CONTEXT.ADD.CURVE(C3842,"SOFR",$K$2:$K$7,$L$2:$L$7,,,"Actual360","LogLinear",TRUE)</f>
        <v/>
      </c>
      <c r="E3842" s="8">
        <f>QS.INSTRUMENT.SWAP("swap.3840",C3842,H3842,B3842,"USD","SOFR",I3842,J3842,0,"Actual360","Simple","Annual","Annual","Annual")</f>
        <v/>
      </c>
      <c r="F3842" s="8">
        <f>QS.TRADE.CREATE("trade.3840",C3842,E3842,A3842,"Receive")</f>
        <v/>
      </c>
      <c r="G3842" s="5"/>
      <c r="H3842" s="7" t="s">
        <v>3882</v>
      </c>
      <c r="I3842" s="9">
        <v>1384000</v>
      </c>
      <c r="J3842" s="10">
        <v>0.03900000000000001</v>
      </c>
    </row>
    <row r="3843" spans="1:10">
      <c r="A3843" s="7" t="s">
        <v>3876</v>
      </c>
      <c r="B3843" s="7" t="s">
        <v>5710</v>
      </c>
      <c r="C3843" s="8">
        <f>QS.CONTEXT.CREATE("market.3841",A3843,"USD","SOFR")</f>
        <v/>
      </c>
      <c r="D3843" s="8">
        <f>QS.CONTEXT.ADD.CURVE(C3843,"SOFR",$K$2:$K$7,$L$2:$L$7,,,"Actual360","LogLinear",TRUE)</f>
        <v/>
      </c>
      <c r="E3843" s="8">
        <f>QS.INSTRUMENT.SWAP("swap.3841",C3843,H3843,B3843,"USD","SOFR",I3843,J3843,0,"Actual360","Simple","Annual","Annual","Annual")</f>
        <v/>
      </c>
      <c r="F3843" s="8">
        <f>QS.TRADE.CREATE("trade.3841",C3843,E3843,A3843,"Receive")</f>
        <v/>
      </c>
      <c r="G3843" s="5"/>
      <c r="H3843" s="7" t="s">
        <v>3883</v>
      </c>
      <c r="I3843" s="9">
        <v>1384100</v>
      </c>
      <c r="J3843" s="10">
        <v>0.0391</v>
      </c>
    </row>
    <row r="3844" spans="1:10">
      <c r="A3844" s="7" t="s">
        <v>3877</v>
      </c>
      <c r="B3844" s="7" t="s">
        <v>5711</v>
      </c>
      <c r="C3844" s="8">
        <f>QS.CONTEXT.CREATE("market.3842",A3844,"USD","SOFR")</f>
        <v/>
      </c>
      <c r="D3844" s="8">
        <f>QS.CONTEXT.ADD.CURVE(C3844,"SOFR",$K$2:$K$7,$L$2:$L$7,,,"Actual360","LogLinear",TRUE)</f>
        <v/>
      </c>
      <c r="E3844" s="8">
        <f>QS.INSTRUMENT.SWAP("swap.3842",C3844,H3844,B3844,"USD","SOFR",I3844,J3844,0,"Actual360","Simple","Annual","Annual","Annual")</f>
        <v/>
      </c>
      <c r="F3844" s="8">
        <f>QS.TRADE.CREATE("trade.3842",C3844,E3844,A3844,"Receive")</f>
        <v/>
      </c>
      <c r="G3844" s="5"/>
      <c r="H3844" s="7" t="s">
        <v>3884</v>
      </c>
      <c r="I3844" s="9">
        <v>1384200</v>
      </c>
      <c r="J3844" s="10">
        <v>0.03920000000000001</v>
      </c>
    </row>
    <row r="3845" spans="1:10">
      <c r="A3845" s="7" t="s">
        <v>3878</v>
      </c>
      <c r="B3845" s="7" t="s">
        <v>5712</v>
      </c>
      <c r="C3845" s="8">
        <f>QS.CONTEXT.CREATE("market.3843",A3845,"USD","SOFR")</f>
        <v/>
      </c>
      <c r="D3845" s="8">
        <f>QS.CONTEXT.ADD.CURVE(C3845,"SOFR",$K$2:$K$7,$L$2:$L$7,,,"Actual360","LogLinear",TRUE)</f>
        <v/>
      </c>
      <c r="E3845" s="8">
        <f>QS.INSTRUMENT.SWAP("swap.3843",C3845,H3845,B3845,"USD","SOFR",I3845,J3845,0,"Actual360","Simple","Annual","Annual","Annual")</f>
        <v/>
      </c>
      <c r="F3845" s="8">
        <f>QS.TRADE.CREATE("trade.3843",C3845,E3845,A3845,"Receive")</f>
        <v/>
      </c>
      <c r="G3845" s="5"/>
      <c r="H3845" s="7" t="s">
        <v>3885</v>
      </c>
      <c r="I3845" s="9">
        <v>1384300</v>
      </c>
      <c r="J3845" s="10">
        <v>0.0393</v>
      </c>
    </row>
    <row r="3846" spans="1:10">
      <c r="A3846" s="7" t="s">
        <v>3879</v>
      </c>
      <c r="B3846" s="7" t="s">
        <v>5713</v>
      </c>
      <c r="C3846" s="8">
        <f>QS.CONTEXT.CREATE("market.3844",A3846,"USD","SOFR")</f>
        <v/>
      </c>
      <c r="D3846" s="8">
        <f>QS.CONTEXT.ADD.CURVE(C3846,"SOFR",$K$2:$K$7,$L$2:$L$7,,,"Actual360","LogLinear",TRUE)</f>
        <v/>
      </c>
      <c r="E3846" s="8">
        <f>QS.INSTRUMENT.SWAP("swap.3844",C3846,H3846,B3846,"USD","SOFR",I3846,J3846,0,"Actual360","Simple","Annual","Annual","Annual")</f>
        <v/>
      </c>
      <c r="F3846" s="8">
        <f>QS.TRADE.CREATE("trade.3844",C3846,E3846,A3846,"Receive")</f>
        <v/>
      </c>
      <c r="G3846" s="5"/>
      <c r="H3846" s="7" t="s">
        <v>3886</v>
      </c>
      <c r="I3846" s="9">
        <v>1384400</v>
      </c>
      <c r="J3846" s="10">
        <v>0.0394</v>
      </c>
    </row>
    <row r="3847" spans="1:10">
      <c r="A3847" s="7" t="s">
        <v>3880</v>
      </c>
      <c r="B3847" s="7" t="s">
        <v>5714</v>
      </c>
      <c r="C3847" s="8">
        <f>QS.CONTEXT.CREATE("market.3845",A3847,"USD","SOFR")</f>
        <v/>
      </c>
      <c r="D3847" s="8">
        <f>QS.CONTEXT.ADD.CURVE(C3847,"SOFR",$K$2:$K$7,$L$2:$L$7,,,"Actual360","LogLinear",TRUE)</f>
        <v/>
      </c>
      <c r="E3847" s="8">
        <f>QS.INSTRUMENT.SWAP("swap.3845",C3847,H3847,B3847,"USD","SOFR",I3847,J3847,0,"Actual360","Simple","Annual","Annual","Annual")</f>
        <v/>
      </c>
      <c r="F3847" s="8">
        <f>QS.TRADE.CREATE("trade.3845",C3847,E3847,A3847,"Receive")</f>
        <v/>
      </c>
      <c r="G3847" s="5"/>
      <c r="H3847" s="7" t="s">
        <v>3887</v>
      </c>
      <c r="I3847" s="9">
        <v>1384500</v>
      </c>
      <c r="J3847" s="10">
        <v>0.03950000000000001</v>
      </c>
    </row>
    <row r="3848" spans="1:10">
      <c r="A3848" s="7" t="s">
        <v>3881</v>
      </c>
      <c r="B3848" s="7" t="s">
        <v>5715</v>
      </c>
      <c r="C3848" s="8">
        <f>QS.CONTEXT.CREATE("market.3846",A3848,"USD","SOFR")</f>
        <v/>
      </c>
      <c r="D3848" s="8">
        <f>QS.CONTEXT.ADD.CURVE(C3848,"SOFR",$K$2:$K$7,$L$2:$L$7,,,"Actual360","LogLinear",TRUE)</f>
        <v/>
      </c>
      <c r="E3848" s="8">
        <f>QS.INSTRUMENT.SWAP("swap.3846",C3848,H3848,B3848,"USD","SOFR",I3848,J3848,0,"Actual360","Simple","Annual","Annual","Annual")</f>
        <v/>
      </c>
      <c r="F3848" s="8">
        <f>QS.TRADE.CREATE("trade.3846",C3848,E3848,A3848,"Receive")</f>
        <v/>
      </c>
      <c r="G3848" s="5"/>
      <c r="H3848" s="7" t="s">
        <v>3888</v>
      </c>
      <c r="I3848" s="9">
        <v>1384600</v>
      </c>
      <c r="J3848" s="10">
        <v>0.0396</v>
      </c>
    </row>
    <row r="3849" spans="1:10">
      <c r="A3849" s="7" t="s">
        <v>3882</v>
      </c>
      <c r="B3849" s="7" t="s">
        <v>5716</v>
      </c>
      <c r="C3849" s="8">
        <f>QS.CONTEXT.CREATE("market.3847",A3849,"USD","SOFR")</f>
        <v/>
      </c>
      <c r="D3849" s="8">
        <f>QS.CONTEXT.ADD.CURVE(C3849,"SOFR",$K$2:$K$7,$L$2:$L$7,,,"Actual360","LogLinear",TRUE)</f>
        <v/>
      </c>
      <c r="E3849" s="8">
        <f>QS.INSTRUMENT.SWAP("swap.3847",C3849,H3849,B3849,"USD","SOFR",I3849,J3849,0,"Actual360","Simple","Annual","Annual","Annual")</f>
        <v/>
      </c>
      <c r="F3849" s="8">
        <f>QS.TRADE.CREATE("trade.3847",C3849,E3849,A3849,"Receive")</f>
        <v/>
      </c>
      <c r="G3849" s="5"/>
      <c r="H3849" s="7" t="s">
        <v>3889</v>
      </c>
      <c r="I3849" s="9">
        <v>1384700</v>
      </c>
      <c r="J3849" s="10">
        <v>0.03970000000000001</v>
      </c>
    </row>
    <row r="3850" spans="1:10">
      <c r="A3850" s="7" t="s">
        <v>3883</v>
      </c>
      <c r="B3850" s="7" t="s">
        <v>5717</v>
      </c>
      <c r="C3850" s="8">
        <f>QS.CONTEXT.CREATE("market.3848",A3850,"USD","SOFR")</f>
        <v/>
      </c>
      <c r="D3850" s="8">
        <f>QS.CONTEXT.ADD.CURVE(C3850,"SOFR",$K$2:$K$7,$L$2:$L$7,,,"Actual360","LogLinear",TRUE)</f>
        <v/>
      </c>
      <c r="E3850" s="8">
        <f>QS.INSTRUMENT.SWAP("swap.3848",C3850,H3850,B3850,"USD","SOFR",I3850,J3850,0,"Actual360","Simple","Annual","Annual","Annual")</f>
        <v/>
      </c>
      <c r="F3850" s="8">
        <f>QS.TRADE.CREATE("trade.3848",C3850,E3850,A3850,"Receive")</f>
        <v/>
      </c>
      <c r="G3850" s="5"/>
      <c r="H3850" s="7" t="s">
        <v>3890</v>
      </c>
      <c r="I3850" s="9">
        <v>1384800</v>
      </c>
      <c r="J3850" s="10">
        <v>0.0398</v>
      </c>
    </row>
    <row r="3851" spans="1:10">
      <c r="A3851" s="7" t="s">
        <v>3884</v>
      </c>
      <c r="B3851" s="7" t="s">
        <v>5718</v>
      </c>
      <c r="C3851" s="8">
        <f>QS.CONTEXT.CREATE("market.3849",A3851,"USD","SOFR")</f>
        <v/>
      </c>
      <c r="D3851" s="8">
        <f>QS.CONTEXT.ADD.CURVE(C3851,"SOFR",$K$2:$K$7,$L$2:$L$7,,,"Actual360","LogLinear",TRUE)</f>
        <v/>
      </c>
      <c r="E3851" s="8">
        <f>QS.INSTRUMENT.SWAP("swap.3849",C3851,H3851,B3851,"USD","SOFR",I3851,J3851,0,"Actual360","Simple","Annual","Annual","Annual")</f>
        <v/>
      </c>
      <c r="F3851" s="8">
        <f>QS.TRADE.CREATE("trade.3849",C3851,E3851,A3851,"Receive")</f>
        <v/>
      </c>
      <c r="G3851" s="5"/>
      <c r="H3851" s="7" t="s">
        <v>3891</v>
      </c>
      <c r="I3851" s="9">
        <v>1384900</v>
      </c>
      <c r="J3851" s="10">
        <v>0.0399</v>
      </c>
    </row>
    <row r="3852" spans="1:10">
      <c r="A3852" s="7" t="s">
        <v>3885</v>
      </c>
      <c r="B3852" s="7" t="s">
        <v>5719</v>
      </c>
      <c r="C3852" s="8">
        <f>QS.CONTEXT.CREATE("market.3850",A3852,"USD","SOFR")</f>
        <v/>
      </c>
      <c r="D3852" s="8">
        <f>QS.CONTEXT.ADD.CURVE(C3852,"SOFR",$K$2:$K$7,$L$2:$L$7,,,"Actual360","LogLinear",TRUE)</f>
        <v/>
      </c>
      <c r="E3852" s="8">
        <f>QS.INSTRUMENT.SWAP("swap.3850",C3852,H3852,B3852,"USD","SOFR",I3852,J3852,0,"Actual360","Simple","Annual","Annual","Annual")</f>
        <v/>
      </c>
      <c r="F3852" s="8">
        <f>QS.TRADE.CREATE("trade.3850",C3852,E3852,A3852,"Receive")</f>
        <v/>
      </c>
      <c r="G3852" s="5"/>
      <c r="H3852" s="7" t="s">
        <v>3892</v>
      </c>
      <c r="I3852" s="9">
        <v>1385000</v>
      </c>
      <c r="J3852" s="10">
        <v>0.035</v>
      </c>
    </row>
    <row r="3853" spans="1:10">
      <c r="A3853" s="7" t="s">
        <v>3886</v>
      </c>
      <c r="B3853" s="7" t="s">
        <v>5720</v>
      </c>
      <c r="C3853" s="8">
        <f>QS.CONTEXT.CREATE("market.3851",A3853,"USD","SOFR")</f>
        <v/>
      </c>
      <c r="D3853" s="8">
        <f>QS.CONTEXT.ADD.CURVE(C3853,"SOFR",$K$2:$K$7,$L$2:$L$7,,,"Actual360","LogLinear",TRUE)</f>
        <v/>
      </c>
      <c r="E3853" s="8">
        <f>QS.INSTRUMENT.SWAP("swap.3851",C3853,H3853,B3853,"USD","SOFR",I3853,J3853,0,"Actual360","Simple","Annual","Annual","Annual")</f>
        <v/>
      </c>
      <c r="F3853" s="8">
        <f>QS.TRADE.CREATE("trade.3851",C3853,E3853,A3853,"Receive")</f>
        <v/>
      </c>
      <c r="G3853" s="5"/>
      <c r="H3853" s="7" t="s">
        <v>3893</v>
      </c>
      <c r="I3853" s="9">
        <v>1385100</v>
      </c>
      <c r="J3853" s="10">
        <v>0.03510000000000001</v>
      </c>
    </row>
    <row r="3854" spans="1:10">
      <c r="A3854" s="7" t="s">
        <v>3887</v>
      </c>
      <c r="B3854" s="7" t="s">
        <v>5721</v>
      </c>
      <c r="C3854" s="8">
        <f>QS.CONTEXT.CREATE("market.3852",A3854,"USD","SOFR")</f>
        <v/>
      </c>
      <c r="D3854" s="8">
        <f>QS.CONTEXT.ADD.CURVE(C3854,"SOFR",$K$2:$K$7,$L$2:$L$7,,,"Actual360","LogLinear",TRUE)</f>
        <v/>
      </c>
      <c r="E3854" s="8">
        <f>QS.INSTRUMENT.SWAP("swap.3852",C3854,H3854,B3854,"USD","SOFR",I3854,J3854,0,"Actual360","Simple","Annual","Annual","Annual")</f>
        <v/>
      </c>
      <c r="F3854" s="8">
        <f>QS.TRADE.CREATE("trade.3852",C3854,E3854,A3854,"Receive")</f>
        <v/>
      </c>
      <c r="G3854" s="5"/>
      <c r="H3854" s="7" t="s">
        <v>3894</v>
      </c>
      <c r="I3854" s="9">
        <v>1385200</v>
      </c>
      <c r="J3854" s="10">
        <v>0.0352</v>
      </c>
    </row>
    <row r="3855" spans="1:10">
      <c r="A3855" s="7" t="s">
        <v>3888</v>
      </c>
      <c r="B3855" s="7" t="s">
        <v>5722</v>
      </c>
      <c r="C3855" s="8">
        <f>QS.CONTEXT.CREATE("market.3853",A3855,"USD","SOFR")</f>
        <v/>
      </c>
      <c r="D3855" s="8">
        <f>QS.CONTEXT.ADD.CURVE(C3855,"SOFR",$K$2:$K$7,$L$2:$L$7,,,"Actual360","LogLinear",TRUE)</f>
        <v/>
      </c>
      <c r="E3855" s="8">
        <f>QS.INSTRUMENT.SWAP("swap.3853",C3855,H3855,B3855,"USD","SOFR",I3855,J3855,0,"Actual360","Simple","Annual","Annual","Annual")</f>
        <v/>
      </c>
      <c r="F3855" s="8">
        <f>QS.TRADE.CREATE("trade.3853",C3855,E3855,A3855,"Receive")</f>
        <v/>
      </c>
      <c r="G3855" s="5"/>
      <c r="H3855" s="7" t="s">
        <v>3895</v>
      </c>
      <c r="I3855" s="9">
        <v>1385300</v>
      </c>
      <c r="J3855" s="10">
        <v>0.0353</v>
      </c>
    </row>
    <row r="3856" spans="1:10">
      <c r="A3856" s="7" t="s">
        <v>3889</v>
      </c>
      <c r="B3856" s="7" t="s">
        <v>5723</v>
      </c>
      <c r="C3856" s="8">
        <f>QS.CONTEXT.CREATE("market.3854",A3856,"USD","SOFR")</f>
        <v/>
      </c>
      <c r="D3856" s="8">
        <f>QS.CONTEXT.ADD.CURVE(C3856,"SOFR",$K$2:$K$7,$L$2:$L$7,,,"Actual360","LogLinear",TRUE)</f>
        <v/>
      </c>
      <c r="E3856" s="8">
        <f>QS.INSTRUMENT.SWAP("swap.3854",C3856,H3856,B3856,"USD","SOFR",I3856,J3856,0,"Actual360","Simple","Annual","Annual","Annual")</f>
        <v/>
      </c>
      <c r="F3856" s="8">
        <f>QS.TRADE.CREATE("trade.3854",C3856,E3856,A3856,"Receive")</f>
        <v/>
      </c>
      <c r="G3856" s="5"/>
      <c r="H3856" s="7" t="s">
        <v>3896</v>
      </c>
      <c r="I3856" s="9">
        <v>1385400</v>
      </c>
      <c r="J3856" s="10">
        <v>0.0354</v>
      </c>
    </row>
    <row r="3857" spans="1:10">
      <c r="A3857" s="7" t="s">
        <v>3890</v>
      </c>
      <c r="B3857" s="7" t="s">
        <v>5724</v>
      </c>
      <c r="C3857" s="8">
        <f>QS.CONTEXT.CREATE("market.3855",A3857,"USD","SOFR")</f>
        <v/>
      </c>
      <c r="D3857" s="8">
        <f>QS.CONTEXT.ADD.CURVE(C3857,"SOFR",$K$2:$K$7,$L$2:$L$7,,,"Actual360","LogLinear",TRUE)</f>
        <v/>
      </c>
      <c r="E3857" s="8">
        <f>QS.INSTRUMENT.SWAP("swap.3855",C3857,H3857,B3857,"USD","SOFR",I3857,J3857,0,"Actual360","Simple","Annual","Annual","Annual")</f>
        <v/>
      </c>
      <c r="F3857" s="8">
        <f>QS.TRADE.CREATE("trade.3855",C3857,E3857,A3857,"Receive")</f>
        <v/>
      </c>
      <c r="G3857" s="5"/>
      <c r="H3857" s="7" t="s">
        <v>3897</v>
      </c>
      <c r="I3857" s="9">
        <v>1385500</v>
      </c>
      <c r="J3857" s="10">
        <v>0.0355</v>
      </c>
    </row>
    <row r="3858" spans="1:10">
      <c r="A3858" s="7" t="s">
        <v>3891</v>
      </c>
      <c r="B3858" s="7" t="s">
        <v>5725</v>
      </c>
      <c r="C3858" s="8">
        <f>QS.CONTEXT.CREATE("market.3856",A3858,"USD","SOFR")</f>
        <v/>
      </c>
      <c r="D3858" s="8">
        <f>QS.CONTEXT.ADD.CURVE(C3858,"SOFR",$K$2:$K$7,$L$2:$L$7,,,"Actual360","LogLinear",TRUE)</f>
        <v/>
      </c>
      <c r="E3858" s="8">
        <f>QS.INSTRUMENT.SWAP("swap.3856",C3858,H3858,B3858,"USD","SOFR",I3858,J3858,0,"Actual360","Simple","Annual","Annual","Annual")</f>
        <v/>
      </c>
      <c r="F3858" s="8">
        <f>QS.TRADE.CREATE("trade.3856",C3858,E3858,A3858,"Receive")</f>
        <v/>
      </c>
      <c r="G3858" s="5"/>
      <c r="H3858" s="7" t="s">
        <v>3898</v>
      </c>
      <c r="I3858" s="9">
        <v>1385600</v>
      </c>
      <c r="J3858" s="10">
        <v>0.03560000000000001</v>
      </c>
    </row>
    <row r="3859" spans="1:10">
      <c r="A3859" s="7" t="s">
        <v>3892</v>
      </c>
      <c r="B3859" s="7" t="s">
        <v>5726</v>
      </c>
      <c r="C3859" s="8">
        <f>QS.CONTEXT.CREATE("market.3857",A3859,"USD","SOFR")</f>
        <v/>
      </c>
      <c r="D3859" s="8">
        <f>QS.CONTEXT.ADD.CURVE(C3859,"SOFR",$K$2:$K$7,$L$2:$L$7,,,"Actual360","LogLinear",TRUE)</f>
        <v/>
      </c>
      <c r="E3859" s="8">
        <f>QS.INSTRUMENT.SWAP("swap.3857",C3859,H3859,B3859,"USD","SOFR",I3859,J3859,0,"Actual360","Simple","Annual","Annual","Annual")</f>
        <v/>
      </c>
      <c r="F3859" s="8">
        <f>QS.TRADE.CREATE("trade.3857",C3859,E3859,A3859,"Receive")</f>
        <v/>
      </c>
      <c r="G3859" s="5"/>
      <c r="H3859" s="7" t="s">
        <v>3899</v>
      </c>
      <c r="I3859" s="9">
        <v>1385700</v>
      </c>
      <c r="J3859" s="10">
        <v>0.0357</v>
      </c>
    </row>
    <row r="3860" spans="1:10">
      <c r="A3860" s="7" t="s">
        <v>3893</v>
      </c>
      <c r="B3860" s="7" t="s">
        <v>5727</v>
      </c>
      <c r="C3860" s="8">
        <f>QS.CONTEXT.CREATE("market.3858",A3860,"USD","SOFR")</f>
        <v/>
      </c>
      <c r="D3860" s="8">
        <f>QS.CONTEXT.ADD.CURVE(C3860,"SOFR",$K$2:$K$7,$L$2:$L$7,,,"Actual360","LogLinear",TRUE)</f>
        <v/>
      </c>
      <c r="E3860" s="8">
        <f>QS.INSTRUMENT.SWAP("swap.3858",C3860,H3860,B3860,"USD","SOFR",I3860,J3860,0,"Actual360","Simple","Annual","Annual","Annual")</f>
        <v/>
      </c>
      <c r="F3860" s="8">
        <f>QS.TRADE.CREATE("trade.3858",C3860,E3860,A3860,"Receive")</f>
        <v/>
      </c>
      <c r="G3860" s="5"/>
      <c r="H3860" s="7" t="s">
        <v>3900</v>
      </c>
      <c r="I3860" s="9">
        <v>1385800</v>
      </c>
      <c r="J3860" s="10">
        <v>0.03580000000000001</v>
      </c>
    </row>
    <row r="3861" spans="1:10">
      <c r="A3861" s="7" t="s">
        <v>3894</v>
      </c>
      <c r="B3861" s="7" t="s">
        <v>5728</v>
      </c>
      <c r="C3861" s="8">
        <f>QS.CONTEXT.CREATE("market.3859",A3861,"USD","SOFR")</f>
        <v/>
      </c>
      <c r="D3861" s="8">
        <f>QS.CONTEXT.ADD.CURVE(C3861,"SOFR",$K$2:$K$7,$L$2:$L$7,,,"Actual360","LogLinear",TRUE)</f>
        <v/>
      </c>
      <c r="E3861" s="8">
        <f>QS.INSTRUMENT.SWAP("swap.3859",C3861,H3861,B3861,"USD","SOFR",I3861,J3861,0,"Actual360","Simple","Annual","Annual","Annual")</f>
        <v/>
      </c>
      <c r="F3861" s="8">
        <f>QS.TRADE.CREATE("trade.3859",C3861,E3861,A3861,"Receive")</f>
        <v/>
      </c>
      <c r="G3861" s="5"/>
      <c r="H3861" s="7" t="s">
        <v>3901</v>
      </c>
      <c r="I3861" s="9">
        <v>1385900</v>
      </c>
      <c r="J3861" s="10">
        <v>0.0359</v>
      </c>
    </row>
    <row r="3862" spans="1:10">
      <c r="A3862" s="7" t="s">
        <v>3895</v>
      </c>
      <c r="B3862" s="7" t="s">
        <v>5729</v>
      </c>
      <c r="C3862" s="8">
        <f>QS.CONTEXT.CREATE("market.3860",A3862,"USD","SOFR")</f>
        <v/>
      </c>
      <c r="D3862" s="8">
        <f>QS.CONTEXT.ADD.CURVE(C3862,"SOFR",$K$2:$K$7,$L$2:$L$7,,,"Actual360","LogLinear",TRUE)</f>
        <v/>
      </c>
      <c r="E3862" s="8">
        <f>QS.INSTRUMENT.SWAP("swap.3860",C3862,H3862,B3862,"USD","SOFR",I3862,J3862,0,"Actual360","Simple","Annual","Annual","Annual")</f>
        <v/>
      </c>
      <c r="F3862" s="8">
        <f>QS.TRADE.CREATE("trade.3860",C3862,E3862,A3862,"Receive")</f>
        <v/>
      </c>
      <c r="G3862" s="5"/>
      <c r="H3862" s="7" t="s">
        <v>3902</v>
      </c>
      <c r="I3862" s="9">
        <v>1386000</v>
      </c>
      <c r="J3862" s="10">
        <v>0.036</v>
      </c>
    </row>
    <row r="3863" spans="1:10">
      <c r="A3863" s="7" t="s">
        <v>3896</v>
      </c>
      <c r="B3863" s="7" t="s">
        <v>5730</v>
      </c>
      <c r="C3863" s="8">
        <f>QS.CONTEXT.CREATE("market.3861",A3863,"USD","SOFR")</f>
        <v/>
      </c>
      <c r="D3863" s="8">
        <f>QS.CONTEXT.ADD.CURVE(C3863,"SOFR",$K$2:$K$7,$L$2:$L$7,,,"Actual360","LogLinear",TRUE)</f>
        <v/>
      </c>
      <c r="E3863" s="8">
        <f>QS.INSTRUMENT.SWAP("swap.3861",C3863,H3863,B3863,"USD","SOFR",I3863,J3863,0,"Actual360","Simple","Annual","Annual","Annual")</f>
        <v/>
      </c>
      <c r="F3863" s="8">
        <f>QS.TRADE.CREATE("trade.3861",C3863,E3863,A3863,"Receive")</f>
        <v/>
      </c>
      <c r="G3863" s="5"/>
      <c r="H3863" s="7" t="s">
        <v>3903</v>
      </c>
      <c r="I3863" s="9">
        <v>1386100</v>
      </c>
      <c r="J3863" s="10">
        <v>0.0361</v>
      </c>
    </row>
    <row r="3864" spans="1:10">
      <c r="A3864" s="7" t="s">
        <v>3897</v>
      </c>
      <c r="B3864" s="7" t="s">
        <v>5731</v>
      </c>
      <c r="C3864" s="8">
        <f>QS.CONTEXT.CREATE("market.3862",A3864,"USD","SOFR")</f>
        <v/>
      </c>
      <c r="D3864" s="8">
        <f>QS.CONTEXT.ADD.CURVE(C3864,"SOFR",$K$2:$K$7,$L$2:$L$7,,,"Actual360","LogLinear",TRUE)</f>
        <v/>
      </c>
      <c r="E3864" s="8">
        <f>QS.INSTRUMENT.SWAP("swap.3862",C3864,H3864,B3864,"USD","SOFR",I3864,J3864,0,"Actual360","Simple","Annual","Annual","Annual")</f>
        <v/>
      </c>
      <c r="F3864" s="8">
        <f>QS.TRADE.CREATE("trade.3862",C3864,E3864,A3864,"Receive")</f>
        <v/>
      </c>
      <c r="G3864" s="5"/>
      <c r="H3864" s="7" t="s">
        <v>3904</v>
      </c>
      <c r="I3864" s="9">
        <v>1386200</v>
      </c>
      <c r="J3864" s="10">
        <v>0.0362</v>
      </c>
    </row>
    <row r="3865" spans="1:10">
      <c r="A3865" s="7" t="s">
        <v>3898</v>
      </c>
      <c r="B3865" s="7" t="s">
        <v>5732</v>
      </c>
      <c r="C3865" s="8">
        <f>QS.CONTEXT.CREATE("market.3863",A3865,"USD","SOFR")</f>
        <v/>
      </c>
      <c r="D3865" s="8">
        <f>QS.CONTEXT.ADD.CURVE(C3865,"SOFR",$K$2:$K$7,$L$2:$L$7,,,"Actual360","LogLinear",TRUE)</f>
        <v/>
      </c>
      <c r="E3865" s="8">
        <f>QS.INSTRUMENT.SWAP("swap.3863",C3865,H3865,B3865,"USD","SOFR",I3865,J3865,0,"Actual360","Simple","Annual","Annual","Annual")</f>
        <v/>
      </c>
      <c r="F3865" s="8">
        <f>QS.TRADE.CREATE("trade.3863",C3865,E3865,A3865,"Receive")</f>
        <v/>
      </c>
      <c r="G3865" s="5"/>
      <c r="H3865" s="7" t="s">
        <v>3905</v>
      </c>
      <c r="I3865" s="9">
        <v>1386300</v>
      </c>
      <c r="J3865" s="10">
        <v>0.03630000000000001</v>
      </c>
    </row>
    <row r="3866" spans="1:10">
      <c r="A3866" s="7" t="s">
        <v>3899</v>
      </c>
      <c r="B3866" s="7" t="s">
        <v>5733</v>
      </c>
      <c r="C3866" s="8">
        <f>QS.CONTEXT.CREATE("market.3864",A3866,"USD","SOFR")</f>
        <v/>
      </c>
      <c r="D3866" s="8">
        <f>QS.CONTEXT.ADD.CURVE(C3866,"SOFR",$K$2:$K$7,$L$2:$L$7,,,"Actual360","LogLinear",TRUE)</f>
        <v/>
      </c>
      <c r="E3866" s="8">
        <f>QS.INSTRUMENT.SWAP("swap.3864",C3866,H3866,B3866,"USD","SOFR",I3866,J3866,0,"Actual360","Simple","Annual","Annual","Annual")</f>
        <v/>
      </c>
      <c r="F3866" s="8">
        <f>QS.TRADE.CREATE("trade.3864",C3866,E3866,A3866,"Receive")</f>
        <v/>
      </c>
      <c r="G3866" s="5"/>
      <c r="H3866" s="7" t="s">
        <v>3906</v>
      </c>
      <c r="I3866" s="9">
        <v>1386400</v>
      </c>
      <c r="J3866" s="10">
        <v>0.0364</v>
      </c>
    </row>
    <row r="3867" spans="1:10">
      <c r="A3867" s="7" t="s">
        <v>3900</v>
      </c>
      <c r="B3867" s="7" t="s">
        <v>5734</v>
      </c>
      <c r="C3867" s="8">
        <f>QS.CONTEXT.CREATE("market.3865",A3867,"USD","SOFR")</f>
        <v/>
      </c>
      <c r="D3867" s="8">
        <f>QS.CONTEXT.ADD.CURVE(C3867,"SOFR",$K$2:$K$7,$L$2:$L$7,,,"Actual360","LogLinear",TRUE)</f>
        <v/>
      </c>
      <c r="E3867" s="8">
        <f>QS.INSTRUMENT.SWAP("swap.3865",C3867,H3867,B3867,"USD","SOFR",I3867,J3867,0,"Actual360","Simple","Annual","Annual","Annual")</f>
        <v/>
      </c>
      <c r="F3867" s="8">
        <f>QS.TRADE.CREATE("trade.3865",C3867,E3867,A3867,"Receive")</f>
        <v/>
      </c>
      <c r="G3867" s="5"/>
      <c r="H3867" s="7" t="s">
        <v>3907</v>
      </c>
      <c r="I3867" s="9">
        <v>1386500</v>
      </c>
      <c r="J3867" s="10">
        <v>0.0365</v>
      </c>
    </row>
    <row r="3868" spans="1:10">
      <c r="A3868" s="7" t="s">
        <v>3901</v>
      </c>
      <c r="B3868" s="7" t="s">
        <v>5735</v>
      </c>
      <c r="C3868" s="8">
        <f>QS.CONTEXT.CREATE("market.3866",A3868,"USD","SOFR")</f>
        <v/>
      </c>
      <c r="D3868" s="8">
        <f>QS.CONTEXT.ADD.CURVE(C3868,"SOFR",$K$2:$K$7,$L$2:$L$7,,,"Actual360","LogLinear",TRUE)</f>
        <v/>
      </c>
      <c r="E3868" s="8">
        <f>QS.INSTRUMENT.SWAP("swap.3866",C3868,H3868,B3868,"USD","SOFR",I3868,J3868,0,"Actual360","Simple","Annual","Annual","Annual")</f>
        <v/>
      </c>
      <c r="F3868" s="8">
        <f>QS.TRADE.CREATE("trade.3866",C3868,E3868,A3868,"Receive")</f>
        <v/>
      </c>
      <c r="G3868" s="5"/>
      <c r="H3868" s="7" t="s">
        <v>3908</v>
      </c>
      <c r="I3868" s="9">
        <v>1386600</v>
      </c>
      <c r="J3868" s="10">
        <v>0.0366</v>
      </c>
    </row>
    <row r="3869" spans="1:10">
      <c r="A3869" s="7" t="s">
        <v>3902</v>
      </c>
      <c r="B3869" s="7" t="s">
        <v>5736</v>
      </c>
      <c r="C3869" s="8">
        <f>QS.CONTEXT.CREATE("market.3867",A3869,"USD","SOFR")</f>
        <v/>
      </c>
      <c r="D3869" s="8">
        <f>QS.CONTEXT.ADD.CURVE(C3869,"SOFR",$K$2:$K$7,$L$2:$L$7,,,"Actual360","LogLinear",TRUE)</f>
        <v/>
      </c>
      <c r="E3869" s="8">
        <f>QS.INSTRUMENT.SWAP("swap.3867",C3869,H3869,B3869,"USD","SOFR",I3869,J3869,0,"Actual360","Simple","Annual","Annual","Annual")</f>
        <v/>
      </c>
      <c r="F3869" s="8">
        <f>QS.TRADE.CREATE("trade.3867",C3869,E3869,A3869,"Receive")</f>
        <v/>
      </c>
      <c r="G3869" s="5"/>
      <c r="H3869" s="7" t="s">
        <v>3909</v>
      </c>
      <c r="I3869" s="9">
        <v>1386700</v>
      </c>
      <c r="J3869" s="10">
        <v>0.0367</v>
      </c>
    </row>
    <row r="3870" spans="1:10">
      <c r="A3870" s="7" t="s">
        <v>3903</v>
      </c>
      <c r="B3870" s="7" t="s">
        <v>5737</v>
      </c>
      <c r="C3870" s="8">
        <f>QS.CONTEXT.CREATE("market.3868",A3870,"USD","SOFR")</f>
        <v/>
      </c>
      <c r="D3870" s="8">
        <f>QS.CONTEXT.ADD.CURVE(C3870,"SOFR",$K$2:$K$7,$L$2:$L$7,,,"Actual360","LogLinear",TRUE)</f>
        <v/>
      </c>
      <c r="E3870" s="8">
        <f>QS.INSTRUMENT.SWAP("swap.3868",C3870,H3870,B3870,"USD","SOFR",I3870,J3870,0,"Actual360","Simple","Annual","Annual","Annual")</f>
        <v/>
      </c>
      <c r="F3870" s="8">
        <f>QS.TRADE.CREATE("trade.3868",C3870,E3870,A3870,"Receive")</f>
        <v/>
      </c>
      <c r="G3870" s="5"/>
      <c r="H3870" s="7" t="s">
        <v>3910</v>
      </c>
      <c r="I3870" s="9">
        <v>1386800</v>
      </c>
      <c r="J3870" s="10">
        <v>0.03680000000000001</v>
      </c>
    </row>
    <row r="3871" spans="1:10">
      <c r="A3871" s="7" t="s">
        <v>3904</v>
      </c>
      <c r="B3871" s="7" t="s">
        <v>5738</v>
      </c>
      <c r="C3871" s="8">
        <f>QS.CONTEXT.CREATE("market.3869",A3871,"USD","SOFR")</f>
        <v/>
      </c>
      <c r="D3871" s="8">
        <f>QS.CONTEXT.ADD.CURVE(C3871,"SOFR",$K$2:$K$7,$L$2:$L$7,,,"Actual360","LogLinear",TRUE)</f>
        <v/>
      </c>
      <c r="E3871" s="8">
        <f>QS.INSTRUMENT.SWAP("swap.3869",C3871,H3871,B3871,"USD","SOFR",I3871,J3871,0,"Actual360","Simple","Annual","Annual","Annual")</f>
        <v/>
      </c>
      <c r="F3871" s="8">
        <f>QS.TRADE.CREATE("trade.3869",C3871,E3871,A3871,"Receive")</f>
        <v/>
      </c>
      <c r="G3871" s="5"/>
      <c r="H3871" s="7" t="s">
        <v>3911</v>
      </c>
      <c r="I3871" s="9">
        <v>1386900</v>
      </c>
      <c r="J3871" s="10">
        <v>0.0369</v>
      </c>
    </row>
    <row r="3872" spans="1:10">
      <c r="A3872" s="7" t="s">
        <v>3905</v>
      </c>
      <c r="B3872" s="7" t="s">
        <v>5739</v>
      </c>
      <c r="C3872" s="8">
        <f>QS.CONTEXT.CREATE("market.3870",A3872,"USD","SOFR")</f>
        <v/>
      </c>
      <c r="D3872" s="8">
        <f>QS.CONTEXT.ADD.CURVE(C3872,"SOFR",$K$2:$K$7,$L$2:$L$7,,,"Actual360","LogLinear",TRUE)</f>
        <v/>
      </c>
      <c r="E3872" s="8">
        <f>QS.INSTRUMENT.SWAP("swap.3870",C3872,H3872,B3872,"USD","SOFR",I3872,J3872,0,"Actual360","Simple","Annual","Annual","Annual")</f>
        <v/>
      </c>
      <c r="F3872" s="8">
        <f>QS.TRADE.CREATE("trade.3870",C3872,E3872,A3872,"Receive")</f>
        <v/>
      </c>
      <c r="G3872" s="5"/>
      <c r="H3872" s="7" t="s">
        <v>3912</v>
      </c>
      <c r="I3872" s="9">
        <v>1387000</v>
      </c>
      <c r="J3872" s="10">
        <v>0.03700000000000001</v>
      </c>
    </row>
    <row r="3873" spans="1:10">
      <c r="A3873" s="7" t="s">
        <v>3906</v>
      </c>
      <c r="B3873" s="7" t="s">
        <v>5740</v>
      </c>
      <c r="C3873" s="8">
        <f>QS.CONTEXT.CREATE("market.3871",A3873,"USD","SOFR")</f>
        <v/>
      </c>
      <c r="D3873" s="8">
        <f>QS.CONTEXT.ADD.CURVE(C3873,"SOFR",$K$2:$K$7,$L$2:$L$7,,,"Actual360","LogLinear",TRUE)</f>
        <v/>
      </c>
      <c r="E3873" s="8">
        <f>QS.INSTRUMENT.SWAP("swap.3871",C3873,H3873,B3873,"USD","SOFR",I3873,J3873,0,"Actual360","Simple","Annual","Annual","Annual")</f>
        <v/>
      </c>
      <c r="F3873" s="8">
        <f>QS.TRADE.CREATE("trade.3871",C3873,E3873,A3873,"Receive")</f>
        <v/>
      </c>
      <c r="G3873" s="5"/>
      <c r="H3873" s="7" t="s">
        <v>3913</v>
      </c>
      <c r="I3873" s="9">
        <v>1387100</v>
      </c>
      <c r="J3873" s="10">
        <v>0.0371</v>
      </c>
    </row>
    <row r="3874" spans="1:10">
      <c r="A3874" s="7" t="s">
        <v>3907</v>
      </c>
      <c r="B3874" s="7" t="s">
        <v>5741</v>
      </c>
      <c r="C3874" s="8">
        <f>QS.CONTEXT.CREATE("market.3872",A3874,"USD","SOFR")</f>
        <v/>
      </c>
      <c r="D3874" s="8">
        <f>QS.CONTEXT.ADD.CURVE(C3874,"SOFR",$K$2:$K$7,$L$2:$L$7,,,"Actual360","LogLinear",TRUE)</f>
        <v/>
      </c>
      <c r="E3874" s="8">
        <f>QS.INSTRUMENT.SWAP("swap.3872",C3874,H3874,B3874,"USD","SOFR",I3874,J3874,0,"Actual360","Simple","Annual","Annual","Annual")</f>
        <v/>
      </c>
      <c r="F3874" s="8">
        <f>QS.TRADE.CREATE("trade.3872",C3874,E3874,A3874,"Receive")</f>
        <v/>
      </c>
      <c r="G3874" s="5"/>
      <c r="H3874" s="7" t="s">
        <v>3914</v>
      </c>
      <c r="I3874" s="9">
        <v>1387200</v>
      </c>
      <c r="J3874" s="10">
        <v>0.0372</v>
      </c>
    </row>
    <row r="3875" spans="1:10">
      <c r="A3875" s="7" t="s">
        <v>3908</v>
      </c>
      <c r="B3875" s="7" t="s">
        <v>5742</v>
      </c>
      <c r="C3875" s="8">
        <f>QS.CONTEXT.CREATE("market.3873",A3875,"USD","SOFR")</f>
        <v/>
      </c>
      <c r="D3875" s="8">
        <f>QS.CONTEXT.ADD.CURVE(C3875,"SOFR",$K$2:$K$7,$L$2:$L$7,,,"Actual360","LogLinear",TRUE)</f>
        <v/>
      </c>
      <c r="E3875" s="8">
        <f>QS.INSTRUMENT.SWAP("swap.3873",C3875,H3875,B3875,"USD","SOFR",I3875,J3875,0,"Actual360","Simple","Annual","Annual","Annual")</f>
        <v/>
      </c>
      <c r="F3875" s="8">
        <f>QS.TRADE.CREATE("trade.3873",C3875,E3875,A3875,"Receive")</f>
        <v/>
      </c>
      <c r="G3875" s="5"/>
      <c r="H3875" s="7" t="s">
        <v>3915</v>
      </c>
      <c r="I3875" s="9">
        <v>1387300</v>
      </c>
      <c r="J3875" s="10">
        <v>0.0373</v>
      </c>
    </row>
    <row r="3876" spans="1:10">
      <c r="A3876" s="7" t="s">
        <v>3909</v>
      </c>
      <c r="B3876" s="7" t="s">
        <v>5743</v>
      </c>
      <c r="C3876" s="8">
        <f>QS.CONTEXT.CREATE("market.3874",A3876,"USD","SOFR")</f>
        <v/>
      </c>
      <c r="D3876" s="8">
        <f>QS.CONTEXT.ADD.CURVE(C3876,"SOFR",$K$2:$K$7,$L$2:$L$7,,,"Actual360","LogLinear",TRUE)</f>
        <v/>
      </c>
      <c r="E3876" s="8">
        <f>QS.INSTRUMENT.SWAP("swap.3874",C3876,H3876,B3876,"USD","SOFR",I3876,J3876,0,"Actual360","Simple","Annual","Annual","Annual")</f>
        <v/>
      </c>
      <c r="F3876" s="8">
        <f>QS.TRADE.CREATE("trade.3874",C3876,E3876,A3876,"Receive")</f>
        <v/>
      </c>
      <c r="G3876" s="5"/>
      <c r="H3876" s="7" t="s">
        <v>3916</v>
      </c>
      <c r="I3876" s="9">
        <v>1387400</v>
      </c>
      <c r="J3876" s="10">
        <v>0.0374</v>
      </c>
    </row>
    <row r="3877" spans="1:10">
      <c r="A3877" s="7" t="s">
        <v>3910</v>
      </c>
      <c r="B3877" s="7" t="s">
        <v>5744</v>
      </c>
      <c r="C3877" s="8">
        <f>QS.CONTEXT.CREATE("market.3875",A3877,"USD","SOFR")</f>
        <v/>
      </c>
      <c r="D3877" s="8">
        <f>QS.CONTEXT.ADD.CURVE(C3877,"SOFR",$K$2:$K$7,$L$2:$L$7,,,"Actual360","LogLinear",TRUE)</f>
        <v/>
      </c>
      <c r="E3877" s="8">
        <f>QS.INSTRUMENT.SWAP("swap.3875",C3877,H3877,B3877,"USD","SOFR",I3877,J3877,0,"Actual360","Simple","Annual","Annual","Annual")</f>
        <v/>
      </c>
      <c r="F3877" s="8">
        <f>QS.TRADE.CREATE("trade.3875",C3877,E3877,A3877,"Receive")</f>
        <v/>
      </c>
      <c r="G3877" s="5"/>
      <c r="H3877" s="7" t="s">
        <v>3917</v>
      </c>
      <c r="I3877" s="9">
        <v>1387500</v>
      </c>
      <c r="J3877" s="10">
        <v>0.03750000000000001</v>
      </c>
    </row>
    <row r="3878" spans="1:10">
      <c r="A3878" s="7" t="s">
        <v>3911</v>
      </c>
      <c r="B3878" s="7" t="s">
        <v>5745</v>
      </c>
      <c r="C3878" s="8">
        <f>QS.CONTEXT.CREATE("market.3876",A3878,"USD","SOFR")</f>
        <v/>
      </c>
      <c r="D3878" s="8">
        <f>QS.CONTEXT.ADD.CURVE(C3878,"SOFR",$K$2:$K$7,$L$2:$L$7,,,"Actual360","LogLinear",TRUE)</f>
        <v/>
      </c>
      <c r="E3878" s="8">
        <f>QS.INSTRUMENT.SWAP("swap.3876",C3878,H3878,B3878,"USD","SOFR",I3878,J3878,0,"Actual360","Simple","Annual","Annual","Annual")</f>
        <v/>
      </c>
      <c r="F3878" s="8">
        <f>QS.TRADE.CREATE("trade.3876",C3878,E3878,A3878,"Receive")</f>
        <v/>
      </c>
      <c r="G3878" s="5"/>
      <c r="H3878" s="7" t="s">
        <v>3918</v>
      </c>
      <c r="I3878" s="9">
        <v>1387600</v>
      </c>
      <c r="J3878" s="10">
        <v>0.0376</v>
      </c>
    </row>
    <row r="3879" spans="1:10">
      <c r="A3879" s="7" t="s">
        <v>3912</v>
      </c>
      <c r="B3879" s="7" t="s">
        <v>5746</v>
      </c>
      <c r="C3879" s="8">
        <f>QS.CONTEXT.CREATE("market.3877",A3879,"USD","SOFR")</f>
        <v/>
      </c>
      <c r="D3879" s="8">
        <f>QS.CONTEXT.ADD.CURVE(C3879,"SOFR",$K$2:$K$7,$L$2:$L$7,,,"Actual360","LogLinear",TRUE)</f>
        <v/>
      </c>
      <c r="E3879" s="8">
        <f>QS.INSTRUMENT.SWAP("swap.3877",C3879,H3879,B3879,"USD","SOFR",I3879,J3879,0,"Actual360","Simple","Annual","Annual","Annual")</f>
        <v/>
      </c>
      <c r="F3879" s="8">
        <f>QS.TRADE.CREATE("trade.3877",C3879,E3879,A3879,"Receive")</f>
        <v/>
      </c>
      <c r="G3879" s="5"/>
      <c r="H3879" s="7" t="s">
        <v>3919</v>
      </c>
      <c r="I3879" s="9">
        <v>1387700</v>
      </c>
      <c r="J3879" s="10">
        <v>0.0377</v>
      </c>
    </row>
    <row r="3880" spans="1:10">
      <c r="A3880" s="7" t="s">
        <v>3913</v>
      </c>
      <c r="B3880" s="7" t="s">
        <v>5747</v>
      </c>
      <c r="C3880" s="8">
        <f>QS.CONTEXT.CREATE("market.3878",A3880,"USD","SOFR")</f>
        <v/>
      </c>
      <c r="D3880" s="8">
        <f>QS.CONTEXT.ADD.CURVE(C3880,"SOFR",$K$2:$K$7,$L$2:$L$7,,,"Actual360","LogLinear",TRUE)</f>
        <v/>
      </c>
      <c r="E3880" s="8">
        <f>QS.INSTRUMENT.SWAP("swap.3878",C3880,H3880,B3880,"USD","SOFR",I3880,J3880,0,"Actual360","Simple","Annual","Annual","Annual")</f>
        <v/>
      </c>
      <c r="F3880" s="8">
        <f>QS.TRADE.CREATE("trade.3878",C3880,E3880,A3880,"Receive")</f>
        <v/>
      </c>
      <c r="G3880" s="5"/>
      <c r="H3880" s="7" t="s">
        <v>3920</v>
      </c>
      <c r="I3880" s="9">
        <v>1387800</v>
      </c>
      <c r="J3880" s="10">
        <v>0.0378</v>
      </c>
    </row>
    <row r="3881" spans="1:10">
      <c r="A3881" s="7" t="s">
        <v>3914</v>
      </c>
      <c r="B3881" s="7" t="s">
        <v>5748</v>
      </c>
      <c r="C3881" s="8">
        <f>QS.CONTEXT.CREATE("market.3879",A3881,"USD","SOFR")</f>
        <v/>
      </c>
      <c r="D3881" s="8">
        <f>QS.CONTEXT.ADD.CURVE(C3881,"SOFR",$K$2:$K$7,$L$2:$L$7,,,"Actual360","LogLinear",TRUE)</f>
        <v/>
      </c>
      <c r="E3881" s="8">
        <f>QS.INSTRUMENT.SWAP("swap.3879",C3881,H3881,B3881,"USD","SOFR",I3881,J3881,0,"Actual360","Simple","Annual","Annual","Annual")</f>
        <v/>
      </c>
      <c r="F3881" s="8">
        <f>QS.TRADE.CREATE("trade.3879",C3881,E3881,A3881,"Receive")</f>
        <v/>
      </c>
      <c r="G3881" s="5"/>
      <c r="H3881" s="7" t="s">
        <v>3921</v>
      </c>
      <c r="I3881" s="9">
        <v>1387900</v>
      </c>
      <c r="J3881" s="10">
        <v>0.0379</v>
      </c>
    </row>
    <row r="3882" spans="1:10">
      <c r="A3882" s="7" t="s">
        <v>3915</v>
      </c>
      <c r="B3882" s="7" t="s">
        <v>5749</v>
      </c>
      <c r="C3882" s="8">
        <f>QS.CONTEXT.CREATE("market.3880",A3882,"USD","SOFR")</f>
        <v/>
      </c>
      <c r="D3882" s="8">
        <f>QS.CONTEXT.ADD.CURVE(C3882,"SOFR",$K$2:$K$7,$L$2:$L$7,,,"Actual360","LogLinear",TRUE)</f>
        <v/>
      </c>
      <c r="E3882" s="8">
        <f>QS.INSTRUMENT.SWAP("swap.3880",C3882,H3882,B3882,"USD","SOFR",I3882,J3882,0,"Actual360","Simple","Annual","Annual","Annual")</f>
        <v/>
      </c>
      <c r="F3882" s="8">
        <f>QS.TRADE.CREATE("trade.3880",C3882,E3882,A3882,"Receive")</f>
        <v/>
      </c>
      <c r="G3882" s="5"/>
      <c r="H3882" s="7" t="s">
        <v>3922</v>
      </c>
      <c r="I3882" s="9">
        <v>1388000</v>
      </c>
      <c r="J3882" s="10">
        <v>0.03800000000000001</v>
      </c>
    </row>
    <row r="3883" spans="1:10">
      <c r="A3883" s="7" t="s">
        <v>3916</v>
      </c>
      <c r="B3883" s="7" t="s">
        <v>5750</v>
      </c>
      <c r="C3883" s="8">
        <f>QS.CONTEXT.CREATE("market.3881",A3883,"USD","SOFR")</f>
        <v/>
      </c>
      <c r="D3883" s="8">
        <f>QS.CONTEXT.ADD.CURVE(C3883,"SOFR",$K$2:$K$7,$L$2:$L$7,,,"Actual360","LogLinear",TRUE)</f>
        <v/>
      </c>
      <c r="E3883" s="8">
        <f>QS.INSTRUMENT.SWAP("swap.3881",C3883,H3883,B3883,"USD","SOFR",I3883,J3883,0,"Actual360","Simple","Annual","Annual","Annual")</f>
        <v/>
      </c>
      <c r="F3883" s="8">
        <f>QS.TRADE.CREATE("trade.3881",C3883,E3883,A3883,"Receive")</f>
        <v/>
      </c>
      <c r="G3883" s="5"/>
      <c r="H3883" s="7" t="s">
        <v>3923</v>
      </c>
      <c r="I3883" s="9">
        <v>1388100</v>
      </c>
      <c r="J3883" s="10">
        <v>0.0381</v>
      </c>
    </row>
    <row r="3884" spans="1:10">
      <c r="A3884" s="7" t="s">
        <v>3917</v>
      </c>
      <c r="B3884" s="7" t="s">
        <v>5751</v>
      </c>
      <c r="C3884" s="8">
        <f>QS.CONTEXT.CREATE("market.3882",A3884,"USD","SOFR")</f>
        <v/>
      </c>
      <c r="D3884" s="8">
        <f>QS.CONTEXT.ADD.CURVE(C3884,"SOFR",$K$2:$K$7,$L$2:$L$7,,,"Actual360","LogLinear",TRUE)</f>
        <v/>
      </c>
      <c r="E3884" s="8">
        <f>QS.INSTRUMENT.SWAP("swap.3882",C3884,H3884,B3884,"USD","SOFR",I3884,J3884,0,"Actual360","Simple","Annual","Annual","Annual")</f>
        <v/>
      </c>
      <c r="F3884" s="8">
        <f>QS.TRADE.CREATE("trade.3882",C3884,E3884,A3884,"Receive")</f>
        <v/>
      </c>
      <c r="G3884" s="5"/>
      <c r="H3884" s="7" t="s">
        <v>3924</v>
      </c>
      <c r="I3884" s="9">
        <v>1388200</v>
      </c>
      <c r="J3884" s="10">
        <v>0.0382</v>
      </c>
    </row>
    <row r="3885" spans="1:10">
      <c r="A3885" s="7" t="s">
        <v>3918</v>
      </c>
      <c r="B3885" s="7" t="s">
        <v>5752</v>
      </c>
      <c r="C3885" s="8">
        <f>QS.CONTEXT.CREATE("market.3883",A3885,"USD","SOFR")</f>
        <v/>
      </c>
      <c r="D3885" s="8">
        <f>QS.CONTEXT.ADD.CURVE(C3885,"SOFR",$K$2:$K$7,$L$2:$L$7,,,"Actual360","LogLinear",TRUE)</f>
        <v/>
      </c>
      <c r="E3885" s="8">
        <f>QS.INSTRUMENT.SWAP("swap.3883",C3885,H3885,B3885,"USD","SOFR",I3885,J3885,0,"Actual360","Simple","Annual","Annual","Annual")</f>
        <v/>
      </c>
      <c r="F3885" s="8">
        <f>QS.TRADE.CREATE("trade.3883",C3885,E3885,A3885,"Receive")</f>
        <v/>
      </c>
      <c r="G3885" s="5"/>
      <c r="H3885" s="7" t="s">
        <v>3925</v>
      </c>
      <c r="I3885" s="9">
        <v>1388300</v>
      </c>
      <c r="J3885" s="10">
        <v>0.0383</v>
      </c>
    </row>
    <row r="3886" spans="1:10">
      <c r="A3886" s="7" t="s">
        <v>3919</v>
      </c>
      <c r="B3886" s="7" t="s">
        <v>5753</v>
      </c>
      <c r="C3886" s="8">
        <f>QS.CONTEXT.CREATE("market.3884",A3886,"USD","SOFR")</f>
        <v/>
      </c>
      <c r="D3886" s="8">
        <f>QS.CONTEXT.ADD.CURVE(C3886,"SOFR",$K$2:$K$7,$L$2:$L$7,,,"Actual360","LogLinear",TRUE)</f>
        <v/>
      </c>
      <c r="E3886" s="8">
        <f>QS.INSTRUMENT.SWAP("swap.3884",C3886,H3886,B3886,"USD","SOFR",I3886,J3886,0,"Actual360","Simple","Annual","Annual","Annual")</f>
        <v/>
      </c>
      <c r="F3886" s="8">
        <f>QS.TRADE.CREATE("trade.3884",C3886,E3886,A3886,"Receive")</f>
        <v/>
      </c>
      <c r="G3886" s="5"/>
      <c r="H3886" s="7" t="s">
        <v>3926</v>
      </c>
      <c r="I3886" s="9">
        <v>1388400</v>
      </c>
      <c r="J3886" s="10">
        <v>0.0384</v>
      </c>
    </row>
    <row r="3887" spans="1:10">
      <c r="A3887" s="7" t="s">
        <v>3920</v>
      </c>
      <c r="B3887" s="7" t="s">
        <v>5754</v>
      </c>
      <c r="C3887" s="8">
        <f>QS.CONTEXT.CREATE("market.3885",A3887,"USD","SOFR")</f>
        <v/>
      </c>
      <c r="D3887" s="8">
        <f>QS.CONTEXT.ADD.CURVE(C3887,"SOFR",$K$2:$K$7,$L$2:$L$7,,,"Actual360","LogLinear",TRUE)</f>
        <v/>
      </c>
      <c r="E3887" s="8">
        <f>QS.INSTRUMENT.SWAP("swap.3885",C3887,H3887,B3887,"USD","SOFR",I3887,J3887,0,"Actual360","Simple","Annual","Annual","Annual")</f>
        <v/>
      </c>
      <c r="F3887" s="8">
        <f>QS.TRADE.CREATE("trade.3885",C3887,E3887,A3887,"Receive")</f>
        <v/>
      </c>
      <c r="G3887" s="5"/>
      <c r="H3887" s="7" t="s">
        <v>3927</v>
      </c>
      <c r="I3887" s="9">
        <v>1388500</v>
      </c>
      <c r="J3887" s="10">
        <v>0.03850000000000001</v>
      </c>
    </row>
    <row r="3888" spans="1:10">
      <c r="A3888" s="7" t="s">
        <v>3921</v>
      </c>
      <c r="B3888" s="7" t="s">
        <v>5755</v>
      </c>
      <c r="C3888" s="8">
        <f>QS.CONTEXT.CREATE("market.3886",A3888,"USD","SOFR")</f>
        <v/>
      </c>
      <c r="D3888" s="8">
        <f>QS.CONTEXT.ADD.CURVE(C3888,"SOFR",$K$2:$K$7,$L$2:$L$7,,,"Actual360","LogLinear",TRUE)</f>
        <v/>
      </c>
      <c r="E3888" s="8">
        <f>QS.INSTRUMENT.SWAP("swap.3886",C3888,H3888,B3888,"USD","SOFR",I3888,J3888,0,"Actual360","Simple","Annual","Annual","Annual")</f>
        <v/>
      </c>
      <c r="F3888" s="8">
        <f>QS.TRADE.CREATE("trade.3886",C3888,E3888,A3888,"Receive")</f>
        <v/>
      </c>
      <c r="G3888" s="5"/>
      <c r="H3888" s="7" t="s">
        <v>3928</v>
      </c>
      <c r="I3888" s="9">
        <v>1388600</v>
      </c>
      <c r="J3888" s="10">
        <v>0.0386</v>
      </c>
    </row>
    <row r="3889" spans="1:10">
      <c r="A3889" s="7" t="s">
        <v>3922</v>
      </c>
      <c r="B3889" s="7" t="s">
        <v>5756</v>
      </c>
      <c r="C3889" s="8">
        <f>QS.CONTEXT.CREATE("market.3887",A3889,"USD","SOFR")</f>
        <v/>
      </c>
      <c r="D3889" s="8">
        <f>QS.CONTEXT.ADD.CURVE(C3889,"SOFR",$K$2:$K$7,$L$2:$L$7,,,"Actual360","LogLinear",TRUE)</f>
        <v/>
      </c>
      <c r="E3889" s="8">
        <f>QS.INSTRUMENT.SWAP("swap.3887",C3889,H3889,B3889,"USD","SOFR",I3889,J3889,0,"Actual360","Simple","Annual","Annual","Annual")</f>
        <v/>
      </c>
      <c r="F3889" s="8">
        <f>QS.TRADE.CREATE("trade.3887",C3889,E3889,A3889,"Receive")</f>
        <v/>
      </c>
      <c r="G3889" s="5"/>
      <c r="H3889" s="7" t="s">
        <v>3929</v>
      </c>
      <c r="I3889" s="9">
        <v>1388700</v>
      </c>
      <c r="J3889" s="10">
        <v>0.03870000000000001</v>
      </c>
    </row>
    <row r="3890" spans="1:10">
      <c r="A3890" s="7" t="s">
        <v>3923</v>
      </c>
      <c r="B3890" s="7" t="s">
        <v>5757</v>
      </c>
      <c r="C3890" s="8">
        <f>QS.CONTEXT.CREATE("market.3888",A3890,"USD","SOFR")</f>
        <v/>
      </c>
      <c r="D3890" s="8">
        <f>QS.CONTEXT.ADD.CURVE(C3890,"SOFR",$K$2:$K$7,$L$2:$L$7,,,"Actual360","LogLinear",TRUE)</f>
        <v/>
      </c>
      <c r="E3890" s="8">
        <f>QS.INSTRUMENT.SWAP("swap.3888",C3890,H3890,B3890,"USD","SOFR",I3890,J3890,0,"Actual360","Simple","Annual","Annual","Annual")</f>
        <v/>
      </c>
      <c r="F3890" s="8">
        <f>QS.TRADE.CREATE("trade.3888",C3890,E3890,A3890,"Receive")</f>
        <v/>
      </c>
      <c r="G3890" s="5"/>
      <c r="H3890" s="7" t="s">
        <v>3930</v>
      </c>
      <c r="I3890" s="9">
        <v>1388800</v>
      </c>
      <c r="J3890" s="10">
        <v>0.0388</v>
      </c>
    </row>
    <row r="3891" spans="1:10">
      <c r="A3891" s="7" t="s">
        <v>3924</v>
      </c>
      <c r="B3891" s="7" t="s">
        <v>5758</v>
      </c>
      <c r="C3891" s="8">
        <f>QS.CONTEXT.CREATE("market.3889",A3891,"USD","SOFR")</f>
        <v/>
      </c>
      <c r="D3891" s="8">
        <f>QS.CONTEXT.ADD.CURVE(C3891,"SOFR",$K$2:$K$7,$L$2:$L$7,,,"Actual360","LogLinear",TRUE)</f>
        <v/>
      </c>
      <c r="E3891" s="8">
        <f>QS.INSTRUMENT.SWAP("swap.3889",C3891,H3891,B3891,"USD","SOFR",I3891,J3891,0,"Actual360","Simple","Annual","Annual","Annual")</f>
        <v/>
      </c>
      <c r="F3891" s="8">
        <f>QS.TRADE.CREATE("trade.3889",C3891,E3891,A3891,"Receive")</f>
        <v/>
      </c>
      <c r="G3891" s="5"/>
      <c r="H3891" s="7" t="s">
        <v>3931</v>
      </c>
      <c r="I3891" s="9">
        <v>1388900</v>
      </c>
      <c r="J3891" s="10">
        <v>0.0389</v>
      </c>
    </row>
    <row r="3892" spans="1:10">
      <c r="A3892" s="7" t="s">
        <v>3925</v>
      </c>
      <c r="B3892" s="7" t="s">
        <v>5759</v>
      </c>
      <c r="C3892" s="8">
        <f>QS.CONTEXT.CREATE("market.3890",A3892,"USD","SOFR")</f>
        <v/>
      </c>
      <c r="D3892" s="8">
        <f>QS.CONTEXT.ADD.CURVE(C3892,"SOFR",$K$2:$K$7,$L$2:$L$7,,,"Actual360","LogLinear",TRUE)</f>
        <v/>
      </c>
      <c r="E3892" s="8">
        <f>QS.INSTRUMENT.SWAP("swap.3890",C3892,H3892,B3892,"USD","SOFR",I3892,J3892,0,"Actual360","Simple","Annual","Annual","Annual")</f>
        <v/>
      </c>
      <c r="F3892" s="8">
        <f>QS.TRADE.CREATE("trade.3890",C3892,E3892,A3892,"Receive")</f>
        <v/>
      </c>
      <c r="G3892" s="5"/>
      <c r="H3892" s="7" t="s">
        <v>3932</v>
      </c>
      <c r="I3892" s="9">
        <v>1389000</v>
      </c>
      <c r="J3892" s="10">
        <v>0.03900000000000001</v>
      </c>
    </row>
    <row r="3893" spans="1:10">
      <c r="A3893" s="7" t="s">
        <v>3926</v>
      </c>
      <c r="B3893" s="7" t="s">
        <v>5760</v>
      </c>
      <c r="C3893" s="8">
        <f>QS.CONTEXT.CREATE("market.3891",A3893,"USD","SOFR")</f>
        <v/>
      </c>
      <c r="D3893" s="8">
        <f>QS.CONTEXT.ADD.CURVE(C3893,"SOFR",$K$2:$K$7,$L$2:$L$7,,,"Actual360","LogLinear",TRUE)</f>
        <v/>
      </c>
      <c r="E3893" s="8">
        <f>QS.INSTRUMENT.SWAP("swap.3891",C3893,H3893,B3893,"USD","SOFR",I3893,J3893,0,"Actual360","Simple","Annual","Annual","Annual")</f>
        <v/>
      </c>
      <c r="F3893" s="8">
        <f>QS.TRADE.CREATE("trade.3891",C3893,E3893,A3893,"Receive")</f>
        <v/>
      </c>
      <c r="G3893" s="5"/>
      <c r="H3893" s="7" t="s">
        <v>3933</v>
      </c>
      <c r="I3893" s="9">
        <v>1389100</v>
      </c>
      <c r="J3893" s="10">
        <v>0.0391</v>
      </c>
    </row>
    <row r="3894" spans="1:10">
      <c r="A3894" s="7" t="s">
        <v>3927</v>
      </c>
      <c r="B3894" s="7" t="s">
        <v>5761</v>
      </c>
      <c r="C3894" s="8">
        <f>QS.CONTEXT.CREATE("market.3892",A3894,"USD","SOFR")</f>
        <v/>
      </c>
      <c r="D3894" s="8">
        <f>QS.CONTEXT.ADD.CURVE(C3894,"SOFR",$K$2:$K$7,$L$2:$L$7,,,"Actual360","LogLinear",TRUE)</f>
        <v/>
      </c>
      <c r="E3894" s="8">
        <f>QS.INSTRUMENT.SWAP("swap.3892",C3894,H3894,B3894,"USD","SOFR",I3894,J3894,0,"Actual360","Simple","Annual","Annual","Annual")</f>
        <v/>
      </c>
      <c r="F3894" s="8">
        <f>QS.TRADE.CREATE("trade.3892",C3894,E3894,A3894,"Receive")</f>
        <v/>
      </c>
      <c r="G3894" s="5"/>
      <c r="H3894" s="7" t="s">
        <v>3934</v>
      </c>
      <c r="I3894" s="9">
        <v>1389200</v>
      </c>
      <c r="J3894" s="10">
        <v>0.03920000000000001</v>
      </c>
    </row>
    <row r="3895" spans="1:10">
      <c r="A3895" s="7" t="s">
        <v>3928</v>
      </c>
      <c r="B3895" s="7" t="s">
        <v>5762</v>
      </c>
      <c r="C3895" s="8">
        <f>QS.CONTEXT.CREATE("market.3893",A3895,"USD","SOFR")</f>
        <v/>
      </c>
      <c r="D3895" s="8">
        <f>QS.CONTEXT.ADD.CURVE(C3895,"SOFR",$K$2:$K$7,$L$2:$L$7,,,"Actual360","LogLinear",TRUE)</f>
        <v/>
      </c>
      <c r="E3895" s="8">
        <f>QS.INSTRUMENT.SWAP("swap.3893",C3895,H3895,B3895,"USD","SOFR",I3895,J3895,0,"Actual360","Simple","Annual","Annual","Annual")</f>
        <v/>
      </c>
      <c r="F3895" s="8">
        <f>QS.TRADE.CREATE("trade.3893",C3895,E3895,A3895,"Receive")</f>
        <v/>
      </c>
      <c r="G3895" s="5"/>
      <c r="H3895" s="7" t="s">
        <v>3935</v>
      </c>
      <c r="I3895" s="9">
        <v>1389300</v>
      </c>
      <c r="J3895" s="10">
        <v>0.0393</v>
      </c>
    </row>
    <row r="3896" spans="1:10">
      <c r="A3896" s="7" t="s">
        <v>3929</v>
      </c>
      <c r="B3896" s="7" t="s">
        <v>5763</v>
      </c>
      <c r="C3896" s="8">
        <f>QS.CONTEXT.CREATE("market.3894",A3896,"USD","SOFR")</f>
        <v/>
      </c>
      <c r="D3896" s="8">
        <f>QS.CONTEXT.ADD.CURVE(C3896,"SOFR",$K$2:$K$7,$L$2:$L$7,,,"Actual360","LogLinear",TRUE)</f>
        <v/>
      </c>
      <c r="E3896" s="8">
        <f>QS.INSTRUMENT.SWAP("swap.3894",C3896,H3896,B3896,"USD","SOFR",I3896,J3896,0,"Actual360","Simple","Annual","Annual","Annual")</f>
        <v/>
      </c>
      <c r="F3896" s="8">
        <f>QS.TRADE.CREATE("trade.3894",C3896,E3896,A3896,"Receive")</f>
        <v/>
      </c>
      <c r="G3896" s="5"/>
      <c r="H3896" s="7" t="s">
        <v>3936</v>
      </c>
      <c r="I3896" s="9">
        <v>1389400</v>
      </c>
      <c r="J3896" s="10">
        <v>0.0394</v>
      </c>
    </row>
    <row r="3897" spans="1:10">
      <c r="A3897" s="7" t="s">
        <v>3930</v>
      </c>
      <c r="B3897" s="7" t="s">
        <v>5764</v>
      </c>
      <c r="C3897" s="8">
        <f>QS.CONTEXT.CREATE("market.3895",A3897,"USD","SOFR")</f>
        <v/>
      </c>
      <c r="D3897" s="8">
        <f>QS.CONTEXT.ADD.CURVE(C3897,"SOFR",$K$2:$K$7,$L$2:$L$7,,,"Actual360","LogLinear",TRUE)</f>
        <v/>
      </c>
      <c r="E3897" s="8">
        <f>QS.INSTRUMENT.SWAP("swap.3895",C3897,H3897,B3897,"USD","SOFR",I3897,J3897,0,"Actual360","Simple","Annual","Annual","Annual")</f>
        <v/>
      </c>
      <c r="F3897" s="8">
        <f>QS.TRADE.CREATE("trade.3895",C3897,E3897,A3897,"Receive")</f>
        <v/>
      </c>
      <c r="G3897" s="5"/>
      <c r="H3897" s="7" t="s">
        <v>3937</v>
      </c>
      <c r="I3897" s="9">
        <v>1389500</v>
      </c>
      <c r="J3897" s="10">
        <v>0.03950000000000001</v>
      </c>
    </row>
    <row r="3898" spans="1:10">
      <c r="A3898" s="7" t="s">
        <v>3931</v>
      </c>
      <c r="B3898" s="7" t="s">
        <v>5765</v>
      </c>
      <c r="C3898" s="8">
        <f>QS.CONTEXT.CREATE("market.3896",A3898,"USD","SOFR")</f>
        <v/>
      </c>
      <c r="D3898" s="8">
        <f>QS.CONTEXT.ADD.CURVE(C3898,"SOFR",$K$2:$K$7,$L$2:$L$7,,,"Actual360","LogLinear",TRUE)</f>
        <v/>
      </c>
      <c r="E3898" s="8">
        <f>QS.INSTRUMENT.SWAP("swap.3896",C3898,H3898,B3898,"USD","SOFR",I3898,J3898,0,"Actual360","Simple","Annual","Annual","Annual")</f>
        <v/>
      </c>
      <c r="F3898" s="8">
        <f>QS.TRADE.CREATE("trade.3896",C3898,E3898,A3898,"Receive")</f>
        <v/>
      </c>
      <c r="G3898" s="5"/>
      <c r="H3898" s="7" t="s">
        <v>3938</v>
      </c>
      <c r="I3898" s="9">
        <v>1389600</v>
      </c>
      <c r="J3898" s="10">
        <v>0.0396</v>
      </c>
    </row>
    <row r="3899" spans="1:10">
      <c r="A3899" s="7" t="s">
        <v>3932</v>
      </c>
      <c r="B3899" s="7" t="s">
        <v>5766</v>
      </c>
      <c r="C3899" s="8">
        <f>QS.CONTEXT.CREATE("market.3897",A3899,"USD","SOFR")</f>
        <v/>
      </c>
      <c r="D3899" s="8">
        <f>QS.CONTEXT.ADD.CURVE(C3899,"SOFR",$K$2:$K$7,$L$2:$L$7,,,"Actual360","LogLinear",TRUE)</f>
        <v/>
      </c>
      <c r="E3899" s="8">
        <f>QS.INSTRUMENT.SWAP("swap.3897",C3899,H3899,B3899,"USD","SOFR",I3899,J3899,0,"Actual360","Simple","Annual","Annual","Annual")</f>
        <v/>
      </c>
      <c r="F3899" s="8">
        <f>QS.TRADE.CREATE("trade.3897",C3899,E3899,A3899,"Receive")</f>
        <v/>
      </c>
      <c r="G3899" s="5"/>
      <c r="H3899" s="7" t="s">
        <v>3939</v>
      </c>
      <c r="I3899" s="9">
        <v>1389700</v>
      </c>
      <c r="J3899" s="10">
        <v>0.03970000000000001</v>
      </c>
    </row>
    <row r="3900" spans="1:10">
      <c r="A3900" s="7" t="s">
        <v>3933</v>
      </c>
      <c r="B3900" s="7" t="s">
        <v>5767</v>
      </c>
      <c r="C3900" s="8">
        <f>QS.CONTEXT.CREATE("market.3898",A3900,"USD","SOFR")</f>
        <v/>
      </c>
      <c r="D3900" s="8">
        <f>QS.CONTEXT.ADD.CURVE(C3900,"SOFR",$K$2:$K$7,$L$2:$L$7,,,"Actual360","LogLinear",TRUE)</f>
        <v/>
      </c>
      <c r="E3900" s="8">
        <f>QS.INSTRUMENT.SWAP("swap.3898",C3900,H3900,B3900,"USD","SOFR",I3900,J3900,0,"Actual360","Simple","Annual","Annual","Annual")</f>
        <v/>
      </c>
      <c r="F3900" s="8">
        <f>QS.TRADE.CREATE("trade.3898",C3900,E3900,A3900,"Receive")</f>
        <v/>
      </c>
      <c r="G3900" s="5"/>
      <c r="H3900" s="7" t="s">
        <v>3940</v>
      </c>
      <c r="I3900" s="9">
        <v>1389800</v>
      </c>
      <c r="J3900" s="10">
        <v>0.0398</v>
      </c>
    </row>
    <row r="3901" spans="1:10">
      <c r="A3901" s="7" t="s">
        <v>3934</v>
      </c>
      <c r="B3901" s="7" t="s">
        <v>5768</v>
      </c>
      <c r="C3901" s="8">
        <f>QS.CONTEXT.CREATE("market.3899",A3901,"USD","SOFR")</f>
        <v/>
      </c>
      <c r="D3901" s="8">
        <f>QS.CONTEXT.ADD.CURVE(C3901,"SOFR",$K$2:$K$7,$L$2:$L$7,,,"Actual360","LogLinear",TRUE)</f>
        <v/>
      </c>
      <c r="E3901" s="8">
        <f>QS.INSTRUMENT.SWAP("swap.3899",C3901,H3901,B3901,"USD","SOFR",I3901,J3901,0,"Actual360","Simple","Annual","Annual","Annual")</f>
        <v/>
      </c>
      <c r="F3901" s="8">
        <f>QS.TRADE.CREATE("trade.3899",C3901,E3901,A3901,"Receive")</f>
        <v/>
      </c>
      <c r="G3901" s="5"/>
      <c r="H3901" s="7" t="s">
        <v>3941</v>
      </c>
      <c r="I3901" s="9">
        <v>1389900</v>
      </c>
      <c r="J3901" s="10">
        <v>0.0399</v>
      </c>
    </row>
    <row r="3902" spans="1:10">
      <c r="A3902" s="7" t="s">
        <v>3935</v>
      </c>
      <c r="B3902" s="7" t="s">
        <v>5769</v>
      </c>
      <c r="C3902" s="8">
        <f>QS.CONTEXT.CREATE("market.3900",A3902,"USD","SOFR")</f>
        <v/>
      </c>
      <c r="D3902" s="8">
        <f>QS.CONTEXT.ADD.CURVE(C3902,"SOFR",$K$2:$K$7,$L$2:$L$7,,,"Actual360","LogLinear",TRUE)</f>
        <v/>
      </c>
      <c r="E3902" s="8">
        <f>QS.INSTRUMENT.SWAP("swap.3900",C3902,H3902,B3902,"USD","SOFR",I3902,J3902,0,"Actual360","Simple","Annual","Annual","Annual")</f>
        <v/>
      </c>
      <c r="F3902" s="8">
        <f>QS.TRADE.CREATE("trade.3900",C3902,E3902,A3902,"Receive")</f>
        <v/>
      </c>
      <c r="G3902" s="5"/>
      <c r="H3902" s="7" t="s">
        <v>3942</v>
      </c>
      <c r="I3902" s="9">
        <v>1390000</v>
      </c>
      <c r="J3902" s="10">
        <v>0.035</v>
      </c>
    </row>
    <row r="3903" spans="1:10">
      <c r="A3903" s="7" t="s">
        <v>3936</v>
      </c>
      <c r="B3903" s="7" t="s">
        <v>5770</v>
      </c>
      <c r="C3903" s="8">
        <f>QS.CONTEXT.CREATE("market.3901",A3903,"USD","SOFR")</f>
        <v/>
      </c>
      <c r="D3903" s="8">
        <f>QS.CONTEXT.ADD.CURVE(C3903,"SOFR",$K$2:$K$7,$L$2:$L$7,,,"Actual360","LogLinear",TRUE)</f>
        <v/>
      </c>
      <c r="E3903" s="8">
        <f>QS.INSTRUMENT.SWAP("swap.3901",C3903,H3903,B3903,"USD","SOFR",I3903,J3903,0,"Actual360","Simple","Annual","Annual","Annual")</f>
        <v/>
      </c>
      <c r="F3903" s="8">
        <f>QS.TRADE.CREATE("trade.3901",C3903,E3903,A3903,"Receive")</f>
        <v/>
      </c>
      <c r="G3903" s="5"/>
      <c r="H3903" s="7" t="s">
        <v>3943</v>
      </c>
      <c r="I3903" s="9">
        <v>1390100</v>
      </c>
      <c r="J3903" s="10">
        <v>0.03510000000000001</v>
      </c>
    </row>
    <row r="3904" spans="1:10">
      <c r="A3904" s="7" t="s">
        <v>3937</v>
      </c>
      <c r="B3904" s="7" t="s">
        <v>5771</v>
      </c>
      <c r="C3904" s="8">
        <f>QS.CONTEXT.CREATE("market.3902",A3904,"USD","SOFR")</f>
        <v/>
      </c>
      <c r="D3904" s="8">
        <f>QS.CONTEXT.ADD.CURVE(C3904,"SOFR",$K$2:$K$7,$L$2:$L$7,,,"Actual360","LogLinear",TRUE)</f>
        <v/>
      </c>
      <c r="E3904" s="8">
        <f>QS.INSTRUMENT.SWAP("swap.3902",C3904,H3904,B3904,"USD","SOFR",I3904,J3904,0,"Actual360","Simple","Annual","Annual","Annual")</f>
        <v/>
      </c>
      <c r="F3904" s="8">
        <f>QS.TRADE.CREATE("trade.3902",C3904,E3904,A3904,"Receive")</f>
        <v/>
      </c>
      <c r="G3904" s="5"/>
      <c r="H3904" s="7" t="s">
        <v>3944</v>
      </c>
      <c r="I3904" s="9">
        <v>1390200</v>
      </c>
      <c r="J3904" s="10">
        <v>0.0352</v>
      </c>
    </row>
    <row r="3905" spans="1:10">
      <c r="A3905" s="7" t="s">
        <v>3938</v>
      </c>
      <c r="B3905" s="7" t="s">
        <v>5772</v>
      </c>
      <c r="C3905" s="8">
        <f>QS.CONTEXT.CREATE("market.3903",A3905,"USD","SOFR")</f>
        <v/>
      </c>
      <c r="D3905" s="8">
        <f>QS.CONTEXT.ADD.CURVE(C3905,"SOFR",$K$2:$K$7,$L$2:$L$7,,,"Actual360","LogLinear",TRUE)</f>
        <v/>
      </c>
      <c r="E3905" s="8">
        <f>QS.INSTRUMENT.SWAP("swap.3903",C3905,H3905,B3905,"USD","SOFR",I3905,J3905,0,"Actual360","Simple","Annual","Annual","Annual")</f>
        <v/>
      </c>
      <c r="F3905" s="8">
        <f>QS.TRADE.CREATE("trade.3903",C3905,E3905,A3905,"Receive")</f>
        <v/>
      </c>
      <c r="G3905" s="5"/>
      <c r="H3905" s="7" t="s">
        <v>3945</v>
      </c>
      <c r="I3905" s="9">
        <v>1390300</v>
      </c>
      <c r="J3905" s="10">
        <v>0.0353</v>
      </c>
    </row>
    <row r="3906" spans="1:10">
      <c r="A3906" s="7" t="s">
        <v>3939</v>
      </c>
      <c r="B3906" s="7" t="s">
        <v>5773</v>
      </c>
      <c r="C3906" s="8">
        <f>QS.CONTEXT.CREATE("market.3904",A3906,"USD","SOFR")</f>
        <v/>
      </c>
      <c r="D3906" s="8">
        <f>QS.CONTEXT.ADD.CURVE(C3906,"SOFR",$K$2:$K$7,$L$2:$L$7,,,"Actual360","LogLinear",TRUE)</f>
        <v/>
      </c>
      <c r="E3906" s="8">
        <f>QS.INSTRUMENT.SWAP("swap.3904",C3906,H3906,B3906,"USD","SOFR",I3906,J3906,0,"Actual360","Simple","Annual","Annual","Annual")</f>
        <v/>
      </c>
      <c r="F3906" s="8">
        <f>QS.TRADE.CREATE("trade.3904",C3906,E3906,A3906,"Receive")</f>
        <v/>
      </c>
      <c r="G3906" s="5"/>
      <c r="H3906" s="7" t="s">
        <v>3946</v>
      </c>
      <c r="I3906" s="9">
        <v>1390400</v>
      </c>
      <c r="J3906" s="10">
        <v>0.0354</v>
      </c>
    </row>
    <row r="3907" spans="1:10">
      <c r="A3907" s="7" t="s">
        <v>3940</v>
      </c>
      <c r="B3907" s="7" t="s">
        <v>5774</v>
      </c>
      <c r="C3907" s="8">
        <f>QS.CONTEXT.CREATE("market.3905",A3907,"USD","SOFR")</f>
        <v/>
      </c>
      <c r="D3907" s="8">
        <f>QS.CONTEXT.ADD.CURVE(C3907,"SOFR",$K$2:$K$7,$L$2:$L$7,,,"Actual360","LogLinear",TRUE)</f>
        <v/>
      </c>
      <c r="E3907" s="8">
        <f>QS.INSTRUMENT.SWAP("swap.3905",C3907,H3907,B3907,"USD","SOFR",I3907,J3907,0,"Actual360","Simple","Annual","Annual","Annual")</f>
        <v/>
      </c>
      <c r="F3907" s="8">
        <f>QS.TRADE.CREATE("trade.3905",C3907,E3907,A3907,"Receive")</f>
        <v/>
      </c>
      <c r="G3907" s="5"/>
      <c r="H3907" s="7" t="s">
        <v>3947</v>
      </c>
      <c r="I3907" s="9">
        <v>1390500</v>
      </c>
      <c r="J3907" s="10">
        <v>0.0355</v>
      </c>
    </row>
    <row r="3908" spans="1:10">
      <c r="A3908" s="7" t="s">
        <v>3941</v>
      </c>
      <c r="B3908" s="7" t="s">
        <v>5775</v>
      </c>
      <c r="C3908" s="8">
        <f>QS.CONTEXT.CREATE("market.3906",A3908,"USD","SOFR")</f>
        <v/>
      </c>
      <c r="D3908" s="8">
        <f>QS.CONTEXT.ADD.CURVE(C3908,"SOFR",$K$2:$K$7,$L$2:$L$7,,,"Actual360","LogLinear",TRUE)</f>
        <v/>
      </c>
      <c r="E3908" s="8">
        <f>QS.INSTRUMENT.SWAP("swap.3906",C3908,H3908,B3908,"USD","SOFR",I3908,J3908,0,"Actual360","Simple","Annual","Annual","Annual")</f>
        <v/>
      </c>
      <c r="F3908" s="8">
        <f>QS.TRADE.CREATE("trade.3906",C3908,E3908,A3908,"Receive")</f>
        <v/>
      </c>
      <c r="G3908" s="5"/>
      <c r="H3908" s="7" t="s">
        <v>3948</v>
      </c>
      <c r="I3908" s="9">
        <v>1390600</v>
      </c>
      <c r="J3908" s="10">
        <v>0.03560000000000001</v>
      </c>
    </row>
    <row r="3909" spans="1:10">
      <c r="A3909" s="7" t="s">
        <v>3942</v>
      </c>
      <c r="B3909" s="7" t="s">
        <v>5776</v>
      </c>
      <c r="C3909" s="8">
        <f>QS.CONTEXT.CREATE("market.3907",A3909,"USD","SOFR")</f>
        <v/>
      </c>
      <c r="D3909" s="8">
        <f>QS.CONTEXT.ADD.CURVE(C3909,"SOFR",$K$2:$K$7,$L$2:$L$7,,,"Actual360","LogLinear",TRUE)</f>
        <v/>
      </c>
      <c r="E3909" s="8">
        <f>QS.INSTRUMENT.SWAP("swap.3907",C3909,H3909,B3909,"USD","SOFR",I3909,J3909,0,"Actual360","Simple","Annual","Annual","Annual")</f>
        <v/>
      </c>
      <c r="F3909" s="8">
        <f>QS.TRADE.CREATE("trade.3907",C3909,E3909,A3909,"Receive")</f>
        <v/>
      </c>
      <c r="G3909" s="5"/>
      <c r="H3909" s="7" t="s">
        <v>3949</v>
      </c>
      <c r="I3909" s="9">
        <v>1390700</v>
      </c>
      <c r="J3909" s="10">
        <v>0.0357</v>
      </c>
    </row>
    <row r="3910" spans="1:10">
      <c r="A3910" s="7" t="s">
        <v>3943</v>
      </c>
      <c r="B3910" s="7" t="s">
        <v>5777</v>
      </c>
      <c r="C3910" s="8">
        <f>QS.CONTEXT.CREATE("market.3908",A3910,"USD","SOFR")</f>
        <v/>
      </c>
      <c r="D3910" s="8">
        <f>QS.CONTEXT.ADD.CURVE(C3910,"SOFR",$K$2:$K$7,$L$2:$L$7,,,"Actual360","LogLinear",TRUE)</f>
        <v/>
      </c>
      <c r="E3910" s="8">
        <f>QS.INSTRUMENT.SWAP("swap.3908",C3910,H3910,B3910,"USD","SOFR",I3910,J3910,0,"Actual360","Simple","Annual","Annual","Annual")</f>
        <v/>
      </c>
      <c r="F3910" s="8">
        <f>QS.TRADE.CREATE("trade.3908",C3910,E3910,A3910,"Receive")</f>
        <v/>
      </c>
      <c r="G3910" s="5"/>
      <c r="H3910" s="7" t="s">
        <v>3950</v>
      </c>
      <c r="I3910" s="9">
        <v>1390800</v>
      </c>
      <c r="J3910" s="10">
        <v>0.03580000000000001</v>
      </c>
    </row>
    <row r="3911" spans="1:10">
      <c r="A3911" s="7" t="s">
        <v>3944</v>
      </c>
      <c r="B3911" s="7" t="s">
        <v>5778</v>
      </c>
      <c r="C3911" s="8">
        <f>QS.CONTEXT.CREATE("market.3909",A3911,"USD","SOFR")</f>
        <v/>
      </c>
      <c r="D3911" s="8">
        <f>QS.CONTEXT.ADD.CURVE(C3911,"SOFR",$K$2:$K$7,$L$2:$L$7,,,"Actual360","LogLinear",TRUE)</f>
        <v/>
      </c>
      <c r="E3911" s="8">
        <f>QS.INSTRUMENT.SWAP("swap.3909",C3911,H3911,B3911,"USD","SOFR",I3911,J3911,0,"Actual360","Simple","Annual","Annual","Annual")</f>
        <v/>
      </c>
      <c r="F3911" s="8">
        <f>QS.TRADE.CREATE("trade.3909",C3911,E3911,A3911,"Receive")</f>
        <v/>
      </c>
      <c r="G3911" s="5"/>
      <c r="H3911" s="7" t="s">
        <v>3951</v>
      </c>
      <c r="I3911" s="9">
        <v>1390900</v>
      </c>
      <c r="J3911" s="10">
        <v>0.0359</v>
      </c>
    </row>
    <row r="3912" spans="1:10">
      <c r="A3912" s="7" t="s">
        <v>3945</v>
      </c>
      <c r="B3912" s="7" t="s">
        <v>5779</v>
      </c>
      <c r="C3912" s="8">
        <f>QS.CONTEXT.CREATE("market.3910",A3912,"USD","SOFR")</f>
        <v/>
      </c>
      <c r="D3912" s="8">
        <f>QS.CONTEXT.ADD.CURVE(C3912,"SOFR",$K$2:$K$7,$L$2:$L$7,,,"Actual360","LogLinear",TRUE)</f>
        <v/>
      </c>
      <c r="E3912" s="8">
        <f>QS.INSTRUMENT.SWAP("swap.3910",C3912,H3912,B3912,"USD","SOFR",I3912,J3912,0,"Actual360","Simple","Annual","Annual","Annual")</f>
        <v/>
      </c>
      <c r="F3912" s="8">
        <f>QS.TRADE.CREATE("trade.3910",C3912,E3912,A3912,"Receive")</f>
        <v/>
      </c>
      <c r="G3912" s="5"/>
      <c r="H3912" s="7" t="s">
        <v>3952</v>
      </c>
      <c r="I3912" s="9">
        <v>1391000</v>
      </c>
      <c r="J3912" s="10">
        <v>0.036</v>
      </c>
    </row>
    <row r="3913" spans="1:10">
      <c r="A3913" s="7" t="s">
        <v>3946</v>
      </c>
      <c r="B3913" s="7" t="s">
        <v>5780</v>
      </c>
      <c r="C3913" s="8">
        <f>QS.CONTEXT.CREATE("market.3911",A3913,"USD","SOFR")</f>
        <v/>
      </c>
      <c r="D3913" s="8">
        <f>QS.CONTEXT.ADD.CURVE(C3913,"SOFR",$K$2:$K$7,$L$2:$L$7,,,"Actual360","LogLinear",TRUE)</f>
        <v/>
      </c>
      <c r="E3913" s="8">
        <f>QS.INSTRUMENT.SWAP("swap.3911",C3913,H3913,B3913,"USD","SOFR",I3913,J3913,0,"Actual360","Simple","Annual","Annual","Annual")</f>
        <v/>
      </c>
      <c r="F3913" s="8">
        <f>QS.TRADE.CREATE("trade.3911",C3913,E3913,A3913,"Receive")</f>
        <v/>
      </c>
      <c r="G3913" s="5"/>
      <c r="H3913" s="7" t="s">
        <v>3953</v>
      </c>
      <c r="I3913" s="9">
        <v>1391100</v>
      </c>
      <c r="J3913" s="10">
        <v>0.0361</v>
      </c>
    </row>
    <row r="3914" spans="1:10">
      <c r="A3914" s="7" t="s">
        <v>3947</v>
      </c>
      <c r="B3914" s="7" t="s">
        <v>5781</v>
      </c>
      <c r="C3914" s="8">
        <f>QS.CONTEXT.CREATE("market.3912",A3914,"USD","SOFR")</f>
        <v/>
      </c>
      <c r="D3914" s="8">
        <f>QS.CONTEXT.ADD.CURVE(C3914,"SOFR",$K$2:$K$7,$L$2:$L$7,,,"Actual360","LogLinear",TRUE)</f>
        <v/>
      </c>
      <c r="E3914" s="8">
        <f>QS.INSTRUMENT.SWAP("swap.3912",C3914,H3914,B3914,"USD","SOFR",I3914,J3914,0,"Actual360","Simple","Annual","Annual","Annual")</f>
        <v/>
      </c>
      <c r="F3914" s="8">
        <f>QS.TRADE.CREATE("trade.3912",C3914,E3914,A3914,"Receive")</f>
        <v/>
      </c>
      <c r="G3914" s="5"/>
      <c r="H3914" s="7" t="s">
        <v>3954</v>
      </c>
      <c r="I3914" s="9">
        <v>1391200</v>
      </c>
      <c r="J3914" s="10">
        <v>0.0362</v>
      </c>
    </row>
    <row r="3915" spans="1:10">
      <c r="A3915" s="7" t="s">
        <v>3948</v>
      </c>
      <c r="B3915" s="7" t="s">
        <v>5782</v>
      </c>
      <c r="C3915" s="8">
        <f>QS.CONTEXT.CREATE("market.3913",A3915,"USD","SOFR")</f>
        <v/>
      </c>
      <c r="D3915" s="8">
        <f>QS.CONTEXT.ADD.CURVE(C3915,"SOFR",$K$2:$K$7,$L$2:$L$7,,,"Actual360","LogLinear",TRUE)</f>
        <v/>
      </c>
      <c r="E3915" s="8">
        <f>QS.INSTRUMENT.SWAP("swap.3913",C3915,H3915,B3915,"USD","SOFR",I3915,J3915,0,"Actual360","Simple","Annual","Annual","Annual")</f>
        <v/>
      </c>
      <c r="F3915" s="8">
        <f>QS.TRADE.CREATE("trade.3913",C3915,E3915,A3915,"Receive")</f>
        <v/>
      </c>
      <c r="G3915" s="5"/>
      <c r="H3915" s="7" t="s">
        <v>3955</v>
      </c>
      <c r="I3915" s="9">
        <v>1391300</v>
      </c>
      <c r="J3915" s="10">
        <v>0.03630000000000001</v>
      </c>
    </row>
    <row r="3916" spans="1:10">
      <c r="A3916" s="7" t="s">
        <v>3949</v>
      </c>
      <c r="B3916" s="7" t="s">
        <v>5783</v>
      </c>
      <c r="C3916" s="8">
        <f>QS.CONTEXT.CREATE("market.3914",A3916,"USD","SOFR")</f>
        <v/>
      </c>
      <c r="D3916" s="8">
        <f>QS.CONTEXT.ADD.CURVE(C3916,"SOFR",$K$2:$K$7,$L$2:$L$7,,,"Actual360","LogLinear",TRUE)</f>
        <v/>
      </c>
      <c r="E3916" s="8">
        <f>QS.INSTRUMENT.SWAP("swap.3914",C3916,H3916,B3916,"USD","SOFR",I3916,J3916,0,"Actual360","Simple","Annual","Annual","Annual")</f>
        <v/>
      </c>
      <c r="F3916" s="8">
        <f>QS.TRADE.CREATE("trade.3914",C3916,E3916,A3916,"Receive")</f>
        <v/>
      </c>
      <c r="G3916" s="5"/>
      <c r="H3916" s="7" t="s">
        <v>3956</v>
      </c>
      <c r="I3916" s="9">
        <v>1391400</v>
      </c>
      <c r="J3916" s="10">
        <v>0.0364</v>
      </c>
    </row>
    <row r="3917" spans="1:10">
      <c r="A3917" s="7" t="s">
        <v>3950</v>
      </c>
      <c r="B3917" s="7" t="s">
        <v>5784</v>
      </c>
      <c r="C3917" s="8">
        <f>QS.CONTEXT.CREATE("market.3915",A3917,"USD","SOFR")</f>
        <v/>
      </c>
      <c r="D3917" s="8">
        <f>QS.CONTEXT.ADD.CURVE(C3917,"SOFR",$K$2:$K$7,$L$2:$L$7,,,"Actual360","LogLinear",TRUE)</f>
        <v/>
      </c>
      <c r="E3917" s="8">
        <f>QS.INSTRUMENT.SWAP("swap.3915",C3917,H3917,B3917,"USD","SOFR",I3917,J3917,0,"Actual360","Simple","Annual","Annual","Annual")</f>
        <v/>
      </c>
      <c r="F3917" s="8">
        <f>QS.TRADE.CREATE("trade.3915",C3917,E3917,A3917,"Receive")</f>
        <v/>
      </c>
      <c r="G3917" s="5"/>
      <c r="H3917" s="7" t="s">
        <v>3957</v>
      </c>
      <c r="I3917" s="9">
        <v>1391500</v>
      </c>
      <c r="J3917" s="10">
        <v>0.0365</v>
      </c>
    </row>
    <row r="3918" spans="1:10">
      <c r="A3918" s="7" t="s">
        <v>3951</v>
      </c>
      <c r="B3918" s="7" t="s">
        <v>5785</v>
      </c>
      <c r="C3918" s="8">
        <f>QS.CONTEXT.CREATE("market.3916",A3918,"USD","SOFR")</f>
        <v/>
      </c>
      <c r="D3918" s="8">
        <f>QS.CONTEXT.ADD.CURVE(C3918,"SOFR",$K$2:$K$7,$L$2:$L$7,,,"Actual360","LogLinear",TRUE)</f>
        <v/>
      </c>
      <c r="E3918" s="8">
        <f>QS.INSTRUMENT.SWAP("swap.3916",C3918,H3918,B3918,"USD","SOFR",I3918,J3918,0,"Actual360","Simple","Annual","Annual","Annual")</f>
        <v/>
      </c>
      <c r="F3918" s="8">
        <f>QS.TRADE.CREATE("trade.3916",C3918,E3918,A3918,"Receive")</f>
        <v/>
      </c>
      <c r="G3918" s="5"/>
      <c r="H3918" s="7" t="s">
        <v>3958</v>
      </c>
      <c r="I3918" s="9">
        <v>1391600</v>
      </c>
      <c r="J3918" s="10">
        <v>0.0366</v>
      </c>
    </row>
    <row r="3919" spans="1:10">
      <c r="A3919" s="7" t="s">
        <v>3952</v>
      </c>
      <c r="B3919" s="7" t="s">
        <v>5786</v>
      </c>
      <c r="C3919" s="8">
        <f>QS.CONTEXT.CREATE("market.3917",A3919,"USD","SOFR")</f>
        <v/>
      </c>
      <c r="D3919" s="8">
        <f>QS.CONTEXT.ADD.CURVE(C3919,"SOFR",$K$2:$K$7,$L$2:$L$7,,,"Actual360","LogLinear",TRUE)</f>
        <v/>
      </c>
      <c r="E3919" s="8">
        <f>QS.INSTRUMENT.SWAP("swap.3917",C3919,H3919,B3919,"USD","SOFR",I3919,J3919,0,"Actual360","Simple","Annual","Annual","Annual")</f>
        <v/>
      </c>
      <c r="F3919" s="8">
        <f>QS.TRADE.CREATE("trade.3917",C3919,E3919,A3919,"Receive")</f>
        <v/>
      </c>
      <c r="G3919" s="5"/>
      <c r="H3919" s="7" t="s">
        <v>3959</v>
      </c>
      <c r="I3919" s="9">
        <v>1391700</v>
      </c>
      <c r="J3919" s="10">
        <v>0.0367</v>
      </c>
    </row>
    <row r="3920" spans="1:10">
      <c r="A3920" s="7" t="s">
        <v>3953</v>
      </c>
      <c r="B3920" s="7" t="s">
        <v>5787</v>
      </c>
      <c r="C3920" s="8">
        <f>QS.CONTEXT.CREATE("market.3918",A3920,"USD","SOFR")</f>
        <v/>
      </c>
      <c r="D3920" s="8">
        <f>QS.CONTEXT.ADD.CURVE(C3920,"SOFR",$K$2:$K$7,$L$2:$L$7,,,"Actual360","LogLinear",TRUE)</f>
        <v/>
      </c>
      <c r="E3920" s="8">
        <f>QS.INSTRUMENT.SWAP("swap.3918",C3920,H3920,B3920,"USD","SOFR",I3920,J3920,0,"Actual360","Simple","Annual","Annual","Annual")</f>
        <v/>
      </c>
      <c r="F3920" s="8">
        <f>QS.TRADE.CREATE("trade.3918",C3920,E3920,A3920,"Receive")</f>
        <v/>
      </c>
      <c r="G3920" s="5"/>
      <c r="H3920" s="7" t="s">
        <v>3960</v>
      </c>
      <c r="I3920" s="9">
        <v>1391800</v>
      </c>
      <c r="J3920" s="10">
        <v>0.03680000000000001</v>
      </c>
    </row>
    <row r="3921" spans="1:10">
      <c r="A3921" s="7" t="s">
        <v>3954</v>
      </c>
      <c r="B3921" s="7" t="s">
        <v>5788</v>
      </c>
      <c r="C3921" s="8">
        <f>QS.CONTEXT.CREATE("market.3919",A3921,"USD","SOFR")</f>
        <v/>
      </c>
      <c r="D3921" s="8">
        <f>QS.CONTEXT.ADD.CURVE(C3921,"SOFR",$K$2:$K$7,$L$2:$L$7,,,"Actual360","LogLinear",TRUE)</f>
        <v/>
      </c>
      <c r="E3921" s="8">
        <f>QS.INSTRUMENT.SWAP("swap.3919",C3921,H3921,B3921,"USD","SOFR",I3921,J3921,0,"Actual360","Simple","Annual","Annual","Annual")</f>
        <v/>
      </c>
      <c r="F3921" s="8">
        <f>QS.TRADE.CREATE("trade.3919",C3921,E3921,A3921,"Receive")</f>
        <v/>
      </c>
      <c r="G3921" s="5"/>
      <c r="H3921" s="7" t="s">
        <v>3961</v>
      </c>
      <c r="I3921" s="9">
        <v>1391900</v>
      </c>
      <c r="J3921" s="10">
        <v>0.0369</v>
      </c>
    </row>
    <row r="3922" spans="1:10">
      <c r="A3922" s="7" t="s">
        <v>3955</v>
      </c>
      <c r="B3922" s="7" t="s">
        <v>5789</v>
      </c>
      <c r="C3922" s="8">
        <f>QS.CONTEXT.CREATE("market.3920",A3922,"USD","SOFR")</f>
        <v/>
      </c>
      <c r="D3922" s="8">
        <f>QS.CONTEXT.ADD.CURVE(C3922,"SOFR",$K$2:$K$7,$L$2:$L$7,,,"Actual360","LogLinear",TRUE)</f>
        <v/>
      </c>
      <c r="E3922" s="8">
        <f>QS.INSTRUMENT.SWAP("swap.3920",C3922,H3922,B3922,"USD","SOFR",I3922,J3922,0,"Actual360","Simple","Annual","Annual","Annual")</f>
        <v/>
      </c>
      <c r="F3922" s="8">
        <f>QS.TRADE.CREATE("trade.3920",C3922,E3922,A3922,"Receive")</f>
        <v/>
      </c>
      <c r="G3922" s="5"/>
      <c r="H3922" s="7" t="s">
        <v>3962</v>
      </c>
      <c r="I3922" s="9">
        <v>1392000</v>
      </c>
      <c r="J3922" s="10">
        <v>0.03700000000000001</v>
      </c>
    </row>
    <row r="3923" spans="1:10">
      <c r="A3923" s="7" t="s">
        <v>3956</v>
      </c>
      <c r="B3923" s="7" t="s">
        <v>5790</v>
      </c>
      <c r="C3923" s="8">
        <f>QS.CONTEXT.CREATE("market.3921",A3923,"USD","SOFR")</f>
        <v/>
      </c>
      <c r="D3923" s="8">
        <f>QS.CONTEXT.ADD.CURVE(C3923,"SOFR",$K$2:$K$7,$L$2:$L$7,,,"Actual360","LogLinear",TRUE)</f>
        <v/>
      </c>
      <c r="E3923" s="8">
        <f>QS.INSTRUMENT.SWAP("swap.3921",C3923,H3923,B3923,"USD","SOFR",I3923,J3923,0,"Actual360","Simple","Annual","Annual","Annual")</f>
        <v/>
      </c>
      <c r="F3923" s="8">
        <f>QS.TRADE.CREATE("trade.3921",C3923,E3923,A3923,"Receive")</f>
        <v/>
      </c>
      <c r="G3923" s="5"/>
      <c r="H3923" s="7" t="s">
        <v>3963</v>
      </c>
      <c r="I3923" s="9">
        <v>1392100</v>
      </c>
      <c r="J3923" s="10">
        <v>0.0371</v>
      </c>
    </row>
    <row r="3924" spans="1:10">
      <c r="A3924" s="7" t="s">
        <v>3957</v>
      </c>
      <c r="B3924" s="7" t="s">
        <v>5791</v>
      </c>
      <c r="C3924" s="8">
        <f>QS.CONTEXT.CREATE("market.3922",A3924,"USD","SOFR")</f>
        <v/>
      </c>
      <c r="D3924" s="8">
        <f>QS.CONTEXT.ADD.CURVE(C3924,"SOFR",$K$2:$K$7,$L$2:$L$7,,,"Actual360","LogLinear",TRUE)</f>
        <v/>
      </c>
      <c r="E3924" s="8">
        <f>QS.INSTRUMENT.SWAP("swap.3922",C3924,H3924,B3924,"USD","SOFR",I3924,J3924,0,"Actual360","Simple","Annual","Annual","Annual")</f>
        <v/>
      </c>
      <c r="F3924" s="8">
        <f>QS.TRADE.CREATE("trade.3922",C3924,E3924,A3924,"Receive")</f>
        <v/>
      </c>
      <c r="G3924" s="5"/>
      <c r="H3924" s="7" t="s">
        <v>3964</v>
      </c>
      <c r="I3924" s="9">
        <v>1392200</v>
      </c>
      <c r="J3924" s="10">
        <v>0.0372</v>
      </c>
    </row>
    <row r="3925" spans="1:10">
      <c r="A3925" s="7" t="s">
        <v>3958</v>
      </c>
      <c r="B3925" s="7" t="s">
        <v>5792</v>
      </c>
      <c r="C3925" s="8">
        <f>QS.CONTEXT.CREATE("market.3923",A3925,"USD","SOFR")</f>
        <v/>
      </c>
      <c r="D3925" s="8">
        <f>QS.CONTEXT.ADD.CURVE(C3925,"SOFR",$K$2:$K$7,$L$2:$L$7,,,"Actual360","LogLinear",TRUE)</f>
        <v/>
      </c>
      <c r="E3925" s="8">
        <f>QS.INSTRUMENT.SWAP("swap.3923",C3925,H3925,B3925,"USD","SOFR",I3925,J3925,0,"Actual360","Simple","Annual","Annual","Annual")</f>
        <v/>
      </c>
      <c r="F3925" s="8">
        <f>QS.TRADE.CREATE("trade.3923",C3925,E3925,A3925,"Receive")</f>
        <v/>
      </c>
      <c r="G3925" s="5"/>
      <c r="H3925" s="7" t="s">
        <v>3965</v>
      </c>
      <c r="I3925" s="9">
        <v>1392300</v>
      </c>
      <c r="J3925" s="10">
        <v>0.0373</v>
      </c>
    </row>
    <row r="3926" spans="1:10">
      <c r="A3926" s="7" t="s">
        <v>3959</v>
      </c>
      <c r="B3926" s="7" t="s">
        <v>5793</v>
      </c>
      <c r="C3926" s="8">
        <f>QS.CONTEXT.CREATE("market.3924",A3926,"USD","SOFR")</f>
        <v/>
      </c>
      <c r="D3926" s="8">
        <f>QS.CONTEXT.ADD.CURVE(C3926,"SOFR",$K$2:$K$7,$L$2:$L$7,,,"Actual360","LogLinear",TRUE)</f>
        <v/>
      </c>
      <c r="E3926" s="8">
        <f>QS.INSTRUMENT.SWAP("swap.3924",C3926,H3926,B3926,"USD","SOFR",I3926,J3926,0,"Actual360","Simple","Annual","Annual","Annual")</f>
        <v/>
      </c>
      <c r="F3926" s="8">
        <f>QS.TRADE.CREATE("trade.3924",C3926,E3926,A3926,"Receive")</f>
        <v/>
      </c>
      <c r="G3926" s="5"/>
      <c r="H3926" s="7" t="s">
        <v>3966</v>
      </c>
      <c r="I3926" s="9">
        <v>1392400</v>
      </c>
      <c r="J3926" s="10">
        <v>0.0374</v>
      </c>
    </row>
    <row r="3927" spans="1:10">
      <c r="A3927" s="7" t="s">
        <v>3960</v>
      </c>
      <c r="B3927" s="7" t="s">
        <v>5794</v>
      </c>
      <c r="C3927" s="8">
        <f>QS.CONTEXT.CREATE("market.3925",A3927,"USD","SOFR")</f>
        <v/>
      </c>
      <c r="D3927" s="8">
        <f>QS.CONTEXT.ADD.CURVE(C3927,"SOFR",$K$2:$K$7,$L$2:$L$7,,,"Actual360","LogLinear",TRUE)</f>
        <v/>
      </c>
      <c r="E3927" s="8">
        <f>QS.INSTRUMENT.SWAP("swap.3925",C3927,H3927,B3927,"USD","SOFR",I3927,J3927,0,"Actual360","Simple","Annual","Annual","Annual")</f>
        <v/>
      </c>
      <c r="F3927" s="8">
        <f>QS.TRADE.CREATE("trade.3925",C3927,E3927,A3927,"Receive")</f>
        <v/>
      </c>
      <c r="G3927" s="5"/>
      <c r="H3927" s="7" t="s">
        <v>3967</v>
      </c>
      <c r="I3927" s="9">
        <v>1392500</v>
      </c>
      <c r="J3927" s="10">
        <v>0.03750000000000001</v>
      </c>
    </row>
    <row r="3928" spans="1:10">
      <c r="A3928" s="7" t="s">
        <v>3961</v>
      </c>
      <c r="B3928" s="7" t="s">
        <v>5795</v>
      </c>
      <c r="C3928" s="8">
        <f>QS.CONTEXT.CREATE("market.3926",A3928,"USD","SOFR")</f>
        <v/>
      </c>
      <c r="D3928" s="8">
        <f>QS.CONTEXT.ADD.CURVE(C3928,"SOFR",$K$2:$K$7,$L$2:$L$7,,,"Actual360","LogLinear",TRUE)</f>
        <v/>
      </c>
      <c r="E3928" s="8">
        <f>QS.INSTRUMENT.SWAP("swap.3926",C3928,H3928,B3928,"USD","SOFR",I3928,J3928,0,"Actual360","Simple","Annual","Annual","Annual")</f>
        <v/>
      </c>
      <c r="F3928" s="8">
        <f>QS.TRADE.CREATE("trade.3926",C3928,E3928,A3928,"Receive")</f>
        <v/>
      </c>
      <c r="G3928" s="5"/>
      <c r="H3928" s="7" t="s">
        <v>3968</v>
      </c>
      <c r="I3928" s="9">
        <v>1392600</v>
      </c>
      <c r="J3928" s="10">
        <v>0.0376</v>
      </c>
    </row>
    <row r="3929" spans="1:10">
      <c r="A3929" s="7" t="s">
        <v>3962</v>
      </c>
      <c r="B3929" s="7" t="s">
        <v>5796</v>
      </c>
      <c r="C3929" s="8">
        <f>QS.CONTEXT.CREATE("market.3927",A3929,"USD","SOFR")</f>
        <v/>
      </c>
      <c r="D3929" s="8">
        <f>QS.CONTEXT.ADD.CURVE(C3929,"SOFR",$K$2:$K$7,$L$2:$L$7,,,"Actual360","LogLinear",TRUE)</f>
        <v/>
      </c>
      <c r="E3929" s="8">
        <f>QS.INSTRUMENT.SWAP("swap.3927",C3929,H3929,B3929,"USD","SOFR",I3929,J3929,0,"Actual360","Simple","Annual","Annual","Annual")</f>
        <v/>
      </c>
      <c r="F3929" s="8">
        <f>QS.TRADE.CREATE("trade.3927",C3929,E3929,A3929,"Receive")</f>
        <v/>
      </c>
      <c r="G3929" s="5"/>
      <c r="H3929" s="7" t="s">
        <v>3969</v>
      </c>
      <c r="I3929" s="9">
        <v>1392700</v>
      </c>
      <c r="J3929" s="10">
        <v>0.0377</v>
      </c>
    </row>
    <row r="3930" spans="1:10">
      <c r="A3930" s="7" t="s">
        <v>3963</v>
      </c>
      <c r="B3930" s="7" t="s">
        <v>5797</v>
      </c>
      <c r="C3930" s="8">
        <f>QS.CONTEXT.CREATE("market.3928",A3930,"USD","SOFR")</f>
        <v/>
      </c>
      <c r="D3930" s="8">
        <f>QS.CONTEXT.ADD.CURVE(C3930,"SOFR",$K$2:$K$7,$L$2:$L$7,,,"Actual360","LogLinear",TRUE)</f>
        <v/>
      </c>
      <c r="E3930" s="8">
        <f>QS.INSTRUMENT.SWAP("swap.3928",C3930,H3930,B3930,"USD","SOFR",I3930,J3930,0,"Actual360","Simple","Annual","Annual","Annual")</f>
        <v/>
      </c>
      <c r="F3930" s="8">
        <f>QS.TRADE.CREATE("trade.3928",C3930,E3930,A3930,"Receive")</f>
        <v/>
      </c>
      <c r="G3930" s="5"/>
      <c r="H3930" s="7" t="s">
        <v>3970</v>
      </c>
      <c r="I3930" s="9">
        <v>1392800</v>
      </c>
      <c r="J3930" s="10">
        <v>0.0378</v>
      </c>
    </row>
    <row r="3931" spans="1:10">
      <c r="A3931" s="7" t="s">
        <v>3964</v>
      </c>
      <c r="B3931" s="7" t="s">
        <v>5798</v>
      </c>
      <c r="C3931" s="8">
        <f>QS.CONTEXT.CREATE("market.3929",A3931,"USD","SOFR")</f>
        <v/>
      </c>
      <c r="D3931" s="8">
        <f>QS.CONTEXT.ADD.CURVE(C3931,"SOFR",$K$2:$K$7,$L$2:$L$7,,,"Actual360","LogLinear",TRUE)</f>
        <v/>
      </c>
      <c r="E3931" s="8">
        <f>QS.INSTRUMENT.SWAP("swap.3929",C3931,H3931,B3931,"USD","SOFR",I3931,J3931,0,"Actual360","Simple","Annual","Annual","Annual")</f>
        <v/>
      </c>
      <c r="F3931" s="8">
        <f>QS.TRADE.CREATE("trade.3929",C3931,E3931,A3931,"Receive")</f>
        <v/>
      </c>
      <c r="G3931" s="5"/>
      <c r="H3931" s="7" t="s">
        <v>3971</v>
      </c>
      <c r="I3931" s="9">
        <v>1392900</v>
      </c>
      <c r="J3931" s="10">
        <v>0.0379</v>
      </c>
    </row>
    <row r="3932" spans="1:10">
      <c r="A3932" s="7" t="s">
        <v>3965</v>
      </c>
      <c r="B3932" s="7" t="s">
        <v>5799</v>
      </c>
      <c r="C3932" s="8">
        <f>QS.CONTEXT.CREATE("market.3930",A3932,"USD","SOFR")</f>
        <v/>
      </c>
      <c r="D3932" s="8">
        <f>QS.CONTEXT.ADD.CURVE(C3932,"SOFR",$K$2:$K$7,$L$2:$L$7,,,"Actual360","LogLinear",TRUE)</f>
        <v/>
      </c>
      <c r="E3932" s="8">
        <f>QS.INSTRUMENT.SWAP("swap.3930",C3932,H3932,B3932,"USD","SOFR",I3932,J3932,0,"Actual360","Simple","Annual","Annual","Annual")</f>
        <v/>
      </c>
      <c r="F3932" s="8">
        <f>QS.TRADE.CREATE("trade.3930",C3932,E3932,A3932,"Receive")</f>
        <v/>
      </c>
      <c r="G3932" s="5"/>
      <c r="H3932" s="7" t="s">
        <v>3972</v>
      </c>
      <c r="I3932" s="9">
        <v>1393000</v>
      </c>
      <c r="J3932" s="10">
        <v>0.03800000000000001</v>
      </c>
    </row>
    <row r="3933" spans="1:10">
      <c r="A3933" s="7" t="s">
        <v>3966</v>
      </c>
      <c r="B3933" s="7" t="s">
        <v>5800</v>
      </c>
      <c r="C3933" s="8">
        <f>QS.CONTEXT.CREATE("market.3931",A3933,"USD","SOFR")</f>
        <v/>
      </c>
      <c r="D3933" s="8">
        <f>QS.CONTEXT.ADD.CURVE(C3933,"SOFR",$K$2:$K$7,$L$2:$L$7,,,"Actual360","LogLinear",TRUE)</f>
        <v/>
      </c>
      <c r="E3933" s="8">
        <f>QS.INSTRUMENT.SWAP("swap.3931",C3933,H3933,B3933,"USD","SOFR",I3933,J3933,0,"Actual360","Simple","Annual","Annual","Annual")</f>
        <v/>
      </c>
      <c r="F3933" s="8">
        <f>QS.TRADE.CREATE("trade.3931",C3933,E3933,A3933,"Receive")</f>
        <v/>
      </c>
      <c r="G3933" s="5"/>
      <c r="H3933" s="7" t="s">
        <v>3973</v>
      </c>
      <c r="I3933" s="9">
        <v>1393100</v>
      </c>
      <c r="J3933" s="10">
        <v>0.0381</v>
      </c>
    </row>
    <row r="3934" spans="1:10">
      <c r="A3934" s="7" t="s">
        <v>3967</v>
      </c>
      <c r="B3934" s="7" t="s">
        <v>5801</v>
      </c>
      <c r="C3934" s="8">
        <f>QS.CONTEXT.CREATE("market.3932",A3934,"USD","SOFR")</f>
        <v/>
      </c>
      <c r="D3934" s="8">
        <f>QS.CONTEXT.ADD.CURVE(C3934,"SOFR",$K$2:$K$7,$L$2:$L$7,,,"Actual360","LogLinear",TRUE)</f>
        <v/>
      </c>
      <c r="E3934" s="8">
        <f>QS.INSTRUMENT.SWAP("swap.3932",C3934,H3934,B3934,"USD","SOFR",I3934,J3934,0,"Actual360","Simple","Annual","Annual","Annual")</f>
        <v/>
      </c>
      <c r="F3934" s="8">
        <f>QS.TRADE.CREATE("trade.3932",C3934,E3934,A3934,"Receive")</f>
        <v/>
      </c>
      <c r="G3934" s="5"/>
      <c r="H3934" s="7" t="s">
        <v>3974</v>
      </c>
      <c r="I3934" s="9">
        <v>1393200</v>
      </c>
      <c r="J3934" s="10">
        <v>0.0382</v>
      </c>
    </row>
    <row r="3935" spans="1:10">
      <c r="A3935" s="7" t="s">
        <v>3968</v>
      </c>
      <c r="B3935" s="7" t="s">
        <v>5802</v>
      </c>
      <c r="C3935" s="8">
        <f>QS.CONTEXT.CREATE("market.3933",A3935,"USD","SOFR")</f>
        <v/>
      </c>
      <c r="D3935" s="8">
        <f>QS.CONTEXT.ADD.CURVE(C3935,"SOFR",$K$2:$K$7,$L$2:$L$7,,,"Actual360","LogLinear",TRUE)</f>
        <v/>
      </c>
      <c r="E3935" s="8">
        <f>QS.INSTRUMENT.SWAP("swap.3933",C3935,H3935,B3935,"USD","SOFR",I3935,J3935,0,"Actual360","Simple","Annual","Annual","Annual")</f>
        <v/>
      </c>
      <c r="F3935" s="8">
        <f>QS.TRADE.CREATE("trade.3933",C3935,E3935,A3935,"Receive")</f>
        <v/>
      </c>
      <c r="G3935" s="5"/>
      <c r="H3935" s="7" t="s">
        <v>3975</v>
      </c>
      <c r="I3935" s="9">
        <v>1393300</v>
      </c>
      <c r="J3935" s="10">
        <v>0.0383</v>
      </c>
    </row>
    <row r="3936" spans="1:10">
      <c r="A3936" s="7" t="s">
        <v>3969</v>
      </c>
      <c r="B3936" s="7" t="s">
        <v>5803</v>
      </c>
      <c r="C3936" s="8">
        <f>QS.CONTEXT.CREATE("market.3934",A3936,"USD","SOFR")</f>
        <v/>
      </c>
      <c r="D3936" s="8">
        <f>QS.CONTEXT.ADD.CURVE(C3936,"SOFR",$K$2:$K$7,$L$2:$L$7,,,"Actual360","LogLinear",TRUE)</f>
        <v/>
      </c>
      <c r="E3936" s="8">
        <f>QS.INSTRUMENT.SWAP("swap.3934",C3936,H3936,B3936,"USD","SOFR",I3936,J3936,0,"Actual360","Simple","Annual","Annual","Annual")</f>
        <v/>
      </c>
      <c r="F3936" s="8">
        <f>QS.TRADE.CREATE("trade.3934",C3936,E3936,A3936,"Receive")</f>
        <v/>
      </c>
      <c r="G3936" s="5"/>
      <c r="H3936" s="7" t="s">
        <v>3976</v>
      </c>
      <c r="I3936" s="9">
        <v>1393400</v>
      </c>
      <c r="J3936" s="10">
        <v>0.0384</v>
      </c>
    </row>
    <row r="3937" spans="1:10">
      <c r="A3937" s="7" t="s">
        <v>3970</v>
      </c>
      <c r="B3937" s="7" t="s">
        <v>5804</v>
      </c>
      <c r="C3937" s="8">
        <f>QS.CONTEXT.CREATE("market.3935",A3937,"USD","SOFR")</f>
        <v/>
      </c>
      <c r="D3937" s="8">
        <f>QS.CONTEXT.ADD.CURVE(C3937,"SOFR",$K$2:$K$7,$L$2:$L$7,,,"Actual360","LogLinear",TRUE)</f>
        <v/>
      </c>
      <c r="E3937" s="8">
        <f>QS.INSTRUMENT.SWAP("swap.3935",C3937,H3937,B3937,"USD","SOFR",I3937,J3937,0,"Actual360","Simple","Annual","Annual","Annual")</f>
        <v/>
      </c>
      <c r="F3937" s="8">
        <f>QS.TRADE.CREATE("trade.3935",C3937,E3937,A3937,"Receive")</f>
        <v/>
      </c>
      <c r="G3937" s="5"/>
      <c r="H3937" s="7" t="s">
        <v>3977</v>
      </c>
      <c r="I3937" s="9">
        <v>1393500</v>
      </c>
      <c r="J3937" s="10">
        <v>0.03850000000000001</v>
      </c>
    </row>
    <row r="3938" spans="1:10">
      <c r="A3938" s="7" t="s">
        <v>3971</v>
      </c>
      <c r="B3938" s="7" t="s">
        <v>5805</v>
      </c>
      <c r="C3938" s="8">
        <f>QS.CONTEXT.CREATE("market.3936",A3938,"USD","SOFR")</f>
        <v/>
      </c>
      <c r="D3938" s="8">
        <f>QS.CONTEXT.ADD.CURVE(C3938,"SOFR",$K$2:$K$7,$L$2:$L$7,,,"Actual360","LogLinear",TRUE)</f>
        <v/>
      </c>
      <c r="E3938" s="8">
        <f>QS.INSTRUMENT.SWAP("swap.3936",C3938,H3938,B3938,"USD","SOFR",I3938,J3938,0,"Actual360","Simple","Annual","Annual","Annual")</f>
        <v/>
      </c>
      <c r="F3938" s="8">
        <f>QS.TRADE.CREATE("trade.3936",C3938,E3938,A3938,"Receive")</f>
        <v/>
      </c>
      <c r="G3938" s="5"/>
      <c r="H3938" s="7" t="s">
        <v>3978</v>
      </c>
      <c r="I3938" s="9">
        <v>1393600</v>
      </c>
      <c r="J3938" s="10">
        <v>0.0386</v>
      </c>
    </row>
    <row r="3939" spans="1:10">
      <c r="A3939" s="7" t="s">
        <v>3972</v>
      </c>
      <c r="B3939" s="7" t="s">
        <v>5806</v>
      </c>
      <c r="C3939" s="8">
        <f>QS.CONTEXT.CREATE("market.3937",A3939,"USD","SOFR")</f>
        <v/>
      </c>
      <c r="D3939" s="8">
        <f>QS.CONTEXT.ADD.CURVE(C3939,"SOFR",$K$2:$K$7,$L$2:$L$7,,,"Actual360","LogLinear",TRUE)</f>
        <v/>
      </c>
      <c r="E3939" s="8">
        <f>QS.INSTRUMENT.SWAP("swap.3937",C3939,H3939,B3939,"USD","SOFR",I3939,J3939,0,"Actual360","Simple","Annual","Annual","Annual")</f>
        <v/>
      </c>
      <c r="F3939" s="8">
        <f>QS.TRADE.CREATE("trade.3937",C3939,E3939,A3939,"Receive")</f>
        <v/>
      </c>
      <c r="G3939" s="5"/>
      <c r="H3939" s="7" t="s">
        <v>3979</v>
      </c>
      <c r="I3939" s="9">
        <v>1393700</v>
      </c>
      <c r="J3939" s="10">
        <v>0.03870000000000001</v>
      </c>
    </row>
    <row r="3940" spans="1:10">
      <c r="A3940" s="7" t="s">
        <v>3973</v>
      </c>
      <c r="B3940" s="7" t="s">
        <v>5807</v>
      </c>
      <c r="C3940" s="8">
        <f>QS.CONTEXT.CREATE("market.3938",A3940,"USD","SOFR")</f>
        <v/>
      </c>
      <c r="D3940" s="8">
        <f>QS.CONTEXT.ADD.CURVE(C3940,"SOFR",$K$2:$K$7,$L$2:$L$7,,,"Actual360","LogLinear",TRUE)</f>
        <v/>
      </c>
      <c r="E3940" s="8">
        <f>QS.INSTRUMENT.SWAP("swap.3938",C3940,H3940,B3940,"USD","SOFR",I3940,J3940,0,"Actual360","Simple","Annual","Annual","Annual")</f>
        <v/>
      </c>
      <c r="F3940" s="8">
        <f>QS.TRADE.CREATE("trade.3938",C3940,E3940,A3940,"Receive")</f>
        <v/>
      </c>
      <c r="G3940" s="5"/>
      <c r="H3940" s="7" t="s">
        <v>3980</v>
      </c>
      <c r="I3940" s="9">
        <v>1393800</v>
      </c>
      <c r="J3940" s="10">
        <v>0.0388</v>
      </c>
    </row>
    <row r="3941" spans="1:10">
      <c r="A3941" s="7" t="s">
        <v>3974</v>
      </c>
      <c r="B3941" s="7" t="s">
        <v>5808</v>
      </c>
      <c r="C3941" s="8">
        <f>QS.CONTEXT.CREATE("market.3939",A3941,"USD","SOFR")</f>
        <v/>
      </c>
      <c r="D3941" s="8">
        <f>QS.CONTEXT.ADD.CURVE(C3941,"SOFR",$K$2:$K$7,$L$2:$L$7,,,"Actual360","LogLinear",TRUE)</f>
        <v/>
      </c>
      <c r="E3941" s="8">
        <f>QS.INSTRUMENT.SWAP("swap.3939",C3941,H3941,B3941,"USD","SOFR",I3941,J3941,0,"Actual360","Simple","Annual","Annual","Annual")</f>
        <v/>
      </c>
      <c r="F3941" s="8">
        <f>QS.TRADE.CREATE("trade.3939",C3941,E3941,A3941,"Receive")</f>
        <v/>
      </c>
      <c r="G3941" s="5"/>
      <c r="H3941" s="7" t="s">
        <v>3981</v>
      </c>
      <c r="I3941" s="9">
        <v>1393900</v>
      </c>
      <c r="J3941" s="10">
        <v>0.0389</v>
      </c>
    </row>
    <row r="3942" spans="1:10">
      <c r="A3942" s="7" t="s">
        <v>3975</v>
      </c>
      <c r="B3942" s="7" t="s">
        <v>5809</v>
      </c>
      <c r="C3942" s="8">
        <f>QS.CONTEXT.CREATE("market.3940",A3942,"USD","SOFR")</f>
        <v/>
      </c>
      <c r="D3942" s="8">
        <f>QS.CONTEXT.ADD.CURVE(C3942,"SOFR",$K$2:$K$7,$L$2:$L$7,,,"Actual360","LogLinear",TRUE)</f>
        <v/>
      </c>
      <c r="E3942" s="8">
        <f>QS.INSTRUMENT.SWAP("swap.3940",C3942,H3942,B3942,"USD","SOFR",I3942,J3942,0,"Actual360","Simple","Annual","Annual","Annual")</f>
        <v/>
      </c>
      <c r="F3942" s="8">
        <f>QS.TRADE.CREATE("trade.3940",C3942,E3942,A3942,"Receive")</f>
        <v/>
      </c>
      <c r="G3942" s="5"/>
      <c r="H3942" s="7" t="s">
        <v>3982</v>
      </c>
      <c r="I3942" s="9">
        <v>1394000</v>
      </c>
      <c r="J3942" s="10">
        <v>0.03900000000000001</v>
      </c>
    </row>
    <row r="3943" spans="1:10">
      <c r="A3943" s="7" t="s">
        <v>3976</v>
      </c>
      <c r="B3943" s="7" t="s">
        <v>5810</v>
      </c>
      <c r="C3943" s="8">
        <f>QS.CONTEXT.CREATE("market.3941",A3943,"USD","SOFR")</f>
        <v/>
      </c>
      <c r="D3943" s="8">
        <f>QS.CONTEXT.ADD.CURVE(C3943,"SOFR",$K$2:$K$7,$L$2:$L$7,,,"Actual360","LogLinear",TRUE)</f>
        <v/>
      </c>
      <c r="E3943" s="8">
        <f>QS.INSTRUMENT.SWAP("swap.3941",C3943,H3943,B3943,"USD","SOFR",I3943,J3943,0,"Actual360","Simple","Annual","Annual","Annual")</f>
        <v/>
      </c>
      <c r="F3943" s="8">
        <f>QS.TRADE.CREATE("trade.3941",C3943,E3943,A3943,"Receive")</f>
        <v/>
      </c>
      <c r="G3943" s="5"/>
      <c r="H3943" s="7" t="s">
        <v>3983</v>
      </c>
      <c r="I3943" s="9">
        <v>1394100</v>
      </c>
      <c r="J3943" s="10">
        <v>0.0391</v>
      </c>
    </row>
    <row r="3944" spans="1:10">
      <c r="A3944" s="7" t="s">
        <v>3977</v>
      </c>
      <c r="B3944" s="7" t="s">
        <v>5811</v>
      </c>
      <c r="C3944" s="8">
        <f>QS.CONTEXT.CREATE("market.3942",A3944,"USD","SOFR")</f>
        <v/>
      </c>
      <c r="D3944" s="8">
        <f>QS.CONTEXT.ADD.CURVE(C3944,"SOFR",$K$2:$K$7,$L$2:$L$7,,,"Actual360","LogLinear",TRUE)</f>
        <v/>
      </c>
      <c r="E3944" s="8">
        <f>QS.INSTRUMENT.SWAP("swap.3942",C3944,H3944,B3944,"USD","SOFR",I3944,J3944,0,"Actual360","Simple","Annual","Annual","Annual")</f>
        <v/>
      </c>
      <c r="F3944" s="8">
        <f>QS.TRADE.CREATE("trade.3942",C3944,E3944,A3944,"Receive")</f>
        <v/>
      </c>
      <c r="G3944" s="5"/>
      <c r="H3944" s="7" t="s">
        <v>3984</v>
      </c>
      <c r="I3944" s="9">
        <v>1394200</v>
      </c>
      <c r="J3944" s="10">
        <v>0.03920000000000001</v>
      </c>
    </row>
    <row r="3945" spans="1:10">
      <c r="A3945" s="7" t="s">
        <v>3978</v>
      </c>
      <c r="B3945" s="7" t="s">
        <v>5812</v>
      </c>
      <c r="C3945" s="8">
        <f>QS.CONTEXT.CREATE("market.3943",A3945,"USD","SOFR")</f>
        <v/>
      </c>
      <c r="D3945" s="8">
        <f>QS.CONTEXT.ADD.CURVE(C3945,"SOFR",$K$2:$K$7,$L$2:$L$7,,,"Actual360","LogLinear",TRUE)</f>
        <v/>
      </c>
      <c r="E3945" s="8">
        <f>QS.INSTRUMENT.SWAP("swap.3943",C3945,H3945,B3945,"USD","SOFR",I3945,J3945,0,"Actual360","Simple","Annual","Annual","Annual")</f>
        <v/>
      </c>
      <c r="F3945" s="8">
        <f>QS.TRADE.CREATE("trade.3943",C3945,E3945,A3945,"Receive")</f>
        <v/>
      </c>
      <c r="G3945" s="5"/>
      <c r="H3945" s="7" t="s">
        <v>3985</v>
      </c>
      <c r="I3945" s="9">
        <v>1394300</v>
      </c>
      <c r="J3945" s="10">
        <v>0.0393</v>
      </c>
    </row>
    <row r="3946" spans="1:10">
      <c r="A3946" s="7" t="s">
        <v>3979</v>
      </c>
      <c r="B3946" s="7" t="s">
        <v>5813</v>
      </c>
      <c r="C3946" s="8">
        <f>QS.CONTEXT.CREATE("market.3944",A3946,"USD","SOFR")</f>
        <v/>
      </c>
      <c r="D3946" s="8">
        <f>QS.CONTEXT.ADD.CURVE(C3946,"SOFR",$K$2:$K$7,$L$2:$L$7,,,"Actual360","LogLinear",TRUE)</f>
        <v/>
      </c>
      <c r="E3946" s="8">
        <f>QS.INSTRUMENT.SWAP("swap.3944",C3946,H3946,B3946,"USD","SOFR",I3946,J3946,0,"Actual360","Simple","Annual","Annual","Annual")</f>
        <v/>
      </c>
      <c r="F3946" s="8">
        <f>QS.TRADE.CREATE("trade.3944",C3946,E3946,A3946,"Receive")</f>
        <v/>
      </c>
      <c r="G3946" s="5"/>
      <c r="H3946" s="7" t="s">
        <v>3986</v>
      </c>
      <c r="I3946" s="9">
        <v>1394400</v>
      </c>
      <c r="J3946" s="10">
        <v>0.0394</v>
      </c>
    </row>
    <row r="3947" spans="1:10">
      <c r="A3947" s="7" t="s">
        <v>3980</v>
      </c>
      <c r="B3947" s="7" t="s">
        <v>5814</v>
      </c>
      <c r="C3947" s="8">
        <f>QS.CONTEXT.CREATE("market.3945",A3947,"USD","SOFR")</f>
        <v/>
      </c>
      <c r="D3947" s="8">
        <f>QS.CONTEXT.ADD.CURVE(C3947,"SOFR",$K$2:$K$7,$L$2:$L$7,,,"Actual360","LogLinear",TRUE)</f>
        <v/>
      </c>
      <c r="E3947" s="8">
        <f>QS.INSTRUMENT.SWAP("swap.3945",C3947,H3947,B3947,"USD","SOFR",I3947,J3947,0,"Actual360","Simple","Annual","Annual","Annual")</f>
        <v/>
      </c>
      <c r="F3947" s="8">
        <f>QS.TRADE.CREATE("trade.3945",C3947,E3947,A3947,"Receive")</f>
        <v/>
      </c>
      <c r="G3947" s="5"/>
      <c r="H3947" s="7" t="s">
        <v>3987</v>
      </c>
      <c r="I3947" s="9">
        <v>1394500</v>
      </c>
      <c r="J3947" s="10">
        <v>0.03950000000000001</v>
      </c>
    </row>
    <row r="3948" spans="1:10">
      <c r="A3948" s="7" t="s">
        <v>3981</v>
      </c>
      <c r="B3948" s="7" t="s">
        <v>5815</v>
      </c>
      <c r="C3948" s="8">
        <f>QS.CONTEXT.CREATE("market.3946",A3948,"USD","SOFR")</f>
        <v/>
      </c>
      <c r="D3948" s="8">
        <f>QS.CONTEXT.ADD.CURVE(C3948,"SOFR",$K$2:$K$7,$L$2:$L$7,,,"Actual360","LogLinear",TRUE)</f>
        <v/>
      </c>
      <c r="E3948" s="8">
        <f>QS.INSTRUMENT.SWAP("swap.3946",C3948,H3948,B3948,"USD","SOFR",I3948,J3948,0,"Actual360","Simple","Annual","Annual","Annual")</f>
        <v/>
      </c>
      <c r="F3948" s="8">
        <f>QS.TRADE.CREATE("trade.3946",C3948,E3948,A3948,"Receive")</f>
        <v/>
      </c>
      <c r="G3948" s="5"/>
      <c r="H3948" s="7" t="s">
        <v>3988</v>
      </c>
      <c r="I3948" s="9">
        <v>1394600</v>
      </c>
      <c r="J3948" s="10">
        <v>0.0396</v>
      </c>
    </row>
    <row r="3949" spans="1:10">
      <c r="A3949" s="7" t="s">
        <v>3982</v>
      </c>
      <c r="B3949" s="7" t="s">
        <v>5816</v>
      </c>
      <c r="C3949" s="8">
        <f>QS.CONTEXT.CREATE("market.3947",A3949,"USD","SOFR")</f>
        <v/>
      </c>
      <c r="D3949" s="8">
        <f>QS.CONTEXT.ADD.CURVE(C3949,"SOFR",$K$2:$K$7,$L$2:$L$7,,,"Actual360","LogLinear",TRUE)</f>
        <v/>
      </c>
      <c r="E3949" s="8">
        <f>QS.INSTRUMENT.SWAP("swap.3947",C3949,H3949,B3949,"USD","SOFR",I3949,J3949,0,"Actual360","Simple","Annual","Annual","Annual")</f>
        <v/>
      </c>
      <c r="F3949" s="8">
        <f>QS.TRADE.CREATE("trade.3947",C3949,E3949,A3949,"Receive")</f>
        <v/>
      </c>
      <c r="G3949" s="5"/>
      <c r="H3949" s="7" t="s">
        <v>3989</v>
      </c>
      <c r="I3949" s="9">
        <v>1394700</v>
      </c>
      <c r="J3949" s="10">
        <v>0.03970000000000001</v>
      </c>
    </row>
    <row r="3950" spans="1:10">
      <c r="A3950" s="7" t="s">
        <v>3983</v>
      </c>
      <c r="B3950" s="7" t="s">
        <v>5817</v>
      </c>
      <c r="C3950" s="8">
        <f>QS.CONTEXT.CREATE("market.3948",A3950,"USD","SOFR")</f>
        <v/>
      </c>
      <c r="D3950" s="8">
        <f>QS.CONTEXT.ADD.CURVE(C3950,"SOFR",$K$2:$K$7,$L$2:$L$7,,,"Actual360","LogLinear",TRUE)</f>
        <v/>
      </c>
      <c r="E3950" s="8">
        <f>QS.INSTRUMENT.SWAP("swap.3948",C3950,H3950,B3950,"USD","SOFR",I3950,J3950,0,"Actual360","Simple","Annual","Annual","Annual")</f>
        <v/>
      </c>
      <c r="F3950" s="8">
        <f>QS.TRADE.CREATE("trade.3948",C3950,E3950,A3950,"Receive")</f>
        <v/>
      </c>
      <c r="G3950" s="5"/>
      <c r="H3950" s="7" t="s">
        <v>3990</v>
      </c>
      <c r="I3950" s="9">
        <v>1394800</v>
      </c>
      <c r="J3950" s="10">
        <v>0.0398</v>
      </c>
    </row>
    <row r="3951" spans="1:10">
      <c r="A3951" s="7" t="s">
        <v>3984</v>
      </c>
      <c r="B3951" s="7" t="s">
        <v>5818</v>
      </c>
      <c r="C3951" s="8">
        <f>QS.CONTEXT.CREATE("market.3949",A3951,"USD","SOFR")</f>
        <v/>
      </c>
      <c r="D3951" s="8">
        <f>QS.CONTEXT.ADD.CURVE(C3951,"SOFR",$K$2:$K$7,$L$2:$L$7,,,"Actual360","LogLinear",TRUE)</f>
        <v/>
      </c>
      <c r="E3951" s="8">
        <f>QS.INSTRUMENT.SWAP("swap.3949",C3951,H3951,B3951,"USD","SOFR",I3951,J3951,0,"Actual360","Simple","Annual","Annual","Annual")</f>
        <v/>
      </c>
      <c r="F3951" s="8">
        <f>QS.TRADE.CREATE("trade.3949",C3951,E3951,A3951,"Receive")</f>
        <v/>
      </c>
      <c r="G3951" s="5"/>
      <c r="H3951" s="7" t="s">
        <v>3991</v>
      </c>
      <c r="I3951" s="9">
        <v>1394900</v>
      </c>
      <c r="J3951" s="10">
        <v>0.0399</v>
      </c>
    </row>
    <row r="3952" spans="1:10">
      <c r="A3952" s="7" t="s">
        <v>3985</v>
      </c>
      <c r="B3952" s="7" t="s">
        <v>5819</v>
      </c>
      <c r="C3952" s="8">
        <f>QS.CONTEXT.CREATE("market.3950",A3952,"USD","SOFR")</f>
        <v/>
      </c>
      <c r="D3952" s="8">
        <f>QS.CONTEXT.ADD.CURVE(C3952,"SOFR",$K$2:$K$7,$L$2:$L$7,,,"Actual360","LogLinear",TRUE)</f>
        <v/>
      </c>
      <c r="E3952" s="8">
        <f>QS.INSTRUMENT.SWAP("swap.3950",C3952,H3952,B3952,"USD","SOFR",I3952,J3952,0,"Actual360","Simple","Annual","Annual","Annual")</f>
        <v/>
      </c>
      <c r="F3952" s="8">
        <f>QS.TRADE.CREATE("trade.3950",C3952,E3952,A3952,"Receive")</f>
        <v/>
      </c>
      <c r="G3952" s="5"/>
      <c r="H3952" s="7" t="s">
        <v>3992</v>
      </c>
      <c r="I3952" s="9">
        <v>1395000</v>
      </c>
      <c r="J3952" s="10">
        <v>0.035</v>
      </c>
    </row>
    <row r="3953" spans="1:10">
      <c r="A3953" s="7" t="s">
        <v>3986</v>
      </c>
      <c r="B3953" s="7" t="s">
        <v>5820</v>
      </c>
      <c r="C3953" s="8">
        <f>QS.CONTEXT.CREATE("market.3951",A3953,"USD","SOFR")</f>
        <v/>
      </c>
      <c r="D3953" s="8">
        <f>QS.CONTEXT.ADD.CURVE(C3953,"SOFR",$K$2:$K$7,$L$2:$L$7,,,"Actual360","LogLinear",TRUE)</f>
        <v/>
      </c>
      <c r="E3953" s="8">
        <f>QS.INSTRUMENT.SWAP("swap.3951",C3953,H3953,B3953,"USD","SOFR",I3953,J3953,0,"Actual360","Simple","Annual","Annual","Annual")</f>
        <v/>
      </c>
      <c r="F3953" s="8">
        <f>QS.TRADE.CREATE("trade.3951",C3953,E3953,A3953,"Receive")</f>
        <v/>
      </c>
      <c r="G3953" s="5"/>
      <c r="H3953" s="7" t="s">
        <v>3993</v>
      </c>
      <c r="I3953" s="9">
        <v>1395100</v>
      </c>
      <c r="J3953" s="10">
        <v>0.03510000000000001</v>
      </c>
    </row>
    <row r="3954" spans="1:10">
      <c r="A3954" s="7" t="s">
        <v>3987</v>
      </c>
      <c r="B3954" s="7" t="s">
        <v>5821</v>
      </c>
      <c r="C3954" s="8">
        <f>QS.CONTEXT.CREATE("market.3952",A3954,"USD","SOFR")</f>
        <v/>
      </c>
      <c r="D3954" s="8">
        <f>QS.CONTEXT.ADD.CURVE(C3954,"SOFR",$K$2:$K$7,$L$2:$L$7,,,"Actual360","LogLinear",TRUE)</f>
        <v/>
      </c>
      <c r="E3954" s="8">
        <f>QS.INSTRUMENT.SWAP("swap.3952",C3954,H3954,B3954,"USD","SOFR",I3954,J3954,0,"Actual360","Simple","Annual","Annual","Annual")</f>
        <v/>
      </c>
      <c r="F3954" s="8">
        <f>QS.TRADE.CREATE("trade.3952",C3954,E3954,A3954,"Receive")</f>
        <v/>
      </c>
      <c r="G3954" s="5"/>
      <c r="H3954" s="7" t="s">
        <v>3994</v>
      </c>
      <c r="I3954" s="9">
        <v>1395200</v>
      </c>
      <c r="J3954" s="10">
        <v>0.0352</v>
      </c>
    </row>
    <row r="3955" spans="1:10">
      <c r="A3955" s="7" t="s">
        <v>3988</v>
      </c>
      <c r="B3955" s="7" t="s">
        <v>5822</v>
      </c>
      <c r="C3955" s="8">
        <f>QS.CONTEXT.CREATE("market.3953",A3955,"USD","SOFR")</f>
        <v/>
      </c>
      <c r="D3955" s="8">
        <f>QS.CONTEXT.ADD.CURVE(C3955,"SOFR",$K$2:$K$7,$L$2:$L$7,,,"Actual360","LogLinear",TRUE)</f>
        <v/>
      </c>
      <c r="E3955" s="8">
        <f>QS.INSTRUMENT.SWAP("swap.3953",C3955,H3955,B3955,"USD","SOFR",I3955,J3955,0,"Actual360","Simple","Annual","Annual","Annual")</f>
        <v/>
      </c>
      <c r="F3955" s="8">
        <f>QS.TRADE.CREATE("trade.3953",C3955,E3955,A3955,"Receive")</f>
        <v/>
      </c>
      <c r="G3955" s="5"/>
      <c r="H3955" s="7" t="s">
        <v>3995</v>
      </c>
      <c r="I3955" s="9">
        <v>1395300</v>
      </c>
      <c r="J3955" s="10">
        <v>0.0353</v>
      </c>
    </row>
    <row r="3956" spans="1:10">
      <c r="A3956" s="7" t="s">
        <v>3989</v>
      </c>
      <c r="B3956" s="7" t="s">
        <v>5823</v>
      </c>
      <c r="C3956" s="8">
        <f>QS.CONTEXT.CREATE("market.3954",A3956,"USD","SOFR")</f>
        <v/>
      </c>
      <c r="D3956" s="8">
        <f>QS.CONTEXT.ADD.CURVE(C3956,"SOFR",$K$2:$K$7,$L$2:$L$7,,,"Actual360","LogLinear",TRUE)</f>
        <v/>
      </c>
      <c r="E3956" s="8">
        <f>QS.INSTRUMENT.SWAP("swap.3954",C3956,H3956,B3956,"USD","SOFR",I3956,J3956,0,"Actual360","Simple","Annual","Annual","Annual")</f>
        <v/>
      </c>
      <c r="F3956" s="8">
        <f>QS.TRADE.CREATE("trade.3954",C3956,E3956,A3956,"Receive")</f>
        <v/>
      </c>
      <c r="G3956" s="5"/>
      <c r="H3956" s="7" t="s">
        <v>3996</v>
      </c>
      <c r="I3956" s="9">
        <v>1395400</v>
      </c>
      <c r="J3956" s="10">
        <v>0.0354</v>
      </c>
    </row>
    <row r="3957" spans="1:10">
      <c r="A3957" s="7" t="s">
        <v>3990</v>
      </c>
      <c r="B3957" s="7" t="s">
        <v>5824</v>
      </c>
      <c r="C3957" s="8">
        <f>QS.CONTEXT.CREATE("market.3955",A3957,"USD","SOFR")</f>
        <v/>
      </c>
      <c r="D3957" s="8">
        <f>QS.CONTEXT.ADD.CURVE(C3957,"SOFR",$K$2:$K$7,$L$2:$L$7,,,"Actual360","LogLinear",TRUE)</f>
        <v/>
      </c>
      <c r="E3957" s="8">
        <f>QS.INSTRUMENT.SWAP("swap.3955",C3957,H3957,B3957,"USD","SOFR",I3957,J3957,0,"Actual360","Simple","Annual","Annual","Annual")</f>
        <v/>
      </c>
      <c r="F3957" s="8">
        <f>QS.TRADE.CREATE("trade.3955",C3957,E3957,A3957,"Receive")</f>
        <v/>
      </c>
      <c r="G3957" s="5"/>
      <c r="H3957" s="7" t="s">
        <v>3997</v>
      </c>
      <c r="I3957" s="9">
        <v>1395500</v>
      </c>
      <c r="J3957" s="10">
        <v>0.0355</v>
      </c>
    </row>
    <row r="3958" spans="1:10">
      <c r="A3958" s="7" t="s">
        <v>3991</v>
      </c>
      <c r="B3958" s="7" t="s">
        <v>5825</v>
      </c>
      <c r="C3958" s="8">
        <f>QS.CONTEXT.CREATE("market.3956",A3958,"USD","SOFR")</f>
        <v/>
      </c>
      <c r="D3958" s="8">
        <f>QS.CONTEXT.ADD.CURVE(C3958,"SOFR",$K$2:$K$7,$L$2:$L$7,,,"Actual360","LogLinear",TRUE)</f>
        <v/>
      </c>
      <c r="E3958" s="8">
        <f>QS.INSTRUMENT.SWAP("swap.3956",C3958,H3958,B3958,"USD","SOFR",I3958,J3958,0,"Actual360","Simple","Annual","Annual","Annual")</f>
        <v/>
      </c>
      <c r="F3958" s="8">
        <f>QS.TRADE.CREATE("trade.3956",C3958,E3958,A3958,"Receive")</f>
        <v/>
      </c>
      <c r="G3958" s="5"/>
      <c r="H3958" s="7" t="s">
        <v>3998</v>
      </c>
      <c r="I3958" s="9">
        <v>1395600</v>
      </c>
      <c r="J3958" s="10">
        <v>0.03560000000000001</v>
      </c>
    </row>
    <row r="3959" spans="1:10">
      <c r="A3959" s="7" t="s">
        <v>3992</v>
      </c>
      <c r="B3959" s="7" t="s">
        <v>5826</v>
      </c>
      <c r="C3959" s="8">
        <f>QS.CONTEXT.CREATE("market.3957",A3959,"USD","SOFR")</f>
        <v/>
      </c>
      <c r="D3959" s="8">
        <f>QS.CONTEXT.ADD.CURVE(C3959,"SOFR",$K$2:$K$7,$L$2:$L$7,,,"Actual360","LogLinear",TRUE)</f>
        <v/>
      </c>
      <c r="E3959" s="8">
        <f>QS.INSTRUMENT.SWAP("swap.3957",C3959,H3959,B3959,"USD","SOFR",I3959,J3959,0,"Actual360","Simple","Annual","Annual","Annual")</f>
        <v/>
      </c>
      <c r="F3959" s="8">
        <f>QS.TRADE.CREATE("trade.3957",C3959,E3959,A3959,"Receive")</f>
        <v/>
      </c>
      <c r="G3959" s="5"/>
      <c r="H3959" s="7" t="s">
        <v>3999</v>
      </c>
      <c r="I3959" s="9">
        <v>1395700</v>
      </c>
      <c r="J3959" s="10">
        <v>0.0357</v>
      </c>
    </row>
    <row r="3960" spans="1:10">
      <c r="A3960" s="7" t="s">
        <v>3993</v>
      </c>
      <c r="B3960" s="7" t="s">
        <v>5827</v>
      </c>
      <c r="C3960" s="8">
        <f>QS.CONTEXT.CREATE("market.3958",A3960,"USD","SOFR")</f>
        <v/>
      </c>
      <c r="D3960" s="8">
        <f>QS.CONTEXT.ADD.CURVE(C3960,"SOFR",$K$2:$K$7,$L$2:$L$7,,,"Actual360","LogLinear",TRUE)</f>
        <v/>
      </c>
      <c r="E3960" s="8">
        <f>QS.INSTRUMENT.SWAP("swap.3958",C3960,H3960,B3960,"USD","SOFR",I3960,J3960,0,"Actual360","Simple","Annual","Annual","Annual")</f>
        <v/>
      </c>
      <c r="F3960" s="8">
        <f>QS.TRADE.CREATE("trade.3958",C3960,E3960,A3960,"Receive")</f>
        <v/>
      </c>
      <c r="G3960" s="5"/>
      <c r="H3960" s="7" t="s">
        <v>4000</v>
      </c>
      <c r="I3960" s="9">
        <v>1395800</v>
      </c>
      <c r="J3960" s="10">
        <v>0.03580000000000001</v>
      </c>
    </row>
    <row r="3961" spans="1:10">
      <c r="A3961" s="7" t="s">
        <v>3994</v>
      </c>
      <c r="B3961" s="7" t="s">
        <v>5828</v>
      </c>
      <c r="C3961" s="8">
        <f>QS.CONTEXT.CREATE("market.3959",A3961,"USD","SOFR")</f>
        <v/>
      </c>
      <c r="D3961" s="8">
        <f>QS.CONTEXT.ADD.CURVE(C3961,"SOFR",$K$2:$K$7,$L$2:$L$7,,,"Actual360","LogLinear",TRUE)</f>
        <v/>
      </c>
      <c r="E3961" s="8">
        <f>QS.INSTRUMENT.SWAP("swap.3959",C3961,H3961,B3961,"USD","SOFR",I3961,J3961,0,"Actual360","Simple","Annual","Annual","Annual")</f>
        <v/>
      </c>
      <c r="F3961" s="8">
        <f>QS.TRADE.CREATE("trade.3959",C3961,E3961,A3961,"Receive")</f>
        <v/>
      </c>
      <c r="G3961" s="5"/>
      <c r="H3961" s="7" t="s">
        <v>4001</v>
      </c>
      <c r="I3961" s="9">
        <v>1395900</v>
      </c>
      <c r="J3961" s="10">
        <v>0.0359</v>
      </c>
    </row>
    <row r="3962" spans="1:10">
      <c r="A3962" s="7" t="s">
        <v>3995</v>
      </c>
      <c r="B3962" s="7" t="s">
        <v>5829</v>
      </c>
      <c r="C3962" s="8">
        <f>QS.CONTEXT.CREATE("market.3960",A3962,"USD","SOFR")</f>
        <v/>
      </c>
      <c r="D3962" s="8">
        <f>QS.CONTEXT.ADD.CURVE(C3962,"SOFR",$K$2:$K$7,$L$2:$L$7,,,"Actual360","LogLinear",TRUE)</f>
        <v/>
      </c>
      <c r="E3962" s="8">
        <f>QS.INSTRUMENT.SWAP("swap.3960",C3962,H3962,B3962,"USD","SOFR",I3962,J3962,0,"Actual360","Simple","Annual","Annual","Annual")</f>
        <v/>
      </c>
      <c r="F3962" s="8">
        <f>QS.TRADE.CREATE("trade.3960",C3962,E3962,A3962,"Receive")</f>
        <v/>
      </c>
      <c r="G3962" s="5"/>
      <c r="H3962" s="7" t="s">
        <v>4002</v>
      </c>
      <c r="I3962" s="9">
        <v>1396000</v>
      </c>
      <c r="J3962" s="10">
        <v>0.036</v>
      </c>
    </row>
    <row r="3963" spans="1:10">
      <c r="A3963" s="7" t="s">
        <v>3996</v>
      </c>
      <c r="B3963" s="7" t="s">
        <v>5830</v>
      </c>
      <c r="C3963" s="8">
        <f>QS.CONTEXT.CREATE("market.3961",A3963,"USD","SOFR")</f>
        <v/>
      </c>
      <c r="D3963" s="8">
        <f>QS.CONTEXT.ADD.CURVE(C3963,"SOFR",$K$2:$K$7,$L$2:$L$7,,,"Actual360","LogLinear",TRUE)</f>
        <v/>
      </c>
      <c r="E3963" s="8">
        <f>QS.INSTRUMENT.SWAP("swap.3961",C3963,H3963,B3963,"USD","SOFR",I3963,J3963,0,"Actual360","Simple","Annual","Annual","Annual")</f>
        <v/>
      </c>
      <c r="F3963" s="8">
        <f>QS.TRADE.CREATE("trade.3961",C3963,E3963,A3963,"Receive")</f>
        <v/>
      </c>
      <c r="G3963" s="5"/>
      <c r="H3963" s="7" t="s">
        <v>4003</v>
      </c>
      <c r="I3963" s="9">
        <v>1396100</v>
      </c>
      <c r="J3963" s="10">
        <v>0.0361</v>
      </c>
    </row>
    <row r="3964" spans="1:10">
      <c r="A3964" s="7" t="s">
        <v>3997</v>
      </c>
      <c r="B3964" s="7" t="s">
        <v>5831</v>
      </c>
      <c r="C3964" s="8">
        <f>QS.CONTEXT.CREATE("market.3962",A3964,"USD","SOFR")</f>
        <v/>
      </c>
      <c r="D3964" s="8">
        <f>QS.CONTEXT.ADD.CURVE(C3964,"SOFR",$K$2:$K$7,$L$2:$L$7,,,"Actual360","LogLinear",TRUE)</f>
        <v/>
      </c>
      <c r="E3964" s="8">
        <f>QS.INSTRUMENT.SWAP("swap.3962",C3964,H3964,B3964,"USD","SOFR",I3964,J3964,0,"Actual360","Simple","Annual","Annual","Annual")</f>
        <v/>
      </c>
      <c r="F3964" s="8">
        <f>QS.TRADE.CREATE("trade.3962",C3964,E3964,A3964,"Receive")</f>
        <v/>
      </c>
      <c r="G3964" s="5"/>
      <c r="H3964" s="7" t="s">
        <v>4004</v>
      </c>
      <c r="I3964" s="9">
        <v>1396200</v>
      </c>
      <c r="J3964" s="10">
        <v>0.0362</v>
      </c>
    </row>
    <row r="3965" spans="1:10">
      <c r="A3965" s="7" t="s">
        <v>3998</v>
      </c>
      <c r="B3965" s="7" t="s">
        <v>5832</v>
      </c>
      <c r="C3965" s="8">
        <f>QS.CONTEXT.CREATE("market.3963",A3965,"USD","SOFR")</f>
        <v/>
      </c>
      <c r="D3965" s="8">
        <f>QS.CONTEXT.ADD.CURVE(C3965,"SOFR",$K$2:$K$7,$L$2:$L$7,,,"Actual360","LogLinear",TRUE)</f>
        <v/>
      </c>
      <c r="E3965" s="8">
        <f>QS.INSTRUMENT.SWAP("swap.3963",C3965,H3965,B3965,"USD","SOFR",I3965,J3965,0,"Actual360","Simple","Annual","Annual","Annual")</f>
        <v/>
      </c>
      <c r="F3965" s="8">
        <f>QS.TRADE.CREATE("trade.3963",C3965,E3965,A3965,"Receive")</f>
        <v/>
      </c>
      <c r="G3965" s="5"/>
      <c r="H3965" s="7" t="s">
        <v>4005</v>
      </c>
      <c r="I3965" s="9">
        <v>1396300</v>
      </c>
      <c r="J3965" s="10">
        <v>0.03630000000000001</v>
      </c>
    </row>
    <row r="3966" spans="1:10">
      <c r="A3966" s="7" t="s">
        <v>3999</v>
      </c>
      <c r="B3966" s="7" t="s">
        <v>5833</v>
      </c>
      <c r="C3966" s="8">
        <f>QS.CONTEXT.CREATE("market.3964",A3966,"USD","SOFR")</f>
        <v/>
      </c>
      <c r="D3966" s="8">
        <f>QS.CONTEXT.ADD.CURVE(C3966,"SOFR",$K$2:$K$7,$L$2:$L$7,,,"Actual360","LogLinear",TRUE)</f>
        <v/>
      </c>
      <c r="E3966" s="8">
        <f>QS.INSTRUMENT.SWAP("swap.3964",C3966,H3966,B3966,"USD","SOFR",I3966,J3966,0,"Actual360","Simple","Annual","Annual","Annual")</f>
        <v/>
      </c>
      <c r="F3966" s="8">
        <f>QS.TRADE.CREATE("trade.3964",C3966,E3966,A3966,"Receive")</f>
        <v/>
      </c>
      <c r="G3966" s="5"/>
      <c r="H3966" s="7" t="s">
        <v>4006</v>
      </c>
      <c r="I3966" s="9">
        <v>1396400</v>
      </c>
      <c r="J3966" s="10">
        <v>0.0364</v>
      </c>
    </row>
    <row r="3967" spans="1:10">
      <c r="A3967" s="7" t="s">
        <v>4000</v>
      </c>
      <c r="B3967" s="7" t="s">
        <v>5834</v>
      </c>
      <c r="C3967" s="8">
        <f>QS.CONTEXT.CREATE("market.3965",A3967,"USD","SOFR")</f>
        <v/>
      </c>
      <c r="D3967" s="8">
        <f>QS.CONTEXT.ADD.CURVE(C3967,"SOFR",$K$2:$K$7,$L$2:$L$7,,,"Actual360","LogLinear",TRUE)</f>
        <v/>
      </c>
      <c r="E3967" s="8">
        <f>QS.INSTRUMENT.SWAP("swap.3965",C3967,H3967,B3967,"USD","SOFR",I3967,J3967,0,"Actual360","Simple","Annual","Annual","Annual")</f>
        <v/>
      </c>
      <c r="F3967" s="8">
        <f>QS.TRADE.CREATE("trade.3965",C3967,E3967,A3967,"Receive")</f>
        <v/>
      </c>
      <c r="G3967" s="5"/>
      <c r="H3967" s="7" t="s">
        <v>4007</v>
      </c>
      <c r="I3967" s="9">
        <v>1396500</v>
      </c>
      <c r="J3967" s="10">
        <v>0.0365</v>
      </c>
    </row>
    <row r="3968" spans="1:10">
      <c r="A3968" s="7" t="s">
        <v>4001</v>
      </c>
      <c r="B3968" s="7" t="s">
        <v>5835</v>
      </c>
      <c r="C3968" s="8">
        <f>QS.CONTEXT.CREATE("market.3966",A3968,"USD","SOFR")</f>
        <v/>
      </c>
      <c r="D3968" s="8">
        <f>QS.CONTEXT.ADD.CURVE(C3968,"SOFR",$K$2:$K$7,$L$2:$L$7,,,"Actual360","LogLinear",TRUE)</f>
        <v/>
      </c>
      <c r="E3968" s="8">
        <f>QS.INSTRUMENT.SWAP("swap.3966",C3968,H3968,B3968,"USD","SOFR",I3968,J3968,0,"Actual360","Simple","Annual","Annual","Annual")</f>
        <v/>
      </c>
      <c r="F3968" s="8">
        <f>QS.TRADE.CREATE("trade.3966",C3968,E3968,A3968,"Receive")</f>
        <v/>
      </c>
      <c r="G3968" s="5"/>
      <c r="H3968" s="7" t="s">
        <v>4008</v>
      </c>
      <c r="I3968" s="9">
        <v>1396600</v>
      </c>
      <c r="J3968" s="10">
        <v>0.0366</v>
      </c>
    </row>
    <row r="3969" spans="1:10">
      <c r="A3969" s="7" t="s">
        <v>4002</v>
      </c>
      <c r="B3969" s="7" t="s">
        <v>5836</v>
      </c>
      <c r="C3969" s="8">
        <f>QS.CONTEXT.CREATE("market.3967",A3969,"USD","SOFR")</f>
        <v/>
      </c>
      <c r="D3969" s="8">
        <f>QS.CONTEXT.ADD.CURVE(C3969,"SOFR",$K$2:$K$7,$L$2:$L$7,,,"Actual360","LogLinear",TRUE)</f>
        <v/>
      </c>
      <c r="E3969" s="8">
        <f>QS.INSTRUMENT.SWAP("swap.3967",C3969,H3969,B3969,"USD","SOFR",I3969,J3969,0,"Actual360","Simple","Annual","Annual","Annual")</f>
        <v/>
      </c>
      <c r="F3969" s="8">
        <f>QS.TRADE.CREATE("trade.3967",C3969,E3969,A3969,"Receive")</f>
        <v/>
      </c>
      <c r="G3969" s="5"/>
      <c r="H3969" s="7" t="s">
        <v>4009</v>
      </c>
      <c r="I3969" s="9">
        <v>1396700</v>
      </c>
      <c r="J3969" s="10">
        <v>0.0367</v>
      </c>
    </row>
    <row r="3970" spans="1:10">
      <c r="A3970" s="7" t="s">
        <v>4003</v>
      </c>
      <c r="B3970" s="7" t="s">
        <v>5837</v>
      </c>
      <c r="C3970" s="8">
        <f>QS.CONTEXT.CREATE("market.3968",A3970,"USD","SOFR")</f>
        <v/>
      </c>
      <c r="D3970" s="8">
        <f>QS.CONTEXT.ADD.CURVE(C3970,"SOFR",$K$2:$K$7,$L$2:$L$7,,,"Actual360","LogLinear",TRUE)</f>
        <v/>
      </c>
      <c r="E3970" s="8">
        <f>QS.INSTRUMENT.SWAP("swap.3968",C3970,H3970,B3970,"USD","SOFR",I3970,J3970,0,"Actual360","Simple","Annual","Annual","Annual")</f>
        <v/>
      </c>
      <c r="F3970" s="8">
        <f>QS.TRADE.CREATE("trade.3968",C3970,E3970,A3970,"Receive")</f>
        <v/>
      </c>
      <c r="G3970" s="5"/>
      <c r="H3970" s="7" t="s">
        <v>4010</v>
      </c>
      <c r="I3970" s="9">
        <v>1396800</v>
      </c>
      <c r="J3970" s="10">
        <v>0.03680000000000001</v>
      </c>
    </row>
    <row r="3971" spans="1:10">
      <c r="A3971" s="7" t="s">
        <v>4004</v>
      </c>
      <c r="B3971" s="7" t="s">
        <v>5838</v>
      </c>
      <c r="C3971" s="8">
        <f>QS.CONTEXT.CREATE("market.3969",A3971,"USD","SOFR")</f>
        <v/>
      </c>
      <c r="D3971" s="8">
        <f>QS.CONTEXT.ADD.CURVE(C3971,"SOFR",$K$2:$K$7,$L$2:$L$7,,,"Actual360","LogLinear",TRUE)</f>
        <v/>
      </c>
      <c r="E3971" s="8">
        <f>QS.INSTRUMENT.SWAP("swap.3969",C3971,H3971,B3971,"USD","SOFR",I3971,J3971,0,"Actual360","Simple","Annual","Annual","Annual")</f>
        <v/>
      </c>
      <c r="F3971" s="8">
        <f>QS.TRADE.CREATE("trade.3969",C3971,E3971,A3971,"Receive")</f>
        <v/>
      </c>
      <c r="G3971" s="5"/>
      <c r="H3971" s="7" t="s">
        <v>4011</v>
      </c>
      <c r="I3971" s="9">
        <v>1396900</v>
      </c>
      <c r="J3971" s="10">
        <v>0.0369</v>
      </c>
    </row>
    <row r="3972" spans="1:10">
      <c r="A3972" s="7" t="s">
        <v>4005</v>
      </c>
      <c r="B3972" s="7" t="s">
        <v>5839</v>
      </c>
      <c r="C3972" s="8">
        <f>QS.CONTEXT.CREATE("market.3970",A3972,"USD","SOFR")</f>
        <v/>
      </c>
      <c r="D3972" s="8">
        <f>QS.CONTEXT.ADD.CURVE(C3972,"SOFR",$K$2:$K$7,$L$2:$L$7,,,"Actual360","LogLinear",TRUE)</f>
        <v/>
      </c>
      <c r="E3972" s="8">
        <f>QS.INSTRUMENT.SWAP("swap.3970",C3972,H3972,B3972,"USD","SOFR",I3972,J3972,0,"Actual360","Simple","Annual","Annual","Annual")</f>
        <v/>
      </c>
      <c r="F3972" s="8">
        <f>QS.TRADE.CREATE("trade.3970",C3972,E3972,A3972,"Receive")</f>
        <v/>
      </c>
      <c r="G3972" s="5"/>
      <c r="H3972" s="7" t="s">
        <v>4012</v>
      </c>
      <c r="I3972" s="9">
        <v>1397000</v>
      </c>
      <c r="J3972" s="10">
        <v>0.03700000000000001</v>
      </c>
    </row>
    <row r="3973" spans="1:10">
      <c r="A3973" s="7" t="s">
        <v>4006</v>
      </c>
      <c r="B3973" s="7" t="s">
        <v>5840</v>
      </c>
      <c r="C3973" s="8">
        <f>QS.CONTEXT.CREATE("market.3971",A3973,"USD","SOFR")</f>
        <v/>
      </c>
      <c r="D3973" s="8">
        <f>QS.CONTEXT.ADD.CURVE(C3973,"SOFR",$K$2:$K$7,$L$2:$L$7,,,"Actual360","LogLinear",TRUE)</f>
        <v/>
      </c>
      <c r="E3973" s="8">
        <f>QS.INSTRUMENT.SWAP("swap.3971",C3973,H3973,B3973,"USD","SOFR",I3973,J3973,0,"Actual360","Simple","Annual","Annual","Annual")</f>
        <v/>
      </c>
      <c r="F3973" s="8">
        <f>QS.TRADE.CREATE("trade.3971",C3973,E3973,A3973,"Receive")</f>
        <v/>
      </c>
      <c r="G3973" s="5"/>
      <c r="H3973" s="7" t="s">
        <v>4013</v>
      </c>
      <c r="I3973" s="9">
        <v>1397100</v>
      </c>
      <c r="J3973" s="10">
        <v>0.0371</v>
      </c>
    </row>
    <row r="3974" spans="1:10">
      <c r="A3974" s="7" t="s">
        <v>4007</v>
      </c>
      <c r="B3974" s="7" t="s">
        <v>5841</v>
      </c>
      <c r="C3974" s="8">
        <f>QS.CONTEXT.CREATE("market.3972",A3974,"USD","SOFR")</f>
        <v/>
      </c>
      <c r="D3974" s="8">
        <f>QS.CONTEXT.ADD.CURVE(C3974,"SOFR",$K$2:$K$7,$L$2:$L$7,,,"Actual360","LogLinear",TRUE)</f>
        <v/>
      </c>
      <c r="E3974" s="8">
        <f>QS.INSTRUMENT.SWAP("swap.3972",C3974,H3974,B3974,"USD","SOFR",I3974,J3974,0,"Actual360","Simple","Annual","Annual","Annual")</f>
        <v/>
      </c>
      <c r="F3974" s="8">
        <f>QS.TRADE.CREATE("trade.3972",C3974,E3974,A3974,"Receive")</f>
        <v/>
      </c>
      <c r="G3974" s="5"/>
      <c r="H3974" s="7" t="s">
        <v>4014</v>
      </c>
      <c r="I3974" s="9">
        <v>1397200</v>
      </c>
      <c r="J3974" s="10">
        <v>0.0372</v>
      </c>
    </row>
    <row r="3975" spans="1:10">
      <c r="A3975" s="7" t="s">
        <v>4008</v>
      </c>
      <c r="B3975" s="7" t="s">
        <v>5842</v>
      </c>
      <c r="C3975" s="8">
        <f>QS.CONTEXT.CREATE("market.3973",A3975,"USD","SOFR")</f>
        <v/>
      </c>
      <c r="D3975" s="8">
        <f>QS.CONTEXT.ADD.CURVE(C3975,"SOFR",$K$2:$K$7,$L$2:$L$7,,,"Actual360","LogLinear",TRUE)</f>
        <v/>
      </c>
      <c r="E3975" s="8">
        <f>QS.INSTRUMENT.SWAP("swap.3973",C3975,H3975,B3975,"USD","SOFR",I3975,J3975,0,"Actual360","Simple","Annual","Annual","Annual")</f>
        <v/>
      </c>
      <c r="F3975" s="8">
        <f>QS.TRADE.CREATE("trade.3973",C3975,E3975,A3975,"Receive")</f>
        <v/>
      </c>
      <c r="G3975" s="5"/>
      <c r="H3975" s="7" t="s">
        <v>4015</v>
      </c>
      <c r="I3975" s="9">
        <v>1397300</v>
      </c>
      <c r="J3975" s="10">
        <v>0.0373</v>
      </c>
    </row>
    <row r="3976" spans="1:10">
      <c r="A3976" s="7" t="s">
        <v>4009</v>
      </c>
      <c r="B3976" s="7" t="s">
        <v>5843</v>
      </c>
      <c r="C3976" s="8">
        <f>QS.CONTEXT.CREATE("market.3974",A3976,"USD","SOFR")</f>
        <v/>
      </c>
      <c r="D3976" s="8">
        <f>QS.CONTEXT.ADD.CURVE(C3976,"SOFR",$K$2:$K$7,$L$2:$L$7,,,"Actual360","LogLinear",TRUE)</f>
        <v/>
      </c>
      <c r="E3976" s="8">
        <f>QS.INSTRUMENT.SWAP("swap.3974",C3976,H3976,B3976,"USD","SOFR",I3976,J3976,0,"Actual360","Simple","Annual","Annual","Annual")</f>
        <v/>
      </c>
      <c r="F3976" s="8">
        <f>QS.TRADE.CREATE("trade.3974",C3976,E3976,A3976,"Receive")</f>
        <v/>
      </c>
      <c r="G3976" s="5"/>
      <c r="H3976" s="7" t="s">
        <v>4016</v>
      </c>
      <c r="I3976" s="9">
        <v>1397400</v>
      </c>
      <c r="J3976" s="10">
        <v>0.0374</v>
      </c>
    </row>
    <row r="3977" spans="1:10">
      <c r="A3977" s="7" t="s">
        <v>4010</v>
      </c>
      <c r="B3977" s="7" t="s">
        <v>5844</v>
      </c>
      <c r="C3977" s="8">
        <f>QS.CONTEXT.CREATE("market.3975",A3977,"USD","SOFR")</f>
        <v/>
      </c>
      <c r="D3977" s="8">
        <f>QS.CONTEXT.ADD.CURVE(C3977,"SOFR",$K$2:$K$7,$L$2:$L$7,,,"Actual360","LogLinear",TRUE)</f>
        <v/>
      </c>
      <c r="E3977" s="8">
        <f>QS.INSTRUMENT.SWAP("swap.3975",C3977,H3977,B3977,"USD","SOFR",I3977,J3977,0,"Actual360","Simple","Annual","Annual","Annual")</f>
        <v/>
      </c>
      <c r="F3977" s="8">
        <f>QS.TRADE.CREATE("trade.3975",C3977,E3977,A3977,"Receive")</f>
        <v/>
      </c>
      <c r="G3977" s="5"/>
      <c r="H3977" s="7" t="s">
        <v>4017</v>
      </c>
      <c r="I3977" s="9">
        <v>1397500</v>
      </c>
      <c r="J3977" s="10">
        <v>0.03750000000000001</v>
      </c>
    </row>
    <row r="3978" spans="1:10">
      <c r="A3978" s="7" t="s">
        <v>4011</v>
      </c>
      <c r="B3978" s="7" t="s">
        <v>5845</v>
      </c>
      <c r="C3978" s="8">
        <f>QS.CONTEXT.CREATE("market.3976",A3978,"USD","SOFR")</f>
        <v/>
      </c>
      <c r="D3978" s="8">
        <f>QS.CONTEXT.ADD.CURVE(C3978,"SOFR",$K$2:$K$7,$L$2:$L$7,,,"Actual360","LogLinear",TRUE)</f>
        <v/>
      </c>
      <c r="E3978" s="8">
        <f>QS.INSTRUMENT.SWAP("swap.3976",C3978,H3978,B3978,"USD","SOFR",I3978,J3978,0,"Actual360","Simple","Annual","Annual","Annual")</f>
        <v/>
      </c>
      <c r="F3978" s="8">
        <f>QS.TRADE.CREATE("trade.3976",C3978,E3978,A3978,"Receive")</f>
        <v/>
      </c>
      <c r="G3978" s="5"/>
      <c r="H3978" s="7" t="s">
        <v>4018</v>
      </c>
      <c r="I3978" s="9">
        <v>1397600</v>
      </c>
      <c r="J3978" s="10">
        <v>0.0376</v>
      </c>
    </row>
    <row r="3979" spans="1:10">
      <c r="A3979" s="7" t="s">
        <v>4012</v>
      </c>
      <c r="B3979" s="7" t="s">
        <v>5846</v>
      </c>
      <c r="C3979" s="8">
        <f>QS.CONTEXT.CREATE("market.3977",A3979,"USD","SOFR")</f>
        <v/>
      </c>
      <c r="D3979" s="8">
        <f>QS.CONTEXT.ADD.CURVE(C3979,"SOFR",$K$2:$K$7,$L$2:$L$7,,,"Actual360","LogLinear",TRUE)</f>
        <v/>
      </c>
      <c r="E3979" s="8">
        <f>QS.INSTRUMENT.SWAP("swap.3977",C3979,H3979,B3979,"USD","SOFR",I3979,J3979,0,"Actual360","Simple","Annual","Annual","Annual")</f>
        <v/>
      </c>
      <c r="F3979" s="8">
        <f>QS.TRADE.CREATE("trade.3977",C3979,E3979,A3979,"Receive")</f>
        <v/>
      </c>
      <c r="G3979" s="5"/>
      <c r="H3979" s="7" t="s">
        <v>4019</v>
      </c>
      <c r="I3979" s="9">
        <v>1397700</v>
      </c>
      <c r="J3979" s="10">
        <v>0.0377</v>
      </c>
    </row>
    <row r="3980" spans="1:10">
      <c r="A3980" s="7" t="s">
        <v>4013</v>
      </c>
      <c r="B3980" s="7" t="s">
        <v>5847</v>
      </c>
      <c r="C3980" s="8">
        <f>QS.CONTEXT.CREATE("market.3978",A3980,"USD","SOFR")</f>
        <v/>
      </c>
      <c r="D3980" s="8">
        <f>QS.CONTEXT.ADD.CURVE(C3980,"SOFR",$K$2:$K$7,$L$2:$L$7,,,"Actual360","LogLinear",TRUE)</f>
        <v/>
      </c>
      <c r="E3980" s="8">
        <f>QS.INSTRUMENT.SWAP("swap.3978",C3980,H3980,B3980,"USD","SOFR",I3980,J3980,0,"Actual360","Simple","Annual","Annual","Annual")</f>
        <v/>
      </c>
      <c r="F3980" s="8">
        <f>QS.TRADE.CREATE("trade.3978",C3980,E3980,A3980,"Receive")</f>
        <v/>
      </c>
      <c r="G3980" s="5"/>
      <c r="H3980" s="7" t="s">
        <v>4020</v>
      </c>
      <c r="I3980" s="9">
        <v>1397800</v>
      </c>
      <c r="J3980" s="10">
        <v>0.0378</v>
      </c>
    </row>
    <row r="3981" spans="1:10">
      <c r="A3981" s="7" t="s">
        <v>4014</v>
      </c>
      <c r="B3981" s="7" t="s">
        <v>5848</v>
      </c>
      <c r="C3981" s="8">
        <f>QS.CONTEXT.CREATE("market.3979",A3981,"USD","SOFR")</f>
        <v/>
      </c>
      <c r="D3981" s="8">
        <f>QS.CONTEXT.ADD.CURVE(C3981,"SOFR",$K$2:$K$7,$L$2:$L$7,,,"Actual360","LogLinear",TRUE)</f>
        <v/>
      </c>
      <c r="E3981" s="8">
        <f>QS.INSTRUMENT.SWAP("swap.3979",C3981,H3981,B3981,"USD","SOFR",I3981,J3981,0,"Actual360","Simple","Annual","Annual","Annual")</f>
        <v/>
      </c>
      <c r="F3981" s="8">
        <f>QS.TRADE.CREATE("trade.3979",C3981,E3981,A3981,"Receive")</f>
        <v/>
      </c>
      <c r="G3981" s="5"/>
      <c r="H3981" s="7" t="s">
        <v>4021</v>
      </c>
      <c r="I3981" s="9">
        <v>1397900</v>
      </c>
      <c r="J3981" s="10">
        <v>0.0379</v>
      </c>
    </row>
    <row r="3982" spans="1:10">
      <c r="A3982" s="7" t="s">
        <v>4015</v>
      </c>
      <c r="B3982" s="7" t="s">
        <v>5849</v>
      </c>
      <c r="C3982" s="8">
        <f>QS.CONTEXT.CREATE("market.3980",A3982,"USD","SOFR")</f>
        <v/>
      </c>
      <c r="D3982" s="8">
        <f>QS.CONTEXT.ADD.CURVE(C3982,"SOFR",$K$2:$K$7,$L$2:$L$7,,,"Actual360","LogLinear",TRUE)</f>
        <v/>
      </c>
      <c r="E3982" s="8">
        <f>QS.INSTRUMENT.SWAP("swap.3980",C3982,H3982,B3982,"USD","SOFR",I3982,J3982,0,"Actual360","Simple","Annual","Annual","Annual")</f>
        <v/>
      </c>
      <c r="F3982" s="8">
        <f>QS.TRADE.CREATE("trade.3980",C3982,E3982,A3982,"Receive")</f>
        <v/>
      </c>
      <c r="G3982" s="5"/>
      <c r="H3982" s="7" t="s">
        <v>4022</v>
      </c>
      <c r="I3982" s="9">
        <v>1398000</v>
      </c>
      <c r="J3982" s="10">
        <v>0.03800000000000001</v>
      </c>
    </row>
    <row r="3983" spans="1:10">
      <c r="A3983" s="7" t="s">
        <v>4016</v>
      </c>
      <c r="B3983" s="7" t="s">
        <v>5850</v>
      </c>
      <c r="C3983" s="8">
        <f>QS.CONTEXT.CREATE("market.3981",A3983,"USD","SOFR")</f>
        <v/>
      </c>
      <c r="D3983" s="8">
        <f>QS.CONTEXT.ADD.CURVE(C3983,"SOFR",$K$2:$K$7,$L$2:$L$7,,,"Actual360","LogLinear",TRUE)</f>
        <v/>
      </c>
      <c r="E3983" s="8">
        <f>QS.INSTRUMENT.SWAP("swap.3981",C3983,H3983,B3983,"USD","SOFR",I3983,J3983,0,"Actual360","Simple","Annual","Annual","Annual")</f>
        <v/>
      </c>
      <c r="F3983" s="8">
        <f>QS.TRADE.CREATE("trade.3981",C3983,E3983,A3983,"Receive")</f>
        <v/>
      </c>
      <c r="G3983" s="5"/>
      <c r="H3983" s="7" t="s">
        <v>4023</v>
      </c>
      <c r="I3983" s="9">
        <v>1398100</v>
      </c>
      <c r="J3983" s="10">
        <v>0.0381</v>
      </c>
    </row>
    <row r="3984" spans="1:10">
      <c r="A3984" s="7" t="s">
        <v>4017</v>
      </c>
      <c r="B3984" s="7" t="s">
        <v>5851</v>
      </c>
      <c r="C3984" s="8">
        <f>QS.CONTEXT.CREATE("market.3982",A3984,"USD","SOFR")</f>
        <v/>
      </c>
      <c r="D3984" s="8">
        <f>QS.CONTEXT.ADD.CURVE(C3984,"SOFR",$K$2:$K$7,$L$2:$L$7,,,"Actual360","LogLinear",TRUE)</f>
        <v/>
      </c>
      <c r="E3984" s="8">
        <f>QS.INSTRUMENT.SWAP("swap.3982",C3984,H3984,B3984,"USD","SOFR",I3984,J3984,0,"Actual360","Simple","Annual","Annual","Annual")</f>
        <v/>
      </c>
      <c r="F3984" s="8">
        <f>QS.TRADE.CREATE("trade.3982",C3984,E3984,A3984,"Receive")</f>
        <v/>
      </c>
      <c r="G3984" s="5"/>
      <c r="H3984" s="7" t="s">
        <v>4024</v>
      </c>
      <c r="I3984" s="9">
        <v>1398200</v>
      </c>
      <c r="J3984" s="10">
        <v>0.0382</v>
      </c>
    </row>
    <row r="3985" spans="1:10">
      <c r="A3985" s="7" t="s">
        <v>4018</v>
      </c>
      <c r="B3985" s="7" t="s">
        <v>5852</v>
      </c>
      <c r="C3985" s="8">
        <f>QS.CONTEXT.CREATE("market.3983",A3985,"USD","SOFR")</f>
        <v/>
      </c>
      <c r="D3985" s="8">
        <f>QS.CONTEXT.ADD.CURVE(C3985,"SOFR",$K$2:$K$7,$L$2:$L$7,,,"Actual360","LogLinear",TRUE)</f>
        <v/>
      </c>
      <c r="E3985" s="8">
        <f>QS.INSTRUMENT.SWAP("swap.3983",C3985,H3985,B3985,"USD","SOFR",I3985,J3985,0,"Actual360","Simple","Annual","Annual","Annual")</f>
        <v/>
      </c>
      <c r="F3985" s="8">
        <f>QS.TRADE.CREATE("trade.3983",C3985,E3985,A3985,"Receive")</f>
        <v/>
      </c>
      <c r="G3985" s="5"/>
      <c r="H3985" s="7" t="s">
        <v>4025</v>
      </c>
      <c r="I3985" s="9">
        <v>1398300</v>
      </c>
      <c r="J3985" s="10">
        <v>0.0383</v>
      </c>
    </row>
    <row r="3986" spans="1:10">
      <c r="A3986" s="7" t="s">
        <v>4019</v>
      </c>
      <c r="B3986" s="7" t="s">
        <v>5853</v>
      </c>
      <c r="C3986" s="8">
        <f>QS.CONTEXT.CREATE("market.3984",A3986,"USD","SOFR")</f>
        <v/>
      </c>
      <c r="D3986" s="8">
        <f>QS.CONTEXT.ADD.CURVE(C3986,"SOFR",$K$2:$K$7,$L$2:$L$7,,,"Actual360","LogLinear",TRUE)</f>
        <v/>
      </c>
      <c r="E3986" s="8">
        <f>QS.INSTRUMENT.SWAP("swap.3984",C3986,H3986,B3986,"USD","SOFR",I3986,J3986,0,"Actual360","Simple","Annual","Annual","Annual")</f>
        <v/>
      </c>
      <c r="F3986" s="8">
        <f>QS.TRADE.CREATE("trade.3984",C3986,E3986,A3986,"Receive")</f>
        <v/>
      </c>
      <c r="G3986" s="5"/>
      <c r="H3986" s="7" t="s">
        <v>4026</v>
      </c>
      <c r="I3986" s="9">
        <v>1398400</v>
      </c>
      <c r="J3986" s="10">
        <v>0.0384</v>
      </c>
    </row>
    <row r="3987" spans="1:10">
      <c r="A3987" s="7" t="s">
        <v>4020</v>
      </c>
      <c r="B3987" s="7" t="s">
        <v>5854</v>
      </c>
      <c r="C3987" s="8">
        <f>QS.CONTEXT.CREATE("market.3985",A3987,"USD","SOFR")</f>
        <v/>
      </c>
      <c r="D3987" s="8">
        <f>QS.CONTEXT.ADD.CURVE(C3987,"SOFR",$K$2:$K$7,$L$2:$L$7,,,"Actual360","LogLinear",TRUE)</f>
        <v/>
      </c>
      <c r="E3987" s="8">
        <f>QS.INSTRUMENT.SWAP("swap.3985",C3987,H3987,B3987,"USD","SOFR",I3987,J3987,0,"Actual360","Simple","Annual","Annual","Annual")</f>
        <v/>
      </c>
      <c r="F3987" s="8">
        <f>QS.TRADE.CREATE("trade.3985",C3987,E3987,A3987,"Receive")</f>
        <v/>
      </c>
      <c r="G3987" s="5"/>
      <c r="H3987" s="7" t="s">
        <v>4027</v>
      </c>
      <c r="I3987" s="9">
        <v>1398500</v>
      </c>
      <c r="J3987" s="10">
        <v>0.03850000000000001</v>
      </c>
    </row>
    <row r="3988" spans="1:10">
      <c r="A3988" s="7" t="s">
        <v>4021</v>
      </c>
      <c r="B3988" s="7" t="s">
        <v>5855</v>
      </c>
      <c r="C3988" s="8">
        <f>QS.CONTEXT.CREATE("market.3986",A3988,"USD","SOFR")</f>
        <v/>
      </c>
      <c r="D3988" s="8">
        <f>QS.CONTEXT.ADD.CURVE(C3988,"SOFR",$K$2:$K$7,$L$2:$L$7,,,"Actual360","LogLinear",TRUE)</f>
        <v/>
      </c>
      <c r="E3988" s="8">
        <f>QS.INSTRUMENT.SWAP("swap.3986",C3988,H3988,B3988,"USD","SOFR",I3988,J3988,0,"Actual360","Simple","Annual","Annual","Annual")</f>
        <v/>
      </c>
      <c r="F3988" s="8">
        <f>QS.TRADE.CREATE("trade.3986",C3988,E3988,A3988,"Receive")</f>
        <v/>
      </c>
      <c r="G3988" s="5"/>
      <c r="H3988" s="7" t="s">
        <v>4028</v>
      </c>
      <c r="I3988" s="9">
        <v>1398600</v>
      </c>
      <c r="J3988" s="10">
        <v>0.0386</v>
      </c>
    </row>
    <row r="3989" spans="1:10">
      <c r="A3989" s="7" t="s">
        <v>4022</v>
      </c>
      <c r="B3989" s="7" t="s">
        <v>5856</v>
      </c>
      <c r="C3989" s="8">
        <f>QS.CONTEXT.CREATE("market.3987",A3989,"USD","SOFR")</f>
        <v/>
      </c>
      <c r="D3989" s="8">
        <f>QS.CONTEXT.ADD.CURVE(C3989,"SOFR",$K$2:$K$7,$L$2:$L$7,,,"Actual360","LogLinear",TRUE)</f>
        <v/>
      </c>
      <c r="E3989" s="8">
        <f>QS.INSTRUMENT.SWAP("swap.3987",C3989,H3989,B3989,"USD","SOFR",I3989,J3989,0,"Actual360","Simple","Annual","Annual","Annual")</f>
        <v/>
      </c>
      <c r="F3989" s="8">
        <f>QS.TRADE.CREATE("trade.3987",C3989,E3989,A3989,"Receive")</f>
        <v/>
      </c>
      <c r="G3989" s="5"/>
      <c r="H3989" s="7" t="s">
        <v>4029</v>
      </c>
      <c r="I3989" s="9">
        <v>1398700</v>
      </c>
      <c r="J3989" s="10">
        <v>0.03870000000000001</v>
      </c>
    </row>
    <row r="3990" spans="1:10">
      <c r="A3990" s="7" t="s">
        <v>4023</v>
      </c>
      <c r="B3990" s="7" t="s">
        <v>5857</v>
      </c>
      <c r="C3990" s="8">
        <f>QS.CONTEXT.CREATE("market.3988",A3990,"USD","SOFR")</f>
        <v/>
      </c>
      <c r="D3990" s="8">
        <f>QS.CONTEXT.ADD.CURVE(C3990,"SOFR",$K$2:$K$7,$L$2:$L$7,,,"Actual360","LogLinear",TRUE)</f>
        <v/>
      </c>
      <c r="E3990" s="8">
        <f>QS.INSTRUMENT.SWAP("swap.3988",C3990,H3990,B3990,"USD","SOFR",I3990,J3990,0,"Actual360","Simple","Annual","Annual","Annual")</f>
        <v/>
      </c>
      <c r="F3990" s="8">
        <f>QS.TRADE.CREATE("trade.3988",C3990,E3990,A3990,"Receive")</f>
        <v/>
      </c>
      <c r="G3990" s="5"/>
      <c r="H3990" s="7" t="s">
        <v>4030</v>
      </c>
      <c r="I3990" s="9">
        <v>1398800</v>
      </c>
      <c r="J3990" s="10">
        <v>0.0388</v>
      </c>
    </row>
    <row r="3991" spans="1:10">
      <c r="A3991" s="7" t="s">
        <v>4024</v>
      </c>
      <c r="B3991" s="7" t="s">
        <v>5858</v>
      </c>
      <c r="C3991" s="8">
        <f>QS.CONTEXT.CREATE("market.3989",A3991,"USD","SOFR")</f>
        <v/>
      </c>
      <c r="D3991" s="8">
        <f>QS.CONTEXT.ADD.CURVE(C3991,"SOFR",$K$2:$K$7,$L$2:$L$7,,,"Actual360","LogLinear",TRUE)</f>
        <v/>
      </c>
      <c r="E3991" s="8">
        <f>QS.INSTRUMENT.SWAP("swap.3989",C3991,H3991,B3991,"USD","SOFR",I3991,J3991,0,"Actual360","Simple","Annual","Annual","Annual")</f>
        <v/>
      </c>
      <c r="F3991" s="8">
        <f>QS.TRADE.CREATE("trade.3989",C3991,E3991,A3991,"Receive")</f>
        <v/>
      </c>
      <c r="G3991" s="5"/>
      <c r="H3991" s="7" t="s">
        <v>4031</v>
      </c>
      <c r="I3991" s="9">
        <v>1398900</v>
      </c>
      <c r="J3991" s="10">
        <v>0.0389</v>
      </c>
    </row>
    <row r="3992" spans="1:10">
      <c r="A3992" s="7" t="s">
        <v>4025</v>
      </c>
      <c r="B3992" s="7" t="s">
        <v>5859</v>
      </c>
      <c r="C3992" s="8">
        <f>QS.CONTEXT.CREATE("market.3990",A3992,"USD","SOFR")</f>
        <v/>
      </c>
      <c r="D3992" s="8">
        <f>QS.CONTEXT.ADD.CURVE(C3992,"SOFR",$K$2:$K$7,$L$2:$L$7,,,"Actual360","LogLinear",TRUE)</f>
        <v/>
      </c>
      <c r="E3992" s="8">
        <f>QS.INSTRUMENT.SWAP("swap.3990",C3992,H3992,B3992,"USD","SOFR",I3992,J3992,0,"Actual360","Simple","Annual","Annual","Annual")</f>
        <v/>
      </c>
      <c r="F3992" s="8">
        <f>QS.TRADE.CREATE("trade.3990",C3992,E3992,A3992,"Receive")</f>
        <v/>
      </c>
      <c r="G3992" s="5"/>
      <c r="H3992" s="7" t="s">
        <v>4032</v>
      </c>
      <c r="I3992" s="9">
        <v>1399000</v>
      </c>
      <c r="J3992" s="10">
        <v>0.03900000000000001</v>
      </c>
    </row>
    <row r="3993" spans="1:10">
      <c r="A3993" s="7" t="s">
        <v>4026</v>
      </c>
      <c r="B3993" s="7" t="s">
        <v>5860</v>
      </c>
      <c r="C3993" s="8">
        <f>QS.CONTEXT.CREATE("market.3991",A3993,"USD","SOFR")</f>
        <v/>
      </c>
      <c r="D3993" s="8">
        <f>QS.CONTEXT.ADD.CURVE(C3993,"SOFR",$K$2:$K$7,$L$2:$L$7,,,"Actual360","LogLinear",TRUE)</f>
        <v/>
      </c>
      <c r="E3993" s="8">
        <f>QS.INSTRUMENT.SWAP("swap.3991",C3993,H3993,B3993,"USD","SOFR",I3993,J3993,0,"Actual360","Simple","Annual","Annual","Annual")</f>
        <v/>
      </c>
      <c r="F3993" s="8">
        <f>QS.TRADE.CREATE("trade.3991",C3993,E3993,A3993,"Receive")</f>
        <v/>
      </c>
      <c r="G3993" s="5"/>
      <c r="H3993" s="7" t="s">
        <v>4033</v>
      </c>
      <c r="I3993" s="9">
        <v>1399100</v>
      </c>
      <c r="J3993" s="10">
        <v>0.0391</v>
      </c>
    </row>
    <row r="3994" spans="1:10">
      <c r="A3994" s="7" t="s">
        <v>4027</v>
      </c>
      <c r="B3994" s="7" t="s">
        <v>5861</v>
      </c>
      <c r="C3994" s="8">
        <f>QS.CONTEXT.CREATE("market.3992",A3994,"USD","SOFR")</f>
        <v/>
      </c>
      <c r="D3994" s="8">
        <f>QS.CONTEXT.ADD.CURVE(C3994,"SOFR",$K$2:$K$7,$L$2:$L$7,,,"Actual360","LogLinear",TRUE)</f>
        <v/>
      </c>
      <c r="E3994" s="8">
        <f>QS.INSTRUMENT.SWAP("swap.3992",C3994,H3994,B3994,"USD","SOFR",I3994,J3994,0,"Actual360","Simple","Annual","Annual","Annual")</f>
        <v/>
      </c>
      <c r="F3994" s="8">
        <f>QS.TRADE.CREATE("trade.3992",C3994,E3994,A3994,"Receive")</f>
        <v/>
      </c>
      <c r="G3994" s="5"/>
      <c r="H3994" s="7" t="s">
        <v>4034</v>
      </c>
      <c r="I3994" s="9">
        <v>1399200</v>
      </c>
      <c r="J3994" s="10">
        <v>0.03920000000000001</v>
      </c>
    </row>
    <row r="3995" spans="1:10">
      <c r="A3995" s="7" t="s">
        <v>4028</v>
      </c>
      <c r="B3995" s="7" t="s">
        <v>5862</v>
      </c>
      <c r="C3995" s="8">
        <f>QS.CONTEXT.CREATE("market.3993",A3995,"USD","SOFR")</f>
        <v/>
      </c>
      <c r="D3995" s="8">
        <f>QS.CONTEXT.ADD.CURVE(C3995,"SOFR",$K$2:$K$7,$L$2:$L$7,,,"Actual360","LogLinear",TRUE)</f>
        <v/>
      </c>
      <c r="E3995" s="8">
        <f>QS.INSTRUMENT.SWAP("swap.3993",C3995,H3995,B3995,"USD","SOFR",I3995,J3995,0,"Actual360","Simple","Annual","Annual","Annual")</f>
        <v/>
      </c>
      <c r="F3995" s="8">
        <f>QS.TRADE.CREATE("trade.3993",C3995,E3995,A3995,"Receive")</f>
        <v/>
      </c>
      <c r="G3995" s="5"/>
      <c r="H3995" s="7" t="s">
        <v>4035</v>
      </c>
      <c r="I3995" s="9">
        <v>1399300</v>
      </c>
      <c r="J3995" s="10">
        <v>0.0393</v>
      </c>
    </row>
    <row r="3996" spans="1:10">
      <c r="A3996" s="7" t="s">
        <v>4029</v>
      </c>
      <c r="B3996" s="7" t="s">
        <v>5863</v>
      </c>
      <c r="C3996" s="8">
        <f>QS.CONTEXT.CREATE("market.3994",A3996,"USD","SOFR")</f>
        <v/>
      </c>
      <c r="D3996" s="8">
        <f>QS.CONTEXT.ADD.CURVE(C3996,"SOFR",$K$2:$K$7,$L$2:$L$7,,,"Actual360","LogLinear",TRUE)</f>
        <v/>
      </c>
      <c r="E3996" s="8">
        <f>QS.INSTRUMENT.SWAP("swap.3994",C3996,H3996,B3996,"USD","SOFR",I3996,J3996,0,"Actual360","Simple","Annual","Annual","Annual")</f>
        <v/>
      </c>
      <c r="F3996" s="8">
        <f>QS.TRADE.CREATE("trade.3994",C3996,E3996,A3996,"Receive")</f>
        <v/>
      </c>
      <c r="G3996" s="5"/>
      <c r="H3996" s="7" t="s">
        <v>4036</v>
      </c>
      <c r="I3996" s="9">
        <v>1399400</v>
      </c>
      <c r="J3996" s="10">
        <v>0.0394</v>
      </c>
    </row>
    <row r="3997" spans="1:10">
      <c r="A3997" s="7" t="s">
        <v>4030</v>
      </c>
      <c r="B3997" s="7" t="s">
        <v>5864</v>
      </c>
      <c r="C3997" s="8">
        <f>QS.CONTEXT.CREATE("market.3995",A3997,"USD","SOFR")</f>
        <v/>
      </c>
      <c r="D3997" s="8">
        <f>QS.CONTEXT.ADD.CURVE(C3997,"SOFR",$K$2:$K$7,$L$2:$L$7,,,"Actual360","LogLinear",TRUE)</f>
        <v/>
      </c>
      <c r="E3997" s="8">
        <f>QS.INSTRUMENT.SWAP("swap.3995",C3997,H3997,B3997,"USD","SOFR",I3997,J3997,0,"Actual360","Simple","Annual","Annual","Annual")</f>
        <v/>
      </c>
      <c r="F3997" s="8">
        <f>QS.TRADE.CREATE("trade.3995",C3997,E3997,A3997,"Receive")</f>
        <v/>
      </c>
      <c r="G3997" s="5"/>
      <c r="H3997" s="7" t="s">
        <v>4037</v>
      </c>
      <c r="I3997" s="9">
        <v>1399500</v>
      </c>
      <c r="J3997" s="10">
        <v>0.03950000000000001</v>
      </c>
    </row>
    <row r="3998" spans="1:10">
      <c r="A3998" s="7" t="s">
        <v>4031</v>
      </c>
      <c r="B3998" s="7" t="s">
        <v>5865</v>
      </c>
      <c r="C3998" s="8">
        <f>QS.CONTEXT.CREATE("market.3996",A3998,"USD","SOFR")</f>
        <v/>
      </c>
      <c r="D3998" s="8">
        <f>QS.CONTEXT.ADD.CURVE(C3998,"SOFR",$K$2:$K$7,$L$2:$L$7,,,"Actual360","LogLinear",TRUE)</f>
        <v/>
      </c>
      <c r="E3998" s="8">
        <f>QS.INSTRUMENT.SWAP("swap.3996",C3998,H3998,B3998,"USD","SOFR",I3998,J3998,0,"Actual360","Simple","Annual","Annual","Annual")</f>
        <v/>
      </c>
      <c r="F3998" s="8">
        <f>QS.TRADE.CREATE("trade.3996",C3998,E3998,A3998,"Receive")</f>
        <v/>
      </c>
      <c r="G3998" s="5"/>
      <c r="H3998" s="7" t="s">
        <v>4038</v>
      </c>
      <c r="I3998" s="9">
        <v>1399600</v>
      </c>
      <c r="J3998" s="10">
        <v>0.0396</v>
      </c>
    </row>
    <row r="3999" spans="1:10">
      <c r="A3999" s="7" t="s">
        <v>4032</v>
      </c>
      <c r="B3999" s="7" t="s">
        <v>5866</v>
      </c>
      <c r="C3999" s="8">
        <f>QS.CONTEXT.CREATE("market.3997",A3999,"USD","SOFR")</f>
        <v/>
      </c>
      <c r="D3999" s="8">
        <f>QS.CONTEXT.ADD.CURVE(C3999,"SOFR",$K$2:$K$7,$L$2:$L$7,,,"Actual360","LogLinear",TRUE)</f>
        <v/>
      </c>
      <c r="E3999" s="8">
        <f>QS.INSTRUMENT.SWAP("swap.3997",C3999,H3999,B3999,"USD","SOFR",I3999,J3999,0,"Actual360","Simple","Annual","Annual","Annual")</f>
        <v/>
      </c>
      <c r="F3999" s="8">
        <f>QS.TRADE.CREATE("trade.3997",C3999,E3999,A3999,"Receive")</f>
        <v/>
      </c>
      <c r="G3999" s="5"/>
      <c r="H3999" s="7" t="s">
        <v>4039</v>
      </c>
      <c r="I3999" s="9">
        <v>1399700</v>
      </c>
      <c r="J3999" s="10">
        <v>0.03970000000000001</v>
      </c>
    </row>
    <row r="4000" spans="1:10">
      <c r="A4000" s="7" t="s">
        <v>4033</v>
      </c>
      <c r="B4000" s="7" t="s">
        <v>5867</v>
      </c>
      <c r="C4000" s="8">
        <f>QS.CONTEXT.CREATE("market.3998",A4000,"USD","SOFR")</f>
        <v/>
      </c>
      <c r="D4000" s="8">
        <f>QS.CONTEXT.ADD.CURVE(C4000,"SOFR",$K$2:$K$7,$L$2:$L$7,,,"Actual360","LogLinear",TRUE)</f>
        <v/>
      </c>
      <c r="E4000" s="8">
        <f>QS.INSTRUMENT.SWAP("swap.3998",C4000,H4000,B4000,"USD","SOFR",I4000,J4000,0,"Actual360","Simple","Annual","Annual","Annual")</f>
        <v/>
      </c>
      <c r="F4000" s="8">
        <f>QS.TRADE.CREATE("trade.3998",C4000,E4000,A4000,"Receive")</f>
        <v/>
      </c>
      <c r="G4000" s="5"/>
      <c r="H4000" s="7" t="s">
        <v>4040</v>
      </c>
      <c r="I4000" s="9">
        <v>1399800</v>
      </c>
      <c r="J4000" s="10">
        <v>0.0398</v>
      </c>
    </row>
    <row r="4001" spans="1:10">
      <c r="A4001" s="7" t="s">
        <v>4034</v>
      </c>
      <c r="B4001" s="7" t="s">
        <v>5868</v>
      </c>
      <c r="C4001" s="8">
        <f>QS.CONTEXT.CREATE("market.3999",A4001,"USD","SOFR")</f>
        <v/>
      </c>
      <c r="D4001" s="8">
        <f>QS.CONTEXT.ADD.CURVE(C4001,"SOFR",$K$2:$K$7,$L$2:$L$7,,,"Actual360","LogLinear",TRUE)</f>
        <v/>
      </c>
      <c r="E4001" s="8">
        <f>QS.INSTRUMENT.SWAP("swap.3999",C4001,H4001,B4001,"USD","SOFR",I4001,J4001,0,"Actual360","Simple","Annual","Annual","Annual")</f>
        <v/>
      </c>
      <c r="F4001" s="8">
        <f>QS.TRADE.CREATE("trade.3999",C4001,E4001,A4001,"Receive")</f>
        <v/>
      </c>
      <c r="G4001" s="5"/>
      <c r="H4001" s="7" t="s">
        <v>4041</v>
      </c>
      <c r="I4001" s="9">
        <v>1399900</v>
      </c>
      <c r="J4001" s="10">
        <v>0.0399</v>
      </c>
    </row>
    <row r="4002" spans="1:10">
      <c r="A4002" s="7" t="s">
        <v>4035</v>
      </c>
      <c r="B4002" s="7" t="s">
        <v>5869</v>
      </c>
      <c r="C4002" s="8">
        <f>QS.CONTEXT.CREATE("market.4000",A4002,"USD","SOFR")</f>
        <v/>
      </c>
      <c r="D4002" s="8">
        <f>QS.CONTEXT.ADD.CURVE(C4002,"SOFR",$K$2:$K$7,$L$2:$L$7,,,"Actual360","LogLinear",TRUE)</f>
        <v/>
      </c>
      <c r="E4002" s="8">
        <f>QS.INSTRUMENT.SWAP("swap.4000",C4002,H4002,B4002,"USD","SOFR",I4002,J4002,0,"Actual360","Simple","Annual","Annual","Annual")</f>
        <v/>
      </c>
      <c r="F4002" s="8">
        <f>QS.TRADE.CREATE("trade.4000",C4002,E4002,A4002,"Receive")</f>
        <v/>
      </c>
      <c r="G4002" s="5"/>
      <c r="H4002" s="7" t="s">
        <v>4042</v>
      </c>
      <c r="I4002" s="9">
        <v>1400000</v>
      </c>
      <c r="J4002" s="10">
        <v>0.035</v>
      </c>
    </row>
    <row r="4003" spans="1:10">
      <c r="A4003" s="7" t="s">
        <v>4036</v>
      </c>
      <c r="B4003" s="7" t="s">
        <v>5870</v>
      </c>
      <c r="C4003" s="8">
        <f>QS.CONTEXT.CREATE("market.4001",A4003,"USD","SOFR")</f>
        <v/>
      </c>
      <c r="D4003" s="8">
        <f>QS.CONTEXT.ADD.CURVE(C4003,"SOFR",$K$2:$K$7,$L$2:$L$7,,,"Actual360","LogLinear",TRUE)</f>
        <v/>
      </c>
      <c r="E4003" s="8">
        <f>QS.INSTRUMENT.SWAP("swap.4001",C4003,H4003,B4003,"USD","SOFR",I4003,J4003,0,"Actual360","Simple","Annual","Annual","Annual")</f>
        <v/>
      </c>
      <c r="F4003" s="8">
        <f>QS.TRADE.CREATE("trade.4001",C4003,E4003,A4003,"Receive")</f>
        <v/>
      </c>
      <c r="G4003" s="5"/>
      <c r="H4003" s="7" t="s">
        <v>4043</v>
      </c>
      <c r="I4003" s="9">
        <v>1400100</v>
      </c>
      <c r="J4003" s="10">
        <v>0.03510000000000001</v>
      </c>
    </row>
    <row r="4004" spans="1:10">
      <c r="A4004" s="7" t="s">
        <v>4037</v>
      </c>
      <c r="B4004" s="7" t="s">
        <v>5871</v>
      </c>
      <c r="C4004" s="8">
        <f>QS.CONTEXT.CREATE("market.4002",A4004,"USD","SOFR")</f>
        <v/>
      </c>
      <c r="D4004" s="8">
        <f>QS.CONTEXT.ADD.CURVE(C4004,"SOFR",$K$2:$K$7,$L$2:$L$7,,,"Actual360","LogLinear",TRUE)</f>
        <v/>
      </c>
      <c r="E4004" s="8">
        <f>QS.INSTRUMENT.SWAP("swap.4002",C4004,H4004,B4004,"USD","SOFR",I4004,J4004,0,"Actual360","Simple","Annual","Annual","Annual")</f>
        <v/>
      </c>
      <c r="F4004" s="8">
        <f>QS.TRADE.CREATE("trade.4002",C4004,E4004,A4004,"Receive")</f>
        <v/>
      </c>
      <c r="G4004" s="5"/>
      <c r="H4004" s="7" t="s">
        <v>4044</v>
      </c>
      <c r="I4004" s="9">
        <v>1400200</v>
      </c>
      <c r="J4004" s="10">
        <v>0.0352</v>
      </c>
    </row>
    <row r="4005" spans="1:10">
      <c r="A4005" s="7" t="s">
        <v>4038</v>
      </c>
      <c r="B4005" s="7" t="s">
        <v>5872</v>
      </c>
      <c r="C4005" s="8">
        <f>QS.CONTEXT.CREATE("market.4003",A4005,"USD","SOFR")</f>
        <v/>
      </c>
      <c r="D4005" s="8">
        <f>QS.CONTEXT.ADD.CURVE(C4005,"SOFR",$K$2:$K$7,$L$2:$L$7,,,"Actual360","LogLinear",TRUE)</f>
        <v/>
      </c>
      <c r="E4005" s="8">
        <f>QS.INSTRUMENT.SWAP("swap.4003",C4005,H4005,B4005,"USD","SOFR",I4005,J4005,0,"Actual360","Simple","Annual","Annual","Annual")</f>
        <v/>
      </c>
      <c r="F4005" s="8">
        <f>QS.TRADE.CREATE("trade.4003",C4005,E4005,A4005,"Receive")</f>
        <v/>
      </c>
      <c r="G4005" s="5"/>
      <c r="H4005" s="7" t="s">
        <v>4045</v>
      </c>
      <c r="I4005" s="9">
        <v>1400300</v>
      </c>
      <c r="J4005" s="10">
        <v>0.0353</v>
      </c>
    </row>
    <row r="4006" spans="1:10">
      <c r="A4006" s="7" t="s">
        <v>4039</v>
      </c>
      <c r="B4006" s="7" t="s">
        <v>5873</v>
      </c>
      <c r="C4006" s="8">
        <f>QS.CONTEXT.CREATE("market.4004",A4006,"USD","SOFR")</f>
        <v/>
      </c>
      <c r="D4006" s="8">
        <f>QS.CONTEXT.ADD.CURVE(C4006,"SOFR",$K$2:$K$7,$L$2:$L$7,,,"Actual360","LogLinear",TRUE)</f>
        <v/>
      </c>
      <c r="E4006" s="8">
        <f>QS.INSTRUMENT.SWAP("swap.4004",C4006,H4006,B4006,"USD","SOFR",I4006,J4006,0,"Actual360","Simple","Annual","Annual","Annual")</f>
        <v/>
      </c>
      <c r="F4006" s="8">
        <f>QS.TRADE.CREATE("trade.4004",C4006,E4006,A4006,"Receive")</f>
        <v/>
      </c>
      <c r="G4006" s="5"/>
      <c r="H4006" s="7" t="s">
        <v>4046</v>
      </c>
      <c r="I4006" s="9">
        <v>1400400</v>
      </c>
      <c r="J4006" s="10">
        <v>0.0354</v>
      </c>
    </row>
    <row r="4007" spans="1:10">
      <c r="A4007" s="7" t="s">
        <v>4040</v>
      </c>
      <c r="B4007" s="7" t="s">
        <v>5874</v>
      </c>
      <c r="C4007" s="8">
        <f>QS.CONTEXT.CREATE("market.4005",A4007,"USD","SOFR")</f>
        <v/>
      </c>
      <c r="D4007" s="8">
        <f>QS.CONTEXT.ADD.CURVE(C4007,"SOFR",$K$2:$K$7,$L$2:$L$7,,,"Actual360","LogLinear",TRUE)</f>
        <v/>
      </c>
      <c r="E4007" s="8">
        <f>QS.INSTRUMENT.SWAP("swap.4005",C4007,H4007,B4007,"USD","SOFR",I4007,J4007,0,"Actual360","Simple","Annual","Annual","Annual")</f>
        <v/>
      </c>
      <c r="F4007" s="8">
        <f>QS.TRADE.CREATE("trade.4005",C4007,E4007,A4007,"Receive")</f>
        <v/>
      </c>
      <c r="G4007" s="5"/>
      <c r="H4007" s="7" t="s">
        <v>4047</v>
      </c>
      <c r="I4007" s="9">
        <v>1400500</v>
      </c>
      <c r="J4007" s="10">
        <v>0.0355</v>
      </c>
    </row>
    <row r="4008" spans="1:10">
      <c r="A4008" s="7" t="s">
        <v>4041</v>
      </c>
      <c r="B4008" s="7" t="s">
        <v>5875</v>
      </c>
      <c r="C4008" s="8">
        <f>QS.CONTEXT.CREATE("market.4006",A4008,"USD","SOFR")</f>
        <v/>
      </c>
      <c r="D4008" s="8">
        <f>QS.CONTEXT.ADD.CURVE(C4008,"SOFR",$K$2:$K$7,$L$2:$L$7,,,"Actual360","LogLinear",TRUE)</f>
        <v/>
      </c>
      <c r="E4008" s="8">
        <f>QS.INSTRUMENT.SWAP("swap.4006",C4008,H4008,B4008,"USD","SOFR",I4008,J4008,0,"Actual360","Simple","Annual","Annual","Annual")</f>
        <v/>
      </c>
      <c r="F4008" s="8">
        <f>QS.TRADE.CREATE("trade.4006",C4008,E4008,A4008,"Receive")</f>
        <v/>
      </c>
      <c r="G4008" s="5"/>
      <c r="H4008" s="7" t="s">
        <v>4048</v>
      </c>
      <c r="I4008" s="9">
        <v>1400600</v>
      </c>
      <c r="J4008" s="10">
        <v>0.03560000000000001</v>
      </c>
    </row>
    <row r="4009" spans="1:10">
      <c r="A4009" s="7" t="s">
        <v>4042</v>
      </c>
      <c r="B4009" s="7" t="s">
        <v>5876</v>
      </c>
      <c r="C4009" s="8">
        <f>QS.CONTEXT.CREATE("market.4007",A4009,"USD","SOFR")</f>
        <v/>
      </c>
      <c r="D4009" s="8">
        <f>QS.CONTEXT.ADD.CURVE(C4009,"SOFR",$K$2:$K$7,$L$2:$L$7,,,"Actual360","LogLinear",TRUE)</f>
        <v/>
      </c>
      <c r="E4009" s="8">
        <f>QS.INSTRUMENT.SWAP("swap.4007",C4009,H4009,B4009,"USD","SOFR",I4009,J4009,0,"Actual360","Simple","Annual","Annual","Annual")</f>
        <v/>
      </c>
      <c r="F4009" s="8">
        <f>QS.TRADE.CREATE("trade.4007",C4009,E4009,A4009,"Receive")</f>
        <v/>
      </c>
      <c r="G4009" s="5"/>
      <c r="H4009" s="7" t="s">
        <v>4049</v>
      </c>
      <c r="I4009" s="9">
        <v>1400700</v>
      </c>
      <c r="J4009" s="10">
        <v>0.0357</v>
      </c>
    </row>
    <row r="4010" spans="1:10">
      <c r="A4010" s="7" t="s">
        <v>4043</v>
      </c>
      <c r="B4010" s="7" t="s">
        <v>5877</v>
      </c>
      <c r="C4010" s="8">
        <f>QS.CONTEXT.CREATE("market.4008",A4010,"USD","SOFR")</f>
        <v/>
      </c>
      <c r="D4010" s="8">
        <f>QS.CONTEXT.ADD.CURVE(C4010,"SOFR",$K$2:$K$7,$L$2:$L$7,,,"Actual360","LogLinear",TRUE)</f>
        <v/>
      </c>
      <c r="E4010" s="8">
        <f>QS.INSTRUMENT.SWAP("swap.4008",C4010,H4010,B4010,"USD","SOFR",I4010,J4010,0,"Actual360","Simple","Annual","Annual","Annual")</f>
        <v/>
      </c>
      <c r="F4010" s="8">
        <f>QS.TRADE.CREATE("trade.4008",C4010,E4010,A4010,"Receive")</f>
        <v/>
      </c>
      <c r="G4010" s="5"/>
      <c r="H4010" s="7" t="s">
        <v>4050</v>
      </c>
      <c r="I4010" s="9">
        <v>1400800</v>
      </c>
      <c r="J4010" s="10">
        <v>0.03580000000000001</v>
      </c>
    </row>
    <row r="4011" spans="1:10">
      <c r="A4011" s="7" t="s">
        <v>4044</v>
      </c>
      <c r="B4011" s="7" t="s">
        <v>5878</v>
      </c>
      <c r="C4011" s="8">
        <f>QS.CONTEXT.CREATE("market.4009",A4011,"USD","SOFR")</f>
        <v/>
      </c>
      <c r="D4011" s="8">
        <f>QS.CONTEXT.ADD.CURVE(C4011,"SOFR",$K$2:$K$7,$L$2:$L$7,,,"Actual360","LogLinear",TRUE)</f>
        <v/>
      </c>
      <c r="E4011" s="8">
        <f>QS.INSTRUMENT.SWAP("swap.4009",C4011,H4011,B4011,"USD","SOFR",I4011,J4011,0,"Actual360","Simple","Annual","Annual","Annual")</f>
        <v/>
      </c>
      <c r="F4011" s="8">
        <f>QS.TRADE.CREATE("trade.4009",C4011,E4011,A4011,"Receive")</f>
        <v/>
      </c>
      <c r="G4011" s="5"/>
      <c r="H4011" s="7" t="s">
        <v>4051</v>
      </c>
      <c r="I4011" s="9">
        <v>1400900</v>
      </c>
      <c r="J4011" s="10">
        <v>0.0359</v>
      </c>
    </row>
    <row r="4012" spans="1:10">
      <c r="A4012" s="7" t="s">
        <v>4045</v>
      </c>
      <c r="B4012" s="7" t="s">
        <v>5879</v>
      </c>
      <c r="C4012" s="8">
        <f>QS.CONTEXT.CREATE("market.4010",A4012,"USD","SOFR")</f>
        <v/>
      </c>
      <c r="D4012" s="8">
        <f>QS.CONTEXT.ADD.CURVE(C4012,"SOFR",$K$2:$K$7,$L$2:$L$7,,,"Actual360","LogLinear",TRUE)</f>
        <v/>
      </c>
      <c r="E4012" s="8">
        <f>QS.INSTRUMENT.SWAP("swap.4010",C4012,H4012,B4012,"USD","SOFR",I4012,J4012,0,"Actual360","Simple","Annual","Annual","Annual")</f>
        <v/>
      </c>
      <c r="F4012" s="8">
        <f>QS.TRADE.CREATE("trade.4010",C4012,E4012,A4012,"Receive")</f>
        <v/>
      </c>
      <c r="G4012" s="5"/>
      <c r="H4012" s="7" t="s">
        <v>4052</v>
      </c>
      <c r="I4012" s="9">
        <v>1401000</v>
      </c>
      <c r="J4012" s="10">
        <v>0.036</v>
      </c>
    </row>
    <row r="4013" spans="1:10">
      <c r="A4013" s="7" t="s">
        <v>4046</v>
      </c>
      <c r="B4013" s="7" t="s">
        <v>5880</v>
      </c>
      <c r="C4013" s="8">
        <f>QS.CONTEXT.CREATE("market.4011",A4013,"USD","SOFR")</f>
        <v/>
      </c>
      <c r="D4013" s="8">
        <f>QS.CONTEXT.ADD.CURVE(C4013,"SOFR",$K$2:$K$7,$L$2:$L$7,,,"Actual360","LogLinear",TRUE)</f>
        <v/>
      </c>
      <c r="E4013" s="8">
        <f>QS.INSTRUMENT.SWAP("swap.4011",C4013,H4013,B4013,"USD","SOFR",I4013,J4013,0,"Actual360","Simple","Annual","Annual","Annual")</f>
        <v/>
      </c>
      <c r="F4013" s="8">
        <f>QS.TRADE.CREATE("trade.4011",C4013,E4013,A4013,"Receive")</f>
        <v/>
      </c>
      <c r="G4013" s="5"/>
      <c r="H4013" s="7" t="s">
        <v>4053</v>
      </c>
      <c r="I4013" s="9">
        <v>1401100</v>
      </c>
      <c r="J4013" s="10">
        <v>0.0361</v>
      </c>
    </row>
    <row r="4014" spans="1:10">
      <c r="A4014" s="7" t="s">
        <v>4047</v>
      </c>
      <c r="B4014" s="7" t="s">
        <v>5881</v>
      </c>
      <c r="C4014" s="8">
        <f>QS.CONTEXT.CREATE("market.4012",A4014,"USD","SOFR")</f>
        <v/>
      </c>
      <c r="D4014" s="8">
        <f>QS.CONTEXT.ADD.CURVE(C4014,"SOFR",$K$2:$K$7,$L$2:$L$7,,,"Actual360","LogLinear",TRUE)</f>
        <v/>
      </c>
      <c r="E4014" s="8">
        <f>QS.INSTRUMENT.SWAP("swap.4012",C4014,H4014,B4014,"USD","SOFR",I4014,J4014,0,"Actual360","Simple","Annual","Annual","Annual")</f>
        <v/>
      </c>
      <c r="F4014" s="8">
        <f>QS.TRADE.CREATE("trade.4012",C4014,E4014,A4014,"Receive")</f>
        <v/>
      </c>
      <c r="G4014" s="5"/>
      <c r="H4014" s="7" t="s">
        <v>4054</v>
      </c>
      <c r="I4014" s="9">
        <v>1401200</v>
      </c>
      <c r="J4014" s="10">
        <v>0.0362</v>
      </c>
    </row>
    <row r="4015" spans="1:10">
      <c r="A4015" s="7" t="s">
        <v>4048</v>
      </c>
      <c r="B4015" s="7" t="s">
        <v>5882</v>
      </c>
      <c r="C4015" s="8">
        <f>QS.CONTEXT.CREATE("market.4013",A4015,"USD","SOFR")</f>
        <v/>
      </c>
      <c r="D4015" s="8">
        <f>QS.CONTEXT.ADD.CURVE(C4015,"SOFR",$K$2:$K$7,$L$2:$L$7,,,"Actual360","LogLinear",TRUE)</f>
        <v/>
      </c>
      <c r="E4015" s="8">
        <f>QS.INSTRUMENT.SWAP("swap.4013",C4015,H4015,B4015,"USD","SOFR",I4015,J4015,0,"Actual360","Simple","Annual","Annual","Annual")</f>
        <v/>
      </c>
      <c r="F4015" s="8">
        <f>QS.TRADE.CREATE("trade.4013",C4015,E4015,A4015,"Receive")</f>
        <v/>
      </c>
      <c r="G4015" s="5"/>
      <c r="H4015" s="7" t="s">
        <v>4055</v>
      </c>
      <c r="I4015" s="9">
        <v>1401300</v>
      </c>
      <c r="J4015" s="10">
        <v>0.03630000000000001</v>
      </c>
    </row>
    <row r="4016" spans="1:10">
      <c r="A4016" s="7" t="s">
        <v>4049</v>
      </c>
      <c r="B4016" s="7" t="s">
        <v>5883</v>
      </c>
      <c r="C4016" s="8">
        <f>QS.CONTEXT.CREATE("market.4014",A4016,"USD","SOFR")</f>
        <v/>
      </c>
      <c r="D4016" s="8">
        <f>QS.CONTEXT.ADD.CURVE(C4016,"SOFR",$K$2:$K$7,$L$2:$L$7,,,"Actual360","LogLinear",TRUE)</f>
        <v/>
      </c>
      <c r="E4016" s="8">
        <f>QS.INSTRUMENT.SWAP("swap.4014",C4016,H4016,B4016,"USD","SOFR",I4016,J4016,0,"Actual360","Simple","Annual","Annual","Annual")</f>
        <v/>
      </c>
      <c r="F4016" s="8">
        <f>QS.TRADE.CREATE("trade.4014",C4016,E4016,A4016,"Receive")</f>
        <v/>
      </c>
      <c r="G4016" s="5"/>
      <c r="H4016" s="7" t="s">
        <v>4056</v>
      </c>
      <c r="I4016" s="9">
        <v>1401400</v>
      </c>
      <c r="J4016" s="10">
        <v>0.0364</v>
      </c>
    </row>
    <row r="4017" spans="1:10">
      <c r="A4017" s="7" t="s">
        <v>4050</v>
      </c>
      <c r="B4017" s="7" t="s">
        <v>5884</v>
      </c>
      <c r="C4017" s="8">
        <f>QS.CONTEXT.CREATE("market.4015",A4017,"USD","SOFR")</f>
        <v/>
      </c>
      <c r="D4017" s="8">
        <f>QS.CONTEXT.ADD.CURVE(C4017,"SOFR",$K$2:$K$7,$L$2:$L$7,,,"Actual360","LogLinear",TRUE)</f>
        <v/>
      </c>
      <c r="E4017" s="8">
        <f>QS.INSTRUMENT.SWAP("swap.4015",C4017,H4017,B4017,"USD","SOFR",I4017,J4017,0,"Actual360","Simple","Annual","Annual","Annual")</f>
        <v/>
      </c>
      <c r="F4017" s="8">
        <f>QS.TRADE.CREATE("trade.4015",C4017,E4017,A4017,"Receive")</f>
        <v/>
      </c>
      <c r="G4017" s="5"/>
      <c r="H4017" s="7" t="s">
        <v>4057</v>
      </c>
      <c r="I4017" s="9">
        <v>1401500</v>
      </c>
      <c r="J4017" s="10">
        <v>0.0365</v>
      </c>
    </row>
    <row r="4018" spans="1:10">
      <c r="A4018" s="7" t="s">
        <v>4051</v>
      </c>
      <c r="B4018" s="7" t="s">
        <v>5885</v>
      </c>
      <c r="C4018" s="8">
        <f>QS.CONTEXT.CREATE("market.4016",A4018,"USD","SOFR")</f>
        <v/>
      </c>
      <c r="D4018" s="8">
        <f>QS.CONTEXT.ADD.CURVE(C4018,"SOFR",$K$2:$K$7,$L$2:$L$7,,,"Actual360","LogLinear",TRUE)</f>
        <v/>
      </c>
      <c r="E4018" s="8">
        <f>QS.INSTRUMENT.SWAP("swap.4016",C4018,H4018,B4018,"USD","SOFR",I4018,J4018,0,"Actual360","Simple","Annual","Annual","Annual")</f>
        <v/>
      </c>
      <c r="F4018" s="8">
        <f>QS.TRADE.CREATE("trade.4016",C4018,E4018,A4018,"Receive")</f>
        <v/>
      </c>
      <c r="G4018" s="5"/>
      <c r="H4018" s="7" t="s">
        <v>4058</v>
      </c>
      <c r="I4018" s="9">
        <v>1401600</v>
      </c>
      <c r="J4018" s="10">
        <v>0.0366</v>
      </c>
    </row>
    <row r="4019" spans="1:10">
      <c r="A4019" s="7" t="s">
        <v>4052</v>
      </c>
      <c r="B4019" s="7" t="s">
        <v>5886</v>
      </c>
      <c r="C4019" s="8">
        <f>QS.CONTEXT.CREATE("market.4017",A4019,"USD","SOFR")</f>
        <v/>
      </c>
      <c r="D4019" s="8">
        <f>QS.CONTEXT.ADD.CURVE(C4019,"SOFR",$K$2:$K$7,$L$2:$L$7,,,"Actual360","LogLinear",TRUE)</f>
        <v/>
      </c>
      <c r="E4019" s="8">
        <f>QS.INSTRUMENT.SWAP("swap.4017",C4019,H4019,B4019,"USD","SOFR",I4019,J4019,0,"Actual360","Simple","Annual","Annual","Annual")</f>
        <v/>
      </c>
      <c r="F4019" s="8">
        <f>QS.TRADE.CREATE("trade.4017",C4019,E4019,A4019,"Receive")</f>
        <v/>
      </c>
      <c r="G4019" s="5"/>
      <c r="H4019" s="7" t="s">
        <v>4059</v>
      </c>
      <c r="I4019" s="9">
        <v>1401700</v>
      </c>
      <c r="J4019" s="10">
        <v>0.0367</v>
      </c>
    </row>
    <row r="4020" spans="1:10">
      <c r="A4020" s="7" t="s">
        <v>4053</v>
      </c>
      <c r="B4020" s="7" t="s">
        <v>5887</v>
      </c>
      <c r="C4020" s="8">
        <f>QS.CONTEXT.CREATE("market.4018",A4020,"USD","SOFR")</f>
        <v/>
      </c>
      <c r="D4020" s="8">
        <f>QS.CONTEXT.ADD.CURVE(C4020,"SOFR",$K$2:$K$7,$L$2:$L$7,,,"Actual360","LogLinear",TRUE)</f>
        <v/>
      </c>
      <c r="E4020" s="8">
        <f>QS.INSTRUMENT.SWAP("swap.4018",C4020,H4020,B4020,"USD","SOFR",I4020,J4020,0,"Actual360","Simple","Annual","Annual","Annual")</f>
        <v/>
      </c>
      <c r="F4020" s="8">
        <f>QS.TRADE.CREATE("trade.4018",C4020,E4020,A4020,"Receive")</f>
        <v/>
      </c>
      <c r="G4020" s="5"/>
      <c r="H4020" s="7" t="s">
        <v>4060</v>
      </c>
      <c r="I4020" s="9">
        <v>1401800</v>
      </c>
      <c r="J4020" s="10">
        <v>0.03680000000000001</v>
      </c>
    </row>
    <row r="4021" spans="1:10">
      <c r="A4021" s="7" t="s">
        <v>4054</v>
      </c>
      <c r="B4021" s="7" t="s">
        <v>5888</v>
      </c>
      <c r="C4021" s="8">
        <f>QS.CONTEXT.CREATE("market.4019",A4021,"USD","SOFR")</f>
        <v/>
      </c>
      <c r="D4021" s="8">
        <f>QS.CONTEXT.ADD.CURVE(C4021,"SOFR",$K$2:$K$7,$L$2:$L$7,,,"Actual360","LogLinear",TRUE)</f>
        <v/>
      </c>
      <c r="E4021" s="8">
        <f>QS.INSTRUMENT.SWAP("swap.4019",C4021,H4021,B4021,"USD","SOFR",I4021,J4021,0,"Actual360","Simple","Annual","Annual","Annual")</f>
        <v/>
      </c>
      <c r="F4021" s="8">
        <f>QS.TRADE.CREATE("trade.4019",C4021,E4021,A4021,"Receive")</f>
        <v/>
      </c>
      <c r="G4021" s="5"/>
      <c r="H4021" s="7" t="s">
        <v>4061</v>
      </c>
      <c r="I4021" s="9">
        <v>1401900</v>
      </c>
      <c r="J4021" s="10">
        <v>0.0369</v>
      </c>
    </row>
    <row r="4022" spans="1:10">
      <c r="A4022" s="7" t="s">
        <v>4055</v>
      </c>
      <c r="B4022" s="7" t="s">
        <v>5889</v>
      </c>
      <c r="C4022" s="8">
        <f>QS.CONTEXT.CREATE("market.4020",A4022,"USD","SOFR")</f>
        <v/>
      </c>
      <c r="D4022" s="8">
        <f>QS.CONTEXT.ADD.CURVE(C4022,"SOFR",$K$2:$K$7,$L$2:$L$7,,,"Actual360","LogLinear",TRUE)</f>
        <v/>
      </c>
      <c r="E4022" s="8">
        <f>QS.INSTRUMENT.SWAP("swap.4020",C4022,H4022,B4022,"USD","SOFR",I4022,J4022,0,"Actual360","Simple","Annual","Annual","Annual")</f>
        <v/>
      </c>
      <c r="F4022" s="8">
        <f>QS.TRADE.CREATE("trade.4020",C4022,E4022,A4022,"Receive")</f>
        <v/>
      </c>
      <c r="G4022" s="5"/>
      <c r="H4022" s="7" t="s">
        <v>4062</v>
      </c>
      <c r="I4022" s="9">
        <v>1402000</v>
      </c>
      <c r="J4022" s="10">
        <v>0.03700000000000001</v>
      </c>
    </row>
    <row r="4023" spans="1:10">
      <c r="A4023" s="7" t="s">
        <v>4056</v>
      </c>
      <c r="B4023" s="7" t="s">
        <v>5890</v>
      </c>
      <c r="C4023" s="8">
        <f>QS.CONTEXT.CREATE("market.4021",A4023,"USD","SOFR")</f>
        <v/>
      </c>
      <c r="D4023" s="8">
        <f>QS.CONTEXT.ADD.CURVE(C4023,"SOFR",$K$2:$K$7,$L$2:$L$7,,,"Actual360","LogLinear",TRUE)</f>
        <v/>
      </c>
      <c r="E4023" s="8">
        <f>QS.INSTRUMENT.SWAP("swap.4021",C4023,H4023,B4023,"USD","SOFR",I4023,J4023,0,"Actual360","Simple","Annual","Annual","Annual")</f>
        <v/>
      </c>
      <c r="F4023" s="8">
        <f>QS.TRADE.CREATE("trade.4021",C4023,E4023,A4023,"Receive")</f>
        <v/>
      </c>
      <c r="G4023" s="5"/>
      <c r="H4023" s="7" t="s">
        <v>4063</v>
      </c>
      <c r="I4023" s="9">
        <v>1402100</v>
      </c>
      <c r="J4023" s="10">
        <v>0.0371</v>
      </c>
    </row>
    <row r="4024" spans="1:10">
      <c r="A4024" s="7" t="s">
        <v>4057</v>
      </c>
      <c r="B4024" s="7" t="s">
        <v>5891</v>
      </c>
      <c r="C4024" s="8">
        <f>QS.CONTEXT.CREATE("market.4022",A4024,"USD","SOFR")</f>
        <v/>
      </c>
      <c r="D4024" s="8">
        <f>QS.CONTEXT.ADD.CURVE(C4024,"SOFR",$K$2:$K$7,$L$2:$L$7,,,"Actual360","LogLinear",TRUE)</f>
        <v/>
      </c>
      <c r="E4024" s="8">
        <f>QS.INSTRUMENT.SWAP("swap.4022",C4024,H4024,B4024,"USD","SOFR",I4024,J4024,0,"Actual360","Simple","Annual","Annual","Annual")</f>
        <v/>
      </c>
      <c r="F4024" s="8">
        <f>QS.TRADE.CREATE("trade.4022",C4024,E4024,A4024,"Receive")</f>
        <v/>
      </c>
      <c r="G4024" s="5"/>
      <c r="H4024" s="7" t="s">
        <v>4064</v>
      </c>
      <c r="I4024" s="9">
        <v>1402200</v>
      </c>
      <c r="J4024" s="10">
        <v>0.0372</v>
      </c>
    </row>
    <row r="4025" spans="1:10">
      <c r="A4025" s="7" t="s">
        <v>4058</v>
      </c>
      <c r="B4025" s="7" t="s">
        <v>5892</v>
      </c>
      <c r="C4025" s="8">
        <f>QS.CONTEXT.CREATE("market.4023",A4025,"USD","SOFR")</f>
        <v/>
      </c>
      <c r="D4025" s="8">
        <f>QS.CONTEXT.ADD.CURVE(C4025,"SOFR",$K$2:$K$7,$L$2:$L$7,,,"Actual360","LogLinear",TRUE)</f>
        <v/>
      </c>
      <c r="E4025" s="8">
        <f>QS.INSTRUMENT.SWAP("swap.4023",C4025,H4025,B4025,"USD","SOFR",I4025,J4025,0,"Actual360","Simple","Annual","Annual","Annual")</f>
        <v/>
      </c>
      <c r="F4025" s="8">
        <f>QS.TRADE.CREATE("trade.4023",C4025,E4025,A4025,"Receive")</f>
        <v/>
      </c>
      <c r="G4025" s="5"/>
      <c r="H4025" s="7" t="s">
        <v>4065</v>
      </c>
      <c r="I4025" s="9">
        <v>1402300</v>
      </c>
      <c r="J4025" s="10">
        <v>0.0373</v>
      </c>
    </row>
    <row r="4026" spans="1:10">
      <c r="A4026" s="7" t="s">
        <v>4059</v>
      </c>
      <c r="B4026" s="7" t="s">
        <v>5893</v>
      </c>
      <c r="C4026" s="8">
        <f>QS.CONTEXT.CREATE("market.4024",A4026,"USD","SOFR")</f>
        <v/>
      </c>
      <c r="D4026" s="8">
        <f>QS.CONTEXT.ADD.CURVE(C4026,"SOFR",$K$2:$K$7,$L$2:$L$7,,,"Actual360","LogLinear",TRUE)</f>
        <v/>
      </c>
      <c r="E4026" s="8">
        <f>QS.INSTRUMENT.SWAP("swap.4024",C4026,H4026,B4026,"USD","SOFR",I4026,J4026,0,"Actual360","Simple","Annual","Annual","Annual")</f>
        <v/>
      </c>
      <c r="F4026" s="8">
        <f>QS.TRADE.CREATE("trade.4024",C4026,E4026,A4026,"Receive")</f>
        <v/>
      </c>
      <c r="G4026" s="5"/>
      <c r="H4026" s="7" t="s">
        <v>4066</v>
      </c>
      <c r="I4026" s="9">
        <v>1402400</v>
      </c>
      <c r="J4026" s="10">
        <v>0.0374</v>
      </c>
    </row>
    <row r="4027" spans="1:10">
      <c r="A4027" s="7" t="s">
        <v>4060</v>
      </c>
      <c r="B4027" s="7" t="s">
        <v>5894</v>
      </c>
      <c r="C4027" s="8">
        <f>QS.CONTEXT.CREATE("market.4025",A4027,"USD","SOFR")</f>
        <v/>
      </c>
      <c r="D4027" s="8">
        <f>QS.CONTEXT.ADD.CURVE(C4027,"SOFR",$K$2:$K$7,$L$2:$L$7,,,"Actual360","LogLinear",TRUE)</f>
        <v/>
      </c>
      <c r="E4027" s="8">
        <f>QS.INSTRUMENT.SWAP("swap.4025",C4027,H4027,B4027,"USD","SOFR",I4027,J4027,0,"Actual360","Simple","Annual","Annual","Annual")</f>
        <v/>
      </c>
      <c r="F4027" s="8">
        <f>QS.TRADE.CREATE("trade.4025",C4027,E4027,A4027,"Receive")</f>
        <v/>
      </c>
      <c r="G4027" s="5"/>
      <c r="H4027" s="7" t="s">
        <v>4067</v>
      </c>
      <c r="I4027" s="9">
        <v>1402500</v>
      </c>
      <c r="J4027" s="10">
        <v>0.03750000000000001</v>
      </c>
    </row>
    <row r="4028" spans="1:10">
      <c r="A4028" s="7" t="s">
        <v>4061</v>
      </c>
      <c r="B4028" s="7" t="s">
        <v>5895</v>
      </c>
      <c r="C4028" s="8">
        <f>QS.CONTEXT.CREATE("market.4026",A4028,"USD","SOFR")</f>
        <v/>
      </c>
      <c r="D4028" s="8">
        <f>QS.CONTEXT.ADD.CURVE(C4028,"SOFR",$K$2:$K$7,$L$2:$L$7,,,"Actual360","LogLinear",TRUE)</f>
        <v/>
      </c>
      <c r="E4028" s="8">
        <f>QS.INSTRUMENT.SWAP("swap.4026",C4028,H4028,B4028,"USD","SOFR",I4028,J4028,0,"Actual360","Simple","Annual","Annual","Annual")</f>
        <v/>
      </c>
      <c r="F4028" s="8">
        <f>QS.TRADE.CREATE("trade.4026",C4028,E4028,A4028,"Receive")</f>
        <v/>
      </c>
      <c r="G4028" s="5"/>
      <c r="H4028" s="7" t="s">
        <v>4068</v>
      </c>
      <c r="I4028" s="9">
        <v>1402600</v>
      </c>
      <c r="J4028" s="10">
        <v>0.0376</v>
      </c>
    </row>
    <row r="4029" spans="1:10">
      <c r="A4029" s="7" t="s">
        <v>4062</v>
      </c>
      <c r="B4029" s="7" t="s">
        <v>5896</v>
      </c>
      <c r="C4029" s="8">
        <f>QS.CONTEXT.CREATE("market.4027",A4029,"USD","SOFR")</f>
        <v/>
      </c>
      <c r="D4029" s="8">
        <f>QS.CONTEXT.ADD.CURVE(C4029,"SOFR",$K$2:$K$7,$L$2:$L$7,,,"Actual360","LogLinear",TRUE)</f>
        <v/>
      </c>
      <c r="E4029" s="8">
        <f>QS.INSTRUMENT.SWAP("swap.4027",C4029,H4029,B4029,"USD","SOFR",I4029,J4029,0,"Actual360","Simple","Annual","Annual","Annual")</f>
        <v/>
      </c>
      <c r="F4029" s="8">
        <f>QS.TRADE.CREATE("trade.4027",C4029,E4029,A4029,"Receive")</f>
        <v/>
      </c>
      <c r="G4029" s="5"/>
      <c r="H4029" s="7" t="s">
        <v>4069</v>
      </c>
      <c r="I4029" s="9">
        <v>1402700</v>
      </c>
      <c r="J4029" s="10">
        <v>0.0377</v>
      </c>
    </row>
    <row r="4030" spans="1:10">
      <c r="A4030" s="7" t="s">
        <v>4063</v>
      </c>
      <c r="B4030" s="7" t="s">
        <v>5897</v>
      </c>
      <c r="C4030" s="8">
        <f>QS.CONTEXT.CREATE("market.4028",A4030,"USD","SOFR")</f>
        <v/>
      </c>
      <c r="D4030" s="8">
        <f>QS.CONTEXT.ADD.CURVE(C4030,"SOFR",$K$2:$K$7,$L$2:$L$7,,,"Actual360","LogLinear",TRUE)</f>
        <v/>
      </c>
      <c r="E4030" s="8">
        <f>QS.INSTRUMENT.SWAP("swap.4028",C4030,H4030,B4030,"USD","SOFR",I4030,J4030,0,"Actual360","Simple","Annual","Annual","Annual")</f>
        <v/>
      </c>
      <c r="F4030" s="8">
        <f>QS.TRADE.CREATE("trade.4028",C4030,E4030,A4030,"Receive")</f>
        <v/>
      </c>
      <c r="G4030" s="5"/>
      <c r="H4030" s="7" t="s">
        <v>4070</v>
      </c>
      <c r="I4030" s="9">
        <v>1402800</v>
      </c>
      <c r="J4030" s="10">
        <v>0.0378</v>
      </c>
    </row>
    <row r="4031" spans="1:10">
      <c r="A4031" s="7" t="s">
        <v>4064</v>
      </c>
      <c r="B4031" s="7" t="s">
        <v>5898</v>
      </c>
      <c r="C4031" s="8">
        <f>QS.CONTEXT.CREATE("market.4029",A4031,"USD","SOFR")</f>
        <v/>
      </c>
      <c r="D4031" s="8">
        <f>QS.CONTEXT.ADD.CURVE(C4031,"SOFR",$K$2:$K$7,$L$2:$L$7,,,"Actual360","LogLinear",TRUE)</f>
        <v/>
      </c>
      <c r="E4031" s="8">
        <f>QS.INSTRUMENT.SWAP("swap.4029",C4031,H4031,B4031,"USD","SOFR",I4031,J4031,0,"Actual360","Simple","Annual","Annual","Annual")</f>
        <v/>
      </c>
      <c r="F4031" s="8">
        <f>QS.TRADE.CREATE("trade.4029",C4031,E4031,A4031,"Receive")</f>
        <v/>
      </c>
      <c r="G4031" s="5"/>
      <c r="H4031" s="7" t="s">
        <v>4071</v>
      </c>
      <c r="I4031" s="9">
        <v>1402900</v>
      </c>
      <c r="J4031" s="10">
        <v>0.0379</v>
      </c>
    </row>
    <row r="4032" spans="1:10">
      <c r="A4032" s="7" t="s">
        <v>4065</v>
      </c>
      <c r="B4032" s="7" t="s">
        <v>5899</v>
      </c>
      <c r="C4032" s="8">
        <f>QS.CONTEXT.CREATE("market.4030",A4032,"USD","SOFR")</f>
        <v/>
      </c>
      <c r="D4032" s="8">
        <f>QS.CONTEXT.ADD.CURVE(C4032,"SOFR",$K$2:$K$7,$L$2:$L$7,,,"Actual360","LogLinear",TRUE)</f>
        <v/>
      </c>
      <c r="E4032" s="8">
        <f>QS.INSTRUMENT.SWAP("swap.4030",C4032,H4032,B4032,"USD","SOFR",I4032,J4032,0,"Actual360","Simple","Annual","Annual","Annual")</f>
        <v/>
      </c>
      <c r="F4032" s="8">
        <f>QS.TRADE.CREATE("trade.4030",C4032,E4032,A4032,"Receive")</f>
        <v/>
      </c>
      <c r="G4032" s="5"/>
      <c r="H4032" s="7" t="s">
        <v>4072</v>
      </c>
      <c r="I4032" s="9">
        <v>1403000</v>
      </c>
      <c r="J4032" s="10">
        <v>0.03800000000000001</v>
      </c>
    </row>
    <row r="4033" spans="1:10">
      <c r="A4033" s="7" t="s">
        <v>4066</v>
      </c>
      <c r="B4033" s="7" t="s">
        <v>5900</v>
      </c>
      <c r="C4033" s="8">
        <f>QS.CONTEXT.CREATE("market.4031",A4033,"USD","SOFR")</f>
        <v/>
      </c>
      <c r="D4033" s="8">
        <f>QS.CONTEXT.ADD.CURVE(C4033,"SOFR",$K$2:$K$7,$L$2:$L$7,,,"Actual360","LogLinear",TRUE)</f>
        <v/>
      </c>
      <c r="E4033" s="8">
        <f>QS.INSTRUMENT.SWAP("swap.4031",C4033,H4033,B4033,"USD","SOFR",I4033,J4033,0,"Actual360","Simple","Annual","Annual","Annual")</f>
        <v/>
      </c>
      <c r="F4033" s="8">
        <f>QS.TRADE.CREATE("trade.4031",C4033,E4033,A4033,"Receive")</f>
        <v/>
      </c>
      <c r="G4033" s="5"/>
      <c r="H4033" s="7" t="s">
        <v>4073</v>
      </c>
      <c r="I4033" s="9">
        <v>1403100</v>
      </c>
      <c r="J4033" s="10">
        <v>0.0381</v>
      </c>
    </row>
    <row r="4034" spans="1:10">
      <c r="A4034" s="7" t="s">
        <v>4067</v>
      </c>
      <c r="B4034" s="7" t="s">
        <v>5901</v>
      </c>
      <c r="C4034" s="8">
        <f>QS.CONTEXT.CREATE("market.4032",A4034,"USD","SOFR")</f>
        <v/>
      </c>
      <c r="D4034" s="8">
        <f>QS.CONTEXT.ADD.CURVE(C4034,"SOFR",$K$2:$K$7,$L$2:$L$7,,,"Actual360","LogLinear",TRUE)</f>
        <v/>
      </c>
      <c r="E4034" s="8">
        <f>QS.INSTRUMENT.SWAP("swap.4032",C4034,H4034,B4034,"USD","SOFR",I4034,J4034,0,"Actual360","Simple","Annual","Annual","Annual")</f>
        <v/>
      </c>
      <c r="F4034" s="8">
        <f>QS.TRADE.CREATE("trade.4032",C4034,E4034,A4034,"Receive")</f>
        <v/>
      </c>
      <c r="G4034" s="5"/>
      <c r="H4034" s="7" t="s">
        <v>4074</v>
      </c>
      <c r="I4034" s="9">
        <v>1403200</v>
      </c>
      <c r="J4034" s="10">
        <v>0.0382</v>
      </c>
    </row>
    <row r="4035" spans="1:10">
      <c r="A4035" s="7" t="s">
        <v>4068</v>
      </c>
      <c r="B4035" s="7" t="s">
        <v>5902</v>
      </c>
      <c r="C4035" s="8">
        <f>QS.CONTEXT.CREATE("market.4033",A4035,"USD","SOFR")</f>
        <v/>
      </c>
      <c r="D4035" s="8">
        <f>QS.CONTEXT.ADD.CURVE(C4035,"SOFR",$K$2:$K$7,$L$2:$L$7,,,"Actual360","LogLinear",TRUE)</f>
        <v/>
      </c>
      <c r="E4035" s="8">
        <f>QS.INSTRUMENT.SWAP("swap.4033",C4035,H4035,B4035,"USD","SOFR",I4035,J4035,0,"Actual360","Simple","Annual","Annual","Annual")</f>
        <v/>
      </c>
      <c r="F4035" s="8">
        <f>QS.TRADE.CREATE("trade.4033",C4035,E4035,A4035,"Receive")</f>
        <v/>
      </c>
      <c r="G4035" s="5"/>
      <c r="H4035" s="7" t="s">
        <v>4075</v>
      </c>
      <c r="I4035" s="9">
        <v>1403300</v>
      </c>
      <c r="J4035" s="10">
        <v>0.0383</v>
      </c>
    </row>
    <row r="4036" spans="1:10">
      <c r="A4036" s="7" t="s">
        <v>4069</v>
      </c>
      <c r="B4036" s="7" t="s">
        <v>5903</v>
      </c>
      <c r="C4036" s="8">
        <f>QS.CONTEXT.CREATE("market.4034",A4036,"USD","SOFR")</f>
        <v/>
      </c>
      <c r="D4036" s="8">
        <f>QS.CONTEXT.ADD.CURVE(C4036,"SOFR",$K$2:$K$7,$L$2:$L$7,,,"Actual360","LogLinear",TRUE)</f>
        <v/>
      </c>
      <c r="E4036" s="8">
        <f>QS.INSTRUMENT.SWAP("swap.4034",C4036,H4036,B4036,"USD","SOFR",I4036,J4036,0,"Actual360","Simple","Annual","Annual","Annual")</f>
        <v/>
      </c>
      <c r="F4036" s="8">
        <f>QS.TRADE.CREATE("trade.4034",C4036,E4036,A4036,"Receive")</f>
        <v/>
      </c>
      <c r="G4036" s="5"/>
      <c r="H4036" s="7" t="s">
        <v>4076</v>
      </c>
      <c r="I4036" s="9">
        <v>1403400</v>
      </c>
      <c r="J4036" s="10">
        <v>0.0384</v>
      </c>
    </row>
    <row r="4037" spans="1:10">
      <c r="A4037" s="7" t="s">
        <v>4070</v>
      </c>
      <c r="B4037" s="7" t="s">
        <v>5904</v>
      </c>
      <c r="C4037" s="8">
        <f>QS.CONTEXT.CREATE("market.4035",A4037,"USD","SOFR")</f>
        <v/>
      </c>
      <c r="D4037" s="8">
        <f>QS.CONTEXT.ADD.CURVE(C4037,"SOFR",$K$2:$K$7,$L$2:$L$7,,,"Actual360","LogLinear",TRUE)</f>
        <v/>
      </c>
      <c r="E4037" s="8">
        <f>QS.INSTRUMENT.SWAP("swap.4035",C4037,H4037,B4037,"USD","SOFR",I4037,J4037,0,"Actual360","Simple","Annual","Annual","Annual")</f>
        <v/>
      </c>
      <c r="F4037" s="8">
        <f>QS.TRADE.CREATE("trade.4035",C4037,E4037,A4037,"Receive")</f>
        <v/>
      </c>
      <c r="G4037" s="5"/>
      <c r="H4037" s="7" t="s">
        <v>4077</v>
      </c>
      <c r="I4037" s="9">
        <v>1403500</v>
      </c>
      <c r="J4037" s="10">
        <v>0.03850000000000001</v>
      </c>
    </row>
    <row r="4038" spans="1:10">
      <c r="A4038" s="7" t="s">
        <v>4071</v>
      </c>
      <c r="B4038" s="7" t="s">
        <v>5905</v>
      </c>
      <c r="C4038" s="8">
        <f>QS.CONTEXT.CREATE("market.4036",A4038,"USD","SOFR")</f>
        <v/>
      </c>
      <c r="D4038" s="8">
        <f>QS.CONTEXT.ADD.CURVE(C4038,"SOFR",$K$2:$K$7,$L$2:$L$7,,,"Actual360","LogLinear",TRUE)</f>
        <v/>
      </c>
      <c r="E4038" s="8">
        <f>QS.INSTRUMENT.SWAP("swap.4036",C4038,H4038,B4038,"USD","SOFR",I4038,J4038,0,"Actual360","Simple","Annual","Annual","Annual")</f>
        <v/>
      </c>
      <c r="F4038" s="8">
        <f>QS.TRADE.CREATE("trade.4036",C4038,E4038,A4038,"Receive")</f>
        <v/>
      </c>
      <c r="G4038" s="5"/>
      <c r="H4038" s="7" t="s">
        <v>4078</v>
      </c>
      <c r="I4038" s="9">
        <v>1403600</v>
      </c>
      <c r="J4038" s="10">
        <v>0.0386</v>
      </c>
    </row>
    <row r="4039" spans="1:10">
      <c r="A4039" s="7" t="s">
        <v>4072</v>
      </c>
      <c r="B4039" s="7" t="s">
        <v>5906</v>
      </c>
      <c r="C4039" s="8">
        <f>QS.CONTEXT.CREATE("market.4037",A4039,"USD","SOFR")</f>
        <v/>
      </c>
      <c r="D4039" s="8">
        <f>QS.CONTEXT.ADD.CURVE(C4039,"SOFR",$K$2:$K$7,$L$2:$L$7,,,"Actual360","LogLinear",TRUE)</f>
        <v/>
      </c>
      <c r="E4039" s="8">
        <f>QS.INSTRUMENT.SWAP("swap.4037",C4039,H4039,B4039,"USD","SOFR",I4039,J4039,0,"Actual360","Simple","Annual","Annual","Annual")</f>
        <v/>
      </c>
      <c r="F4039" s="8">
        <f>QS.TRADE.CREATE("trade.4037",C4039,E4039,A4039,"Receive")</f>
        <v/>
      </c>
      <c r="G4039" s="5"/>
      <c r="H4039" s="7" t="s">
        <v>4079</v>
      </c>
      <c r="I4039" s="9">
        <v>1403700</v>
      </c>
      <c r="J4039" s="10">
        <v>0.03870000000000001</v>
      </c>
    </row>
    <row r="4040" spans="1:10">
      <c r="A4040" s="7" t="s">
        <v>4073</v>
      </c>
      <c r="B4040" s="7" t="s">
        <v>5907</v>
      </c>
      <c r="C4040" s="8">
        <f>QS.CONTEXT.CREATE("market.4038",A4040,"USD","SOFR")</f>
        <v/>
      </c>
      <c r="D4040" s="8">
        <f>QS.CONTEXT.ADD.CURVE(C4040,"SOFR",$K$2:$K$7,$L$2:$L$7,,,"Actual360","LogLinear",TRUE)</f>
        <v/>
      </c>
      <c r="E4040" s="8">
        <f>QS.INSTRUMENT.SWAP("swap.4038",C4040,H4040,B4040,"USD","SOFR",I4040,J4040,0,"Actual360","Simple","Annual","Annual","Annual")</f>
        <v/>
      </c>
      <c r="F4040" s="8">
        <f>QS.TRADE.CREATE("trade.4038",C4040,E4040,A4040,"Receive")</f>
        <v/>
      </c>
      <c r="G4040" s="5"/>
      <c r="H4040" s="7" t="s">
        <v>4080</v>
      </c>
      <c r="I4040" s="9">
        <v>1403800</v>
      </c>
      <c r="J4040" s="10">
        <v>0.0388</v>
      </c>
    </row>
    <row r="4041" spans="1:10">
      <c r="A4041" s="7" t="s">
        <v>4074</v>
      </c>
      <c r="B4041" s="7" t="s">
        <v>5908</v>
      </c>
      <c r="C4041" s="8">
        <f>QS.CONTEXT.CREATE("market.4039",A4041,"USD","SOFR")</f>
        <v/>
      </c>
      <c r="D4041" s="8">
        <f>QS.CONTEXT.ADD.CURVE(C4041,"SOFR",$K$2:$K$7,$L$2:$L$7,,,"Actual360","LogLinear",TRUE)</f>
        <v/>
      </c>
      <c r="E4041" s="8">
        <f>QS.INSTRUMENT.SWAP("swap.4039",C4041,H4041,B4041,"USD","SOFR",I4041,J4041,0,"Actual360","Simple","Annual","Annual","Annual")</f>
        <v/>
      </c>
      <c r="F4041" s="8">
        <f>QS.TRADE.CREATE("trade.4039",C4041,E4041,A4041,"Receive")</f>
        <v/>
      </c>
      <c r="G4041" s="5"/>
      <c r="H4041" s="7" t="s">
        <v>4081</v>
      </c>
      <c r="I4041" s="9">
        <v>1403900</v>
      </c>
      <c r="J4041" s="10">
        <v>0.0389</v>
      </c>
    </row>
    <row r="4042" spans="1:10">
      <c r="A4042" s="7" t="s">
        <v>4075</v>
      </c>
      <c r="B4042" s="7" t="s">
        <v>5909</v>
      </c>
      <c r="C4042" s="8">
        <f>QS.CONTEXT.CREATE("market.4040",A4042,"USD","SOFR")</f>
        <v/>
      </c>
      <c r="D4042" s="8">
        <f>QS.CONTEXT.ADD.CURVE(C4042,"SOFR",$K$2:$K$7,$L$2:$L$7,,,"Actual360","LogLinear",TRUE)</f>
        <v/>
      </c>
      <c r="E4042" s="8">
        <f>QS.INSTRUMENT.SWAP("swap.4040",C4042,H4042,B4042,"USD","SOFR",I4042,J4042,0,"Actual360","Simple","Annual","Annual","Annual")</f>
        <v/>
      </c>
      <c r="F4042" s="8">
        <f>QS.TRADE.CREATE("trade.4040",C4042,E4042,A4042,"Receive")</f>
        <v/>
      </c>
      <c r="G4042" s="5"/>
      <c r="H4042" s="7" t="s">
        <v>4082</v>
      </c>
      <c r="I4042" s="9">
        <v>1404000</v>
      </c>
      <c r="J4042" s="10">
        <v>0.03900000000000001</v>
      </c>
    </row>
    <row r="4043" spans="1:10">
      <c r="A4043" s="7" t="s">
        <v>4076</v>
      </c>
      <c r="B4043" s="7" t="s">
        <v>5910</v>
      </c>
      <c r="C4043" s="8">
        <f>QS.CONTEXT.CREATE("market.4041",A4043,"USD","SOFR")</f>
        <v/>
      </c>
      <c r="D4043" s="8">
        <f>QS.CONTEXT.ADD.CURVE(C4043,"SOFR",$K$2:$K$7,$L$2:$L$7,,,"Actual360","LogLinear",TRUE)</f>
        <v/>
      </c>
      <c r="E4043" s="8">
        <f>QS.INSTRUMENT.SWAP("swap.4041",C4043,H4043,B4043,"USD","SOFR",I4043,J4043,0,"Actual360","Simple","Annual","Annual","Annual")</f>
        <v/>
      </c>
      <c r="F4043" s="8">
        <f>QS.TRADE.CREATE("trade.4041",C4043,E4043,A4043,"Receive")</f>
        <v/>
      </c>
      <c r="G4043" s="5"/>
      <c r="H4043" s="7" t="s">
        <v>4083</v>
      </c>
      <c r="I4043" s="9">
        <v>1404100</v>
      </c>
      <c r="J4043" s="10">
        <v>0.0391</v>
      </c>
    </row>
    <row r="4044" spans="1:10">
      <c r="A4044" s="7" t="s">
        <v>4077</v>
      </c>
      <c r="B4044" s="7" t="s">
        <v>5911</v>
      </c>
      <c r="C4044" s="8">
        <f>QS.CONTEXT.CREATE("market.4042",A4044,"USD","SOFR")</f>
        <v/>
      </c>
      <c r="D4044" s="8">
        <f>QS.CONTEXT.ADD.CURVE(C4044,"SOFR",$K$2:$K$7,$L$2:$L$7,,,"Actual360","LogLinear",TRUE)</f>
        <v/>
      </c>
      <c r="E4044" s="8">
        <f>QS.INSTRUMENT.SWAP("swap.4042",C4044,H4044,B4044,"USD","SOFR",I4044,J4044,0,"Actual360","Simple","Annual","Annual","Annual")</f>
        <v/>
      </c>
      <c r="F4044" s="8">
        <f>QS.TRADE.CREATE("trade.4042",C4044,E4044,A4044,"Receive")</f>
        <v/>
      </c>
      <c r="G4044" s="5"/>
      <c r="H4044" s="7" t="s">
        <v>4084</v>
      </c>
      <c r="I4044" s="9">
        <v>1404200</v>
      </c>
      <c r="J4044" s="10">
        <v>0.03920000000000001</v>
      </c>
    </row>
    <row r="4045" spans="1:10">
      <c r="A4045" s="7" t="s">
        <v>4078</v>
      </c>
      <c r="B4045" s="7" t="s">
        <v>5912</v>
      </c>
      <c r="C4045" s="8">
        <f>QS.CONTEXT.CREATE("market.4043",A4045,"USD","SOFR")</f>
        <v/>
      </c>
      <c r="D4045" s="8">
        <f>QS.CONTEXT.ADD.CURVE(C4045,"SOFR",$K$2:$K$7,$L$2:$L$7,,,"Actual360","LogLinear",TRUE)</f>
        <v/>
      </c>
      <c r="E4045" s="8">
        <f>QS.INSTRUMENT.SWAP("swap.4043",C4045,H4045,B4045,"USD","SOFR",I4045,J4045,0,"Actual360","Simple","Annual","Annual","Annual")</f>
        <v/>
      </c>
      <c r="F4045" s="8">
        <f>QS.TRADE.CREATE("trade.4043",C4045,E4045,A4045,"Receive")</f>
        <v/>
      </c>
      <c r="G4045" s="5"/>
      <c r="H4045" s="7" t="s">
        <v>4085</v>
      </c>
      <c r="I4045" s="9">
        <v>1404300</v>
      </c>
      <c r="J4045" s="10">
        <v>0.0393</v>
      </c>
    </row>
    <row r="4046" spans="1:10">
      <c r="A4046" s="7" t="s">
        <v>4079</v>
      </c>
      <c r="B4046" s="7" t="s">
        <v>5913</v>
      </c>
      <c r="C4046" s="8">
        <f>QS.CONTEXT.CREATE("market.4044",A4046,"USD","SOFR")</f>
        <v/>
      </c>
      <c r="D4046" s="8">
        <f>QS.CONTEXT.ADD.CURVE(C4046,"SOFR",$K$2:$K$7,$L$2:$L$7,,,"Actual360","LogLinear",TRUE)</f>
        <v/>
      </c>
      <c r="E4046" s="8">
        <f>QS.INSTRUMENT.SWAP("swap.4044",C4046,H4046,B4046,"USD","SOFR",I4046,J4046,0,"Actual360","Simple","Annual","Annual","Annual")</f>
        <v/>
      </c>
      <c r="F4046" s="8">
        <f>QS.TRADE.CREATE("trade.4044",C4046,E4046,A4046,"Receive")</f>
        <v/>
      </c>
      <c r="G4046" s="5"/>
      <c r="H4046" s="7" t="s">
        <v>4086</v>
      </c>
      <c r="I4046" s="9">
        <v>1404400</v>
      </c>
      <c r="J4046" s="10">
        <v>0.0394</v>
      </c>
    </row>
    <row r="4047" spans="1:10">
      <c r="A4047" s="7" t="s">
        <v>4080</v>
      </c>
      <c r="B4047" s="7" t="s">
        <v>5914</v>
      </c>
      <c r="C4047" s="8">
        <f>QS.CONTEXT.CREATE("market.4045",A4047,"USD","SOFR")</f>
        <v/>
      </c>
      <c r="D4047" s="8">
        <f>QS.CONTEXT.ADD.CURVE(C4047,"SOFR",$K$2:$K$7,$L$2:$L$7,,,"Actual360","LogLinear",TRUE)</f>
        <v/>
      </c>
      <c r="E4047" s="8">
        <f>QS.INSTRUMENT.SWAP("swap.4045",C4047,H4047,B4047,"USD","SOFR",I4047,J4047,0,"Actual360","Simple","Annual","Annual","Annual")</f>
        <v/>
      </c>
      <c r="F4047" s="8">
        <f>QS.TRADE.CREATE("trade.4045",C4047,E4047,A4047,"Receive")</f>
        <v/>
      </c>
      <c r="G4047" s="5"/>
      <c r="H4047" s="7" t="s">
        <v>4087</v>
      </c>
      <c r="I4047" s="9">
        <v>1404500</v>
      </c>
      <c r="J4047" s="10">
        <v>0.03950000000000001</v>
      </c>
    </row>
    <row r="4048" spans="1:10">
      <c r="A4048" s="7" t="s">
        <v>4081</v>
      </c>
      <c r="B4048" s="7" t="s">
        <v>5915</v>
      </c>
      <c r="C4048" s="8">
        <f>QS.CONTEXT.CREATE("market.4046",A4048,"USD","SOFR")</f>
        <v/>
      </c>
      <c r="D4048" s="8">
        <f>QS.CONTEXT.ADD.CURVE(C4048,"SOFR",$K$2:$K$7,$L$2:$L$7,,,"Actual360","LogLinear",TRUE)</f>
        <v/>
      </c>
      <c r="E4048" s="8">
        <f>QS.INSTRUMENT.SWAP("swap.4046",C4048,H4048,B4048,"USD","SOFR",I4048,J4048,0,"Actual360","Simple","Annual","Annual","Annual")</f>
        <v/>
      </c>
      <c r="F4048" s="8">
        <f>QS.TRADE.CREATE("trade.4046",C4048,E4048,A4048,"Receive")</f>
        <v/>
      </c>
      <c r="G4048" s="5"/>
      <c r="H4048" s="7" t="s">
        <v>4088</v>
      </c>
      <c r="I4048" s="9">
        <v>1404600</v>
      </c>
      <c r="J4048" s="10">
        <v>0.0396</v>
      </c>
    </row>
    <row r="4049" spans="1:10">
      <c r="A4049" s="7" t="s">
        <v>4082</v>
      </c>
      <c r="B4049" s="7" t="s">
        <v>5916</v>
      </c>
      <c r="C4049" s="8">
        <f>QS.CONTEXT.CREATE("market.4047",A4049,"USD","SOFR")</f>
        <v/>
      </c>
      <c r="D4049" s="8">
        <f>QS.CONTEXT.ADD.CURVE(C4049,"SOFR",$K$2:$K$7,$L$2:$L$7,,,"Actual360","LogLinear",TRUE)</f>
        <v/>
      </c>
      <c r="E4049" s="8">
        <f>QS.INSTRUMENT.SWAP("swap.4047",C4049,H4049,B4049,"USD","SOFR",I4049,J4049,0,"Actual360","Simple","Annual","Annual","Annual")</f>
        <v/>
      </c>
      <c r="F4049" s="8">
        <f>QS.TRADE.CREATE("trade.4047",C4049,E4049,A4049,"Receive")</f>
        <v/>
      </c>
      <c r="G4049" s="5"/>
      <c r="H4049" s="7" t="s">
        <v>4089</v>
      </c>
      <c r="I4049" s="9">
        <v>1404700</v>
      </c>
      <c r="J4049" s="10">
        <v>0.03970000000000001</v>
      </c>
    </row>
    <row r="4050" spans="1:10">
      <c r="A4050" s="7" t="s">
        <v>4083</v>
      </c>
      <c r="B4050" s="7" t="s">
        <v>5917</v>
      </c>
      <c r="C4050" s="8">
        <f>QS.CONTEXT.CREATE("market.4048",A4050,"USD","SOFR")</f>
        <v/>
      </c>
      <c r="D4050" s="8">
        <f>QS.CONTEXT.ADD.CURVE(C4050,"SOFR",$K$2:$K$7,$L$2:$L$7,,,"Actual360","LogLinear",TRUE)</f>
        <v/>
      </c>
      <c r="E4050" s="8">
        <f>QS.INSTRUMENT.SWAP("swap.4048",C4050,H4050,B4050,"USD","SOFR",I4050,J4050,0,"Actual360","Simple","Annual","Annual","Annual")</f>
        <v/>
      </c>
      <c r="F4050" s="8">
        <f>QS.TRADE.CREATE("trade.4048",C4050,E4050,A4050,"Receive")</f>
        <v/>
      </c>
      <c r="G4050" s="5"/>
      <c r="H4050" s="7" t="s">
        <v>4090</v>
      </c>
      <c r="I4050" s="9">
        <v>1404800</v>
      </c>
      <c r="J4050" s="10">
        <v>0.0398</v>
      </c>
    </row>
    <row r="4051" spans="1:10">
      <c r="A4051" s="7" t="s">
        <v>4084</v>
      </c>
      <c r="B4051" s="7" t="s">
        <v>5918</v>
      </c>
      <c r="C4051" s="8">
        <f>QS.CONTEXT.CREATE("market.4049",A4051,"USD","SOFR")</f>
        <v/>
      </c>
      <c r="D4051" s="8">
        <f>QS.CONTEXT.ADD.CURVE(C4051,"SOFR",$K$2:$K$7,$L$2:$L$7,,,"Actual360","LogLinear",TRUE)</f>
        <v/>
      </c>
      <c r="E4051" s="8">
        <f>QS.INSTRUMENT.SWAP("swap.4049",C4051,H4051,B4051,"USD","SOFR",I4051,J4051,0,"Actual360","Simple","Annual","Annual","Annual")</f>
        <v/>
      </c>
      <c r="F4051" s="8">
        <f>QS.TRADE.CREATE("trade.4049",C4051,E4051,A4051,"Receive")</f>
        <v/>
      </c>
      <c r="G4051" s="5"/>
      <c r="H4051" s="7" t="s">
        <v>4091</v>
      </c>
      <c r="I4051" s="9">
        <v>1404900</v>
      </c>
      <c r="J4051" s="10">
        <v>0.0399</v>
      </c>
    </row>
    <row r="4052" spans="1:10">
      <c r="A4052" s="7" t="s">
        <v>4085</v>
      </c>
      <c r="B4052" s="7" t="s">
        <v>5919</v>
      </c>
      <c r="C4052" s="8">
        <f>QS.CONTEXT.CREATE("market.4050",A4052,"USD","SOFR")</f>
        <v/>
      </c>
      <c r="D4052" s="8">
        <f>QS.CONTEXT.ADD.CURVE(C4052,"SOFR",$K$2:$K$7,$L$2:$L$7,,,"Actual360","LogLinear",TRUE)</f>
        <v/>
      </c>
      <c r="E4052" s="8">
        <f>QS.INSTRUMENT.SWAP("swap.4050",C4052,H4052,B4052,"USD","SOFR",I4052,J4052,0,"Actual360","Simple","Annual","Annual","Annual")</f>
        <v/>
      </c>
      <c r="F4052" s="8">
        <f>QS.TRADE.CREATE("trade.4050",C4052,E4052,A4052,"Receive")</f>
        <v/>
      </c>
      <c r="G4052" s="5"/>
      <c r="H4052" s="7" t="s">
        <v>4092</v>
      </c>
      <c r="I4052" s="9">
        <v>1405000</v>
      </c>
      <c r="J4052" s="10">
        <v>0.035</v>
      </c>
    </row>
    <row r="4053" spans="1:10">
      <c r="A4053" s="7" t="s">
        <v>4086</v>
      </c>
      <c r="B4053" s="7" t="s">
        <v>5920</v>
      </c>
      <c r="C4053" s="8">
        <f>QS.CONTEXT.CREATE("market.4051",A4053,"USD","SOFR")</f>
        <v/>
      </c>
      <c r="D4053" s="8">
        <f>QS.CONTEXT.ADD.CURVE(C4053,"SOFR",$K$2:$K$7,$L$2:$L$7,,,"Actual360","LogLinear",TRUE)</f>
        <v/>
      </c>
      <c r="E4053" s="8">
        <f>QS.INSTRUMENT.SWAP("swap.4051",C4053,H4053,B4053,"USD","SOFR",I4053,J4053,0,"Actual360","Simple","Annual","Annual","Annual")</f>
        <v/>
      </c>
      <c r="F4053" s="8">
        <f>QS.TRADE.CREATE("trade.4051",C4053,E4053,A4053,"Receive")</f>
        <v/>
      </c>
      <c r="G4053" s="5"/>
      <c r="H4053" s="7" t="s">
        <v>4093</v>
      </c>
      <c r="I4053" s="9">
        <v>1405100</v>
      </c>
      <c r="J4053" s="10">
        <v>0.03510000000000001</v>
      </c>
    </row>
    <row r="4054" spans="1:10">
      <c r="A4054" s="7" t="s">
        <v>4087</v>
      </c>
      <c r="B4054" s="7" t="s">
        <v>5921</v>
      </c>
      <c r="C4054" s="8">
        <f>QS.CONTEXT.CREATE("market.4052",A4054,"USD","SOFR")</f>
        <v/>
      </c>
      <c r="D4054" s="8">
        <f>QS.CONTEXT.ADD.CURVE(C4054,"SOFR",$K$2:$K$7,$L$2:$L$7,,,"Actual360","LogLinear",TRUE)</f>
        <v/>
      </c>
      <c r="E4054" s="8">
        <f>QS.INSTRUMENT.SWAP("swap.4052",C4054,H4054,B4054,"USD","SOFR",I4054,J4054,0,"Actual360","Simple","Annual","Annual","Annual")</f>
        <v/>
      </c>
      <c r="F4054" s="8">
        <f>QS.TRADE.CREATE("trade.4052",C4054,E4054,A4054,"Receive")</f>
        <v/>
      </c>
      <c r="G4054" s="5"/>
      <c r="H4054" s="7" t="s">
        <v>4094</v>
      </c>
      <c r="I4054" s="9">
        <v>1405200</v>
      </c>
      <c r="J4054" s="10">
        <v>0.0352</v>
      </c>
    </row>
    <row r="4055" spans="1:10">
      <c r="A4055" s="7" t="s">
        <v>4088</v>
      </c>
      <c r="B4055" s="7" t="s">
        <v>5922</v>
      </c>
      <c r="C4055" s="8">
        <f>QS.CONTEXT.CREATE("market.4053",A4055,"USD","SOFR")</f>
        <v/>
      </c>
      <c r="D4055" s="8">
        <f>QS.CONTEXT.ADD.CURVE(C4055,"SOFR",$K$2:$K$7,$L$2:$L$7,,,"Actual360","LogLinear",TRUE)</f>
        <v/>
      </c>
      <c r="E4055" s="8">
        <f>QS.INSTRUMENT.SWAP("swap.4053",C4055,H4055,B4055,"USD","SOFR",I4055,J4055,0,"Actual360","Simple","Annual","Annual","Annual")</f>
        <v/>
      </c>
      <c r="F4055" s="8">
        <f>QS.TRADE.CREATE("trade.4053",C4055,E4055,A4055,"Receive")</f>
        <v/>
      </c>
      <c r="G4055" s="5"/>
      <c r="H4055" s="7" t="s">
        <v>4095</v>
      </c>
      <c r="I4055" s="9">
        <v>1405300</v>
      </c>
      <c r="J4055" s="10">
        <v>0.0353</v>
      </c>
    </row>
    <row r="4056" spans="1:10">
      <c r="A4056" s="7" t="s">
        <v>4089</v>
      </c>
      <c r="B4056" s="7" t="s">
        <v>5923</v>
      </c>
      <c r="C4056" s="8">
        <f>QS.CONTEXT.CREATE("market.4054",A4056,"USD","SOFR")</f>
        <v/>
      </c>
      <c r="D4056" s="8">
        <f>QS.CONTEXT.ADD.CURVE(C4056,"SOFR",$K$2:$K$7,$L$2:$L$7,,,"Actual360","LogLinear",TRUE)</f>
        <v/>
      </c>
      <c r="E4056" s="8">
        <f>QS.INSTRUMENT.SWAP("swap.4054",C4056,H4056,B4056,"USD","SOFR",I4056,J4056,0,"Actual360","Simple","Annual","Annual","Annual")</f>
        <v/>
      </c>
      <c r="F4056" s="8">
        <f>QS.TRADE.CREATE("trade.4054",C4056,E4056,A4056,"Receive")</f>
        <v/>
      </c>
      <c r="G4056" s="5"/>
      <c r="H4056" s="7" t="s">
        <v>4096</v>
      </c>
      <c r="I4056" s="9">
        <v>1405400</v>
      </c>
      <c r="J4056" s="10">
        <v>0.0354</v>
      </c>
    </row>
    <row r="4057" spans="1:10">
      <c r="A4057" s="7" t="s">
        <v>4090</v>
      </c>
      <c r="B4057" s="7" t="s">
        <v>5924</v>
      </c>
      <c r="C4057" s="8">
        <f>QS.CONTEXT.CREATE("market.4055",A4057,"USD","SOFR")</f>
        <v/>
      </c>
      <c r="D4057" s="8">
        <f>QS.CONTEXT.ADD.CURVE(C4057,"SOFR",$K$2:$K$7,$L$2:$L$7,,,"Actual360","LogLinear",TRUE)</f>
        <v/>
      </c>
      <c r="E4057" s="8">
        <f>QS.INSTRUMENT.SWAP("swap.4055",C4057,H4057,B4057,"USD","SOFR",I4057,J4057,0,"Actual360","Simple","Annual","Annual","Annual")</f>
        <v/>
      </c>
      <c r="F4057" s="8">
        <f>QS.TRADE.CREATE("trade.4055",C4057,E4057,A4057,"Receive")</f>
        <v/>
      </c>
      <c r="G4057" s="5"/>
      <c r="H4057" s="7" t="s">
        <v>4097</v>
      </c>
      <c r="I4057" s="9">
        <v>1405500</v>
      </c>
      <c r="J4057" s="10">
        <v>0.0355</v>
      </c>
    </row>
    <row r="4058" spans="1:10">
      <c r="A4058" s="7" t="s">
        <v>4091</v>
      </c>
      <c r="B4058" s="7" t="s">
        <v>5925</v>
      </c>
      <c r="C4058" s="8">
        <f>QS.CONTEXT.CREATE("market.4056",A4058,"USD","SOFR")</f>
        <v/>
      </c>
      <c r="D4058" s="8">
        <f>QS.CONTEXT.ADD.CURVE(C4058,"SOFR",$K$2:$K$7,$L$2:$L$7,,,"Actual360","LogLinear",TRUE)</f>
        <v/>
      </c>
      <c r="E4058" s="8">
        <f>QS.INSTRUMENT.SWAP("swap.4056",C4058,H4058,B4058,"USD","SOFR",I4058,J4058,0,"Actual360","Simple","Annual","Annual","Annual")</f>
        <v/>
      </c>
      <c r="F4058" s="8">
        <f>QS.TRADE.CREATE("trade.4056",C4058,E4058,A4058,"Receive")</f>
        <v/>
      </c>
      <c r="G4058" s="5"/>
      <c r="H4058" s="7" t="s">
        <v>4098</v>
      </c>
      <c r="I4058" s="9">
        <v>1405600</v>
      </c>
      <c r="J4058" s="10">
        <v>0.03560000000000001</v>
      </c>
    </row>
    <row r="4059" spans="1:10">
      <c r="A4059" s="7" t="s">
        <v>4092</v>
      </c>
      <c r="B4059" s="7" t="s">
        <v>5926</v>
      </c>
      <c r="C4059" s="8">
        <f>QS.CONTEXT.CREATE("market.4057",A4059,"USD","SOFR")</f>
        <v/>
      </c>
      <c r="D4059" s="8">
        <f>QS.CONTEXT.ADD.CURVE(C4059,"SOFR",$K$2:$K$7,$L$2:$L$7,,,"Actual360","LogLinear",TRUE)</f>
        <v/>
      </c>
      <c r="E4059" s="8">
        <f>QS.INSTRUMENT.SWAP("swap.4057",C4059,H4059,B4059,"USD","SOFR",I4059,J4059,0,"Actual360","Simple","Annual","Annual","Annual")</f>
        <v/>
      </c>
      <c r="F4059" s="8">
        <f>QS.TRADE.CREATE("trade.4057",C4059,E4059,A4059,"Receive")</f>
        <v/>
      </c>
      <c r="G4059" s="5"/>
      <c r="H4059" s="7" t="s">
        <v>4099</v>
      </c>
      <c r="I4059" s="9">
        <v>1405700</v>
      </c>
      <c r="J4059" s="10">
        <v>0.0357</v>
      </c>
    </row>
    <row r="4060" spans="1:10">
      <c r="A4060" s="7" t="s">
        <v>4093</v>
      </c>
      <c r="B4060" s="7" t="s">
        <v>5927</v>
      </c>
      <c r="C4060" s="8">
        <f>QS.CONTEXT.CREATE("market.4058",A4060,"USD","SOFR")</f>
        <v/>
      </c>
      <c r="D4060" s="8">
        <f>QS.CONTEXT.ADD.CURVE(C4060,"SOFR",$K$2:$K$7,$L$2:$L$7,,,"Actual360","LogLinear",TRUE)</f>
        <v/>
      </c>
      <c r="E4060" s="8">
        <f>QS.INSTRUMENT.SWAP("swap.4058",C4060,H4060,B4060,"USD","SOFR",I4060,J4060,0,"Actual360","Simple","Annual","Annual","Annual")</f>
        <v/>
      </c>
      <c r="F4060" s="8">
        <f>QS.TRADE.CREATE("trade.4058",C4060,E4060,A4060,"Receive")</f>
        <v/>
      </c>
      <c r="G4060" s="5"/>
      <c r="H4060" s="7" t="s">
        <v>4100</v>
      </c>
      <c r="I4060" s="9">
        <v>1405800</v>
      </c>
      <c r="J4060" s="10">
        <v>0.03580000000000001</v>
      </c>
    </row>
    <row r="4061" spans="1:10">
      <c r="A4061" s="7" t="s">
        <v>4094</v>
      </c>
      <c r="B4061" s="7" t="s">
        <v>5928</v>
      </c>
      <c r="C4061" s="8">
        <f>QS.CONTEXT.CREATE("market.4059",A4061,"USD","SOFR")</f>
        <v/>
      </c>
      <c r="D4061" s="8">
        <f>QS.CONTEXT.ADD.CURVE(C4061,"SOFR",$K$2:$K$7,$L$2:$L$7,,,"Actual360","LogLinear",TRUE)</f>
        <v/>
      </c>
      <c r="E4061" s="8">
        <f>QS.INSTRUMENT.SWAP("swap.4059",C4061,H4061,B4061,"USD","SOFR",I4061,J4061,0,"Actual360","Simple","Annual","Annual","Annual")</f>
        <v/>
      </c>
      <c r="F4061" s="8">
        <f>QS.TRADE.CREATE("trade.4059",C4061,E4061,A4061,"Receive")</f>
        <v/>
      </c>
      <c r="G4061" s="5"/>
      <c r="H4061" s="7" t="s">
        <v>4101</v>
      </c>
      <c r="I4061" s="9">
        <v>1405900</v>
      </c>
      <c r="J4061" s="10">
        <v>0.0359</v>
      </c>
    </row>
    <row r="4062" spans="1:10">
      <c r="A4062" s="7" t="s">
        <v>4095</v>
      </c>
      <c r="B4062" s="7" t="s">
        <v>5929</v>
      </c>
      <c r="C4062" s="8">
        <f>QS.CONTEXT.CREATE("market.4060",A4062,"USD","SOFR")</f>
        <v/>
      </c>
      <c r="D4062" s="8">
        <f>QS.CONTEXT.ADD.CURVE(C4062,"SOFR",$K$2:$K$7,$L$2:$L$7,,,"Actual360","LogLinear",TRUE)</f>
        <v/>
      </c>
      <c r="E4062" s="8">
        <f>QS.INSTRUMENT.SWAP("swap.4060",C4062,H4062,B4062,"USD","SOFR",I4062,J4062,0,"Actual360","Simple","Annual","Annual","Annual")</f>
        <v/>
      </c>
      <c r="F4062" s="8">
        <f>QS.TRADE.CREATE("trade.4060",C4062,E4062,A4062,"Receive")</f>
        <v/>
      </c>
      <c r="G4062" s="5"/>
      <c r="H4062" s="7" t="s">
        <v>4102</v>
      </c>
      <c r="I4062" s="9">
        <v>1406000</v>
      </c>
      <c r="J4062" s="10">
        <v>0.036</v>
      </c>
    </row>
    <row r="4063" spans="1:10">
      <c r="A4063" s="7" t="s">
        <v>4096</v>
      </c>
      <c r="B4063" s="7" t="s">
        <v>5930</v>
      </c>
      <c r="C4063" s="8">
        <f>QS.CONTEXT.CREATE("market.4061",A4063,"USD","SOFR")</f>
        <v/>
      </c>
      <c r="D4063" s="8">
        <f>QS.CONTEXT.ADD.CURVE(C4063,"SOFR",$K$2:$K$7,$L$2:$L$7,,,"Actual360","LogLinear",TRUE)</f>
        <v/>
      </c>
      <c r="E4063" s="8">
        <f>QS.INSTRUMENT.SWAP("swap.4061",C4063,H4063,B4063,"USD","SOFR",I4063,J4063,0,"Actual360","Simple","Annual","Annual","Annual")</f>
        <v/>
      </c>
      <c r="F4063" s="8">
        <f>QS.TRADE.CREATE("trade.4061",C4063,E4063,A4063,"Receive")</f>
        <v/>
      </c>
      <c r="G4063" s="5"/>
      <c r="H4063" s="7" t="s">
        <v>4103</v>
      </c>
      <c r="I4063" s="9">
        <v>1406100</v>
      </c>
      <c r="J4063" s="10">
        <v>0.0361</v>
      </c>
    </row>
    <row r="4064" spans="1:10">
      <c r="A4064" s="7" t="s">
        <v>4097</v>
      </c>
      <c r="B4064" s="7" t="s">
        <v>5931</v>
      </c>
      <c r="C4064" s="8">
        <f>QS.CONTEXT.CREATE("market.4062",A4064,"USD","SOFR")</f>
        <v/>
      </c>
      <c r="D4064" s="8">
        <f>QS.CONTEXT.ADD.CURVE(C4064,"SOFR",$K$2:$K$7,$L$2:$L$7,,,"Actual360","LogLinear",TRUE)</f>
        <v/>
      </c>
      <c r="E4064" s="8">
        <f>QS.INSTRUMENT.SWAP("swap.4062",C4064,H4064,B4064,"USD","SOFR",I4064,J4064,0,"Actual360","Simple","Annual","Annual","Annual")</f>
        <v/>
      </c>
      <c r="F4064" s="8">
        <f>QS.TRADE.CREATE("trade.4062",C4064,E4064,A4064,"Receive")</f>
        <v/>
      </c>
      <c r="G4064" s="5"/>
      <c r="H4064" s="7" t="s">
        <v>4104</v>
      </c>
      <c r="I4064" s="9">
        <v>1406200</v>
      </c>
      <c r="J4064" s="10">
        <v>0.0362</v>
      </c>
    </row>
    <row r="4065" spans="1:10">
      <c r="A4065" s="7" t="s">
        <v>4098</v>
      </c>
      <c r="B4065" s="7" t="s">
        <v>5932</v>
      </c>
      <c r="C4065" s="8">
        <f>QS.CONTEXT.CREATE("market.4063",A4065,"USD","SOFR")</f>
        <v/>
      </c>
      <c r="D4065" s="8">
        <f>QS.CONTEXT.ADD.CURVE(C4065,"SOFR",$K$2:$K$7,$L$2:$L$7,,,"Actual360","LogLinear",TRUE)</f>
        <v/>
      </c>
      <c r="E4065" s="8">
        <f>QS.INSTRUMENT.SWAP("swap.4063",C4065,H4065,B4065,"USD","SOFR",I4065,J4065,0,"Actual360","Simple","Annual","Annual","Annual")</f>
        <v/>
      </c>
      <c r="F4065" s="8">
        <f>QS.TRADE.CREATE("trade.4063",C4065,E4065,A4065,"Receive")</f>
        <v/>
      </c>
      <c r="G4065" s="5"/>
      <c r="H4065" s="7" t="s">
        <v>4105</v>
      </c>
      <c r="I4065" s="9">
        <v>1406300</v>
      </c>
      <c r="J4065" s="10">
        <v>0.03630000000000001</v>
      </c>
    </row>
    <row r="4066" spans="1:10">
      <c r="A4066" s="7" t="s">
        <v>4099</v>
      </c>
      <c r="B4066" s="7" t="s">
        <v>5933</v>
      </c>
      <c r="C4066" s="8">
        <f>QS.CONTEXT.CREATE("market.4064",A4066,"USD","SOFR")</f>
        <v/>
      </c>
      <c r="D4066" s="8">
        <f>QS.CONTEXT.ADD.CURVE(C4066,"SOFR",$K$2:$K$7,$L$2:$L$7,,,"Actual360","LogLinear",TRUE)</f>
        <v/>
      </c>
      <c r="E4066" s="8">
        <f>QS.INSTRUMENT.SWAP("swap.4064",C4066,H4066,B4066,"USD","SOFR",I4066,J4066,0,"Actual360","Simple","Annual","Annual","Annual")</f>
        <v/>
      </c>
      <c r="F4066" s="8">
        <f>QS.TRADE.CREATE("trade.4064",C4066,E4066,A4066,"Receive")</f>
        <v/>
      </c>
      <c r="G4066" s="5"/>
      <c r="H4066" s="7" t="s">
        <v>4106</v>
      </c>
      <c r="I4066" s="9">
        <v>1406400</v>
      </c>
      <c r="J4066" s="10">
        <v>0.0364</v>
      </c>
    </row>
    <row r="4067" spans="1:10">
      <c r="A4067" s="7" t="s">
        <v>4100</v>
      </c>
      <c r="B4067" s="7" t="s">
        <v>5934</v>
      </c>
      <c r="C4067" s="8">
        <f>QS.CONTEXT.CREATE("market.4065",A4067,"USD","SOFR")</f>
        <v/>
      </c>
      <c r="D4067" s="8">
        <f>QS.CONTEXT.ADD.CURVE(C4067,"SOFR",$K$2:$K$7,$L$2:$L$7,,,"Actual360","LogLinear",TRUE)</f>
        <v/>
      </c>
      <c r="E4067" s="8">
        <f>QS.INSTRUMENT.SWAP("swap.4065",C4067,H4067,B4067,"USD","SOFR",I4067,J4067,0,"Actual360","Simple","Annual","Annual","Annual")</f>
        <v/>
      </c>
      <c r="F4067" s="8">
        <f>QS.TRADE.CREATE("trade.4065",C4067,E4067,A4067,"Receive")</f>
        <v/>
      </c>
      <c r="G4067" s="5"/>
      <c r="H4067" s="7" t="s">
        <v>4107</v>
      </c>
      <c r="I4067" s="9">
        <v>1406500</v>
      </c>
      <c r="J4067" s="10">
        <v>0.0365</v>
      </c>
    </row>
    <row r="4068" spans="1:10">
      <c r="A4068" s="7" t="s">
        <v>4101</v>
      </c>
      <c r="B4068" s="7" t="s">
        <v>5935</v>
      </c>
      <c r="C4068" s="8">
        <f>QS.CONTEXT.CREATE("market.4066",A4068,"USD","SOFR")</f>
        <v/>
      </c>
      <c r="D4068" s="8">
        <f>QS.CONTEXT.ADD.CURVE(C4068,"SOFR",$K$2:$K$7,$L$2:$L$7,,,"Actual360","LogLinear",TRUE)</f>
        <v/>
      </c>
      <c r="E4068" s="8">
        <f>QS.INSTRUMENT.SWAP("swap.4066",C4068,H4068,B4068,"USD","SOFR",I4068,J4068,0,"Actual360","Simple","Annual","Annual","Annual")</f>
        <v/>
      </c>
      <c r="F4068" s="8">
        <f>QS.TRADE.CREATE("trade.4066",C4068,E4068,A4068,"Receive")</f>
        <v/>
      </c>
      <c r="G4068" s="5"/>
      <c r="H4068" s="7" t="s">
        <v>4108</v>
      </c>
      <c r="I4068" s="9">
        <v>1406600</v>
      </c>
      <c r="J4068" s="10">
        <v>0.0366</v>
      </c>
    </row>
    <row r="4069" spans="1:10">
      <c r="A4069" s="7" t="s">
        <v>4102</v>
      </c>
      <c r="B4069" s="7" t="s">
        <v>5936</v>
      </c>
      <c r="C4069" s="8">
        <f>QS.CONTEXT.CREATE("market.4067",A4069,"USD","SOFR")</f>
        <v/>
      </c>
      <c r="D4069" s="8">
        <f>QS.CONTEXT.ADD.CURVE(C4069,"SOFR",$K$2:$K$7,$L$2:$L$7,,,"Actual360","LogLinear",TRUE)</f>
        <v/>
      </c>
      <c r="E4069" s="8">
        <f>QS.INSTRUMENT.SWAP("swap.4067",C4069,H4069,B4069,"USD","SOFR",I4069,J4069,0,"Actual360","Simple","Annual","Annual","Annual")</f>
        <v/>
      </c>
      <c r="F4069" s="8">
        <f>QS.TRADE.CREATE("trade.4067",C4069,E4069,A4069,"Receive")</f>
        <v/>
      </c>
      <c r="G4069" s="5"/>
      <c r="H4069" s="7" t="s">
        <v>4109</v>
      </c>
      <c r="I4069" s="9">
        <v>1406700</v>
      </c>
      <c r="J4069" s="10">
        <v>0.0367</v>
      </c>
    </row>
    <row r="4070" spans="1:10">
      <c r="A4070" s="7" t="s">
        <v>4103</v>
      </c>
      <c r="B4070" s="7" t="s">
        <v>5937</v>
      </c>
      <c r="C4070" s="8">
        <f>QS.CONTEXT.CREATE("market.4068",A4070,"USD","SOFR")</f>
        <v/>
      </c>
      <c r="D4070" s="8">
        <f>QS.CONTEXT.ADD.CURVE(C4070,"SOFR",$K$2:$K$7,$L$2:$L$7,,,"Actual360","LogLinear",TRUE)</f>
        <v/>
      </c>
      <c r="E4070" s="8">
        <f>QS.INSTRUMENT.SWAP("swap.4068",C4070,H4070,B4070,"USD","SOFR",I4070,J4070,0,"Actual360","Simple","Annual","Annual","Annual")</f>
        <v/>
      </c>
      <c r="F4070" s="8">
        <f>QS.TRADE.CREATE("trade.4068",C4070,E4070,A4070,"Receive")</f>
        <v/>
      </c>
      <c r="G4070" s="5"/>
      <c r="H4070" s="7" t="s">
        <v>4110</v>
      </c>
      <c r="I4070" s="9">
        <v>1406800</v>
      </c>
      <c r="J4070" s="10">
        <v>0.03680000000000001</v>
      </c>
    </row>
    <row r="4071" spans="1:10">
      <c r="A4071" s="7" t="s">
        <v>4104</v>
      </c>
      <c r="B4071" s="7" t="s">
        <v>5938</v>
      </c>
      <c r="C4071" s="8">
        <f>QS.CONTEXT.CREATE("market.4069",A4071,"USD","SOFR")</f>
        <v/>
      </c>
      <c r="D4071" s="8">
        <f>QS.CONTEXT.ADD.CURVE(C4071,"SOFR",$K$2:$K$7,$L$2:$L$7,,,"Actual360","LogLinear",TRUE)</f>
        <v/>
      </c>
      <c r="E4071" s="8">
        <f>QS.INSTRUMENT.SWAP("swap.4069",C4071,H4071,B4071,"USD","SOFR",I4071,J4071,0,"Actual360","Simple","Annual","Annual","Annual")</f>
        <v/>
      </c>
      <c r="F4071" s="8">
        <f>QS.TRADE.CREATE("trade.4069",C4071,E4071,A4071,"Receive")</f>
        <v/>
      </c>
      <c r="G4071" s="5"/>
      <c r="H4071" s="7" t="s">
        <v>4111</v>
      </c>
      <c r="I4071" s="9">
        <v>1406900</v>
      </c>
      <c r="J4071" s="10">
        <v>0.0369</v>
      </c>
    </row>
    <row r="4072" spans="1:10">
      <c r="A4072" s="7" t="s">
        <v>4105</v>
      </c>
      <c r="B4072" s="7" t="s">
        <v>5939</v>
      </c>
      <c r="C4072" s="8">
        <f>QS.CONTEXT.CREATE("market.4070",A4072,"USD","SOFR")</f>
        <v/>
      </c>
      <c r="D4072" s="8">
        <f>QS.CONTEXT.ADD.CURVE(C4072,"SOFR",$K$2:$K$7,$L$2:$L$7,,,"Actual360","LogLinear",TRUE)</f>
        <v/>
      </c>
      <c r="E4072" s="8">
        <f>QS.INSTRUMENT.SWAP("swap.4070",C4072,H4072,B4072,"USD","SOFR",I4072,J4072,0,"Actual360","Simple","Annual","Annual","Annual")</f>
        <v/>
      </c>
      <c r="F4072" s="8">
        <f>QS.TRADE.CREATE("trade.4070",C4072,E4072,A4072,"Receive")</f>
        <v/>
      </c>
      <c r="G4072" s="5"/>
      <c r="H4072" s="7" t="s">
        <v>4113</v>
      </c>
      <c r="I4072" s="9">
        <v>1407000</v>
      </c>
      <c r="J4072" s="10">
        <v>0.03700000000000001</v>
      </c>
    </row>
    <row r="4073" spans="1:10">
      <c r="A4073" s="7" t="s">
        <v>4106</v>
      </c>
      <c r="B4073" s="7" t="s">
        <v>5940</v>
      </c>
      <c r="C4073" s="8">
        <f>QS.CONTEXT.CREATE("market.4071",A4073,"USD","SOFR")</f>
        <v/>
      </c>
      <c r="D4073" s="8">
        <f>QS.CONTEXT.ADD.CURVE(C4073,"SOFR",$K$2:$K$7,$L$2:$L$7,,,"Actual360","LogLinear",TRUE)</f>
        <v/>
      </c>
      <c r="E4073" s="8">
        <f>QS.INSTRUMENT.SWAP("swap.4071",C4073,H4073,B4073,"USD","SOFR",I4073,J4073,0,"Actual360","Simple","Annual","Annual","Annual")</f>
        <v/>
      </c>
      <c r="F4073" s="8">
        <f>QS.TRADE.CREATE("trade.4071",C4073,E4073,A4073,"Receive")</f>
        <v/>
      </c>
      <c r="G4073" s="5"/>
      <c r="H4073" s="7" t="s">
        <v>4114</v>
      </c>
      <c r="I4073" s="9">
        <v>1407100</v>
      </c>
      <c r="J4073" s="10">
        <v>0.0371</v>
      </c>
    </row>
    <row r="4074" spans="1:10">
      <c r="A4074" s="7" t="s">
        <v>4107</v>
      </c>
      <c r="B4074" s="7" t="s">
        <v>5941</v>
      </c>
      <c r="C4074" s="8">
        <f>QS.CONTEXT.CREATE("market.4072",A4074,"USD","SOFR")</f>
        <v/>
      </c>
      <c r="D4074" s="8">
        <f>QS.CONTEXT.ADD.CURVE(C4074,"SOFR",$K$2:$K$7,$L$2:$L$7,,,"Actual360","LogLinear",TRUE)</f>
        <v/>
      </c>
      <c r="E4074" s="8">
        <f>QS.INSTRUMENT.SWAP("swap.4072",C4074,H4074,B4074,"USD","SOFR",I4074,J4074,0,"Actual360","Simple","Annual","Annual","Annual")</f>
        <v/>
      </c>
      <c r="F4074" s="8">
        <f>QS.TRADE.CREATE("trade.4072",C4074,E4074,A4074,"Receive")</f>
        <v/>
      </c>
      <c r="G4074" s="5"/>
      <c r="H4074" s="7" t="s">
        <v>4115</v>
      </c>
      <c r="I4074" s="9">
        <v>1407200</v>
      </c>
      <c r="J4074" s="10">
        <v>0.0372</v>
      </c>
    </row>
    <row r="4075" spans="1:10">
      <c r="A4075" s="7" t="s">
        <v>4108</v>
      </c>
      <c r="B4075" s="7" t="s">
        <v>5942</v>
      </c>
      <c r="C4075" s="8">
        <f>QS.CONTEXT.CREATE("market.4073",A4075,"USD","SOFR")</f>
        <v/>
      </c>
      <c r="D4075" s="8">
        <f>QS.CONTEXT.ADD.CURVE(C4075,"SOFR",$K$2:$K$7,$L$2:$L$7,,,"Actual360","LogLinear",TRUE)</f>
        <v/>
      </c>
      <c r="E4075" s="8">
        <f>QS.INSTRUMENT.SWAP("swap.4073",C4075,H4075,B4075,"USD","SOFR",I4075,J4075,0,"Actual360","Simple","Annual","Annual","Annual")</f>
        <v/>
      </c>
      <c r="F4075" s="8">
        <f>QS.TRADE.CREATE("trade.4073",C4075,E4075,A4075,"Receive")</f>
        <v/>
      </c>
      <c r="G4075" s="5"/>
      <c r="H4075" s="7" t="s">
        <v>4116</v>
      </c>
      <c r="I4075" s="9">
        <v>1407300</v>
      </c>
      <c r="J4075" s="10">
        <v>0.0373</v>
      </c>
    </row>
    <row r="4076" spans="1:10">
      <c r="A4076" s="7" t="s">
        <v>4109</v>
      </c>
      <c r="B4076" s="7" t="s">
        <v>5943</v>
      </c>
      <c r="C4076" s="8">
        <f>QS.CONTEXT.CREATE("market.4074",A4076,"USD","SOFR")</f>
        <v/>
      </c>
      <c r="D4076" s="8">
        <f>QS.CONTEXT.ADD.CURVE(C4076,"SOFR",$K$2:$K$7,$L$2:$L$7,,,"Actual360","LogLinear",TRUE)</f>
        <v/>
      </c>
      <c r="E4076" s="8">
        <f>QS.INSTRUMENT.SWAP("swap.4074",C4076,H4076,B4076,"USD","SOFR",I4076,J4076,0,"Actual360","Simple","Annual","Annual","Annual")</f>
        <v/>
      </c>
      <c r="F4076" s="8">
        <f>QS.TRADE.CREATE("trade.4074",C4076,E4076,A4076,"Receive")</f>
        <v/>
      </c>
      <c r="G4076" s="5"/>
      <c r="H4076" s="7" t="s">
        <v>4117</v>
      </c>
      <c r="I4076" s="9">
        <v>1407400</v>
      </c>
      <c r="J4076" s="10">
        <v>0.0374</v>
      </c>
    </row>
    <row r="4077" spans="1:10">
      <c r="A4077" s="7" t="s">
        <v>4110</v>
      </c>
      <c r="B4077" s="7" t="s">
        <v>5944</v>
      </c>
      <c r="C4077" s="8">
        <f>QS.CONTEXT.CREATE("market.4075",A4077,"USD","SOFR")</f>
        <v/>
      </c>
      <c r="D4077" s="8">
        <f>QS.CONTEXT.ADD.CURVE(C4077,"SOFR",$K$2:$K$7,$L$2:$L$7,,,"Actual360","LogLinear",TRUE)</f>
        <v/>
      </c>
      <c r="E4077" s="8">
        <f>QS.INSTRUMENT.SWAP("swap.4075",C4077,H4077,B4077,"USD","SOFR",I4077,J4077,0,"Actual360","Simple","Annual","Annual","Annual")</f>
        <v/>
      </c>
      <c r="F4077" s="8">
        <f>QS.TRADE.CREATE("trade.4075",C4077,E4077,A4077,"Receive")</f>
        <v/>
      </c>
      <c r="G4077" s="5"/>
      <c r="H4077" s="7" t="s">
        <v>4118</v>
      </c>
      <c r="I4077" s="9">
        <v>1407500</v>
      </c>
      <c r="J4077" s="10">
        <v>0.03750000000000001</v>
      </c>
    </row>
    <row r="4078" spans="1:10">
      <c r="A4078" s="7" t="s">
        <v>4111</v>
      </c>
      <c r="B4078" s="7" t="s">
        <v>5945</v>
      </c>
      <c r="C4078" s="8">
        <f>QS.CONTEXT.CREATE("market.4076",A4078,"USD","SOFR")</f>
        <v/>
      </c>
      <c r="D4078" s="8">
        <f>QS.CONTEXT.ADD.CURVE(C4078,"SOFR",$K$2:$K$7,$L$2:$L$7,,,"Actual360","LogLinear",TRUE)</f>
        <v/>
      </c>
      <c r="E4078" s="8">
        <f>QS.INSTRUMENT.SWAP("swap.4076",C4078,H4078,B4078,"USD","SOFR",I4078,J4078,0,"Actual360","Simple","Annual","Annual","Annual")</f>
        <v/>
      </c>
      <c r="F4078" s="8">
        <f>QS.TRADE.CREATE("trade.4076",C4078,E4078,A4078,"Receive")</f>
        <v/>
      </c>
      <c r="G4078" s="5"/>
      <c r="H4078" s="7" t="s">
        <v>4119</v>
      </c>
      <c r="I4078" s="9">
        <v>1407600</v>
      </c>
      <c r="J4078" s="10">
        <v>0.0376</v>
      </c>
    </row>
    <row r="4079" spans="1:10">
      <c r="A4079" s="7" t="s">
        <v>4113</v>
      </c>
      <c r="B4079" s="7" t="s">
        <v>5946</v>
      </c>
      <c r="C4079" s="8">
        <f>QS.CONTEXT.CREATE("market.4077",A4079,"USD","SOFR")</f>
        <v/>
      </c>
      <c r="D4079" s="8">
        <f>QS.CONTEXT.ADD.CURVE(C4079,"SOFR",$K$2:$K$7,$L$2:$L$7,,,"Actual360","LogLinear",TRUE)</f>
        <v/>
      </c>
      <c r="E4079" s="8">
        <f>QS.INSTRUMENT.SWAP("swap.4077",C4079,H4079,B4079,"USD","SOFR",I4079,J4079,0,"Actual360","Simple","Annual","Annual","Annual")</f>
        <v/>
      </c>
      <c r="F4079" s="8">
        <f>QS.TRADE.CREATE("trade.4077",C4079,E4079,A4079,"Receive")</f>
        <v/>
      </c>
      <c r="G4079" s="5"/>
      <c r="H4079" s="7" t="s">
        <v>4120</v>
      </c>
      <c r="I4079" s="9">
        <v>1407700</v>
      </c>
      <c r="J4079" s="10">
        <v>0.0377</v>
      </c>
    </row>
    <row r="4080" spans="1:10">
      <c r="A4080" s="7" t="s">
        <v>4114</v>
      </c>
      <c r="B4080" s="7" t="s">
        <v>5947</v>
      </c>
      <c r="C4080" s="8">
        <f>QS.CONTEXT.CREATE("market.4078",A4080,"USD","SOFR")</f>
        <v/>
      </c>
      <c r="D4080" s="8">
        <f>QS.CONTEXT.ADD.CURVE(C4080,"SOFR",$K$2:$K$7,$L$2:$L$7,,,"Actual360","LogLinear",TRUE)</f>
        <v/>
      </c>
      <c r="E4080" s="8">
        <f>QS.INSTRUMENT.SWAP("swap.4078",C4080,H4080,B4080,"USD","SOFR",I4080,J4080,0,"Actual360","Simple","Annual","Annual","Annual")</f>
        <v/>
      </c>
      <c r="F4080" s="8">
        <f>QS.TRADE.CREATE("trade.4078",C4080,E4080,A4080,"Receive")</f>
        <v/>
      </c>
      <c r="G4080" s="5"/>
      <c r="H4080" s="7" t="s">
        <v>4121</v>
      </c>
      <c r="I4080" s="9">
        <v>1407800</v>
      </c>
      <c r="J4080" s="10">
        <v>0.0378</v>
      </c>
    </row>
    <row r="4081" spans="1:10">
      <c r="A4081" s="7" t="s">
        <v>4115</v>
      </c>
      <c r="B4081" s="7" t="s">
        <v>5948</v>
      </c>
      <c r="C4081" s="8">
        <f>QS.CONTEXT.CREATE("market.4079",A4081,"USD","SOFR")</f>
        <v/>
      </c>
      <c r="D4081" s="8">
        <f>QS.CONTEXT.ADD.CURVE(C4081,"SOFR",$K$2:$K$7,$L$2:$L$7,,,"Actual360","LogLinear",TRUE)</f>
        <v/>
      </c>
      <c r="E4081" s="8">
        <f>QS.INSTRUMENT.SWAP("swap.4079",C4081,H4081,B4081,"USD","SOFR",I4081,J4081,0,"Actual360","Simple","Annual","Annual","Annual")</f>
        <v/>
      </c>
      <c r="F4081" s="8">
        <f>QS.TRADE.CREATE("trade.4079",C4081,E4081,A4081,"Receive")</f>
        <v/>
      </c>
      <c r="G4081" s="5"/>
      <c r="H4081" s="7" t="s">
        <v>4122</v>
      </c>
      <c r="I4081" s="9">
        <v>1407900</v>
      </c>
      <c r="J4081" s="10">
        <v>0.0379</v>
      </c>
    </row>
    <row r="4082" spans="1:10">
      <c r="A4082" s="7" t="s">
        <v>4116</v>
      </c>
      <c r="B4082" s="7" t="s">
        <v>5949</v>
      </c>
      <c r="C4082" s="8">
        <f>QS.CONTEXT.CREATE("market.4080",A4082,"USD","SOFR")</f>
        <v/>
      </c>
      <c r="D4082" s="8">
        <f>QS.CONTEXT.ADD.CURVE(C4082,"SOFR",$K$2:$K$7,$L$2:$L$7,,,"Actual360","LogLinear",TRUE)</f>
        <v/>
      </c>
      <c r="E4082" s="8">
        <f>QS.INSTRUMENT.SWAP("swap.4080",C4082,H4082,B4082,"USD","SOFR",I4082,J4082,0,"Actual360","Simple","Annual","Annual","Annual")</f>
        <v/>
      </c>
      <c r="F4082" s="8">
        <f>QS.TRADE.CREATE("trade.4080",C4082,E4082,A4082,"Receive")</f>
        <v/>
      </c>
      <c r="G4082" s="5"/>
      <c r="H4082" s="7" t="s">
        <v>4123</v>
      </c>
      <c r="I4082" s="9">
        <v>1408000</v>
      </c>
      <c r="J4082" s="10">
        <v>0.03800000000000001</v>
      </c>
    </row>
    <row r="4083" spans="1:10">
      <c r="A4083" s="7" t="s">
        <v>4117</v>
      </c>
      <c r="B4083" s="7" t="s">
        <v>5950</v>
      </c>
      <c r="C4083" s="8">
        <f>QS.CONTEXT.CREATE("market.4081",A4083,"USD","SOFR")</f>
        <v/>
      </c>
      <c r="D4083" s="8">
        <f>QS.CONTEXT.ADD.CURVE(C4083,"SOFR",$K$2:$K$7,$L$2:$L$7,,,"Actual360","LogLinear",TRUE)</f>
        <v/>
      </c>
      <c r="E4083" s="8">
        <f>QS.INSTRUMENT.SWAP("swap.4081",C4083,H4083,B4083,"USD","SOFR",I4083,J4083,0,"Actual360","Simple","Annual","Annual","Annual")</f>
        <v/>
      </c>
      <c r="F4083" s="8">
        <f>QS.TRADE.CREATE("trade.4081",C4083,E4083,A4083,"Receive")</f>
        <v/>
      </c>
      <c r="G4083" s="5"/>
      <c r="H4083" s="7" t="s">
        <v>4124</v>
      </c>
      <c r="I4083" s="9">
        <v>1408100</v>
      </c>
      <c r="J4083" s="10">
        <v>0.0381</v>
      </c>
    </row>
    <row r="4084" spans="1:10">
      <c r="A4084" s="7" t="s">
        <v>4118</v>
      </c>
      <c r="B4084" s="7" t="s">
        <v>5951</v>
      </c>
      <c r="C4084" s="8">
        <f>QS.CONTEXT.CREATE("market.4082",A4084,"USD","SOFR")</f>
        <v/>
      </c>
      <c r="D4084" s="8">
        <f>QS.CONTEXT.ADD.CURVE(C4084,"SOFR",$K$2:$K$7,$L$2:$L$7,,,"Actual360","LogLinear",TRUE)</f>
        <v/>
      </c>
      <c r="E4084" s="8">
        <f>QS.INSTRUMENT.SWAP("swap.4082",C4084,H4084,B4084,"USD","SOFR",I4084,J4084,0,"Actual360","Simple","Annual","Annual","Annual")</f>
        <v/>
      </c>
      <c r="F4084" s="8">
        <f>QS.TRADE.CREATE("trade.4082",C4084,E4084,A4084,"Receive")</f>
        <v/>
      </c>
      <c r="G4084" s="5"/>
      <c r="H4084" s="7" t="s">
        <v>4125</v>
      </c>
      <c r="I4084" s="9">
        <v>1408200</v>
      </c>
      <c r="J4084" s="10">
        <v>0.0382</v>
      </c>
    </row>
    <row r="4085" spans="1:10">
      <c r="A4085" s="7" t="s">
        <v>4119</v>
      </c>
      <c r="B4085" s="7" t="s">
        <v>5952</v>
      </c>
      <c r="C4085" s="8">
        <f>QS.CONTEXT.CREATE("market.4083",A4085,"USD","SOFR")</f>
        <v/>
      </c>
      <c r="D4085" s="8">
        <f>QS.CONTEXT.ADD.CURVE(C4085,"SOFR",$K$2:$K$7,$L$2:$L$7,,,"Actual360","LogLinear",TRUE)</f>
        <v/>
      </c>
      <c r="E4085" s="8">
        <f>QS.INSTRUMENT.SWAP("swap.4083",C4085,H4085,B4085,"USD","SOFR",I4085,J4085,0,"Actual360","Simple","Annual","Annual","Annual")</f>
        <v/>
      </c>
      <c r="F4085" s="8">
        <f>QS.TRADE.CREATE("trade.4083",C4085,E4085,A4085,"Receive")</f>
        <v/>
      </c>
      <c r="G4085" s="5"/>
      <c r="H4085" s="7" t="s">
        <v>4126</v>
      </c>
      <c r="I4085" s="9">
        <v>1408300</v>
      </c>
      <c r="J4085" s="10">
        <v>0.0383</v>
      </c>
    </row>
    <row r="4086" spans="1:10">
      <c r="A4086" s="7" t="s">
        <v>4120</v>
      </c>
      <c r="B4086" s="7" t="s">
        <v>5953</v>
      </c>
      <c r="C4086" s="8">
        <f>QS.CONTEXT.CREATE("market.4084",A4086,"USD","SOFR")</f>
        <v/>
      </c>
      <c r="D4086" s="8">
        <f>QS.CONTEXT.ADD.CURVE(C4086,"SOFR",$K$2:$K$7,$L$2:$L$7,,,"Actual360","LogLinear",TRUE)</f>
        <v/>
      </c>
      <c r="E4086" s="8">
        <f>QS.INSTRUMENT.SWAP("swap.4084",C4086,H4086,B4086,"USD","SOFR",I4086,J4086,0,"Actual360","Simple","Annual","Annual","Annual")</f>
        <v/>
      </c>
      <c r="F4086" s="8">
        <f>QS.TRADE.CREATE("trade.4084",C4086,E4086,A4086,"Receive")</f>
        <v/>
      </c>
      <c r="G4086" s="5"/>
      <c r="H4086" s="7" t="s">
        <v>4127</v>
      </c>
      <c r="I4086" s="9">
        <v>1408400</v>
      </c>
      <c r="J4086" s="10">
        <v>0.0384</v>
      </c>
    </row>
    <row r="4087" spans="1:10">
      <c r="A4087" s="7" t="s">
        <v>4121</v>
      </c>
      <c r="B4087" s="7" t="s">
        <v>5954</v>
      </c>
      <c r="C4087" s="8">
        <f>QS.CONTEXT.CREATE("market.4085",A4087,"USD","SOFR")</f>
        <v/>
      </c>
      <c r="D4087" s="8">
        <f>QS.CONTEXT.ADD.CURVE(C4087,"SOFR",$K$2:$K$7,$L$2:$L$7,,,"Actual360","LogLinear",TRUE)</f>
        <v/>
      </c>
      <c r="E4087" s="8">
        <f>QS.INSTRUMENT.SWAP("swap.4085",C4087,H4087,B4087,"USD","SOFR",I4087,J4087,0,"Actual360","Simple","Annual","Annual","Annual")</f>
        <v/>
      </c>
      <c r="F4087" s="8">
        <f>QS.TRADE.CREATE("trade.4085",C4087,E4087,A4087,"Receive")</f>
        <v/>
      </c>
      <c r="G4087" s="5"/>
      <c r="H4087" s="7" t="s">
        <v>4128</v>
      </c>
      <c r="I4087" s="9">
        <v>1408500</v>
      </c>
      <c r="J4087" s="10">
        <v>0.03850000000000001</v>
      </c>
    </row>
    <row r="4088" spans="1:10">
      <c r="A4088" s="7" t="s">
        <v>4122</v>
      </c>
      <c r="B4088" s="7" t="s">
        <v>5955</v>
      </c>
      <c r="C4088" s="8">
        <f>QS.CONTEXT.CREATE("market.4086",A4088,"USD","SOFR")</f>
        <v/>
      </c>
      <c r="D4088" s="8">
        <f>QS.CONTEXT.ADD.CURVE(C4088,"SOFR",$K$2:$K$7,$L$2:$L$7,,,"Actual360","LogLinear",TRUE)</f>
        <v/>
      </c>
      <c r="E4088" s="8">
        <f>QS.INSTRUMENT.SWAP("swap.4086",C4088,H4088,B4088,"USD","SOFR",I4088,J4088,0,"Actual360","Simple","Annual","Annual","Annual")</f>
        <v/>
      </c>
      <c r="F4088" s="8">
        <f>QS.TRADE.CREATE("trade.4086",C4088,E4088,A4088,"Receive")</f>
        <v/>
      </c>
      <c r="G4088" s="5"/>
      <c r="H4088" s="7" t="s">
        <v>4129</v>
      </c>
      <c r="I4088" s="9">
        <v>1408600</v>
      </c>
      <c r="J4088" s="10">
        <v>0.0386</v>
      </c>
    </row>
    <row r="4089" spans="1:10">
      <c r="A4089" s="7" t="s">
        <v>4123</v>
      </c>
      <c r="B4089" s="7" t="s">
        <v>5956</v>
      </c>
      <c r="C4089" s="8">
        <f>QS.CONTEXT.CREATE("market.4087",A4089,"USD","SOFR")</f>
        <v/>
      </c>
      <c r="D4089" s="8">
        <f>QS.CONTEXT.ADD.CURVE(C4089,"SOFR",$K$2:$K$7,$L$2:$L$7,,,"Actual360","LogLinear",TRUE)</f>
        <v/>
      </c>
      <c r="E4089" s="8">
        <f>QS.INSTRUMENT.SWAP("swap.4087",C4089,H4089,B4089,"USD","SOFR",I4089,J4089,0,"Actual360","Simple","Annual","Annual","Annual")</f>
        <v/>
      </c>
      <c r="F4089" s="8">
        <f>QS.TRADE.CREATE("trade.4087",C4089,E4089,A4089,"Receive")</f>
        <v/>
      </c>
      <c r="G4089" s="5"/>
      <c r="H4089" s="7" t="s">
        <v>4130</v>
      </c>
      <c r="I4089" s="9">
        <v>1408700</v>
      </c>
      <c r="J4089" s="10">
        <v>0.03870000000000001</v>
      </c>
    </row>
    <row r="4090" spans="1:10">
      <c r="A4090" s="7" t="s">
        <v>4124</v>
      </c>
      <c r="B4090" s="7" t="s">
        <v>5957</v>
      </c>
      <c r="C4090" s="8">
        <f>QS.CONTEXT.CREATE("market.4088",A4090,"USD","SOFR")</f>
        <v/>
      </c>
      <c r="D4090" s="8">
        <f>QS.CONTEXT.ADD.CURVE(C4090,"SOFR",$K$2:$K$7,$L$2:$L$7,,,"Actual360","LogLinear",TRUE)</f>
        <v/>
      </c>
      <c r="E4090" s="8">
        <f>QS.INSTRUMENT.SWAP("swap.4088",C4090,H4090,B4090,"USD","SOFR",I4090,J4090,0,"Actual360","Simple","Annual","Annual","Annual")</f>
        <v/>
      </c>
      <c r="F4090" s="8">
        <f>QS.TRADE.CREATE("trade.4088",C4090,E4090,A4090,"Receive")</f>
        <v/>
      </c>
      <c r="G4090" s="5"/>
      <c r="H4090" s="7" t="s">
        <v>4131</v>
      </c>
      <c r="I4090" s="9">
        <v>1408800</v>
      </c>
      <c r="J4090" s="10">
        <v>0.0388</v>
      </c>
    </row>
    <row r="4091" spans="1:10">
      <c r="A4091" s="7" t="s">
        <v>4125</v>
      </c>
      <c r="B4091" s="7" t="s">
        <v>5958</v>
      </c>
      <c r="C4091" s="8">
        <f>QS.CONTEXT.CREATE("market.4089",A4091,"USD","SOFR")</f>
        <v/>
      </c>
      <c r="D4091" s="8">
        <f>QS.CONTEXT.ADD.CURVE(C4091,"SOFR",$K$2:$K$7,$L$2:$L$7,,,"Actual360","LogLinear",TRUE)</f>
        <v/>
      </c>
      <c r="E4091" s="8">
        <f>QS.INSTRUMENT.SWAP("swap.4089",C4091,H4091,B4091,"USD","SOFR",I4091,J4091,0,"Actual360","Simple","Annual","Annual","Annual")</f>
        <v/>
      </c>
      <c r="F4091" s="8">
        <f>QS.TRADE.CREATE("trade.4089",C4091,E4091,A4091,"Receive")</f>
        <v/>
      </c>
      <c r="G4091" s="5"/>
      <c r="H4091" s="7" t="s">
        <v>4132</v>
      </c>
      <c r="I4091" s="9">
        <v>1408900</v>
      </c>
      <c r="J4091" s="10">
        <v>0.0389</v>
      </c>
    </row>
    <row r="4092" spans="1:10">
      <c r="A4092" s="7" t="s">
        <v>4126</v>
      </c>
      <c r="B4092" s="7" t="s">
        <v>5959</v>
      </c>
      <c r="C4092" s="8">
        <f>QS.CONTEXT.CREATE("market.4090",A4092,"USD","SOFR")</f>
        <v/>
      </c>
      <c r="D4092" s="8">
        <f>QS.CONTEXT.ADD.CURVE(C4092,"SOFR",$K$2:$K$7,$L$2:$L$7,,,"Actual360","LogLinear",TRUE)</f>
        <v/>
      </c>
      <c r="E4092" s="8">
        <f>QS.INSTRUMENT.SWAP("swap.4090",C4092,H4092,B4092,"USD","SOFR",I4092,J4092,0,"Actual360","Simple","Annual","Annual","Annual")</f>
        <v/>
      </c>
      <c r="F4092" s="8">
        <f>QS.TRADE.CREATE("trade.4090",C4092,E4092,A4092,"Receive")</f>
        <v/>
      </c>
      <c r="G4092" s="5"/>
      <c r="H4092" s="7" t="s">
        <v>4133</v>
      </c>
      <c r="I4092" s="9">
        <v>1409000</v>
      </c>
      <c r="J4092" s="10">
        <v>0.03900000000000001</v>
      </c>
    </row>
    <row r="4093" spans="1:10">
      <c r="A4093" s="7" t="s">
        <v>4127</v>
      </c>
      <c r="B4093" s="7" t="s">
        <v>5960</v>
      </c>
      <c r="C4093" s="8">
        <f>QS.CONTEXT.CREATE("market.4091",A4093,"USD","SOFR")</f>
        <v/>
      </c>
      <c r="D4093" s="8">
        <f>QS.CONTEXT.ADD.CURVE(C4093,"SOFR",$K$2:$K$7,$L$2:$L$7,,,"Actual360","LogLinear",TRUE)</f>
        <v/>
      </c>
      <c r="E4093" s="8">
        <f>QS.INSTRUMENT.SWAP("swap.4091",C4093,H4093,B4093,"USD","SOFR",I4093,J4093,0,"Actual360","Simple","Annual","Annual","Annual")</f>
        <v/>
      </c>
      <c r="F4093" s="8">
        <f>QS.TRADE.CREATE("trade.4091",C4093,E4093,A4093,"Receive")</f>
        <v/>
      </c>
      <c r="G4093" s="5"/>
      <c r="H4093" s="7" t="s">
        <v>4134</v>
      </c>
      <c r="I4093" s="9">
        <v>1409100</v>
      </c>
      <c r="J4093" s="10">
        <v>0.0391</v>
      </c>
    </row>
    <row r="4094" spans="1:10">
      <c r="A4094" s="7" t="s">
        <v>4128</v>
      </c>
      <c r="B4094" s="7" t="s">
        <v>5961</v>
      </c>
      <c r="C4094" s="8">
        <f>QS.CONTEXT.CREATE("market.4092",A4094,"USD","SOFR")</f>
        <v/>
      </c>
      <c r="D4094" s="8">
        <f>QS.CONTEXT.ADD.CURVE(C4094,"SOFR",$K$2:$K$7,$L$2:$L$7,,,"Actual360","LogLinear",TRUE)</f>
        <v/>
      </c>
      <c r="E4094" s="8">
        <f>QS.INSTRUMENT.SWAP("swap.4092",C4094,H4094,B4094,"USD","SOFR",I4094,J4094,0,"Actual360","Simple","Annual","Annual","Annual")</f>
        <v/>
      </c>
      <c r="F4094" s="8">
        <f>QS.TRADE.CREATE("trade.4092",C4094,E4094,A4094,"Receive")</f>
        <v/>
      </c>
      <c r="G4094" s="5"/>
      <c r="H4094" s="7" t="s">
        <v>4135</v>
      </c>
      <c r="I4094" s="9">
        <v>1409200</v>
      </c>
      <c r="J4094" s="10">
        <v>0.03920000000000001</v>
      </c>
    </row>
    <row r="4095" spans="1:10">
      <c r="A4095" s="7" t="s">
        <v>4129</v>
      </c>
      <c r="B4095" s="7" t="s">
        <v>5962</v>
      </c>
      <c r="C4095" s="8">
        <f>QS.CONTEXT.CREATE("market.4093",A4095,"USD","SOFR")</f>
        <v/>
      </c>
      <c r="D4095" s="8">
        <f>QS.CONTEXT.ADD.CURVE(C4095,"SOFR",$K$2:$K$7,$L$2:$L$7,,,"Actual360","LogLinear",TRUE)</f>
        <v/>
      </c>
      <c r="E4095" s="8">
        <f>QS.INSTRUMENT.SWAP("swap.4093",C4095,H4095,B4095,"USD","SOFR",I4095,J4095,0,"Actual360","Simple","Annual","Annual","Annual")</f>
        <v/>
      </c>
      <c r="F4095" s="8">
        <f>QS.TRADE.CREATE("trade.4093",C4095,E4095,A4095,"Receive")</f>
        <v/>
      </c>
      <c r="G4095" s="5"/>
      <c r="H4095" s="7" t="s">
        <v>4136</v>
      </c>
      <c r="I4095" s="9">
        <v>1409300</v>
      </c>
      <c r="J4095" s="10">
        <v>0.0393</v>
      </c>
    </row>
    <row r="4096" spans="1:10">
      <c r="A4096" s="7" t="s">
        <v>4130</v>
      </c>
      <c r="B4096" s="7" t="s">
        <v>5963</v>
      </c>
      <c r="C4096" s="8">
        <f>QS.CONTEXT.CREATE("market.4094",A4096,"USD","SOFR")</f>
        <v/>
      </c>
      <c r="D4096" s="8">
        <f>QS.CONTEXT.ADD.CURVE(C4096,"SOFR",$K$2:$K$7,$L$2:$L$7,,,"Actual360","LogLinear",TRUE)</f>
        <v/>
      </c>
      <c r="E4096" s="8">
        <f>QS.INSTRUMENT.SWAP("swap.4094",C4096,H4096,B4096,"USD","SOFR",I4096,J4096,0,"Actual360","Simple","Annual","Annual","Annual")</f>
        <v/>
      </c>
      <c r="F4096" s="8">
        <f>QS.TRADE.CREATE("trade.4094",C4096,E4096,A4096,"Receive")</f>
        <v/>
      </c>
      <c r="G4096" s="5"/>
      <c r="H4096" s="7" t="s">
        <v>4137</v>
      </c>
      <c r="I4096" s="9">
        <v>1409400</v>
      </c>
      <c r="J4096" s="10">
        <v>0.0394</v>
      </c>
    </row>
    <row r="4097" spans="1:10">
      <c r="A4097" s="7" t="s">
        <v>4131</v>
      </c>
      <c r="B4097" s="7" t="s">
        <v>5964</v>
      </c>
      <c r="C4097" s="8">
        <f>QS.CONTEXT.CREATE("market.4095",A4097,"USD","SOFR")</f>
        <v/>
      </c>
      <c r="D4097" s="8">
        <f>QS.CONTEXT.ADD.CURVE(C4097,"SOFR",$K$2:$K$7,$L$2:$L$7,,,"Actual360","LogLinear",TRUE)</f>
        <v/>
      </c>
      <c r="E4097" s="8">
        <f>QS.INSTRUMENT.SWAP("swap.4095",C4097,H4097,B4097,"USD","SOFR",I4097,J4097,0,"Actual360","Simple","Annual","Annual","Annual")</f>
        <v/>
      </c>
      <c r="F4097" s="8">
        <f>QS.TRADE.CREATE("trade.4095",C4097,E4097,A4097,"Receive")</f>
        <v/>
      </c>
      <c r="G4097" s="5"/>
      <c r="H4097" s="7" t="s">
        <v>4138</v>
      </c>
      <c r="I4097" s="9">
        <v>1409500</v>
      </c>
      <c r="J4097" s="10">
        <v>0.03950000000000001</v>
      </c>
    </row>
    <row r="4098" spans="1:10">
      <c r="A4098" s="7" t="s">
        <v>4132</v>
      </c>
      <c r="B4098" s="7" t="s">
        <v>5965</v>
      </c>
      <c r="C4098" s="8">
        <f>QS.CONTEXT.CREATE("market.4096",A4098,"USD","SOFR")</f>
        <v/>
      </c>
      <c r="D4098" s="8">
        <f>QS.CONTEXT.ADD.CURVE(C4098,"SOFR",$K$2:$K$7,$L$2:$L$7,,,"Actual360","LogLinear",TRUE)</f>
        <v/>
      </c>
      <c r="E4098" s="8">
        <f>QS.INSTRUMENT.SWAP("swap.4096",C4098,H4098,B4098,"USD","SOFR",I4098,J4098,0,"Actual360","Simple","Annual","Annual","Annual")</f>
        <v/>
      </c>
      <c r="F4098" s="8">
        <f>QS.TRADE.CREATE("trade.4096",C4098,E4098,A4098,"Receive")</f>
        <v/>
      </c>
      <c r="G4098" s="5"/>
      <c r="H4098" s="7" t="s">
        <v>4139</v>
      </c>
      <c r="I4098" s="9">
        <v>1409600</v>
      </c>
      <c r="J4098" s="10">
        <v>0.0396</v>
      </c>
    </row>
    <row r="4099" spans="1:10">
      <c r="A4099" s="7" t="s">
        <v>4133</v>
      </c>
      <c r="B4099" s="7" t="s">
        <v>5966</v>
      </c>
      <c r="C4099" s="8">
        <f>QS.CONTEXT.CREATE("market.4097",A4099,"USD","SOFR")</f>
        <v/>
      </c>
      <c r="D4099" s="8">
        <f>QS.CONTEXT.ADD.CURVE(C4099,"SOFR",$K$2:$K$7,$L$2:$L$7,,,"Actual360","LogLinear",TRUE)</f>
        <v/>
      </c>
      <c r="E4099" s="8">
        <f>QS.INSTRUMENT.SWAP("swap.4097",C4099,H4099,B4099,"USD","SOFR",I4099,J4099,0,"Actual360","Simple","Annual","Annual","Annual")</f>
        <v/>
      </c>
      <c r="F4099" s="8">
        <f>QS.TRADE.CREATE("trade.4097",C4099,E4099,A4099,"Receive")</f>
        <v/>
      </c>
      <c r="G4099" s="5"/>
      <c r="H4099" s="7" t="s">
        <v>4140</v>
      </c>
      <c r="I4099" s="9">
        <v>1409700</v>
      </c>
      <c r="J4099" s="10">
        <v>0.03970000000000001</v>
      </c>
    </row>
    <row r="4100" spans="1:10">
      <c r="A4100" s="7" t="s">
        <v>4134</v>
      </c>
      <c r="B4100" s="7" t="s">
        <v>5967</v>
      </c>
      <c r="C4100" s="8">
        <f>QS.CONTEXT.CREATE("market.4098",A4100,"USD","SOFR")</f>
        <v/>
      </c>
      <c r="D4100" s="8">
        <f>QS.CONTEXT.ADD.CURVE(C4100,"SOFR",$K$2:$K$7,$L$2:$L$7,,,"Actual360","LogLinear",TRUE)</f>
        <v/>
      </c>
      <c r="E4100" s="8">
        <f>QS.INSTRUMENT.SWAP("swap.4098",C4100,H4100,B4100,"USD","SOFR",I4100,J4100,0,"Actual360","Simple","Annual","Annual","Annual")</f>
        <v/>
      </c>
      <c r="F4100" s="8">
        <f>QS.TRADE.CREATE("trade.4098",C4100,E4100,A4100,"Receive")</f>
        <v/>
      </c>
      <c r="G4100" s="5"/>
      <c r="H4100" s="7" t="s">
        <v>4141</v>
      </c>
      <c r="I4100" s="9">
        <v>1409800</v>
      </c>
      <c r="J4100" s="10">
        <v>0.0398</v>
      </c>
    </row>
    <row r="4101" spans="1:10">
      <c r="A4101" s="7" t="s">
        <v>4135</v>
      </c>
      <c r="B4101" s="7" t="s">
        <v>5968</v>
      </c>
      <c r="C4101" s="8">
        <f>QS.CONTEXT.CREATE("market.4099",A4101,"USD","SOFR")</f>
        <v/>
      </c>
      <c r="D4101" s="8">
        <f>QS.CONTEXT.ADD.CURVE(C4101,"SOFR",$K$2:$K$7,$L$2:$L$7,,,"Actual360","LogLinear",TRUE)</f>
        <v/>
      </c>
      <c r="E4101" s="8">
        <f>QS.INSTRUMENT.SWAP("swap.4099",C4101,H4101,B4101,"USD","SOFR",I4101,J4101,0,"Actual360","Simple","Annual","Annual","Annual")</f>
        <v/>
      </c>
      <c r="F4101" s="8">
        <f>QS.TRADE.CREATE("trade.4099",C4101,E4101,A4101,"Receive")</f>
        <v/>
      </c>
      <c r="G4101" s="5"/>
      <c r="H4101" s="7" t="s">
        <v>4142</v>
      </c>
      <c r="I4101" s="9">
        <v>1409900</v>
      </c>
      <c r="J4101" s="10">
        <v>0.0399</v>
      </c>
    </row>
    <row r="4102" spans="1:10">
      <c r="A4102" s="7" t="s">
        <v>4136</v>
      </c>
      <c r="B4102" s="7" t="s">
        <v>5969</v>
      </c>
      <c r="C4102" s="8">
        <f>QS.CONTEXT.CREATE("market.4100",A4102,"USD","SOFR")</f>
        <v/>
      </c>
      <c r="D4102" s="8">
        <f>QS.CONTEXT.ADD.CURVE(C4102,"SOFR",$K$2:$K$7,$L$2:$L$7,,,"Actual360","LogLinear",TRUE)</f>
        <v/>
      </c>
      <c r="E4102" s="8">
        <f>QS.INSTRUMENT.SWAP("swap.4100",C4102,H4102,B4102,"USD","SOFR",I4102,J4102,0,"Actual360","Simple","Annual","Annual","Annual")</f>
        <v/>
      </c>
      <c r="F4102" s="8">
        <f>QS.TRADE.CREATE("trade.4100",C4102,E4102,A4102,"Receive")</f>
        <v/>
      </c>
      <c r="G4102" s="5"/>
      <c r="H4102" s="7" t="s">
        <v>4143</v>
      </c>
      <c r="I4102" s="9">
        <v>1410000</v>
      </c>
      <c r="J4102" s="10">
        <v>0.035</v>
      </c>
    </row>
    <row r="4103" spans="1:10">
      <c r="A4103" s="7" t="s">
        <v>4137</v>
      </c>
      <c r="B4103" s="7" t="s">
        <v>5970</v>
      </c>
      <c r="C4103" s="8">
        <f>QS.CONTEXT.CREATE("market.4101",A4103,"USD","SOFR")</f>
        <v/>
      </c>
      <c r="D4103" s="8">
        <f>QS.CONTEXT.ADD.CURVE(C4103,"SOFR",$K$2:$K$7,$L$2:$L$7,,,"Actual360","LogLinear",TRUE)</f>
        <v/>
      </c>
      <c r="E4103" s="8">
        <f>QS.INSTRUMENT.SWAP("swap.4101",C4103,H4103,B4103,"USD","SOFR",I4103,J4103,0,"Actual360","Simple","Annual","Annual","Annual")</f>
        <v/>
      </c>
      <c r="F4103" s="8">
        <f>QS.TRADE.CREATE("trade.4101",C4103,E4103,A4103,"Receive")</f>
        <v/>
      </c>
      <c r="G4103" s="5"/>
      <c r="H4103" s="7" t="s">
        <v>4144</v>
      </c>
      <c r="I4103" s="9">
        <v>1410100</v>
      </c>
      <c r="J4103" s="10">
        <v>0.03510000000000001</v>
      </c>
    </row>
    <row r="4104" spans="1:10">
      <c r="A4104" s="7" t="s">
        <v>4138</v>
      </c>
      <c r="B4104" s="7" t="s">
        <v>5971</v>
      </c>
      <c r="C4104" s="8">
        <f>QS.CONTEXT.CREATE("market.4102",A4104,"USD","SOFR")</f>
        <v/>
      </c>
      <c r="D4104" s="8">
        <f>QS.CONTEXT.ADD.CURVE(C4104,"SOFR",$K$2:$K$7,$L$2:$L$7,,,"Actual360","LogLinear",TRUE)</f>
        <v/>
      </c>
      <c r="E4104" s="8">
        <f>QS.INSTRUMENT.SWAP("swap.4102",C4104,H4104,B4104,"USD","SOFR",I4104,J4104,0,"Actual360","Simple","Annual","Annual","Annual")</f>
        <v/>
      </c>
      <c r="F4104" s="8">
        <f>QS.TRADE.CREATE("trade.4102",C4104,E4104,A4104,"Receive")</f>
        <v/>
      </c>
      <c r="G4104" s="5"/>
      <c r="H4104" s="7" t="s">
        <v>4145</v>
      </c>
      <c r="I4104" s="9">
        <v>1410200</v>
      </c>
      <c r="J4104" s="10">
        <v>0.0352</v>
      </c>
    </row>
    <row r="4105" spans="1:10">
      <c r="A4105" s="7" t="s">
        <v>4139</v>
      </c>
      <c r="B4105" s="7" t="s">
        <v>5972</v>
      </c>
      <c r="C4105" s="8">
        <f>QS.CONTEXT.CREATE("market.4103",A4105,"USD","SOFR")</f>
        <v/>
      </c>
      <c r="D4105" s="8">
        <f>QS.CONTEXT.ADD.CURVE(C4105,"SOFR",$K$2:$K$7,$L$2:$L$7,,,"Actual360","LogLinear",TRUE)</f>
        <v/>
      </c>
      <c r="E4105" s="8">
        <f>QS.INSTRUMENT.SWAP("swap.4103",C4105,H4105,B4105,"USD","SOFR",I4105,J4105,0,"Actual360","Simple","Annual","Annual","Annual")</f>
        <v/>
      </c>
      <c r="F4105" s="8">
        <f>QS.TRADE.CREATE("trade.4103",C4105,E4105,A4105,"Receive")</f>
        <v/>
      </c>
      <c r="G4105" s="5"/>
      <c r="H4105" s="7" t="s">
        <v>4146</v>
      </c>
      <c r="I4105" s="9">
        <v>1410300</v>
      </c>
      <c r="J4105" s="10">
        <v>0.0353</v>
      </c>
    </row>
    <row r="4106" spans="1:10">
      <c r="A4106" s="7" t="s">
        <v>4140</v>
      </c>
      <c r="B4106" s="7" t="s">
        <v>5973</v>
      </c>
      <c r="C4106" s="8">
        <f>QS.CONTEXT.CREATE("market.4104",A4106,"USD","SOFR")</f>
        <v/>
      </c>
      <c r="D4106" s="8">
        <f>QS.CONTEXT.ADD.CURVE(C4106,"SOFR",$K$2:$K$7,$L$2:$L$7,,,"Actual360","LogLinear",TRUE)</f>
        <v/>
      </c>
      <c r="E4106" s="8">
        <f>QS.INSTRUMENT.SWAP("swap.4104",C4106,H4106,B4106,"USD","SOFR",I4106,J4106,0,"Actual360","Simple","Annual","Annual","Annual")</f>
        <v/>
      </c>
      <c r="F4106" s="8">
        <f>QS.TRADE.CREATE("trade.4104",C4106,E4106,A4106,"Receive")</f>
        <v/>
      </c>
      <c r="G4106" s="5"/>
      <c r="H4106" s="7" t="s">
        <v>4147</v>
      </c>
      <c r="I4106" s="9">
        <v>1410400</v>
      </c>
      <c r="J4106" s="10">
        <v>0.0354</v>
      </c>
    </row>
    <row r="4107" spans="1:10">
      <c r="A4107" s="7" t="s">
        <v>4141</v>
      </c>
      <c r="B4107" s="7" t="s">
        <v>5974</v>
      </c>
      <c r="C4107" s="8">
        <f>QS.CONTEXT.CREATE("market.4105",A4107,"USD","SOFR")</f>
        <v/>
      </c>
      <c r="D4107" s="8">
        <f>QS.CONTEXT.ADD.CURVE(C4107,"SOFR",$K$2:$K$7,$L$2:$L$7,,,"Actual360","LogLinear",TRUE)</f>
        <v/>
      </c>
      <c r="E4107" s="8">
        <f>QS.INSTRUMENT.SWAP("swap.4105",C4107,H4107,B4107,"USD","SOFR",I4107,J4107,0,"Actual360","Simple","Annual","Annual","Annual")</f>
        <v/>
      </c>
      <c r="F4107" s="8">
        <f>QS.TRADE.CREATE("trade.4105",C4107,E4107,A4107,"Receive")</f>
        <v/>
      </c>
      <c r="G4107" s="5"/>
      <c r="H4107" s="7" t="s">
        <v>4148</v>
      </c>
      <c r="I4107" s="9">
        <v>1410500</v>
      </c>
      <c r="J4107" s="10">
        <v>0.0355</v>
      </c>
    </row>
    <row r="4108" spans="1:10">
      <c r="A4108" s="7" t="s">
        <v>4142</v>
      </c>
      <c r="B4108" s="7" t="s">
        <v>5975</v>
      </c>
      <c r="C4108" s="8">
        <f>QS.CONTEXT.CREATE("market.4106",A4108,"USD","SOFR")</f>
        <v/>
      </c>
      <c r="D4108" s="8">
        <f>QS.CONTEXT.ADD.CURVE(C4108,"SOFR",$K$2:$K$7,$L$2:$L$7,,,"Actual360","LogLinear",TRUE)</f>
        <v/>
      </c>
      <c r="E4108" s="8">
        <f>QS.INSTRUMENT.SWAP("swap.4106",C4108,H4108,B4108,"USD","SOFR",I4108,J4108,0,"Actual360","Simple","Annual","Annual","Annual")</f>
        <v/>
      </c>
      <c r="F4108" s="8">
        <f>QS.TRADE.CREATE("trade.4106",C4108,E4108,A4108,"Receive")</f>
        <v/>
      </c>
      <c r="G4108" s="5"/>
      <c r="H4108" s="7" t="s">
        <v>4149</v>
      </c>
      <c r="I4108" s="9">
        <v>1410600</v>
      </c>
      <c r="J4108" s="10">
        <v>0.03560000000000001</v>
      </c>
    </row>
    <row r="4109" spans="1:10">
      <c r="A4109" s="7" t="s">
        <v>4143</v>
      </c>
      <c r="B4109" s="7" t="s">
        <v>5976</v>
      </c>
      <c r="C4109" s="8">
        <f>QS.CONTEXT.CREATE("market.4107",A4109,"USD","SOFR")</f>
        <v/>
      </c>
      <c r="D4109" s="8">
        <f>QS.CONTEXT.ADD.CURVE(C4109,"SOFR",$K$2:$K$7,$L$2:$L$7,,,"Actual360","LogLinear",TRUE)</f>
        <v/>
      </c>
      <c r="E4109" s="8">
        <f>QS.INSTRUMENT.SWAP("swap.4107",C4109,H4109,B4109,"USD","SOFR",I4109,J4109,0,"Actual360","Simple","Annual","Annual","Annual")</f>
        <v/>
      </c>
      <c r="F4109" s="8">
        <f>QS.TRADE.CREATE("trade.4107",C4109,E4109,A4109,"Receive")</f>
        <v/>
      </c>
      <c r="G4109" s="5"/>
      <c r="H4109" s="7" t="s">
        <v>4150</v>
      </c>
      <c r="I4109" s="9">
        <v>1410700</v>
      </c>
      <c r="J4109" s="10">
        <v>0.0357</v>
      </c>
    </row>
    <row r="4110" spans="1:10">
      <c r="A4110" s="7" t="s">
        <v>4144</v>
      </c>
      <c r="B4110" s="7" t="s">
        <v>5977</v>
      </c>
      <c r="C4110" s="8">
        <f>QS.CONTEXT.CREATE("market.4108",A4110,"USD","SOFR")</f>
        <v/>
      </c>
      <c r="D4110" s="8">
        <f>QS.CONTEXT.ADD.CURVE(C4110,"SOFR",$K$2:$K$7,$L$2:$L$7,,,"Actual360","LogLinear",TRUE)</f>
        <v/>
      </c>
      <c r="E4110" s="8">
        <f>QS.INSTRUMENT.SWAP("swap.4108",C4110,H4110,B4110,"USD","SOFR",I4110,J4110,0,"Actual360","Simple","Annual","Annual","Annual")</f>
        <v/>
      </c>
      <c r="F4110" s="8">
        <f>QS.TRADE.CREATE("trade.4108",C4110,E4110,A4110,"Receive")</f>
        <v/>
      </c>
      <c r="G4110" s="5"/>
      <c r="H4110" s="7" t="s">
        <v>4151</v>
      </c>
      <c r="I4110" s="9">
        <v>1410800</v>
      </c>
      <c r="J4110" s="10">
        <v>0.03580000000000001</v>
      </c>
    </row>
    <row r="4111" spans="1:10">
      <c r="A4111" s="7" t="s">
        <v>4145</v>
      </c>
      <c r="B4111" s="7" t="s">
        <v>5978</v>
      </c>
      <c r="C4111" s="8">
        <f>QS.CONTEXT.CREATE("market.4109",A4111,"USD","SOFR")</f>
        <v/>
      </c>
      <c r="D4111" s="8">
        <f>QS.CONTEXT.ADD.CURVE(C4111,"SOFR",$K$2:$K$7,$L$2:$L$7,,,"Actual360","LogLinear",TRUE)</f>
        <v/>
      </c>
      <c r="E4111" s="8">
        <f>QS.INSTRUMENT.SWAP("swap.4109",C4111,H4111,B4111,"USD","SOFR",I4111,J4111,0,"Actual360","Simple","Annual","Annual","Annual")</f>
        <v/>
      </c>
      <c r="F4111" s="8">
        <f>QS.TRADE.CREATE("trade.4109",C4111,E4111,A4111,"Receive")</f>
        <v/>
      </c>
      <c r="G4111" s="5"/>
      <c r="H4111" s="7" t="s">
        <v>4152</v>
      </c>
      <c r="I4111" s="9">
        <v>1410900</v>
      </c>
      <c r="J4111" s="10">
        <v>0.0359</v>
      </c>
    </row>
    <row r="4112" spans="1:10">
      <c r="A4112" s="7" t="s">
        <v>4146</v>
      </c>
      <c r="B4112" s="7" t="s">
        <v>5979</v>
      </c>
      <c r="C4112" s="8">
        <f>QS.CONTEXT.CREATE("market.4110",A4112,"USD","SOFR")</f>
        <v/>
      </c>
      <c r="D4112" s="8">
        <f>QS.CONTEXT.ADD.CURVE(C4112,"SOFR",$K$2:$K$7,$L$2:$L$7,,,"Actual360","LogLinear",TRUE)</f>
        <v/>
      </c>
      <c r="E4112" s="8">
        <f>QS.INSTRUMENT.SWAP("swap.4110",C4112,H4112,B4112,"USD","SOFR",I4112,J4112,0,"Actual360","Simple","Annual","Annual","Annual")</f>
        <v/>
      </c>
      <c r="F4112" s="8">
        <f>QS.TRADE.CREATE("trade.4110",C4112,E4112,A4112,"Receive")</f>
        <v/>
      </c>
      <c r="G4112" s="5"/>
      <c r="H4112" s="7" t="s">
        <v>4153</v>
      </c>
      <c r="I4112" s="9">
        <v>1411000</v>
      </c>
      <c r="J4112" s="10">
        <v>0.036</v>
      </c>
    </row>
    <row r="4113" spans="1:10">
      <c r="A4113" s="7" t="s">
        <v>4147</v>
      </c>
      <c r="B4113" s="7" t="s">
        <v>5980</v>
      </c>
      <c r="C4113" s="8">
        <f>QS.CONTEXT.CREATE("market.4111",A4113,"USD","SOFR")</f>
        <v/>
      </c>
      <c r="D4113" s="8">
        <f>QS.CONTEXT.ADD.CURVE(C4113,"SOFR",$K$2:$K$7,$L$2:$L$7,,,"Actual360","LogLinear",TRUE)</f>
        <v/>
      </c>
      <c r="E4113" s="8">
        <f>QS.INSTRUMENT.SWAP("swap.4111",C4113,H4113,B4113,"USD","SOFR",I4113,J4113,0,"Actual360","Simple","Annual","Annual","Annual")</f>
        <v/>
      </c>
      <c r="F4113" s="8">
        <f>QS.TRADE.CREATE("trade.4111",C4113,E4113,A4113,"Receive")</f>
        <v/>
      </c>
      <c r="G4113" s="5"/>
      <c r="H4113" s="7" t="s">
        <v>4154</v>
      </c>
      <c r="I4113" s="9">
        <v>1411100</v>
      </c>
      <c r="J4113" s="10">
        <v>0.0361</v>
      </c>
    </row>
    <row r="4114" spans="1:10">
      <c r="A4114" s="7" t="s">
        <v>4148</v>
      </c>
      <c r="B4114" s="7" t="s">
        <v>5981</v>
      </c>
      <c r="C4114" s="8">
        <f>QS.CONTEXT.CREATE("market.4112",A4114,"USD","SOFR")</f>
        <v/>
      </c>
      <c r="D4114" s="8">
        <f>QS.CONTEXT.ADD.CURVE(C4114,"SOFR",$K$2:$K$7,$L$2:$L$7,,,"Actual360","LogLinear",TRUE)</f>
        <v/>
      </c>
      <c r="E4114" s="8">
        <f>QS.INSTRUMENT.SWAP("swap.4112",C4114,H4114,B4114,"USD","SOFR",I4114,J4114,0,"Actual360","Simple","Annual","Annual","Annual")</f>
        <v/>
      </c>
      <c r="F4114" s="8">
        <f>QS.TRADE.CREATE("trade.4112",C4114,E4114,A4114,"Receive")</f>
        <v/>
      </c>
      <c r="G4114" s="5"/>
      <c r="H4114" s="7" t="s">
        <v>4155</v>
      </c>
      <c r="I4114" s="9">
        <v>1411200</v>
      </c>
      <c r="J4114" s="10">
        <v>0.0362</v>
      </c>
    </row>
    <row r="4115" spans="1:10">
      <c r="A4115" s="7" t="s">
        <v>4149</v>
      </c>
      <c r="B4115" s="7" t="s">
        <v>5982</v>
      </c>
      <c r="C4115" s="8">
        <f>QS.CONTEXT.CREATE("market.4113",A4115,"USD","SOFR")</f>
        <v/>
      </c>
      <c r="D4115" s="8">
        <f>QS.CONTEXT.ADD.CURVE(C4115,"SOFR",$K$2:$K$7,$L$2:$L$7,,,"Actual360","LogLinear",TRUE)</f>
        <v/>
      </c>
      <c r="E4115" s="8">
        <f>QS.INSTRUMENT.SWAP("swap.4113",C4115,H4115,B4115,"USD","SOFR",I4115,J4115,0,"Actual360","Simple","Annual","Annual","Annual")</f>
        <v/>
      </c>
      <c r="F4115" s="8">
        <f>QS.TRADE.CREATE("trade.4113",C4115,E4115,A4115,"Receive")</f>
        <v/>
      </c>
      <c r="G4115" s="5"/>
      <c r="H4115" s="7" t="s">
        <v>4156</v>
      </c>
      <c r="I4115" s="9">
        <v>1411300</v>
      </c>
      <c r="J4115" s="10">
        <v>0.03630000000000001</v>
      </c>
    </row>
    <row r="4116" spans="1:10">
      <c r="A4116" s="7" t="s">
        <v>4150</v>
      </c>
      <c r="B4116" s="7" t="s">
        <v>5983</v>
      </c>
      <c r="C4116" s="8">
        <f>QS.CONTEXT.CREATE("market.4114",A4116,"USD","SOFR")</f>
        <v/>
      </c>
      <c r="D4116" s="8">
        <f>QS.CONTEXT.ADD.CURVE(C4116,"SOFR",$K$2:$K$7,$L$2:$L$7,,,"Actual360","LogLinear",TRUE)</f>
        <v/>
      </c>
      <c r="E4116" s="8">
        <f>QS.INSTRUMENT.SWAP("swap.4114",C4116,H4116,B4116,"USD","SOFR",I4116,J4116,0,"Actual360","Simple","Annual","Annual","Annual")</f>
        <v/>
      </c>
      <c r="F4116" s="8">
        <f>QS.TRADE.CREATE("trade.4114",C4116,E4116,A4116,"Receive")</f>
        <v/>
      </c>
      <c r="G4116" s="5"/>
      <c r="H4116" s="7" t="s">
        <v>4157</v>
      </c>
      <c r="I4116" s="9">
        <v>1411400</v>
      </c>
      <c r="J4116" s="10">
        <v>0.0364</v>
      </c>
    </row>
    <row r="4117" spans="1:10">
      <c r="A4117" s="7" t="s">
        <v>4151</v>
      </c>
      <c r="B4117" s="7" t="s">
        <v>5984</v>
      </c>
      <c r="C4117" s="8">
        <f>QS.CONTEXT.CREATE("market.4115",A4117,"USD","SOFR")</f>
        <v/>
      </c>
      <c r="D4117" s="8">
        <f>QS.CONTEXT.ADD.CURVE(C4117,"SOFR",$K$2:$K$7,$L$2:$L$7,,,"Actual360","LogLinear",TRUE)</f>
        <v/>
      </c>
      <c r="E4117" s="8">
        <f>QS.INSTRUMENT.SWAP("swap.4115",C4117,H4117,B4117,"USD","SOFR",I4117,J4117,0,"Actual360","Simple","Annual","Annual","Annual")</f>
        <v/>
      </c>
      <c r="F4117" s="8">
        <f>QS.TRADE.CREATE("trade.4115",C4117,E4117,A4117,"Receive")</f>
        <v/>
      </c>
      <c r="G4117" s="5"/>
      <c r="H4117" s="7" t="s">
        <v>4158</v>
      </c>
      <c r="I4117" s="9">
        <v>1411500</v>
      </c>
      <c r="J4117" s="10">
        <v>0.0365</v>
      </c>
    </row>
    <row r="4118" spans="1:10">
      <c r="A4118" s="7" t="s">
        <v>4152</v>
      </c>
      <c r="B4118" s="7" t="s">
        <v>5985</v>
      </c>
      <c r="C4118" s="8">
        <f>QS.CONTEXT.CREATE("market.4116",A4118,"USD","SOFR")</f>
        <v/>
      </c>
      <c r="D4118" s="8">
        <f>QS.CONTEXT.ADD.CURVE(C4118,"SOFR",$K$2:$K$7,$L$2:$L$7,,,"Actual360","LogLinear",TRUE)</f>
        <v/>
      </c>
      <c r="E4118" s="8">
        <f>QS.INSTRUMENT.SWAP("swap.4116",C4118,H4118,B4118,"USD","SOFR",I4118,J4118,0,"Actual360","Simple","Annual","Annual","Annual")</f>
        <v/>
      </c>
      <c r="F4118" s="8">
        <f>QS.TRADE.CREATE("trade.4116",C4118,E4118,A4118,"Receive")</f>
        <v/>
      </c>
      <c r="G4118" s="5"/>
      <c r="H4118" s="7" t="s">
        <v>4159</v>
      </c>
      <c r="I4118" s="9">
        <v>1411600</v>
      </c>
      <c r="J4118" s="10">
        <v>0.0366</v>
      </c>
    </row>
    <row r="4119" spans="1:10">
      <c r="A4119" s="7" t="s">
        <v>4153</v>
      </c>
      <c r="B4119" s="7" t="s">
        <v>5986</v>
      </c>
      <c r="C4119" s="8">
        <f>QS.CONTEXT.CREATE("market.4117",A4119,"USD","SOFR")</f>
        <v/>
      </c>
      <c r="D4119" s="8">
        <f>QS.CONTEXT.ADD.CURVE(C4119,"SOFR",$K$2:$K$7,$L$2:$L$7,,,"Actual360","LogLinear",TRUE)</f>
        <v/>
      </c>
      <c r="E4119" s="8">
        <f>QS.INSTRUMENT.SWAP("swap.4117",C4119,H4119,B4119,"USD","SOFR",I4119,J4119,0,"Actual360","Simple","Annual","Annual","Annual")</f>
        <v/>
      </c>
      <c r="F4119" s="8">
        <f>QS.TRADE.CREATE("trade.4117",C4119,E4119,A4119,"Receive")</f>
        <v/>
      </c>
      <c r="G4119" s="5"/>
      <c r="H4119" s="7" t="s">
        <v>4160</v>
      </c>
      <c r="I4119" s="9">
        <v>1411700</v>
      </c>
      <c r="J4119" s="10">
        <v>0.0367</v>
      </c>
    </row>
    <row r="4120" spans="1:10">
      <c r="A4120" s="7" t="s">
        <v>4154</v>
      </c>
      <c r="B4120" s="7" t="s">
        <v>5987</v>
      </c>
      <c r="C4120" s="8">
        <f>QS.CONTEXT.CREATE("market.4118",A4120,"USD","SOFR")</f>
        <v/>
      </c>
      <c r="D4120" s="8">
        <f>QS.CONTEXT.ADD.CURVE(C4120,"SOFR",$K$2:$K$7,$L$2:$L$7,,,"Actual360","LogLinear",TRUE)</f>
        <v/>
      </c>
      <c r="E4120" s="8">
        <f>QS.INSTRUMENT.SWAP("swap.4118",C4120,H4120,B4120,"USD","SOFR",I4120,J4120,0,"Actual360","Simple","Annual","Annual","Annual")</f>
        <v/>
      </c>
      <c r="F4120" s="8">
        <f>QS.TRADE.CREATE("trade.4118",C4120,E4120,A4120,"Receive")</f>
        <v/>
      </c>
      <c r="G4120" s="5"/>
      <c r="H4120" s="7" t="s">
        <v>4161</v>
      </c>
      <c r="I4120" s="9">
        <v>1411800</v>
      </c>
      <c r="J4120" s="10">
        <v>0.03680000000000001</v>
      </c>
    </row>
    <row r="4121" spans="1:10">
      <c r="A4121" s="7" t="s">
        <v>4155</v>
      </c>
      <c r="B4121" s="7" t="s">
        <v>5988</v>
      </c>
      <c r="C4121" s="8">
        <f>QS.CONTEXT.CREATE("market.4119",A4121,"USD","SOFR")</f>
        <v/>
      </c>
      <c r="D4121" s="8">
        <f>QS.CONTEXT.ADD.CURVE(C4121,"SOFR",$K$2:$K$7,$L$2:$L$7,,,"Actual360","LogLinear",TRUE)</f>
        <v/>
      </c>
      <c r="E4121" s="8">
        <f>QS.INSTRUMENT.SWAP("swap.4119",C4121,H4121,B4121,"USD","SOFR",I4121,J4121,0,"Actual360","Simple","Annual","Annual","Annual")</f>
        <v/>
      </c>
      <c r="F4121" s="8">
        <f>QS.TRADE.CREATE("trade.4119",C4121,E4121,A4121,"Receive")</f>
        <v/>
      </c>
      <c r="G4121" s="5"/>
      <c r="H4121" s="7" t="s">
        <v>4162</v>
      </c>
      <c r="I4121" s="9">
        <v>1411900</v>
      </c>
      <c r="J4121" s="10">
        <v>0.0369</v>
      </c>
    </row>
    <row r="4122" spans="1:10">
      <c r="A4122" s="7" t="s">
        <v>4156</v>
      </c>
      <c r="B4122" s="7" t="s">
        <v>5989</v>
      </c>
      <c r="C4122" s="8">
        <f>QS.CONTEXT.CREATE("market.4120",A4122,"USD","SOFR")</f>
        <v/>
      </c>
      <c r="D4122" s="8">
        <f>QS.CONTEXT.ADD.CURVE(C4122,"SOFR",$K$2:$K$7,$L$2:$L$7,,,"Actual360","LogLinear",TRUE)</f>
        <v/>
      </c>
      <c r="E4122" s="8">
        <f>QS.INSTRUMENT.SWAP("swap.4120",C4122,H4122,B4122,"USD","SOFR",I4122,J4122,0,"Actual360","Simple","Annual","Annual","Annual")</f>
        <v/>
      </c>
      <c r="F4122" s="8">
        <f>QS.TRADE.CREATE("trade.4120",C4122,E4122,A4122,"Receive")</f>
        <v/>
      </c>
      <c r="G4122" s="5"/>
      <c r="H4122" s="7" t="s">
        <v>4163</v>
      </c>
      <c r="I4122" s="9">
        <v>1412000</v>
      </c>
      <c r="J4122" s="10">
        <v>0.03700000000000001</v>
      </c>
    </row>
    <row r="4123" spans="1:10">
      <c r="A4123" s="7" t="s">
        <v>4157</v>
      </c>
      <c r="B4123" s="7" t="s">
        <v>5990</v>
      </c>
      <c r="C4123" s="8">
        <f>QS.CONTEXT.CREATE("market.4121",A4123,"USD","SOFR")</f>
        <v/>
      </c>
      <c r="D4123" s="8">
        <f>QS.CONTEXT.ADD.CURVE(C4123,"SOFR",$K$2:$K$7,$L$2:$L$7,,,"Actual360","LogLinear",TRUE)</f>
        <v/>
      </c>
      <c r="E4123" s="8">
        <f>QS.INSTRUMENT.SWAP("swap.4121",C4123,H4123,B4123,"USD","SOFR",I4123,J4123,0,"Actual360","Simple","Annual","Annual","Annual")</f>
        <v/>
      </c>
      <c r="F4123" s="8">
        <f>QS.TRADE.CREATE("trade.4121",C4123,E4123,A4123,"Receive")</f>
        <v/>
      </c>
      <c r="G4123" s="5"/>
      <c r="H4123" s="7" t="s">
        <v>4164</v>
      </c>
      <c r="I4123" s="9">
        <v>1412100</v>
      </c>
      <c r="J4123" s="10">
        <v>0.0371</v>
      </c>
    </row>
    <row r="4124" spans="1:10">
      <c r="A4124" s="7" t="s">
        <v>4158</v>
      </c>
      <c r="B4124" s="7" t="s">
        <v>5991</v>
      </c>
      <c r="C4124" s="8">
        <f>QS.CONTEXT.CREATE("market.4122",A4124,"USD","SOFR")</f>
        <v/>
      </c>
      <c r="D4124" s="8">
        <f>QS.CONTEXT.ADD.CURVE(C4124,"SOFR",$K$2:$K$7,$L$2:$L$7,,,"Actual360","LogLinear",TRUE)</f>
        <v/>
      </c>
      <c r="E4124" s="8">
        <f>QS.INSTRUMENT.SWAP("swap.4122",C4124,H4124,B4124,"USD","SOFR",I4124,J4124,0,"Actual360","Simple","Annual","Annual","Annual")</f>
        <v/>
      </c>
      <c r="F4124" s="8">
        <f>QS.TRADE.CREATE("trade.4122",C4124,E4124,A4124,"Receive")</f>
        <v/>
      </c>
      <c r="G4124" s="5"/>
      <c r="H4124" s="7" t="s">
        <v>4165</v>
      </c>
      <c r="I4124" s="9">
        <v>1412200</v>
      </c>
      <c r="J4124" s="10">
        <v>0.0372</v>
      </c>
    </row>
    <row r="4125" spans="1:10">
      <c r="A4125" s="7" t="s">
        <v>4159</v>
      </c>
      <c r="B4125" s="7" t="s">
        <v>5992</v>
      </c>
      <c r="C4125" s="8">
        <f>QS.CONTEXT.CREATE("market.4123",A4125,"USD","SOFR")</f>
        <v/>
      </c>
      <c r="D4125" s="8">
        <f>QS.CONTEXT.ADD.CURVE(C4125,"SOFR",$K$2:$K$7,$L$2:$L$7,,,"Actual360","LogLinear",TRUE)</f>
        <v/>
      </c>
      <c r="E4125" s="8">
        <f>QS.INSTRUMENT.SWAP("swap.4123",C4125,H4125,B4125,"USD","SOFR",I4125,J4125,0,"Actual360","Simple","Annual","Annual","Annual")</f>
        <v/>
      </c>
      <c r="F4125" s="8">
        <f>QS.TRADE.CREATE("trade.4123",C4125,E4125,A4125,"Receive")</f>
        <v/>
      </c>
      <c r="G4125" s="5"/>
      <c r="H4125" s="7" t="s">
        <v>4166</v>
      </c>
      <c r="I4125" s="9">
        <v>1412300</v>
      </c>
      <c r="J4125" s="10">
        <v>0.0373</v>
      </c>
    </row>
    <row r="4126" spans="1:10">
      <c r="A4126" s="7" t="s">
        <v>4160</v>
      </c>
      <c r="B4126" s="7" t="s">
        <v>5993</v>
      </c>
      <c r="C4126" s="8">
        <f>QS.CONTEXT.CREATE("market.4124",A4126,"USD","SOFR")</f>
        <v/>
      </c>
      <c r="D4126" s="8">
        <f>QS.CONTEXT.ADD.CURVE(C4126,"SOFR",$K$2:$K$7,$L$2:$L$7,,,"Actual360","LogLinear",TRUE)</f>
        <v/>
      </c>
      <c r="E4126" s="8">
        <f>QS.INSTRUMENT.SWAP("swap.4124",C4126,H4126,B4126,"USD","SOFR",I4126,J4126,0,"Actual360","Simple","Annual","Annual","Annual")</f>
        <v/>
      </c>
      <c r="F4126" s="8">
        <f>QS.TRADE.CREATE("trade.4124",C4126,E4126,A4126,"Receive")</f>
        <v/>
      </c>
      <c r="G4126" s="5"/>
      <c r="H4126" s="7" t="s">
        <v>4167</v>
      </c>
      <c r="I4126" s="9">
        <v>1412400</v>
      </c>
      <c r="J4126" s="10">
        <v>0.0374</v>
      </c>
    </row>
    <row r="4127" spans="1:10">
      <c r="A4127" s="7" t="s">
        <v>4161</v>
      </c>
      <c r="B4127" s="7" t="s">
        <v>5994</v>
      </c>
      <c r="C4127" s="8">
        <f>QS.CONTEXT.CREATE("market.4125",A4127,"USD","SOFR")</f>
        <v/>
      </c>
      <c r="D4127" s="8">
        <f>QS.CONTEXT.ADD.CURVE(C4127,"SOFR",$K$2:$K$7,$L$2:$L$7,,,"Actual360","LogLinear",TRUE)</f>
        <v/>
      </c>
      <c r="E4127" s="8">
        <f>QS.INSTRUMENT.SWAP("swap.4125",C4127,H4127,B4127,"USD","SOFR",I4127,J4127,0,"Actual360","Simple","Annual","Annual","Annual")</f>
        <v/>
      </c>
      <c r="F4127" s="8">
        <f>QS.TRADE.CREATE("trade.4125",C4127,E4127,A4127,"Receive")</f>
        <v/>
      </c>
      <c r="G4127" s="5"/>
      <c r="H4127" s="7" t="s">
        <v>4168</v>
      </c>
      <c r="I4127" s="9">
        <v>1412500</v>
      </c>
      <c r="J4127" s="10">
        <v>0.03750000000000001</v>
      </c>
    </row>
    <row r="4128" spans="1:10">
      <c r="A4128" s="7" t="s">
        <v>4162</v>
      </c>
      <c r="B4128" s="7" t="s">
        <v>5995</v>
      </c>
      <c r="C4128" s="8">
        <f>QS.CONTEXT.CREATE("market.4126",A4128,"USD","SOFR")</f>
        <v/>
      </c>
      <c r="D4128" s="8">
        <f>QS.CONTEXT.ADD.CURVE(C4128,"SOFR",$K$2:$K$7,$L$2:$L$7,,,"Actual360","LogLinear",TRUE)</f>
        <v/>
      </c>
      <c r="E4128" s="8">
        <f>QS.INSTRUMENT.SWAP("swap.4126",C4128,H4128,B4128,"USD","SOFR",I4128,J4128,0,"Actual360","Simple","Annual","Annual","Annual")</f>
        <v/>
      </c>
      <c r="F4128" s="8">
        <f>QS.TRADE.CREATE("trade.4126",C4128,E4128,A4128,"Receive")</f>
        <v/>
      </c>
      <c r="G4128" s="5"/>
      <c r="H4128" s="7" t="s">
        <v>4169</v>
      </c>
      <c r="I4128" s="9">
        <v>1412600</v>
      </c>
      <c r="J4128" s="10">
        <v>0.0376</v>
      </c>
    </row>
    <row r="4129" spans="1:10">
      <c r="A4129" s="7" t="s">
        <v>4163</v>
      </c>
      <c r="B4129" s="7" t="s">
        <v>5996</v>
      </c>
      <c r="C4129" s="8">
        <f>QS.CONTEXT.CREATE("market.4127",A4129,"USD","SOFR")</f>
        <v/>
      </c>
      <c r="D4129" s="8">
        <f>QS.CONTEXT.ADD.CURVE(C4129,"SOFR",$K$2:$K$7,$L$2:$L$7,,,"Actual360","LogLinear",TRUE)</f>
        <v/>
      </c>
      <c r="E4129" s="8">
        <f>QS.INSTRUMENT.SWAP("swap.4127",C4129,H4129,B4129,"USD","SOFR",I4129,J4129,0,"Actual360","Simple","Annual","Annual","Annual")</f>
        <v/>
      </c>
      <c r="F4129" s="8">
        <f>QS.TRADE.CREATE("trade.4127",C4129,E4129,A4129,"Receive")</f>
        <v/>
      </c>
      <c r="G4129" s="5"/>
      <c r="H4129" s="7" t="s">
        <v>4170</v>
      </c>
      <c r="I4129" s="9">
        <v>1412700</v>
      </c>
      <c r="J4129" s="10">
        <v>0.0377</v>
      </c>
    </row>
    <row r="4130" spans="1:10">
      <c r="A4130" s="7" t="s">
        <v>4164</v>
      </c>
      <c r="B4130" s="7" t="s">
        <v>5997</v>
      </c>
      <c r="C4130" s="8">
        <f>QS.CONTEXT.CREATE("market.4128",A4130,"USD","SOFR")</f>
        <v/>
      </c>
      <c r="D4130" s="8">
        <f>QS.CONTEXT.ADD.CURVE(C4130,"SOFR",$K$2:$K$7,$L$2:$L$7,,,"Actual360","LogLinear",TRUE)</f>
        <v/>
      </c>
      <c r="E4130" s="8">
        <f>QS.INSTRUMENT.SWAP("swap.4128",C4130,H4130,B4130,"USD","SOFR",I4130,J4130,0,"Actual360","Simple","Annual","Annual","Annual")</f>
        <v/>
      </c>
      <c r="F4130" s="8">
        <f>QS.TRADE.CREATE("trade.4128",C4130,E4130,A4130,"Receive")</f>
        <v/>
      </c>
      <c r="G4130" s="5"/>
      <c r="H4130" s="7" t="s">
        <v>4171</v>
      </c>
      <c r="I4130" s="9">
        <v>1412800</v>
      </c>
      <c r="J4130" s="10">
        <v>0.0378</v>
      </c>
    </row>
    <row r="4131" spans="1:10">
      <c r="A4131" s="7" t="s">
        <v>4165</v>
      </c>
      <c r="B4131" s="7" t="s">
        <v>5998</v>
      </c>
      <c r="C4131" s="8">
        <f>QS.CONTEXT.CREATE("market.4129",A4131,"USD","SOFR")</f>
        <v/>
      </c>
      <c r="D4131" s="8">
        <f>QS.CONTEXT.ADD.CURVE(C4131,"SOFR",$K$2:$K$7,$L$2:$L$7,,,"Actual360","LogLinear",TRUE)</f>
        <v/>
      </c>
      <c r="E4131" s="8">
        <f>QS.INSTRUMENT.SWAP("swap.4129",C4131,H4131,B4131,"USD","SOFR",I4131,J4131,0,"Actual360","Simple","Annual","Annual","Annual")</f>
        <v/>
      </c>
      <c r="F4131" s="8">
        <f>QS.TRADE.CREATE("trade.4129",C4131,E4131,A4131,"Receive")</f>
        <v/>
      </c>
      <c r="G4131" s="5"/>
      <c r="H4131" s="7" t="s">
        <v>4172</v>
      </c>
      <c r="I4131" s="9">
        <v>1412900</v>
      </c>
      <c r="J4131" s="10">
        <v>0.0379</v>
      </c>
    </row>
    <row r="4132" spans="1:10">
      <c r="A4132" s="7" t="s">
        <v>4166</v>
      </c>
      <c r="B4132" s="7" t="s">
        <v>5999</v>
      </c>
      <c r="C4132" s="8">
        <f>QS.CONTEXT.CREATE("market.4130",A4132,"USD","SOFR")</f>
        <v/>
      </c>
      <c r="D4132" s="8">
        <f>QS.CONTEXT.ADD.CURVE(C4132,"SOFR",$K$2:$K$7,$L$2:$L$7,,,"Actual360","LogLinear",TRUE)</f>
        <v/>
      </c>
      <c r="E4132" s="8">
        <f>QS.INSTRUMENT.SWAP("swap.4130",C4132,H4132,B4132,"USD","SOFR",I4132,J4132,0,"Actual360","Simple","Annual","Annual","Annual")</f>
        <v/>
      </c>
      <c r="F4132" s="8">
        <f>QS.TRADE.CREATE("trade.4130",C4132,E4132,A4132,"Receive")</f>
        <v/>
      </c>
      <c r="G4132" s="5"/>
      <c r="H4132" s="7" t="s">
        <v>4173</v>
      </c>
      <c r="I4132" s="9">
        <v>1413000</v>
      </c>
      <c r="J4132" s="10">
        <v>0.03800000000000001</v>
      </c>
    </row>
    <row r="4133" spans="1:10">
      <c r="A4133" s="7" t="s">
        <v>4167</v>
      </c>
      <c r="B4133" s="7" t="s">
        <v>6000</v>
      </c>
      <c r="C4133" s="8">
        <f>QS.CONTEXT.CREATE("market.4131",A4133,"USD","SOFR")</f>
        <v/>
      </c>
      <c r="D4133" s="8">
        <f>QS.CONTEXT.ADD.CURVE(C4133,"SOFR",$K$2:$K$7,$L$2:$L$7,,,"Actual360","LogLinear",TRUE)</f>
        <v/>
      </c>
      <c r="E4133" s="8">
        <f>QS.INSTRUMENT.SWAP("swap.4131",C4133,H4133,B4133,"USD","SOFR",I4133,J4133,0,"Actual360","Simple","Annual","Annual","Annual")</f>
        <v/>
      </c>
      <c r="F4133" s="8">
        <f>QS.TRADE.CREATE("trade.4131",C4133,E4133,A4133,"Receive")</f>
        <v/>
      </c>
      <c r="G4133" s="5"/>
      <c r="H4133" s="7" t="s">
        <v>4174</v>
      </c>
      <c r="I4133" s="9">
        <v>1413100</v>
      </c>
      <c r="J4133" s="10">
        <v>0.0381</v>
      </c>
    </row>
    <row r="4134" spans="1:10">
      <c r="A4134" s="7" t="s">
        <v>4168</v>
      </c>
      <c r="B4134" s="7" t="s">
        <v>6001</v>
      </c>
      <c r="C4134" s="8">
        <f>QS.CONTEXT.CREATE("market.4132",A4134,"USD","SOFR")</f>
        <v/>
      </c>
      <c r="D4134" s="8">
        <f>QS.CONTEXT.ADD.CURVE(C4134,"SOFR",$K$2:$K$7,$L$2:$L$7,,,"Actual360","LogLinear",TRUE)</f>
        <v/>
      </c>
      <c r="E4134" s="8">
        <f>QS.INSTRUMENT.SWAP("swap.4132",C4134,H4134,B4134,"USD","SOFR",I4134,J4134,0,"Actual360","Simple","Annual","Annual","Annual")</f>
        <v/>
      </c>
      <c r="F4134" s="8">
        <f>QS.TRADE.CREATE("trade.4132",C4134,E4134,A4134,"Receive")</f>
        <v/>
      </c>
      <c r="G4134" s="5"/>
      <c r="H4134" s="7" t="s">
        <v>4175</v>
      </c>
      <c r="I4134" s="9">
        <v>1413200</v>
      </c>
      <c r="J4134" s="10">
        <v>0.0382</v>
      </c>
    </row>
    <row r="4135" spans="1:10">
      <c r="A4135" s="7" t="s">
        <v>4169</v>
      </c>
      <c r="B4135" s="7" t="s">
        <v>6002</v>
      </c>
      <c r="C4135" s="8">
        <f>QS.CONTEXT.CREATE("market.4133",A4135,"USD","SOFR")</f>
        <v/>
      </c>
      <c r="D4135" s="8">
        <f>QS.CONTEXT.ADD.CURVE(C4135,"SOFR",$K$2:$K$7,$L$2:$L$7,,,"Actual360","LogLinear",TRUE)</f>
        <v/>
      </c>
      <c r="E4135" s="8">
        <f>QS.INSTRUMENT.SWAP("swap.4133",C4135,H4135,B4135,"USD","SOFR",I4135,J4135,0,"Actual360","Simple","Annual","Annual","Annual")</f>
        <v/>
      </c>
      <c r="F4135" s="8">
        <f>QS.TRADE.CREATE("trade.4133",C4135,E4135,A4135,"Receive")</f>
        <v/>
      </c>
      <c r="G4135" s="5"/>
      <c r="H4135" s="7" t="s">
        <v>4176</v>
      </c>
      <c r="I4135" s="9">
        <v>1413300</v>
      </c>
      <c r="J4135" s="10">
        <v>0.0383</v>
      </c>
    </row>
    <row r="4136" spans="1:10">
      <c r="A4136" s="7" t="s">
        <v>4170</v>
      </c>
      <c r="B4136" s="7" t="s">
        <v>6003</v>
      </c>
      <c r="C4136" s="8">
        <f>QS.CONTEXT.CREATE("market.4134",A4136,"USD","SOFR")</f>
        <v/>
      </c>
      <c r="D4136" s="8">
        <f>QS.CONTEXT.ADD.CURVE(C4136,"SOFR",$K$2:$K$7,$L$2:$L$7,,,"Actual360","LogLinear",TRUE)</f>
        <v/>
      </c>
      <c r="E4136" s="8">
        <f>QS.INSTRUMENT.SWAP("swap.4134",C4136,H4136,B4136,"USD","SOFR",I4136,J4136,0,"Actual360","Simple","Annual","Annual","Annual")</f>
        <v/>
      </c>
      <c r="F4136" s="8">
        <f>QS.TRADE.CREATE("trade.4134",C4136,E4136,A4136,"Receive")</f>
        <v/>
      </c>
      <c r="G4136" s="5"/>
      <c r="H4136" s="7" t="s">
        <v>4177</v>
      </c>
      <c r="I4136" s="9">
        <v>1413400</v>
      </c>
      <c r="J4136" s="10">
        <v>0.0384</v>
      </c>
    </row>
    <row r="4137" spans="1:10">
      <c r="A4137" s="7" t="s">
        <v>4171</v>
      </c>
      <c r="B4137" s="7" t="s">
        <v>6004</v>
      </c>
      <c r="C4137" s="8">
        <f>QS.CONTEXT.CREATE("market.4135",A4137,"USD","SOFR")</f>
        <v/>
      </c>
      <c r="D4137" s="8">
        <f>QS.CONTEXT.ADD.CURVE(C4137,"SOFR",$K$2:$K$7,$L$2:$L$7,,,"Actual360","LogLinear",TRUE)</f>
        <v/>
      </c>
      <c r="E4137" s="8">
        <f>QS.INSTRUMENT.SWAP("swap.4135",C4137,H4137,B4137,"USD","SOFR",I4137,J4137,0,"Actual360","Simple","Annual","Annual","Annual")</f>
        <v/>
      </c>
      <c r="F4137" s="8">
        <f>QS.TRADE.CREATE("trade.4135",C4137,E4137,A4137,"Receive")</f>
        <v/>
      </c>
      <c r="G4137" s="5"/>
      <c r="H4137" s="7" t="s">
        <v>4178</v>
      </c>
      <c r="I4137" s="9">
        <v>1413500</v>
      </c>
      <c r="J4137" s="10">
        <v>0.03850000000000001</v>
      </c>
    </row>
    <row r="4138" spans="1:10">
      <c r="A4138" s="7" t="s">
        <v>4172</v>
      </c>
      <c r="B4138" s="7" t="s">
        <v>6005</v>
      </c>
      <c r="C4138" s="8">
        <f>QS.CONTEXT.CREATE("market.4136",A4138,"USD","SOFR")</f>
        <v/>
      </c>
      <c r="D4138" s="8">
        <f>QS.CONTEXT.ADD.CURVE(C4138,"SOFR",$K$2:$K$7,$L$2:$L$7,,,"Actual360","LogLinear",TRUE)</f>
        <v/>
      </c>
      <c r="E4138" s="8">
        <f>QS.INSTRUMENT.SWAP("swap.4136",C4138,H4138,B4138,"USD","SOFR",I4138,J4138,0,"Actual360","Simple","Annual","Annual","Annual")</f>
        <v/>
      </c>
      <c r="F4138" s="8">
        <f>QS.TRADE.CREATE("trade.4136",C4138,E4138,A4138,"Receive")</f>
        <v/>
      </c>
      <c r="G4138" s="5"/>
      <c r="H4138" s="7" t="s">
        <v>4179</v>
      </c>
      <c r="I4138" s="9">
        <v>1413600</v>
      </c>
      <c r="J4138" s="10">
        <v>0.0386</v>
      </c>
    </row>
    <row r="4139" spans="1:10">
      <c r="A4139" s="7" t="s">
        <v>4173</v>
      </c>
      <c r="B4139" s="7" t="s">
        <v>6006</v>
      </c>
      <c r="C4139" s="8">
        <f>QS.CONTEXT.CREATE("market.4137",A4139,"USD","SOFR")</f>
        <v/>
      </c>
      <c r="D4139" s="8">
        <f>QS.CONTEXT.ADD.CURVE(C4139,"SOFR",$K$2:$K$7,$L$2:$L$7,,,"Actual360","LogLinear",TRUE)</f>
        <v/>
      </c>
      <c r="E4139" s="8">
        <f>QS.INSTRUMENT.SWAP("swap.4137",C4139,H4139,B4139,"USD","SOFR",I4139,J4139,0,"Actual360","Simple","Annual","Annual","Annual")</f>
        <v/>
      </c>
      <c r="F4139" s="8">
        <f>QS.TRADE.CREATE("trade.4137",C4139,E4139,A4139,"Receive")</f>
        <v/>
      </c>
      <c r="G4139" s="5"/>
      <c r="H4139" s="7" t="s">
        <v>4180</v>
      </c>
      <c r="I4139" s="9">
        <v>1413700</v>
      </c>
      <c r="J4139" s="10">
        <v>0.03870000000000001</v>
      </c>
    </row>
    <row r="4140" spans="1:10">
      <c r="A4140" s="7" t="s">
        <v>4174</v>
      </c>
      <c r="B4140" s="7" t="s">
        <v>6007</v>
      </c>
      <c r="C4140" s="8">
        <f>QS.CONTEXT.CREATE("market.4138",A4140,"USD","SOFR")</f>
        <v/>
      </c>
      <c r="D4140" s="8">
        <f>QS.CONTEXT.ADD.CURVE(C4140,"SOFR",$K$2:$K$7,$L$2:$L$7,,,"Actual360","LogLinear",TRUE)</f>
        <v/>
      </c>
      <c r="E4140" s="8">
        <f>QS.INSTRUMENT.SWAP("swap.4138",C4140,H4140,B4140,"USD","SOFR",I4140,J4140,0,"Actual360","Simple","Annual","Annual","Annual")</f>
        <v/>
      </c>
      <c r="F4140" s="8">
        <f>QS.TRADE.CREATE("trade.4138",C4140,E4140,A4140,"Receive")</f>
        <v/>
      </c>
      <c r="G4140" s="5"/>
      <c r="H4140" s="7" t="s">
        <v>4181</v>
      </c>
      <c r="I4140" s="9">
        <v>1413800</v>
      </c>
      <c r="J4140" s="10">
        <v>0.0388</v>
      </c>
    </row>
    <row r="4141" spans="1:10">
      <c r="A4141" s="7" t="s">
        <v>4175</v>
      </c>
      <c r="B4141" s="7" t="s">
        <v>6008</v>
      </c>
      <c r="C4141" s="8">
        <f>QS.CONTEXT.CREATE("market.4139",A4141,"USD","SOFR")</f>
        <v/>
      </c>
      <c r="D4141" s="8">
        <f>QS.CONTEXT.ADD.CURVE(C4141,"SOFR",$K$2:$K$7,$L$2:$L$7,,,"Actual360","LogLinear",TRUE)</f>
        <v/>
      </c>
      <c r="E4141" s="8">
        <f>QS.INSTRUMENT.SWAP("swap.4139",C4141,H4141,B4141,"USD","SOFR",I4141,J4141,0,"Actual360","Simple","Annual","Annual","Annual")</f>
        <v/>
      </c>
      <c r="F4141" s="8">
        <f>QS.TRADE.CREATE("trade.4139",C4141,E4141,A4141,"Receive")</f>
        <v/>
      </c>
      <c r="G4141" s="5"/>
      <c r="H4141" s="7" t="s">
        <v>4182</v>
      </c>
      <c r="I4141" s="9">
        <v>1413900</v>
      </c>
      <c r="J4141" s="10">
        <v>0.0389</v>
      </c>
    </row>
    <row r="4142" spans="1:10">
      <c r="A4142" s="7" t="s">
        <v>4176</v>
      </c>
      <c r="B4142" s="7" t="s">
        <v>6009</v>
      </c>
      <c r="C4142" s="8">
        <f>QS.CONTEXT.CREATE("market.4140",A4142,"USD","SOFR")</f>
        <v/>
      </c>
      <c r="D4142" s="8">
        <f>QS.CONTEXT.ADD.CURVE(C4142,"SOFR",$K$2:$K$7,$L$2:$L$7,,,"Actual360","LogLinear",TRUE)</f>
        <v/>
      </c>
      <c r="E4142" s="8">
        <f>QS.INSTRUMENT.SWAP("swap.4140",C4142,H4142,B4142,"USD","SOFR",I4142,J4142,0,"Actual360","Simple","Annual","Annual","Annual")</f>
        <v/>
      </c>
      <c r="F4142" s="8">
        <f>QS.TRADE.CREATE("trade.4140",C4142,E4142,A4142,"Receive")</f>
        <v/>
      </c>
      <c r="G4142" s="5"/>
      <c r="H4142" s="7" t="s">
        <v>4183</v>
      </c>
      <c r="I4142" s="9">
        <v>1414000</v>
      </c>
      <c r="J4142" s="10">
        <v>0.03900000000000001</v>
      </c>
    </row>
    <row r="4143" spans="1:10">
      <c r="A4143" s="7" t="s">
        <v>4177</v>
      </c>
      <c r="B4143" s="7" t="s">
        <v>6010</v>
      </c>
      <c r="C4143" s="8">
        <f>QS.CONTEXT.CREATE("market.4141",A4143,"USD","SOFR")</f>
        <v/>
      </c>
      <c r="D4143" s="8">
        <f>QS.CONTEXT.ADD.CURVE(C4143,"SOFR",$K$2:$K$7,$L$2:$L$7,,,"Actual360","LogLinear",TRUE)</f>
        <v/>
      </c>
      <c r="E4143" s="8">
        <f>QS.INSTRUMENT.SWAP("swap.4141",C4143,H4143,B4143,"USD","SOFR",I4143,J4143,0,"Actual360","Simple","Annual","Annual","Annual")</f>
        <v/>
      </c>
      <c r="F4143" s="8">
        <f>QS.TRADE.CREATE("trade.4141",C4143,E4143,A4143,"Receive")</f>
        <v/>
      </c>
      <c r="G4143" s="5"/>
      <c r="H4143" s="7" t="s">
        <v>4184</v>
      </c>
      <c r="I4143" s="9">
        <v>1414100</v>
      </c>
      <c r="J4143" s="10">
        <v>0.0391</v>
      </c>
    </row>
    <row r="4144" spans="1:10">
      <c r="A4144" s="7" t="s">
        <v>4178</v>
      </c>
      <c r="B4144" s="7" t="s">
        <v>6011</v>
      </c>
      <c r="C4144" s="8">
        <f>QS.CONTEXT.CREATE("market.4142",A4144,"USD","SOFR")</f>
        <v/>
      </c>
      <c r="D4144" s="8">
        <f>QS.CONTEXT.ADD.CURVE(C4144,"SOFR",$K$2:$K$7,$L$2:$L$7,,,"Actual360","LogLinear",TRUE)</f>
        <v/>
      </c>
      <c r="E4144" s="8">
        <f>QS.INSTRUMENT.SWAP("swap.4142",C4144,H4144,B4144,"USD","SOFR",I4144,J4144,0,"Actual360","Simple","Annual","Annual","Annual")</f>
        <v/>
      </c>
      <c r="F4144" s="8">
        <f>QS.TRADE.CREATE("trade.4142",C4144,E4144,A4144,"Receive")</f>
        <v/>
      </c>
      <c r="G4144" s="5"/>
      <c r="H4144" s="7" t="s">
        <v>4185</v>
      </c>
      <c r="I4144" s="9">
        <v>1414200</v>
      </c>
      <c r="J4144" s="10">
        <v>0.03920000000000001</v>
      </c>
    </row>
    <row r="4145" spans="1:10">
      <c r="A4145" s="7" t="s">
        <v>4179</v>
      </c>
      <c r="B4145" s="7" t="s">
        <v>6012</v>
      </c>
      <c r="C4145" s="8">
        <f>QS.CONTEXT.CREATE("market.4143",A4145,"USD","SOFR")</f>
        <v/>
      </c>
      <c r="D4145" s="8">
        <f>QS.CONTEXT.ADD.CURVE(C4145,"SOFR",$K$2:$K$7,$L$2:$L$7,,,"Actual360","LogLinear",TRUE)</f>
        <v/>
      </c>
      <c r="E4145" s="8">
        <f>QS.INSTRUMENT.SWAP("swap.4143",C4145,H4145,B4145,"USD","SOFR",I4145,J4145,0,"Actual360","Simple","Annual","Annual","Annual")</f>
        <v/>
      </c>
      <c r="F4145" s="8">
        <f>QS.TRADE.CREATE("trade.4143",C4145,E4145,A4145,"Receive")</f>
        <v/>
      </c>
      <c r="G4145" s="5"/>
      <c r="H4145" s="7" t="s">
        <v>4186</v>
      </c>
      <c r="I4145" s="9">
        <v>1414300</v>
      </c>
      <c r="J4145" s="10">
        <v>0.0393</v>
      </c>
    </row>
    <row r="4146" spans="1:10">
      <c r="A4146" s="7" t="s">
        <v>4180</v>
      </c>
      <c r="B4146" s="7" t="s">
        <v>6013</v>
      </c>
      <c r="C4146" s="8">
        <f>QS.CONTEXT.CREATE("market.4144",A4146,"USD","SOFR")</f>
        <v/>
      </c>
      <c r="D4146" s="8">
        <f>QS.CONTEXT.ADD.CURVE(C4146,"SOFR",$K$2:$K$7,$L$2:$L$7,,,"Actual360","LogLinear",TRUE)</f>
        <v/>
      </c>
      <c r="E4146" s="8">
        <f>QS.INSTRUMENT.SWAP("swap.4144",C4146,H4146,B4146,"USD","SOFR",I4146,J4146,0,"Actual360","Simple","Annual","Annual","Annual")</f>
        <v/>
      </c>
      <c r="F4146" s="8">
        <f>QS.TRADE.CREATE("trade.4144",C4146,E4146,A4146,"Receive")</f>
        <v/>
      </c>
      <c r="G4146" s="5"/>
      <c r="H4146" s="7" t="s">
        <v>4187</v>
      </c>
      <c r="I4146" s="9">
        <v>1414400</v>
      </c>
      <c r="J4146" s="10">
        <v>0.0394</v>
      </c>
    </row>
    <row r="4147" spans="1:10">
      <c r="A4147" s="7" t="s">
        <v>4181</v>
      </c>
      <c r="B4147" s="7" t="s">
        <v>6014</v>
      </c>
      <c r="C4147" s="8">
        <f>QS.CONTEXT.CREATE("market.4145",A4147,"USD","SOFR")</f>
        <v/>
      </c>
      <c r="D4147" s="8">
        <f>QS.CONTEXT.ADD.CURVE(C4147,"SOFR",$K$2:$K$7,$L$2:$L$7,,,"Actual360","LogLinear",TRUE)</f>
        <v/>
      </c>
      <c r="E4147" s="8">
        <f>QS.INSTRUMENT.SWAP("swap.4145",C4147,H4147,B4147,"USD","SOFR",I4147,J4147,0,"Actual360","Simple","Annual","Annual","Annual")</f>
        <v/>
      </c>
      <c r="F4147" s="8">
        <f>QS.TRADE.CREATE("trade.4145",C4147,E4147,A4147,"Receive")</f>
        <v/>
      </c>
      <c r="G4147" s="5"/>
      <c r="H4147" s="7" t="s">
        <v>4188</v>
      </c>
      <c r="I4147" s="9">
        <v>1414500</v>
      </c>
      <c r="J4147" s="10">
        <v>0.03950000000000001</v>
      </c>
    </row>
    <row r="4148" spans="1:10">
      <c r="A4148" s="7" t="s">
        <v>4182</v>
      </c>
      <c r="B4148" s="7" t="s">
        <v>6015</v>
      </c>
      <c r="C4148" s="8">
        <f>QS.CONTEXT.CREATE("market.4146",A4148,"USD","SOFR")</f>
        <v/>
      </c>
      <c r="D4148" s="8">
        <f>QS.CONTEXT.ADD.CURVE(C4148,"SOFR",$K$2:$K$7,$L$2:$L$7,,,"Actual360","LogLinear",TRUE)</f>
        <v/>
      </c>
      <c r="E4148" s="8">
        <f>QS.INSTRUMENT.SWAP("swap.4146",C4148,H4148,B4148,"USD","SOFR",I4148,J4148,0,"Actual360","Simple","Annual","Annual","Annual")</f>
        <v/>
      </c>
      <c r="F4148" s="8">
        <f>QS.TRADE.CREATE("trade.4146",C4148,E4148,A4148,"Receive")</f>
        <v/>
      </c>
      <c r="G4148" s="5"/>
      <c r="H4148" s="7" t="s">
        <v>4189</v>
      </c>
      <c r="I4148" s="9">
        <v>1414600</v>
      </c>
      <c r="J4148" s="10">
        <v>0.0396</v>
      </c>
    </row>
    <row r="4149" spans="1:10">
      <c r="A4149" s="7" t="s">
        <v>4183</v>
      </c>
      <c r="B4149" s="7" t="s">
        <v>6016</v>
      </c>
      <c r="C4149" s="8">
        <f>QS.CONTEXT.CREATE("market.4147",A4149,"USD","SOFR")</f>
        <v/>
      </c>
      <c r="D4149" s="8">
        <f>QS.CONTEXT.ADD.CURVE(C4149,"SOFR",$K$2:$K$7,$L$2:$L$7,,,"Actual360","LogLinear",TRUE)</f>
        <v/>
      </c>
      <c r="E4149" s="8">
        <f>QS.INSTRUMENT.SWAP("swap.4147",C4149,H4149,B4149,"USD","SOFR",I4149,J4149,0,"Actual360","Simple","Annual","Annual","Annual")</f>
        <v/>
      </c>
      <c r="F4149" s="8">
        <f>QS.TRADE.CREATE("trade.4147",C4149,E4149,A4149,"Receive")</f>
        <v/>
      </c>
      <c r="G4149" s="5"/>
      <c r="H4149" s="7" t="s">
        <v>4190</v>
      </c>
      <c r="I4149" s="9">
        <v>1414700</v>
      </c>
      <c r="J4149" s="10">
        <v>0.03970000000000001</v>
      </c>
    </row>
    <row r="4150" spans="1:10">
      <c r="A4150" s="7" t="s">
        <v>4184</v>
      </c>
      <c r="B4150" s="7" t="s">
        <v>6017</v>
      </c>
      <c r="C4150" s="8">
        <f>QS.CONTEXT.CREATE("market.4148",A4150,"USD","SOFR")</f>
        <v/>
      </c>
      <c r="D4150" s="8">
        <f>QS.CONTEXT.ADD.CURVE(C4150,"SOFR",$K$2:$K$7,$L$2:$L$7,,,"Actual360","LogLinear",TRUE)</f>
        <v/>
      </c>
      <c r="E4150" s="8">
        <f>QS.INSTRUMENT.SWAP("swap.4148",C4150,H4150,B4150,"USD","SOFR",I4150,J4150,0,"Actual360","Simple","Annual","Annual","Annual")</f>
        <v/>
      </c>
      <c r="F4150" s="8">
        <f>QS.TRADE.CREATE("trade.4148",C4150,E4150,A4150,"Receive")</f>
        <v/>
      </c>
      <c r="G4150" s="5"/>
      <c r="H4150" s="7" t="s">
        <v>4191</v>
      </c>
      <c r="I4150" s="9">
        <v>1414800</v>
      </c>
      <c r="J4150" s="10">
        <v>0.0398</v>
      </c>
    </row>
    <row r="4151" spans="1:10">
      <c r="A4151" s="7" t="s">
        <v>4185</v>
      </c>
      <c r="B4151" s="7" t="s">
        <v>6018</v>
      </c>
      <c r="C4151" s="8">
        <f>QS.CONTEXT.CREATE("market.4149",A4151,"USD","SOFR")</f>
        <v/>
      </c>
      <c r="D4151" s="8">
        <f>QS.CONTEXT.ADD.CURVE(C4151,"SOFR",$K$2:$K$7,$L$2:$L$7,,,"Actual360","LogLinear",TRUE)</f>
        <v/>
      </c>
      <c r="E4151" s="8">
        <f>QS.INSTRUMENT.SWAP("swap.4149",C4151,H4151,B4151,"USD","SOFR",I4151,J4151,0,"Actual360","Simple","Annual","Annual","Annual")</f>
        <v/>
      </c>
      <c r="F4151" s="8">
        <f>QS.TRADE.CREATE("trade.4149",C4151,E4151,A4151,"Receive")</f>
        <v/>
      </c>
      <c r="G4151" s="5"/>
      <c r="H4151" s="7" t="s">
        <v>4192</v>
      </c>
      <c r="I4151" s="9">
        <v>1414900</v>
      </c>
      <c r="J4151" s="10">
        <v>0.0399</v>
      </c>
    </row>
    <row r="4152" spans="1:10">
      <c r="A4152" s="7" t="s">
        <v>4186</v>
      </c>
      <c r="B4152" s="7" t="s">
        <v>6019</v>
      </c>
      <c r="C4152" s="8">
        <f>QS.CONTEXT.CREATE("market.4150",A4152,"USD","SOFR")</f>
        <v/>
      </c>
      <c r="D4152" s="8">
        <f>QS.CONTEXT.ADD.CURVE(C4152,"SOFR",$K$2:$K$7,$L$2:$L$7,,,"Actual360","LogLinear",TRUE)</f>
        <v/>
      </c>
      <c r="E4152" s="8">
        <f>QS.INSTRUMENT.SWAP("swap.4150",C4152,H4152,B4152,"USD","SOFR",I4152,J4152,0,"Actual360","Simple","Annual","Annual","Annual")</f>
        <v/>
      </c>
      <c r="F4152" s="8">
        <f>QS.TRADE.CREATE("trade.4150",C4152,E4152,A4152,"Receive")</f>
        <v/>
      </c>
      <c r="G4152" s="5"/>
      <c r="H4152" s="7" t="s">
        <v>4193</v>
      </c>
      <c r="I4152" s="9">
        <v>1415000</v>
      </c>
      <c r="J4152" s="10">
        <v>0.035</v>
      </c>
    </row>
    <row r="4153" spans="1:10">
      <c r="A4153" s="7" t="s">
        <v>4187</v>
      </c>
      <c r="B4153" s="7" t="s">
        <v>6020</v>
      </c>
      <c r="C4153" s="8">
        <f>QS.CONTEXT.CREATE("market.4151",A4153,"USD","SOFR")</f>
        <v/>
      </c>
      <c r="D4153" s="8">
        <f>QS.CONTEXT.ADD.CURVE(C4153,"SOFR",$K$2:$K$7,$L$2:$L$7,,,"Actual360","LogLinear",TRUE)</f>
        <v/>
      </c>
      <c r="E4153" s="8">
        <f>QS.INSTRUMENT.SWAP("swap.4151",C4153,H4153,B4153,"USD","SOFR",I4153,J4153,0,"Actual360","Simple","Annual","Annual","Annual")</f>
        <v/>
      </c>
      <c r="F4153" s="8">
        <f>QS.TRADE.CREATE("trade.4151",C4153,E4153,A4153,"Receive")</f>
        <v/>
      </c>
      <c r="G4153" s="5"/>
      <c r="H4153" s="7" t="s">
        <v>4194</v>
      </c>
      <c r="I4153" s="9">
        <v>1415100</v>
      </c>
      <c r="J4153" s="10">
        <v>0.03510000000000001</v>
      </c>
    </row>
    <row r="4154" spans="1:10">
      <c r="A4154" s="7" t="s">
        <v>4188</v>
      </c>
      <c r="B4154" s="7" t="s">
        <v>6021</v>
      </c>
      <c r="C4154" s="8">
        <f>QS.CONTEXT.CREATE("market.4152",A4154,"USD","SOFR")</f>
        <v/>
      </c>
      <c r="D4154" s="8">
        <f>QS.CONTEXT.ADD.CURVE(C4154,"SOFR",$K$2:$K$7,$L$2:$L$7,,,"Actual360","LogLinear",TRUE)</f>
        <v/>
      </c>
      <c r="E4154" s="8">
        <f>QS.INSTRUMENT.SWAP("swap.4152",C4154,H4154,B4154,"USD","SOFR",I4154,J4154,0,"Actual360","Simple","Annual","Annual","Annual")</f>
        <v/>
      </c>
      <c r="F4154" s="8">
        <f>QS.TRADE.CREATE("trade.4152",C4154,E4154,A4154,"Receive")</f>
        <v/>
      </c>
      <c r="G4154" s="5"/>
      <c r="H4154" s="7" t="s">
        <v>4195</v>
      </c>
      <c r="I4154" s="9">
        <v>1415200</v>
      </c>
      <c r="J4154" s="10">
        <v>0.0352</v>
      </c>
    </row>
    <row r="4155" spans="1:10">
      <c r="A4155" s="7" t="s">
        <v>4189</v>
      </c>
      <c r="B4155" s="7" t="s">
        <v>6022</v>
      </c>
      <c r="C4155" s="8">
        <f>QS.CONTEXT.CREATE("market.4153",A4155,"USD","SOFR")</f>
        <v/>
      </c>
      <c r="D4155" s="8">
        <f>QS.CONTEXT.ADD.CURVE(C4155,"SOFR",$K$2:$K$7,$L$2:$L$7,,,"Actual360","LogLinear",TRUE)</f>
        <v/>
      </c>
      <c r="E4155" s="8">
        <f>QS.INSTRUMENT.SWAP("swap.4153",C4155,H4155,B4155,"USD","SOFR",I4155,J4155,0,"Actual360","Simple","Annual","Annual","Annual")</f>
        <v/>
      </c>
      <c r="F4155" s="8">
        <f>QS.TRADE.CREATE("trade.4153",C4155,E4155,A4155,"Receive")</f>
        <v/>
      </c>
      <c r="G4155" s="5"/>
      <c r="H4155" s="7" t="s">
        <v>4196</v>
      </c>
      <c r="I4155" s="9">
        <v>1415300</v>
      </c>
      <c r="J4155" s="10">
        <v>0.0353</v>
      </c>
    </row>
    <row r="4156" spans="1:10">
      <c r="A4156" s="7" t="s">
        <v>4190</v>
      </c>
      <c r="B4156" s="7" t="s">
        <v>6023</v>
      </c>
      <c r="C4156" s="8">
        <f>QS.CONTEXT.CREATE("market.4154",A4156,"USD","SOFR")</f>
        <v/>
      </c>
      <c r="D4156" s="8">
        <f>QS.CONTEXT.ADD.CURVE(C4156,"SOFR",$K$2:$K$7,$L$2:$L$7,,,"Actual360","LogLinear",TRUE)</f>
        <v/>
      </c>
      <c r="E4156" s="8">
        <f>QS.INSTRUMENT.SWAP("swap.4154",C4156,H4156,B4156,"USD","SOFR",I4156,J4156,0,"Actual360","Simple","Annual","Annual","Annual")</f>
        <v/>
      </c>
      <c r="F4156" s="8">
        <f>QS.TRADE.CREATE("trade.4154",C4156,E4156,A4156,"Receive")</f>
        <v/>
      </c>
      <c r="G4156" s="5"/>
      <c r="H4156" s="7" t="s">
        <v>4197</v>
      </c>
      <c r="I4156" s="9">
        <v>1415400</v>
      </c>
      <c r="J4156" s="10">
        <v>0.0354</v>
      </c>
    </row>
    <row r="4157" spans="1:10">
      <c r="A4157" s="7" t="s">
        <v>4191</v>
      </c>
      <c r="B4157" s="7" t="s">
        <v>6024</v>
      </c>
      <c r="C4157" s="8">
        <f>QS.CONTEXT.CREATE("market.4155",A4157,"USD","SOFR")</f>
        <v/>
      </c>
      <c r="D4157" s="8">
        <f>QS.CONTEXT.ADD.CURVE(C4157,"SOFR",$K$2:$K$7,$L$2:$L$7,,,"Actual360","LogLinear",TRUE)</f>
        <v/>
      </c>
      <c r="E4157" s="8">
        <f>QS.INSTRUMENT.SWAP("swap.4155",C4157,H4157,B4157,"USD","SOFR",I4157,J4157,0,"Actual360","Simple","Annual","Annual","Annual")</f>
        <v/>
      </c>
      <c r="F4157" s="8">
        <f>QS.TRADE.CREATE("trade.4155",C4157,E4157,A4157,"Receive")</f>
        <v/>
      </c>
      <c r="G4157" s="5"/>
      <c r="H4157" s="7" t="s">
        <v>4198</v>
      </c>
      <c r="I4157" s="9">
        <v>1415500</v>
      </c>
      <c r="J4157" s="10">
        <v>0.0355</v>
      </c>
    </row>
    <row r="4158" spans="1:10">
      <c r="A4158" s="7" t="s">
        <v>4192</v>
      </c>
      <c r="B4158" s="7" t="s">
        <v>6025</v>
      </c>
      <c r="C4158" s="8">
        <f>QS.CONTEXT.CREATE("market.4156",A4158,"USD","SOFR")</f>
        <v/>
      </c>
      <c r="D4158" s="8">
        <f>QS.CONTEXT.ADD.CURVE(C4158,"SOFR",$K$2:$K$7,$L$2:$L$7,,,"Actual360","LogLinear",TRUE)</f>
        <v/>
      </c>
      <c r="E4158" s="8">
        <f>QS.INSTRUMENT.SWAP("swap.4156",C4158,H4158,B4158,"USD","SOFR",I4158,J4158,0,"Actual360","Simple","Annual","Annual","Annual")</f>
        <v/>
      </c>
      <c r="F4158" s="8">
        <f>QS.TRADE.CREATE("trade.4156",C4158,E4158,A4158,"Receive")</f>
        <v/>
      </c>
      <c r="G4158" s="5"/>
      <c r="H4158" s="7" t="s">
        <v>4199</v>
      </c>
      <c r="I4158" s="9">
        <v>1415600</v>
      </c>
      <c r="J4158" s="10">
        <v>0.03560000000000001</v>
      </c>
    </row>
    <row r="4159" spans="1:10">
      <c r="A4159" s="7" t="s">
        <v>4193</v>
      </c>
      <c r="B4159" s="7" t="s">
        <v>6026</v>
      </c>
      <c r="C4159" s="8">
        <f>QS.CONTEXT.CREATE("market.4157",A4159,"USD","SOFR")</f>
        <v/>
      </c>
      <c r="D4159" s="8">
        <f>QS.CONTEXT.ADD.CURVE(C4159,"SOFR",$K$2:$K$7,$L$2:$L$7,,,"Actual360","LogLinear",TRUE)</f>
        <v/>
      </c>
      <c r="E4159" s="8">
        <f>QS.INSTRUMENT.SWAP("swap.4157",C4159,H4159,B4159,"USD","SOFR",I4159,J4159,0,"Actual360","Simple","Annual","Annual","Annual")</f>
        <v/>
      </c>
      <c r="F4159" s="8">
        <f>QS.TRADE.CREATE("trade.4157",C4159,E4159,A4159,"Receive")</f>
        <v/>
      </c>
      <c r="G4159" s="5"/>
      <c r="H4159" s="7" t="s">
        <v>4200</v>
      </c>
      <c r="I4159" s="9">
        <v>1415700</v>
      </c>
      <c r="J4159" s="10">
        <v>0.0357</v>
      </c>
    </row>
    <row r="4160" spans="1:10">
      <c r="A4160" s="7" t="s">
        <v>4194</v>
      </c>
      <c r="B4160" s="7" t="s">
        <v>6027</v>
      </c>
      <c r="C4160" s="8">
        <f>QS.CONTEXT.CREATE("market.4158",A4160,"USD","SOFR")</f>
        <v/>
      </c>
      <c r="D4160" s="8">
        <f>QS.CONTEXT.ADD.CURVE(C4160,"SOFR",$K$2:$K$7,$L$2:$L$7,,,"Actual360","LogLinear",TRUE)</f>
        <v/>
      </c>
      <c r="E4160" s="8">
        <f>QS.INSTRUMENT.SWAP("swap.4158",C4160,H4160,B4160,"USD","SOFR",I4160,J4160,0,"Actual360","Simple","Annual","Annual","Annual")</f>
        <v/>
      </c>
      <c r="F4160" s="8">
        <f>QS.TRADE.CREATE("trade.4158",C4160,E4160,A4160,"Receive")</f>
        <v/>
      </c>
      <c r="G4160" s="5"/>
      <c r="H4160" s="7" t="s">
        <v>4201</v>
      </c>
      <c r="I4160" s="9">
        <v>1415800</v>
      </c>
      <c r="J4160" s="10">
        <v>0.03580000000000001</v>
      </c>
    </row>
    <row r="4161" spans="1:10">
      <c r="A4161" s="7" t="s">
        <v>4195</v>
      </c>
      <c r="B4161" s="7" t="s">
        <v>6028</v>
      </c>
      <c r="C4161" s="8">
        <f>QS.CONTEXT.CREATE("market.4159",A4161,"USD","SOFR")</f>
        <v/>
      </c>
      <c r="D4161" s="8">
        <f>QS.CONTEXT.ADD.CURVE(C4161,"SOFR",$K$2:$K$7,$L$2:$L$7,,,"Actual360","LogLinear",TRUE)</f>
        <v/>
      </c>
      <c r="E4161" s="8">
        <f>QS.INSTRUMENT.SWAP("swap.4159",C4161,H4161,B4161,"USD","SOFR",I4161,J4161,0,"Actual360","Simple","Annual","Annual","Annual")</f>
        <v/>
      </c>
      <c r="F4161" s="8">
        <f>QS.TRADE.CREATE("trade.4159",C4161,E4161,A4161,"Receive")</f>
        <v/>
      </c>
      <c r="G4161" s="5"/>
      <c r="H4161" s="7" t="s">
        <v>4202</v>
      </c>
      <c r="I4161" s="9">
        <v>1415900</v>
      </c>
      <c r="J4161" s="10">
        <v>0.0359</v>
      </c>
    </row>
    <row r="4162" spans="1:10">
      <c r="A4162" s="7" t="s">
        <v>4196</v>
      </c>
      <c r="B4162" s="7" t="s">
        <v>6029</v>
      </c>
      <c r="C4162" s="8">
        <f>QS.CONTEXT.CREATE("market.4160",A4162,"USD","SOFR")</f>
        <v/>
      </c>
      <c r="D4162" s="8">
        <f>QS.CONTEXT.ADD.CURVE(C4162,"SOFR",$K$2:$K$7,$L$2:$L$7,,,"Actual360","LogLinear",TRUE)</f>
        <v/>
      </c>
      <c r="E4162" s="8">
        <f>QS.INSTRUMENT.SWAP("swap.4160",C4162,H4162,B4162,"USD","SOFR",I4162,J4162,0,"Actual360","Simple","Annual","Annual","Annual")</f>
        <v/>
      </c>
      <c r="F4162" s="8">
        <f>QS.TRADE.CREATE("trade.4160",C4162,E4162,A4162,"Receive")</f>
        <v/>
      </c>
      <c r="G4162" s="5"/>
      <c r="H4162" s="7" t="s">
        <v>4203</v>
      </c>
      <c r="I4162" s="9">
        <v>1416000</v>
      </c>
      <c r="J4162" s="10">
        <v>0.036</v>
      </c>
    </row>
    <row r="4163" spans="1:10">
      <c r="A4163" s="7" t="s">
        <v>4197</v>
      </c>
      <c r="B4163" s="7" t="s">
        <v>6030</v>
      </c>
      <c r="C4163" s="8">
        <f>QS.CONTEXT.CREATE("market.4161",A4163,"USD","SOFR")</f>
        <v/>
      </c>
      <c r="D4163" s="8">
        <f>QS.CONTEXT.ADD.CURVE(C4163,"SOFR",$K$2:$K$7,$L$2:$L$7,,,"Actual360","LogLinear",TRUE)</f>
        <v/>
      </c>
      <c r="E4163" s="8">
        <f>QS.INSTRUMENT.SWAP("swap.4161",C4163,H4163,B4163,"USD","SOFR",I4163,J4163,0,"Actual360","Simple","Annual","Annual","Annual")</f>
        <v/>
      </c>
      <c r="F4163" s="8">
        <f>QS.TRADE.CREATE("trade.4161",C4163,E4163,A4163,"Receive")</f>
        <v/>
      </c>
      <c r="G4163" s="5"/>
      <c r="H4163" s="7" t="s">
        <v>4204</v>
      </c>
      <c r="I4163" s="9">
        <v>1416100</v>
      </c>
      <c r="J4163" s="10">
        <v>0.0361</v>
      </c>
    </row>
    <row r="4164" spans="1:10">
      <c r="A4164" s="7" t="s">
        <v>4198</v>
      </c>
      <c r="B4164" s="7" t="s">
        <v>6031</v>
      </c>
      <c r="C4164" s="8">
        <f>QS.CONTEXT.CREATE("market.4162",A4164,"USD","SOFR")</f>
        <v/>
      </c>
      <c r="D4164" s="8">
        <f>QS.CONTEXT.ADD.CURVE(C4164,"SOFR",$K$2:$K$7,$L$2:$L$7,,,"Actual360","LogLinear",TRUE)</f>
        <v/>
      </c>
      <c r="E4164" s="8">
        <f>QS.INSTRUMENT.SWAP("swap.4162",C4164,H4164,B4164,"USD","SOFR",I4164,J4164,0,"Actual360","Simple","Annual","Annual","Annual")</f>
        <v/>
      </c>
      <c r="F4164" s="8">
        <f>QS.TRADE.CREATE("trade.4162",C4164,E4164,A4164,"Receive")</f>
        <v/>
      </c>
      <c r="G4164" s="5"/>
      <c r="H4164" s="7" t="s">
        <v>4205</v>
      </c>
      <c r="I4164" s="9">
        <v>1416200</v>
      </c>
      <c r="J4164" s="10">
        <v>0.0362</v>
      </c>
    </row>
    <row r="4165" spans="1:10">
      <c r="A4165" s="7" t="s">
        <v>4199</v>
      </c>
      <c r="B4165" s="7" t="s">
        <v>6032</v>
      </c>
      <c r="C4165" s="8">
        <f>QS.CONTEXT.CREATE("market.4163",A4165,"USD","SOFR")</f>
        <v/>
      </c>
      <c r="D4165" s="8">
        <f>QS.CONTEXT.ADD.CURVE(C4165,"SOFR",$K$2:$K$7,$L$2:$L$7,,,"Actual360","LogLinear",TRUE)</f>
        <v/>
      </c>
      <c r="E4165" s="8">
        <f>QS.INSTRUMENT.SWAP("swap.4163",C4165,H4165,B4165,"USD","SOFR",I4165,J4165,0,"Actual360","Simple","Annual","Annual","Annual")</f>
        <v/>
      </c>
      <c r="F4165" s="8">
        <f>QS.TRADE.CREATE("trade.4163",C4165,E4165,A4165,"Receive")</f>
        <v/>
      </c>
      <c r="G4165" s="5"/>
      <c r="H4165" s="7" t="s">
        <v>4206</v>
      </c>
      <c r="I4165" s="9">
        <v>1416300</v>
      </c>
      <c r="J4165" s="10">
        <v>0.03630000000000001</v>
      </c>
    </row>
    <row r="4166" spans="1:10">
      <c r="A4166" s="7" t="s">
        <v>4200</v>
      </c>
      <c r="B4166" s="7" t="s">
        <v>6033</v>
      </c>
      <c r="C4166" s="8">
        <f>QS.CONTEXT.CREATE("market.4164",A4166,"USD","SOFR")</f>
        <v/>
      </c>
      <c r="D4166" s="8">
        <f>QS.CONTEXT.ADD.CURVE(C4166,"SOFR",$K$2:$K$7,$L$2:$L$7,,,"Actual360","LogLinear",TRUE)</f>
        <v/>
      </c>
      <c r="E4166" s="8">
        <f>QS.INSTRUMENT.SWAP("swap.4164",C4166,H4166,B4166,"USD","SOFR",I4166,J4166,0,"Actual360","Simple","Annual","Annual","Annual")</f>
        <v/>
      </c>
      <c r="F4166" s="8">
        <f>QS.TRADE.CREATE("trade.4164",C4166,E4166,A4166,"Receive")</f>
        <v/>
      </c>
      <c r="G4166" s="5"/>
      <c r="H4166" s="7" t="s">
        <v>4207</v>
      </c>
      <c r="I4166" s="9">
        <v>1416400</v>
      </c>
      <c r="J4166" s="10">
        <v>0.0364</v>
      </c>
    </row>
    <row r="4167" spans="1:10">
      <c r="A4167" s="7" t="s">
        <v>4201</v>
      </c>
      <c r="B4167" s="7" t="s">
        <v>6034</v>
      </c>
      <c r="C4167" s="8">
        <f>QS.CONTEXT.CREATE("market.4165",A4167,"USD","SOFR")</f>
        <v/>
      </c>
      <c r="D4167" s="8">
        <f>QS.CONTEXT.ADD.CURVE(C4167,"SOFR",$K$2:$K$7,$L$2:$L$7,,,"Actual360","LogLinear",TRUE)</f>
        <v/>
      </c>
      <c r="E4167" s="8">
        <f>QS.INSTRUMENT.SWAP("swap.4165",C4167,H4167,B4167,"USD","SOFR",I4167,J4167,0,"Actual360","Simple","Annual","Annual","Annual")</f>
        <v/>
      </c>
      <c r="F4167" s="8">
        <f>QS.TRADE.CREATE("trade.4165",C4167,E4167,A4167,"Receive")</f>
        <v/>
      </c>
      <c r="G4167" s="5"/>
      <c r="H4167" s="7" t="s">
        <v>4208</v>
      </c>
      <c r="I4167" s="9">
        <v>1416500</v>
      </c>
      <c r="J4167" s="10">
        <v>0.0365</v>
      </c>
    </row>
    <row r="4168" spans="1:10">
      <c r="A4168" s="7" t="s">
        <v>4202</v>
      </c>
      <c r="B4168" s="7" t="s">
        <v>6035</v>
      </c>
      <c r="C4168" s="8">
        <f>QS.CONTEXT.CREATE("market.4166",A4168,"USD","SOFR")</f>
        <v/>
      </c>
      <c r="D4168" s="8">
        <f>QS.CONTEXT.ADD.CURVE(C4168,"SOFR",$K$2:$K$7,$L$2:$L$7,,,"Actual360","LogLinear",TRUE)</f>
        <v/>
      </c>
      <c r="E4168" s="8">
        <f>QS.INSTRUMENT.SWAP("swap.4166",C4168,H4168,B4168,"USD","SOFR",I4168,J4168,0,"Actual360","Simple","Annual","Annual","Annual")</f>
        <v/>
      </c>
      <c r="F4168" s="8">
        <f>QS.TRADE.CREATE("trade.4166",C4168,E4168,A4168,"Receive")</f>
        <v/>
      </c>
      <c r="G4168" s="5"/>
      <c r="H4168" s="7" t="s">
        <v>4209</v>
      </c>
      <c r="I4168" s="9">
        <v>1416600</v>
      </c>
      <c r="J4168" s="10">
        <v>0.0366</v>
      </c>
    </row>
    <row r="4169" spans="1:10">
      <c r="A4169" s="7" t="s">
        <v>4203</v>
      </c>
      <c r="B4169" s="7" t="s">
        <v>6036</v>
      </c>
      <c r="C4169" s="8">
        <f>QS.CONTEXT.CREATE("market.4167",A4169,"USD","SOFR")</f>
        <v/>
      </c>
      <c r="D4169" s="8">
        <f>QS.CONTEXT.ADD.CURVE(C4169,"SOFR",$K$2:$K$7,$L$2:$L$7,,,"Actual360","LogLinear",TRUE)</f>
        <v/>
      </c>
      <c r="E4169" s="8">
        <f>QS.INSTRUMENT.SWAP("swap.4167",C4169,H4169,B4169,"USD","SOFR",I4169,J4169,0,"Actual360","Simple","Annual","Annual","Annual")</f>
        <v/>
      </c>
      <c r="F4169" s="8">
        <f>QS.TRADE.CREATE("trade.4167",C4169,E4169,A4169,"Receive")</f>
        <v/>
      </c>
      <c r="G4169" s="5"/>
      <c r="H4169" s="7" t="s">
        <v>4210</v>
      </c>
      <c r="I4169" s="9">
        <v>1416700</v>
      </c>
      <c r="J4169" s="10">
        <v>0.0367</v>
      </c>
    </row>
    <row r="4170" spans="1:10">
      <c r="A4170" s="7" t="s">
        <v>4204</v>
      </c>
      <c r="B4170" s="7" t="s">
        <v>6037</v>
      </c>
      <c r="C4170" s="8">
        <f>QS.CONTEXT.CREATE("market.4168",A4170,"USD","SOFR")</f>
        <v/>
      </c>
      <c r="D4170" s="8">
        <f>QS.CONTEXT.ADD.CURVE(C4170,"SOFR",$K$2:$K$7,$L$2:$L$7,,,"Actual360","LogLinear",TRUE)</f>
        <v/>
      </c>
      <c r="E4170" s="8">
        <f>QS.INSTRUMENT.SWAP("swap.4168",C4170,H4170,B4170,"USD","SOFR",I4170,J4170,0,"Actual360","Simple","Annual","Annual","Annual")</f>
        <v/>
      </c>
      <c r="F4170" s="8">
        <f>QS.TRADE.CREATE("trade.4168",C4170,E4170,A4170,"Receive")</f>
        <v/>
      </c>
      <c r="G4170" s="5"/>
      <c r="H4170" s="7" t="s">
        <v>4211</v>
      </c>
      <c r="I4170" s="9">
        <v>1416800</v>
      </c>
      <c r="J4170" s="10">
        <v>0.03680000000000001</v>
      </c>
    </row>
    <row r="4171" spans="1:10">
      <c r="A4171" s="7" t="s">
        <v>4205</v>
      </c>
      <c r="B4171" s="7" t="s">
        <v>6038</v>
      </c>
      <c r="C4171" s="8">
        <f>QS.CONTEXT.CREATE("market.4169",A4171,"USD","SOFR")</f>
        <v/>
      </c>
      <c r="D4171" s="8">
        <f>QS.CONTEXT.ADD.CURVE(C4171,"SOFR",$K$2:$K$7,$L$2:$L$7,,,"Actual360","LogLinear",TRUE)</f>
        <v/>
      </c>
      <c r="E4171" s="8">
        <f>QS.INSTRUMENT.SWAP("swap.4169",C4171,H4171,B4171,"USD","SOFR",I4171,J4171,0,"Actual360","Simple","Annual","Annual","Annual")</f>
        <v/>
      </c>
      <c r="F4171" s="8">
        <f>QS.TRADE.CREATE("trade.4169",C4171,E4171,A4171,"Receive")</f>
        <v/>
      </c>
      <c r="G4171" s="5"/>
      <c r="H4171" s="7" t="s">
        <v>4212</v>
      </c>
      <c r="I4171" s="9">
        <v>1416900</v>
      </c>
      <c r="J4171" s="10">
        <v>0.0369</v>
      </c>
    </row>
    <row r="4172" spans="1:10">
      <c r="A4172" s="7" t="s">
        <v>4206</v>
      </c>
      <c r="B4172" s="7" t="s">
        <v>6039</v>
      </c>
      <c r="C4172" s="8">
        <f>QS.CONTEXT.CREATE("market.4170",A4172,"USD","SOFR")</f>
        <v/>
      </c>
      <c r="D4172" s="8">
        <f>QS.CONTEXT.ADD.CURVE(C4172,"SOFR",$K$2:$K$7,$L$2:$L$7,,,"Actual360","LogLinear",TRUE)</f>
        <v/>
      </c>
      <c r="E4172" s="8">
        <f>QS.INSTRUMENT.SWAP("swap.4170",C4172,H4172,B4172,"USD","SOFR",I4172,J4172,0,"Actual360","Simple","Annual","Annual","Annual")</f>
        <v/>
      </c>
      <c r="F4172" s="8">
        <f>QS.TRADE.CREATE("trade.4170",C4172,E4172,A4172,"Receive")</f>
        <v/>
      </c>
      <c r="G4172" s="5"/>
      <c r="H4172" s="7" t="s">
        <v>4213</v>
      </c>
      <c r="I4172" s="9">
        <v>1417000</v>
      </c>
      <c r="J4172" s="10">
        <v>0.03700000000000001</v>
      </c>
    </row>
    <row r="4173" spans="1:10">
      <c r="A4173" s="7" t="s">
        <v>4207</v>
      </c>
      <c r="B4173" s="7" t="s">
        <v>6040</v>
      </c>
      <c r="C4173" s="8">
        <f>QS.CONTEXT.CREATE("market.4171",A4173,"USD","SOFR")</f>
        <v/>
      </c>
      <c r="D4173" s="8">
        <f>QS.CONTEXT.ADD.CURVE(C4173,"SOFR",$K$2:$K$7,$L$2:$L$7,,,"Actual360","LogLinear",TRUE)</f>
        <v/>
      </c>
      <c r="E4173" s="8">
        <f>QS.INSTRUMENT.SWAP("swap.4171",C4173,H4173,B4173,"USD","SOFR",I4173,J4173,0,"Actual360","Simple","Annual","Annual","Annual")</f>
        <v/>
      </c>
      <c r="F4173" s="8">
        <f>QS.TRADE.CREATE("trade.4171",C4173,E4173,A4173,"Receive")</f>
        <v/>
      </c>
      <c r="G4173" s="5"/>
      <c r="H4173" s="7" t="s">
        <v>4214</v>
      </c>
      <c r="I4173" s="9">
        <v>1417100</v>
      </c>
      <c r="J4173" s="10">
        <v>0.0371</v>
      </c>
    </row>
    <row r="4174" spans="1:10">
      <c r="A4174" s="7" t="s">
        <v>4208</v>
      </c>
      <c r="B4174" s="7" t="s">
        <v>6041</v>
      </c>
      <c r="C4174" s="8">
        <f>QS.CONTEXT.CREATE("market.4172",A4174,"USD","SOFR")</f>
        <v/>
      </c>
      <c r="D4174" s="8">
        <f>QS.CONTEXT.ADD.CURVE(C4174,"SOFR",$K$2:$K$7,$L$2:$L$7,,,"Actual360","LogLinear",TRUE)</f>
        <v/>
      </c>
      <c r="E4174" s="8">
        <f>QS.INSTRUMENT.SWAP("swap.4172",C4174,H4174,B4174,"USD","SOFR",I4174,J4174,0,"Actual360","Simple","Annual","Annual","Annual")</f>
        <v/>
      </c>
      <c r="F4174" s="8">
        <f>QS.TRADE.CREATE("trade.4172",C4174,E4174,A4174,"Receive")</f>
        <v/>
      </c>
      <c r="G4174" s="5"/>
      <c r="H4174" s="7" t="s">
        <v>4215</v>
      </c>
      <c r="I4174" s="9">
        <v>1417200</v>
      </c>
      <c r="J4174" s="10">
        <v>0.0372</v>
      </c>
    </row>
    <row r="4175" spans="1:10">
      <c r="A4175" s="7" t="s">
        <v>4209</v>
      </c>
      <c r="B4175" s="7" t="s">
        <v>6042</v>
      </c>
      <c r="C4175" s="8">
        <f>QS.CONTEXT.CREATE("market.4173",A4175,"USD","SOFR")</f>
        <v/>
      </c>
      <c r="D4175" s="8">
        <f>QS.CONTEXT.ADD.CURVE(C4175,"SOFR",$K$2:$K$7,$L$2:$L$7,,,"Actual360","LogLinear",TRUE)</f>
        <v/>
      </c>
      <c r="E4175" s="8">
        <f>QS.INSTRUMENT.SWAP("swap.4173",C4175,H4175,B4175,"USD","SOFR",I4175,J4175,0,"Actual360","Simple","Annual","Annual","Annual")</f>
        <v/>
      </c>
      <c r="F4175" s="8">
        <f>QS.TRADE.CREATE("trade.4173",C4175,E4175,A4175,"Receive")</f>
        <v/>
      </c>
      <c r="G4175" s="5"/>
      <c r="H4175" s="7" t="s">
        <v>4216</v>
      </c>
      <c r="I4175" s="9">
        <v>1417300</v>
      </c>
      <c r="J4175" s="10">
        <v>0.0373</v>
      </c>
    </row>
    <row r="4176" spans="1:10">
      <c r="A4176" s="7" t="s">
        <v>4210</v>
      </c>
      <c r="B4176" s="7" t="s">
        <v>6043</v>
      </c>
      <c r="C4176" s="8">
        <f>QS.CONTEXT.CREATE("market.4174",A4176,"USD","SOFR")</f>
        <v/>
      </c>
      <c r="D4176" s="8">
        <f>QS.CONTEXT.ADD.CURVE(C4176,"SOFR",$K$2:$K$7,$L$2:$L$7,,,"Actual360","LogLinear",TRUE)</f>
        <v/>
      </c>
      <c r="E4176" s="8">
        <f>QS.INSTRUMENT.SWAP("swap.4174",C4176,H4176,B4176,"USD","SOFR",I4176,J4176,0,"Actual360","Simple","Annual","Annual","Annual")</f>
        <v/>
      </c>
      <c r="F4176" s="8">
        <f>QS.TRADE.CREATE("trade.4174",C4176,E4176,A4176,"Receive")</f>
        <v/>
      </c>
      <c r="G4176" s="5"/>
      <c r="H4176" s="7" t="s">
        <v>4217</v>
      </c>
      <c r="I4176" s="9">
        <v>1417400</v>
      </c>
      <c r="J4176" s="10">
        <v>0.0374</v>
      </c>
    </row>
    <row r="4177" spans="1:10">
      <c r="A4177" s="7" t="s">
        <v>4211</v>
      </c>
      <c r="B4177" s="7" t="s">
        <v>6044</v>
      </c>
      <c r="C4177" s="8">
        <f>QS.CONTEXT.CREATE("market.4175",A4177,"USD","SOFR")</f>
        <v/>
      </c>
      <c r="D4177" s="8">
        <f>QS.CONTEXT.ADD.CURVE(C4177,"SOFR",$K$2:$K$7,$L$2:$L$7,,,"Actual360","LogLinear",TRUE)</f>
        <v/>
      </c>
      <c r="E4177" s="8">
        <f>QS.INSTRUMENT.SWAP("swap.4175",C4177,H4177,B4177,"USD","SOFR",I4177,J4177,0,"Actual360","Simple","Annual","Annual","Annual")</f>
        <v/>
      </c>
      <c r="F4177" s="8">
        <f>QS.TRADE.CREATE("trade.4175",C4177,E4177,A4177,"Receive")</f>
        <v/>
      </c>
      <c r="G4177" s="5"/>
      <c r="H4177" s="7" t="s">
        <v>4218</v>
      </c>
      <c r="I4177" s="9">
        <v>1417500</v>
      </c>
      <c r="J4177" s="10">
        <v>0.03750000000000001</v>
      </c>
    </row>
    <row r="4178" spans="1:10">
      <c r="A4178" s="7" t="s">
        <v>4212</v>
      </c>
      <c r="B4178" s="7" t="s">
        <v>6045</v>
      </c>
      <c r="C4178" s="8">
        <f>QS.CONTEXT.CREATE("market.4176",A4178,"USD","SOFR")</f>
        <v/>
      </c>
      <c r="D4178" s="8">
        <f>QS.CONTEXT.ADD.CURVE(C4178,"SOFR",$K$2:$K$7,$L$2:$L$7,,,"Actual360","LogLinear",TRUE)</f>
        <v/>
      </c>
      <c r="E4178" s="8">
        <f>QS.INSTRUMENT.SWAP("swap.4176",C4178,H4178,B4178,"USD","SOFR",I4178,J4178,0,"Actual360","Simple","Annual","Annual","Annual")</f>
        <v/>
      </c>
      <c r="F4178" s="8">
        <f>QS.TRADE.CREATE("trade.4176",C4178,E4178,A4178,"Receive")</f>
        <v/>
      </c>
      <c r="G4178" s="5"/>
      <c r="H4178" s="7" t="s">
        <v>4219</v>
      </c>
      <c r="I4178" s="9">
        <v>1417600</v>
      </c>
      <c r="J4178" s="10">
        <v>0.0376</v>
      </c>
    </row>
    <row r="4179" spans="1:10">
      <c r="A4179" s="7" t="s">
        <v>4213</v>
      </c>
      <c r="B4179" s="7" t="s">
        <v>6046</v>
      </c>
      <c r="C4179" s="8">
        <f>QS.CONTEXT.CREATE("market.4177",A4179,"USD","SOFR")</f>
        <v/>
      </c>
      <c r="D4179" s="8">
        <f>QS.CONTEXT.ADD.CURVE(C4179,"SOFR",$K$2:$K$7,$L$2:$L$7,,,"Actual360","LogLinear",TRUE)</f>
        <v/>
      </c>
      <c r="E4179" s="8">
        <f>QS.INSTRUMENT.SWAP("swap.4177",C4179,H4179,B4179,"USD","SOFR",I4179,J4179,0,"Actual360","Simple","Annual","Annual","Annual")</f>
        <v/>
      </c>
      <c r="F4179" s="8">
        <f>QS.TRADE.CREATE("trade.4177",C4179,E4179,A4179,"Receive")</f>
        <v/>
      </c>
      <c r="G4179" s="5"/>
      <c r="H4179" s="7" t="s">
        <v>4220</v>
      </c>
      <c r="I4179" s="9">
        <v>1417700</v>
      </c>
      <c r="J4179" s="10">
        <v>0.0377</v>
      </c>
    </row>
    <row r="4180" spans="1:10">
      <c r="A4180" s="7" t="s">
        <v>4214</v>
      </c>
      <c r="B4180" s="7" t="s">
        <v>6047</v>
      </c>
      <c r="C4180" s="8">
        <f>QS.CONTEXT.CREATE("market.4178",A4180,"USD","SOFR")</f>
        <v/>
      </c>
      <c r="D4180" s="8">
        <f>QS.CONTEXT.ADD.CURVE(C4180,"SOFR",$K$2:$K$7,$L$2:$L$7,,,"Actual360","LogLinear",TRUE)</f>
        <v/>
      </c>
      <c r="E4180" s="8">
        <f>QS.INSTRUMENT.SWAP("swap.4178",C4180,H4180,B4180,"USD","SOFR",I4180,J4180,0,"Actual360","Simple","Annual","Annual","Annual")</f>
        <v/>
      </c>
      <c r="F4180" s="8">
        <f>QS.TRADE.CREATE("trade.4178",C4180,E4180,A4180,"Receive")</f>
        <v/>
      </c>
      <c r="G4180" s="5"/>
      <c r="H4180" s="7" t="s">
        <v>4221</v>
      </c>
      <c r="I4180" s="9">
        <v>1417800</v>
      </c>
      <c r="J4180" s="10">
        <v>0.0378</v>
      </c>
    </row>
    <row r="4181" spans="1:10">
      <c r="A4181" s="7" t="s">
        <v>4215</v>
      </c>
      <c r="B4181" s="7" t="s">
        <v>6048</v>
      </c>
      <c r="C4181" s="8">
        <f>QS.CONTEXT.CREATE("market.4179",A4181,"USD","SOFR")</f>
        <v/>
      </c>
      <c r="D4181" s="8">
        <f>QS.CONTEXT.ADD.CURVE(C4181,"SOFR",$K$2:$K$7,$L$2:$L$7,,,"Actual360","LogLinear",TRUE)</f>
        <v/>
      </c>
      <c r="E4181" s="8">
        <f>QS.INSTRUMENT.SWAP("swap.4179",C4181,H4181,B4181,"USD","SOFR",I4181,J4181,0,"Actual360","Simple","Annual","Annual","Annual")</f>
        <v/>
      </c>
      <c r="F4181" s="8">
        <f>QS.TRADE.CREATE("trade.4179",C4181,E4181,A4181,"Receive")</f>
        <v/>
      </c>
      <c r="G4181" s="5"/>
      <c r="H4181" s="7" t="s">
        <v>4222</v>
      </c>
      <c r="I4181" s="9">
        <v>1417900</v>
      </c>
      <c r="J4181" s="10">
        <v>0.0379</v>
      </c>
    </row>
    <row r="4182" spans="1:10">
      <c r="A4182" s="7" t="s">
        <v>4216</v>
      </c>
      <c r="B4182" s="7" t="s">
        <v>6049</v>
      </c>
      <c r="C4182" s="8">
        <f>QS.CONTEXT.CREATE("market.4180",A4182,"USD","SOFR")</f>
        <v/>
      </c>
      <c r="D4182" s="8">
        <f>QS.CONTEXT.ADD.CURVE(C4182,"SOFR",$K$2:$K$7,$L$2:$L$7,,,"Actual360","LogLinear",TRUE)</f>
        <v/>
      </c>
      <c r="E4182" s="8">
        <f>QS.INSTRUMENT.SWAP("swap.4180",C4182,H4182,B4182,"USD","SOFR",I4182,J4182,0,"Actual360","Simple","Annual","Annual","Annual")</f>
        <v/>
      </c>
      <c r="F4182" s="8">
        <f>QS.TRADE.CREATE("trade.4180",C4182,E4182,A4182,"Receive")</f>
        <v/>
      </c>
      <c r="G4182" s="5"/>
      <c r="H4182" s="7" t="s">
        <v>4223</v>
      </c>
      <c r="I4182" s="9">
        <v>1418000</v>
      </c>
      <c r="J4182" s="10">
        <v>0.03800000000000001</v>
      </c>
    </row>
    <row r="4183" spans="1:10">
      <c r="A4183" s="7" t="s">
        <v>4217</v>
      </c>
      <c r="B4183" s="7" t="s">
        <v>6050</v>
      </c>
      <c r="C4183" s="8">
        <f>QS.CONTEXT.CREATE("market.4181",A4183,"USD","SOFR")</f>
        <v/>
      </c>
      <c r="D4183" s="8">
        <f>QS.CONTEXT.ADD.CURVE(C4183,"SOFR",$K$2:$K$7,$L$2:$L$7,,,"Actual360","LogLinear",TRUE)</f>
        <v/>
      </c>
      <c r="E4183" s="8">
        <f>QS.INSTRUMENT.SWAP("swap.4181",C4183,H4183,B4183,"USD","SOFR",I4183,J4183,0,"Actual360","Simple","Annual","Annual","Annual")</f>
        <v/>
      </c>
      <c r="F4183" s="8">
        <f>QS.TRADE.CREATE("trade.4181",C4183,E4183,A4183,"Receive")</f>
        <v/>
      </c>
      <c r="G4183" s="5"/>
      <c r="H4183" s="7" t="s">
        <v>4224</v>
      </c>
      <c r="I4183" s="9">
        <v>1418100</v>
      </c>
      <c r="J4183" s="10">
        <v>0.0381</v>
      </c>
    </row>
    <row r="4184" spans="1:10">
      <c r="A4184" s="7" t="s">
        <v>4218</v>
      </c>
      <c r="B4184" s="7" t="s">
        <v>6051</v>
      </c>
      <c r="C4184" s="8">
        <f>QS.CONTEXT.CREATE("market.4182",A4184,"USD","SOFR")</f>
        <v/>
      </c>
      <c r="D4184" s="8">
        <f>QS.CONTEXT.ADD.CURVE(C4184,"SOFR",$K$2:$K$7,$L$2:$L$7,,,"Actual360","LogLinear",TRUE)</f>
        <v/>
      </c>
      <c r="E4184" s="8">
        <f>QS.INSTRUMENT.SWAP("swap.4182",C4184,H4184,B4184,"USD","SOFR",I4184,J4184,0,"Actual360","Simple","Annual","Annual","Annual")</f>
        <v/>
      </c>
      <c r="F4184" s="8">
        <f>QS.TRADE.CREATE("trade.4182",C4184,E4184,A4184,"Receive")</f>
        <v/>
      </c>
      <c r="G4184" s="5"/>
      <c r="H4184" s="7" t="s">
        <v>4225</v>
      </c>
      <c r="I4184" s="9">
        <v>1418200</v>
      </c>
      <c r="J4184" s="10">
        <v>0.0382</v>
      </c>
    </row>
    <row r="4185" spans="1:10">
      <c r="A4185" s="7" t="s">
        <v>4219</v>
      </c>
      <c r="B4185" s="7" t="s">
        <v>6052</v>
      </c>
      <c r="C4185" s="8">
        <f>QS.CONTEXT.CREATE("market.4183",A4185,"USD","SOFR")</f>
        <v/>
      </c>
      <c r="D4185" s="8">
        <f>QS.CONTEXT.ADD.CURVE(C4185,"SOFR",$K$2:$K$7,$L$2:$L$7,,,"Actual360","LogLinear",TRUE)</f>
        <v/>
      </c>
      <c r="E4185" s="8">
        <f>QS.INSTRUMENT.SWAP("swap.4183",C4185,H4185,B4185,"USD","SOFR",I4185,J4185,0,"Actual360","Simple","Annual","Annual","Annual")</f>
        <v/>
      </c>
      <c r="F4185" s="8">
        <f>QS.TRADE.CREATE("trade.4183",C4185,E4185,A4185,"Receive")</f>
        <v/>
      </c>
      <c r="G4185" s="5"/>
      <c r="H4185" s="7" t="s">
        <v>4226</v>
      </c>
      <c r="I4185" s="9">
        <v>1418300</v>
      </c>
      <c r="J4185" s="10">
        <v>0.0383</v>
      </c>
    </row>
    <row r="4186" spans="1:10">
      <c r="A4186" s="7" t="s">
        <v>4220</v>
      </c>
      <c r="B4186" s="7" t="s">
        <v>6053</v>
      </c>
      <c r="C4186" s="8">
        <f>QS.CONTEXT.CREATE("market.4184",A4186,"USD","SOFR")</f>
        <v/>
      </c>
      <c r="D4186" s="8">
        <f>QS.CONTEXT.ADD.CURVE(C4186,"SOFR",$K$2:$K$7,$L$2:$L$7,,,"Actual360","LogLinear",TRUE)</f>
        <v/>
      </c>
      <c r="E4186" s="8">
        <f>QS.INSTRUMENT.SWAP("swap.4184",C4186,H4186,B4186,"USD","SOFR",I4186,J4186,0,"Actual360","Simple","Annual","Annual","Annual")</f>
        <v/>
      </c>
      <c r="F4186" s="8">
        <f>QS.TRADE.CREATE("trade.4184",C4186,E4186,A4186,"Receive")</f>
        <v/>
      </c>
      <c r="G4186" s="5"/>
      <c r="H4186" s="7" t="s">
        <v>4227</v>
      </c>
      <c r="I4186" s="9">
        <v>1418400</v>
      </c>
      <c r="J4186" s="10">
        <v>0.0384</v>
      </c>
    </row>
    <row r="4187" spans="1:10">
      <c r="A4187" s="7" t="s">
        <v>4221</v>
      </c>
      <c r="B4187" s="7" t="s">
        <v>6054</v>
      </c>
      <c r="C4187" s="8">
        <f>QS.CONTEXT.CREATE("market.4185",A4187,"USD","SOFR")</f>
        <v/>
      </c>
      <c r="D4187" s="8">
        <f>QS.CONTEXT.ADD.CURVE(C4187,"SOFR",$K$2:$K$7,$L$2:$L$7,,,"Actual360","LogLinear",TRUE)</f>
        <v/>
      </c>
      <c r="E4187" s="8">
        <f>QS.INSTRUMENT.SWAP("swap.4185",C4187,H4187,B4187,"USD","SOFR",I4187,J4187,0,"Actual360","Simple","Annual","Annual","Annual")</f>
        <v/>
      </c>
      <c r="F4187" s="8">
        <f>QS.TRADE.CREATE("trade.4185",C4187,E4187,A4187,"Receive")</f>
        <v/>
      </c>
      <c r="G4187" s="5"/>
      <c r="H4187" s="7" t="s">
        <v>4228</v>
      </c>
      <c r="I4187" s="9">
        <v>1418500</v>
      </c>
      <c r="J4187" s="10">
        <v>0.03850000000000001</v>
      </c>
    </row>
    <row r="4188" spans="1:10">
      <c r="A4188" s="7" t="s">
        <v>4222</v>
      </c>
      <c r="B4188" s="7" t="s">
        <v>6055</v>
      </c>
      <c r="C4188" s="8">
        <f>QS.CONTEXT.CREATE("market.4186",A4188,"USD","SOFR")</f>
        <v/>
      </c>
      <c r="D4188" s="8">
        <f>QS.CONTEXT.ADD.CURVE(C4188,"SOFR",$K$2:$K$7,$L$2:$L$7,,,"Actual360","LogLinear",TRUE)</f>
        <v/>
      </c>
      <c r="E4188" s="8">
        <f>QS.INSTRUMENT.SWAP("swap.4186",C4188,H4188,B4188,"USD","SOFR",I4188,J4188,0,"Actual360","Simple","Annual","Annual","Annual")</f>
        <v/>
      </c>
      <c r="F4188" s="8">
        <f>QS.TRADE.CREATE("trade.4186",C4188,E4188,A4188,"Receive")</f>
        <v/>
      </c>
      <c r="G4188" s="5"/>
      <c r="H4188" s="7" t="s">
        <v>4229</v>
      </c>
      <c r="I4188" s="9">
        <v>1418600</v>
      </c>
      <c r="J4188" s="10">
        <v>0.0386</v>
      </c>
    </row>
    <row r="4189" spans="1:10">
      <c r="A4189" s="7" t="s">
        <v>4223</v>
      </c>
      <c r="B4189" s="7" t="s">
        <v>6056</v>
      </c>
      <c r="C4189" s="8">
        <f>QS.CONTEXT.CREATE("market.4187",A4189,"USD","SOFR")</f>
        <v/>
      </c>
      <c r="D4189" s="8">
        <f>QS.CONTEXT.ADD.CURVE(C4189,"SOFR",$K$2:$K$7,$L$2:$L$7,,,"Actual360","LogLinear",TRUE)</f>
        <v/>
      </c>
      <c r="E4189" s="8">
        <f>QS.INSTRUMENT.SWAP("swap.4187",C4189,H4189,B4189,"USD","SOFR",I4189,J4189,0,"Actual360","Simple","Annual","Annual","Annual")</f>
        <v/>
      </c>
      <c r="F4189" s="8">
        <f>QS.TRADE.CREATE("trade.4187",C4189,E4189,A4189,"Receive")</f>
        <v/>
      </c>
      <c r="G4189" s="5"/>
      <c r="H4189" s="7" t="s">
        <v>4230</v>
      </c>
      <c r="I4189" s="9">
        <v>1418700</v>
      </c>
      <c r="J4189" s="10">
        <v>0.03870000000000001</v>
      </c>
    </row>
    <row r="4190" spans="1:10">
      <c r="A4190" s="7" t="s">
        <v>4224</v>
      </c>
      <c r="B4190" s="7" t="s">
        <v>6057</v>
      </c>
      <c r="C4190" s="8">
        <f>QS.CONTEXT.CREATE("market.4188",A4190,"USD","SOFR")</f>
        <v/>
      </c>
      <c r="D4190" s="8">
        <f>QS.CONTEXT.ADD.CURVE(C4190,"SOFR",$K$2:$K$7,$L$2:$L$7,,,"Actual360","LogLinear",TRUE)</f>
        <v/>
      </c>
      <c r="E4190" s="8">
        <f>QS.INSTRUMENT.SWAP("swap.4188",C4190,H4190,B4190,"USD","SOFR",I4190,J4190,0,"Actual360","Simple","Annual","Annual","Annual")</f>
        <v/>
      </c>
      <c r="F4190" s="8">
        <f>QS.TRADE.CREATE("trade.4188",C4190,E4190,A4190,"Receive")</f>
        <v/>
      </c>
      <c r="G4190" s="5"/>
      <c r="H4190" s="7" t="s">
        <v>4231</v>
      </c>
      <c r="I4190" s="9">
        <v>1418800</v>
      </c>
      <c r="J4190" s="10">
        <v>0.0388</v>
      </c>
    </row>
    <row r="4191" spans="1:10">
      <c r="A4191" s="7" t="s">
        <v>4225</v>
      </c>
      <c r="B4191" s="7" t="s">
        <v>6058</v>
      </c>
      <c r="C4191" s="8">
        <f>QS.CONTEXT.CREATE("market.4189",A4191,"USD","SOFR")</f>
        <v/>
      </c>
      <c r="D4191" s="8">
        <f>QS.CONTEXT.ADD.CURVE(C4191,"SOFR",$K$2:$K$7,$L$2:$L$7,,,"Actual360","LogLinear",TRUE)</f>
        <v/>
      </c>
      <c r="E4191" s="8">
        <f>QS.INSTRUMENT.SWAP("swap.4189",C4191,H4191,B4191,"USD","SOFR",I4191,J4191,0,"Actual360","Simple","Annual","Annual","Annual")</f>
        <v/>
      </c>
      <c r="F4191" s="8">
        <f>QS.TRADE.CREATE("trade.4189",C4191,E4191,A4191,"Receive")</f>
        <v/>
      </c>
      <c r="G4191" s="5"/>
      <c r="H4191" s="7" t="s">
        <v>4232</v>
      </c>
      <c r="I4191" s="9">
        <v>1418900</v>
      </c>
      <c r="J4191" s="10">
        <v>0.0389</v>
      </c>
    </row>
    <row r="4192" spans="1:10">
      <c r="A4192" s="7" t="s">
        <v>4226</v>
      </c>
      <c r="B4192" s="7" t="s">
        <v>6059</v>
      </c>
      <c r="C4192" s="8">
        <f>QS.CONTEXT.CREATE("market.4190",A4192,"USD","SOFR")</f>
        <v/>
      </c>
      <c r="D4192" s="8">
        <f>QS.CONTEXT.ADD.CURVE(C4192,"SOFR",$K$2:$K$7,$L$2:$L$7,,,"Actual360","LogLinear",TRUE)</f>
        <v/>
      </c>
      <c r="E4192" s="8">
        <f>QS.INSTRUMENT.SWAP("swap.4190",C4192,H4192,B4192,"USD","SOFR",I4192,J4192,0,"Actual360","Simple","Annual","Annual","Annual")</f>
        <v/>
      </c>
      <c r="F4192" s="8">
        <f>QS.TRADE.CREATE("trade.4190",C4192,E4192,A4192,"Receive")</f>
        <v/>
      </c>
      <c r="G4192" s="5"/>
      <c r="H4192" s="7" t="s">
        <v>4233</v>
      </c>
      <c r="I4192" s="9">
        <v>1419000</v>
      </c>
      <c r="J4192" s="10">
        <v>0.03900000000000001</v>
      </c>
    </row>
    <row r="4193" spans="1:10">
      <c r="A4193" s="7" t="s">
        <v>4227</v>
      </c>
      <c r="B4193" s="7" t="s">
        <v>6060</v>
      </c>
      <c r="C4193" s="8">
        <f>QS.CONTEXT.CREATE("market.4191",A4193,"USD","SOFR")</f>
        <v/>
      </c>
      <c r="D4193" s="8">
        <f>QS.CONTEXT.ADD.CURVE(C4193,"SOFR",$K$2:$K$7,$L$2:$L$7,,,"Actual360","LogLinear",TRUE)</f>
        <v/>
      </c>
      <c r="E4193" s="8">
        <f>QS.INSTRUMENT.SWAP("swap.4191",C4193,H4193,B4193,"USD","SOFR",I4193,J4193,0,"Actual360","Simple","Annual","Annual","Annual")</f>
        <v/>
      </c>
      <c r="F4193" s="8">
        <f>QS.TRADE.CREATE("trade.4191",C4193,E4193,A4193,"Receive")</f>
        <v/>
      </c>
      <c r="G4193" s="5"/>
      <c r="H4193" s="7" t="s">
        <v>4234</v>
      </c>
      <c r="I4193" s="9">
        <v>1419100</v>
      </c>
      <c r="J4193" s="10">
        <v>0.0391</v>
      </c>
    </row>
    <row r="4194" spans="1:10">
      <c r="A4194" s="7" t="s">
        <v>4228</v>
      </c>
      <c r="B4194" s="7" t="s">
        <v>6061</v>
      </c>
      <c r="C4194" s="8">
        <f>QS.CONTEXT.CREATE("market.4192",A4194,"USD","SOFR")</f>
        <v/>
      </c>
      <c r="D4194" s="8">
        <f>QS.CONTEXT.ADD.CURVE(C4194,"SOFR",$K$2:$K$7,$L$2:$L$7,,,"Actual360","LogLinear",TRUE)</f>
        <v/>
      </c>
      <c r="E4194" s="8">
        <f>QS.INSTRUMENT.SWAP("swap.4192",C4194,H4194,B4194,"USD","SOFR",I4194,J4194,0,"Actual360","Simple","Annual","Annual","Annual")</f>
        <v/>
      </c>
      <c r="F4194" s="8">
        <f>QS.TRADE.CREATE("trade.4192",C4194,E4194,A4194,"Receive")</f>
        <v/>
      </c>
      <c r="G4194" s="5"/>
      <c r="H4194" s="7" t="s">
        <v>4235</v>
      </c>
      <c r="I4194" s="9">
        <v>1419200</v>
      </c>
      <c r="J4194" s="10">
        <v>0.03920000000000001</v>
      </c>
    </row>
    <row r="4195" spans="1:10">
      <c r="A4195" s="7" t="s">
        <v>4229</v>
      </c>
      <c r="B4195" s="7" t="s">
        <v>6062</v>
      </c>
      <c r="C4195" s="8">
        <f>QS.CONTEXT.CREATE("market.4193",A4195,"USD","SOFR")</f>
        <v/>
      </c>
      <c r="D4195" s="8">
        <f>QS.CONTEXT.ADD.CURVE(C4195,"SOFR",$K$2:$K$7,$L$2:$L$7,,,"Actual360","LogLinear",TRUE)</f>
        <v/>
      </c>
      <c r="E4195" s="8">
        <f>QS.INSTRUMENT.SWAP("swap.4193",C4195,H4195,B4195,"USD","SOFR",I4195,J4195,0,"Actual360","Simple","Annual","Annual","Annual")</f>
        <v/>
      </c>
      <c r="F4195" s="8">
        <f>QS.TRADE.CREATE("trade.4193",C4195,E4195,A4195,"Receive")</f>
        <v/>
      </c>
      <c r="G4195" s="5"/>
      <c r="H4195" s="7" t="s">
        <v>4236</v>
      </c>
      <c r="I4195" s="9">
        <v>1419300</v>
      </c>
      <c r="J4195" s="10">
        <v>0.0393</v>
      </c>
    </row>
    <row r="4196" spans="1:10">
      <c r="A4196" s="7" t="s">
        <v>4230</v>
      </c>
      <c r="B4196" s="7" t="s">
        <v>6063</v>
      </c>
      <c r="C4196" s="8">
        <f>QS.CONTEXT.CREATE("market.4194",A4196,"USD","SOFR")</f>
        <v/>
      </c>
      <c r="D4196" s="8">
        <f>QS.CONTEXT.ADD.CURVE(C4196,"SOFR",$K$2:$K$7,$L$2:$L$7,,,"Actual360","LogLinear",TRUE)</f>
        <v/>
      </c>
      <c r="E4196" s="8">
        <f>QS.INSTRUMENT.SWAP("swap.4194",C4196,H4196,B4196,"USD","SOFR",I4196,J4196,0,"Actual360","Simple","Annual","Annual","Annual")</f>
        <v/>
      </c>
      <c r="F4196" s="8">
        <f>QS.TRADE.CREATE("trade.4194",C4196,E4196,A4196,"Receive")</f>
        <v/>
      </c>
      <c r="G4196" s="5"/>
      <c r="H4196" s="7" t="s">
        <v>4237</v>
      </c>
      <c r="I4196" s="9">
        <v>1419400</v>
      </c>
      <c r="J4196" s="10">
        <v>0.0394</v>
      </c>
    </row>
    <row r="4197" spans="1:10">
      <c r="A4197" s="7" t="s">
        <v>4231</v>
      </c>
      <c r="B4197" s="7" t="s">
        <v>6064</v>
      </c>
      <c r="C4197" s="8">
        <f>QS.CONTEXT.CREATE("market.4195",A4197,"USD","SOFR")</f>
        <v/>
      </c>
      <c r="D4197" s="8">
        <f>QS.CONTEXT.ADD.CURVE(C4197,"SOFR",$K$2:$K$7,$L$2:$L$7,,,"Actual360","LogLinear",TRUE)</f>
        <v/>
      </c>
      <c r="E4197" s="8">
        <f>QS.INSTRUMENT.SWAP("swap.4195",C4197,H4197,B4197,"USD","SOFR",I4197,J4197,0,"Actual360","Simple","Annual","Annual","Annual")</f>
        <v/>
      </c>
      <c r="F4197" s="8">
        <f>QS.TRADE.CREATE("trade.4195",C4197,E4197,A4197,"Receive")</f>
        <v/>
      </c>
      <c r="G4197" s="5"/>
      <c r="H4197" s="7" t="s">
        <v>4238</v>
      </c>
      <c r="I4197" s="9">
        <v>1419500</v>
      </c>
      <c r="J4197" s="10">
        <v>0.03950000000000001</v>
      </c>
    </row>
    <row r="4198" spans="1:10">
      <c r="A4198" s="7" t="s">
        <v>4232</v>
      </c>
      <c r="B4198" s="7" t="s">
        <v>6065</v>
      </c>
      <c r="C4198" s="8">
        <f>QS.CONTEXT.CREATE("market.4196",A4198,"USD","SOFR")</f>
        <v/>
      </c>
      <c r="D4198" s="8">
        <f>QS.CONTEXT.ADD.CURVE(C4198,"SOFR",$K$2:$K$7,$L$2:$L$7,,,"Actual360","LogLinear",TRUE)</f>
        <v/>
      </c>
      <c r="E4198" s="8">
        <f>QS.INSTRUMENT.SWAP("swap.4196",C4198,H4198,B4198,"USD","SOFR",I4198,J4198,0,"Actual360","Simple","Annual","Annual","Annual")</f>
        <v/>
      </c>
      <c r="F4198" s="8">
        <f>QS.TRADE.CREATE("trade.4196",C4198,E4198,A4198,"Receive")</f>
        <v/>
      </c>
      <c r="G4198" s="5"/>
      <c r="H4198" s="7" t="s">
        <v>4239</v>
      </c>
      <c r="I4198" s="9">
        <v>1419600</v>
      </c>
      <c r="J4198" s="10">
        <v>0.0396</v>
      </c>
    </row>
    <row r="4199" spans="1:10">
      <c r="A4199" s="7" t="s">
        <v>4233</v>
      </c>
      <c r="B4199" s="7" t="s">
        <v>6066</v>
      </c>
      <c r="C4199" s="8">
        <f>QS.CONTEXT.CREATE("market.4197",A4199,"USD","SOFR")</f>
        <v/>
      </c>
      <c r="D4199" s="8">
        <f>QS.CONTEXT.ADD.CURVE(C4199,"SOFR",$K$2:$K$7,$L$2:$L$7,,,"Actual360","LogLinear",TRUE)</f>
        <v/>
      </c>
      <c r="E4199" s="8">
        <f>QS.INSTRUMENT.SWAP("swap.4197",C4199,H4199,B4199,"USD","SOFR",I4199,J4199,0,"Actual360","Simple","Annual","Annual","Annual")</f>
        <v/>
      </c>
      <c r="F4199" s="8">
        <f>QS.TRADE.CREATE("trade.4197",C4199,E4199,A4199,"Receive")</f>
        <v/>
      </c>
      <c r="G4199" s="5"/>
      <c r="H4199" s="7" t="s">
        <v>4240</v>
      </c>
      <c r="I4199" s="9">
        <v>1419700</v>
      </c>
      <c r="J4199" s="10">
        <v>0.03970000000000001</v>
      </c>
    </row>
    <row r="4200" spans="1:10">
      <c r="A4200" s="7" t="s">
        <v>4234</v>
      </c>
      <c r="B4200" s="7" t="s">
        <v>6067</v>
      </c>
      <c r="C4200" s="8">
        <f>QS.CONTEXT.CREATE("market.4198",A4200,"USD","SOFR")</f>
        <v/>
      </c>
      <c r="D4200" s="8">
        <f>QS.CONTEXT.ADD.CURVE(C4200,"SOFR",$K$2:$K$7,$L$2:$L$7,,,"Actual360","LogLinear",TRUE)</f>
        <v/>
      </c>
      <c r="E4200" s="8">
        <f>QS.INSTRUMENT.SWAP("swap.4198",C4200,H4200,B4200,"USD","SOFR",I4200,J4200,0,"Actual360","Simple","Annual","Annual","Annual")</f>
        <v/>
      </c>
      <c r="F4200" s="8">
        <f>QS.TRADE.CREATE("trade.4198",C4200,E4200,A4200,"Receive")</f>
        <v/>
      </c>
      <c r="G4200" s="5"/>
      <c r="H4200" s="7" t="s">
        <v>4241</v>
      </c>
      <c r="I4200" s="9">
        <v>1419800</v>
      </c>
      <c r="J4200" s="10">
        <v>0.0398</v>
      </c>
    </row>
    <row r="4201" spans="1:10">
      <c r="A4201" s="7" t="s">
        <v>4235</v>
      </c>
      <c r="B4201" s="7" t="s">
        <v>6068</v>
      </c>
      <c r="C4201" s="8">
        <f>QS.CONTEXT.CREATE("market.4199",A4201,"USD","SOFR")</f>
        <v/>
      </c>
      <c r="D4201" s="8">
        <f>QS.CONTEXT.ADD.CURVE(C4201,"SOFR",$K$2:$K$7,$L$2:$L$7,,,"Actual360","LogLinear",TRUE)</f>
        <v/>
      </c>
      <c r="E4201" s="8">
        <f>QS.INSTRUMENT.SWAP("swap.4199",C4201,H4201,B4201,"USD","SOFR",I4201,J4201,0,"Actual360","Simple","Annual","Annual","Annual")</f>
        <v/>
      </c>
      <c r="F4201" s="8">
        <f>QS.TRADE.CREATE("trade.4199",C4201,E4201,A4201,"Receive")</f>
        <v/>
      </c>
      <c r="G4201" s="5"/>
      <c r="H4201" s="7" t="s">
        <v>4242</v>
      </c>
      <c r="I4201" s="9">
        <v>1419900</v>
      </c>
      <c r="J4201" s="10">
        <v>0.0399</v>
      </c>
    </row>
    <row r="4202" spans="1:10">
      <c r="A4202" s="7" t="s">
        <v>4236</v>
      </c>
      <c r="B4202" s="7" t="s">
        <v>6069</v>
      </c>
      <c r="C4202" s="8">
        <f>QS.CONTEXT.CREATE("market.4200",A4202,"USD","SOFR")</f>
        <v/>
      </c>
      <c r="D4202" s="8">
        <f>QS.CONTEXT.ADD.CURVE(C4202,"SOFR",$K$2:$K$7,$L$2:$L$7,,,"Actual360","LogLinear",TRUE)</f>
        <v/>
      </c>
      <c r="E4202" s="8">
        <f>QS.INSTRUMENT.SWAP("swap.4200",C4202,H4202,B4202,"USD","SOFR",I4202,J4202,0,"Actual360","Simple","Annual","Annual","Annual")</f>
        <v/>
      </c>
      <c r="F4202" s="8">
        <f>QS.TRADE.CREATE("trade.4200",C4202,E4202,A4202,"Receive")</f>
        <v/>
      </c>
      <c r="G4202" s="5"/>
      <c r="H4202" s="7" t="s">
        <v>4243</v>
      </c>
      <c r="I4202" s="9">
        <v>1420000</v>
      </c>
      <c r="J4202" s="10">
        <v>0.035</v>
      </c>
    </row>
    <row r="4203" spans="1:10">
      <c r="A4203" s="7" t="s">
        <v>4237</v>
      </c>
      <c r="B4203" s="7" t="s">
        <v>6070</v>
      </c>
      <c r="C4203" s="8">
        <f>QS.CONTEXT.CREATE("market.4201",A4203,"USD","SOFR")</f>
        <v/>
      </c>
      <c r="D4203" s="8">
        <f>QS.CONTEXT.ADD.CURVE(C4203,"SOFR",$K$2:$K$7,$L$2:$L$7,,,"Actual360","LogLinear",TRUE)</f>
        <v/>
      </c>
      <c r="E4203" s="8">
        <f>QS.INSTRUMENT.SWAP("swap.4201",C4203,H4203,B4203,"USD","SOFR",I4203,J4203,0,"Actual360","Simple","Annual","Annual","Annual")</f>
        <v/>
      </c>
      <c r="F4203" s="8">
        <f>QS.TRADE.CREATE("trade.4201",C4203,E4203,A4203,"Receive")</f>
        <v/>
      </c>
      <c r="G4203" s="5"/>
      <c r="H4203" s="7" t="s">
        <v>4244</v>
      </c>
      <c r="I4203" s="9">
        <v>1420100</v>
      </c>
      <c r="J4203" s="10">
        <v>0.03510000000000001</v>
      </c>
    </row>
    <row r="4204" spans="1:10">
      <c r="A4204" s="7" t="s">
        <v>4238</v>
      </c>
      <c r="B4204" s="7" t="s">
        <v>6071</v>
      </c>
      <c r="C4204" s="8">
        <f>QS.CONTEXT.CREATE("market.4202",A4204,"USD","SOFR")</f>
        <v/>
      </c>
      <c r="D4204" s="8">
        <f>QS.CONTEXT.ADD.CURVE(C4204,"SOFR",$K$2:$K$7,$L$2:$L$7,,,"Actual360","LogLinear",TRUE)</f>
        <v/>
      </c>
      <c r="E4204" s="8">
        <f>QS.INSTRUMENT.SWAP("swap.4202",C4204,H4204,B4204,"USD","SOFR",I4204,J4204,0,"Actual360","Simple","Annual","Annual","Annual")</f>
        <v/>
      </c>
      <c r="F4204" s="8">
        <f>QS.TRADE.CREATE("trade.4202",C4204,E4204,A4204,"Receive")</f>
        <v/>
      </c>
      <c r="G4204" s="5"/>
      <c r="H4204" s="7" t="s">
        <v>4245</v>
      </c>
      <c r="I4204" s="9">
        <v>1420200</v>
      </c>
      <c r="J4204" s="10">
        <v>0.0352</v>
      </c>
    </row>
    <row r="4205" spans="1:10">
      <c r="A4205" s="7" t="s">
        <v>4239</v>
      </c>
      <c r="B4205" s="7" t="s">
        <v>6072</v>
      </c>
      <c r="C4205" s="8">
        <f>QS.CONTEXT.CREATE("market.4203",A4205,"USD","SOFR")</f>
        <v/>
      </c>
      <c r="D4205" s="8">
        <f>QS.CONTEXT.ADD.CURVE(C4205,"SOFR",$K$2:$K$7,$L$2:$L$7,,,"Actual360","LogLinear",TRUE)</f>
        <v/>
      </c>
      <c r="E4205" s="8">
        <f>QS.INSTRUMENT.SWAP("swap.4203",C4205,H4205,B4205,"USD","SOFR",I4205,J4205,0,"Actual360","Simple","Annual","Annual","Annual")</f>
        <v/>
      </c>
      <c r="F4205" s="8">
        <f>QS.TRADE.CREATE("trade.4203",C4205,E4205,A4205,"Receive")</f>
        <v/>
      </c>
      <c r="G4205" s="5"/>
      <c r="H4205" s="7" t="s">
        <v>4246</v>
      </c>
      <c r="I4205" s="9">
        <v>1420300</v>
      </c>
      <c r="J4205" s="10">
        <v>0.0353</v>
      </c>
    </row>
    <row r="4206" spans="1:10">
      <c r="A4206" s="7" t="s">
        <v>4240</v>
      </c>
      <c r="B4206" s="7" t="s">
        <v>6073</v>
      </c>
      <c r="C4206" s="8">
        <f>QS.CONTEXT.CREATE("market.4204",A4206,"USD","SOFR")</f>
        <v/>
      </c>
      <c r="D4206" s="8">
        <f>QS.CONTEXT.ADD.CURVE(C4206,"SOFR",$K$2:$K$7,$L$2:$L$7,,,"Actual360","LogLinear",TRUE)</f>
        <v/>
      </c>
      <c r="E4206" s="8">
        <f>QS.INSTRUMENT.SWAP("swap.4204",C4206,H4206,B4206,"USD","SOFR",I4206,J4206,0,"Actual360","Simple","Annual","Annual","Annual")</f>
        <v/>
      </c>
      <c r="F4206" s="8">
        <f>QS.TRADE.CREATE("trade.4204",C4206,E4206,A4206,"Receive")</f>
        <v/>
      </c>
      <c r="G4206" s="5"/>
      <c r="H4206" s="7" t="s">
        <v>4247</v>
      </c>
      <c r="I4206" s="9">
        <v>1420400</v>
      </c>
      <c r="J4206" s="10">
        <v>0.0354</v>
      </c>
    </row>
    <row r="4207" spans="1:10">
      <c r="A4207" s="7" t="s">
        <v>4241</v>
      </c>
      <c r="B4207" s="7" t="s">
        <v>6074</v>
      </c>
      <c r="C4207" s="8">
        <f>QS.CONTEXT.CREATE("market.4205",A4207,"USD","SOFR")</f>
        <v/>
      </c>
      <c r="D4207" s="8">
        <f>QS.CONTEXT.ADD.CURVE(C4207,"SOFR",$K$2:$K$7,$L$2:$L$7,,,"Actual360","LogLinear",TRUE)</f>
        <v/>
      </c>
      <c r="E4207" s="8">
        <f>QS.INSTRUMENT.SWAP("swap.4205",C4207,H4207,B4207,"USD","SOFR",I4207,J4207,0,"Actual360","Simple","Annual","Annual","Annual")</f>
        <v/>
      </c>
      <c r="F4207" s="8">
        <f>QS.TRADE.CREATE("trade.4205",C4207,E4207,A4207,"Receive")</f>
        <v/>
      </c>
      <c r="G4207" s="5"/>
      <c r="H4207" s="7" t="s">
        <v>4248</v>
      </c>
      <c r="I4207" s="9">
        <v>1420500</v>
      </c>
      <c r="J4207" s="10">
        <v>0.0355</v>
      </c>
    </row>
    <row r="4208" spans="1:10">
      <c r="A4208" s="7" t="s">
        <v>4242</v>
      </c>
      <c r="B4208" s="7" t="s">
        <v>6075</v>
      </c>
      <c r="C4208" s="8">
        <f>QS.CONTEXT.CREATE("market.4206",A4208,"USD","SOFR")</f>
        <v/>
      </c>
      <c r="D4208" s="8">
        <f>QS.CONTEXT.ADD.CURVE(C4208,"SOFR",$K$2:$K$7,$L$2:$L$7,,,"Actual360","LogLinear",TRUE)</f>
        <v/>
      </c>
      <c r="E4208" s="8">
        <f>QS.INSTRUMENT.SWAP("swap.4206",C4208,H4208,B4208,"USD","SOFR",I4208,J4208,0,"Actual360","Simple","Annual","Annual","Annual")</f>
        <v/>
      </c>
      <c r="F4208" s="8">
        <f>QS.TRADE.CREATE("trade.4206",C4208,E4208,A4208,"Receive")</f>
        <v/>
      </c>
      <c r="G4208" s="5"/>
      <c r="H4208" s="7" t="s">
        <v>4249</v>
      </c>
      <c r="I4208" s="9">
        <v>1420600</v>
      </c>
      <c r="J4208" s="10">
        <v>0.03560000000000001</v>
      </c>
    </row>
    <row r="4209" spans="1:10">
      <c r="A4209" s="7" t="s">
        <v>4243</v>
      </c>
      <c r="B4209" s="7" t="s">
        <v>6076</v>
      </c>
      <c r="C4209" s="8">
        <f>QS.CONTEXT.CREATE("market.4207",A4209,"USD","SOFR")</f>
        <v/>
      </c>
      <c r="D4209" s="8">
        <f>QS.CONTEXT.ADD.CURVE(C4209,"SOFR",$K$2:$K$7,$L$2:$L$7,,,"Actual360","LogLinear",TRUE)</f>
        <v/>
      </c>
      <c r="E4209" s="8">
        <f>QS.INSTRUMENT.SWAP("swap.4207",C4209,H4209,B4209,"USD","SOFR",I4209,J4209,0,"Actual360","Simple","Annual","Annual","Annual")</f>
        <v/>
      </c>
      <c r="F4209" s="8">
        <f>QS.TRADE.CREATE("trade.4207",C4209,E4209,A4209,"Receive")</f>
        <v/>
      </c>
      <c r="G4209" s="5"/>
      <c r="H4209" s="7" t="s">
        <v>4250</v>
      </c>
      <c r="I4209" s="9">
        <v>1420700</v>
      </c>
      <c r="J4209" s="10">
        <v>0.0357</v>
      </c>
    </row>
    <row r="4210" spans="1:10">
      <c r="A4210" s="7" t="s">
        <v>4244</v>
      </c>
      <c r="B4210" s="7" t="s">
        <v>6077</v>
      </c>
      <c r="C4210" s="8">
        <f>QS.CONTEXT.CREATE("market.4208",A4210,"USD","SOFR")</f>
        <v/>
      </c>
      <c r="D4210" s="8">
        <f>QS.CONTEXT.ADD.CURVE(C4210,"SOFR",$K$2:$K$7,$L$2:$L$7,,,"Actual360","LogLinear",TRUE)</f>
        <v/>
      </c>
      <c r="E4210" s="8">
        <f>QS.INSTRUMENT.SWAP("swap.4208",C4210,H4210,B4210,"USD","SOFR",I4210,J4210,0,"Actual360","Simple","Annual","Annual","Annual")</f>
        <v/>
      </c>
      <c r="F4210" s="8">
        <f>QS.TRADE.CREATE("trade.4208",C4210,E4210,A4210,"Receive")</f>
        <v/>
      </c>
      <c r="G4210" s="5"/>
      <c r="H4210" s="7" t="s">
        <v>4251</v>
      </c>
      <c r="I4210" s="9">
        <v>1420800</v>
      </c>
      <c r="J4210" s="10">
        <v>0.03580000000000001</v>
      </c>
    </row>
    <row r="4211" spans="1:10">
      <c r="A4211" s="7" t="s">
        <v>4245</v>
      </c>
      <c r="B4211" s="7" t="s">
        <v>6078</v>
      </c>
      <c r="C4211" s="8">
        <f>QS.CONTEXT.CREATE("market.4209",A4211,"USD","SOFR")</f>
        <v/>
      </c>
      <c r="D4211" s="8">
        <f>QS.CONTEXT.ADD.CURVE(C4211,"SOFR",$K$2:$K$7,$L$2:$L$7,,,"Actual360","LogLinear",TRUE)</f>
        <v/>
      </c>
      <c r="E4211" s="8">
        <f>QS.INSTRUMENT.SWAP("swap.4209",C4211,H4211,B4211,"USD","SOFR",I4211,J4211,0,"Actual360","Simple","Annual","Annual","Annual")</f>
        <v/>
      </c>
      <c r="F4211" s="8">
        <f>QS.TRADE.CREATE("trade.4209",C4211,E4211,A4211,"Receive")</f>
        <v/>
      </c>
      <c r="G4211" s="5"/>
      <c r="H4211" s="7" t="s">
        <v>4252</v>
      </c>
      <c r="I4211" s="9">
        <v>1420900</v>
      </c>
      <c r="J4211" s="10">
        <v>0.0359</v>
      </c>
    </row>
    <row r="4212" spans="1:10">
      <c r="A4212" s="7" t="s">
        <v>4246</v>
      </c>
      <c r="B4212" s="7" t="s">
        <v>6079</v>
      </c>
      <c r="C4212" s="8">
        <f>QS.CONTEXT.CREATE("market.4210",A4212,"USD","SOFR")</f>
        <v/>
      </c>
      <c r="D4212" s="8">
        <f>QS.CONTEXT.ADD.CURVE(C4212,"SOFR",$K$2:$K$7,$L$2:$L$7,,,"Actual360","LogLinear",TRUE)</f>
        <v/>
      </c>
      <c r="E4212" s="8">
        <f>QS.INSTRUMENT.SWAP("swap.4210",C4212,H4212,B4212,"USD","SOFR",I4212,J4212,0,"Actual360","Simple","Annual","Annual","Annual")</f>
        <v/>
      </c>
      <c r="F4212" s="8">
        <f>QS.TRADE.CREATE("trade.4210",C4212,E4212,A4212,"Receive")</f>
        <v/>
      </c>
      <c r="G4212" s="5"/>
      <c r="H4212" s="7" t="s">
        <v>4253</v>
      </c>
      <c r="I4212" s="9">
        <v>1421000</v>
      </c>
      <c r="J4212" s="10">
        <v>0.036</v>
      </c>
    </row>
    <row r="4213" spans="1:10">
      <c r="A4213" s="7" t="s">
        <v>4247</v>
      </c>
      <c r="B4213" s="7" t="s">
        <v>6080</v>
      </c>
      <c r="C4213" s="8">
        <f>QS.CONTEXT.CREATE("market.4211",A4213,"USD","SOFR")</f>
        <v/>
      </c>
      <c r="D4213" s="8">
        <f>QS.CONTEXT.ADD.CURVE(C4213,"SOFR",$K$2:$K$7,$L$2:$L$7,,,"Actual360","LogLinear",TRUE)</f>
        <v/>
      </c>
      <c r="E4213" s="8">
        <f>QS.INSTRUMENT.SWAP("swap.4211",C4213,H4213,B4213,"USD","SOFR",I4213,J4213,0,"Actual360","Simple","Annual","Annual","Annual")</f>
        <v/>
      </c>
      <c r="F4213" s="8">
        <f>QS.TRADE.CREATE("trade.4211",C4213,E4213,A4213,"Receive")</f>
        <v/>
      </c>
      <c r="G4213" s="5"/>
      <c r="H4213" s="7" t="s">
        <v>4254</v>
      </c>
      <c r="I4213" s="9">
        <v>1421100</v>
      </c>
      <c r="J4213" s="10">
        <v>0.0361</v>
      </c>
    </row>
    <row r="4214" spans="1:10">
      <c r="A4214" s="7" t="s">
        <v>4248</v>
      </c>
      <c r="B4214" s="7" t="s">
        <v>6081</v>
      </c>
      <c r="C4214" s="8">
        <f>QS.CONTEXT.CREATE("market.4212",A4214,"USD","SOFR")</f>
        <v/>
      </c>
      <c r="D4214" s="8">
        <f>QS.CONTEXT.ADD.CURVE(C4214,"SOFR",$K$2:$K$7,$L$2:$L$7,,,"Actual360","LogLinear",TRUE)</f>
        <v/>
      </c>
      <c r="E4214" s="8">
        <f>QS.INSTRUMENT.SWAP("swap.4212",C4214,H4214,B4214,"USD","SOFR",I4214,J4214,0,"Actual360","Simple","Annual","Annual","Annual")</f>
        <v/>
      </c>
      <c r="F4214" s="8">
        <f>QS.TRADE.CREATE("trade.4212",C4214,E4214,A4214,"Receive")</f>
        <v/>
      </c>
      <c r="G4214" s="5"/>
      <c r="H4214" s="7" t="s">
        <v>4255</v>
      </c>
      <c r="I4214" s="9">
        <v>1421200</v>
      </c>
      <c r="J4214" s="10">
        <v>0.0362</v>
      </c>
    </row>
    <row r="4215" spans="1:10">
      <c r="A4215" s="7" t="s">
        <v>4249</v>
      </c>
      <c r="B4215" s="7" t="s">
        <v>6082</v>
      </c>
      <c r="C4215" s="8">
        <f>QS.CONTEXT.CREATE("market.4213",A4215,"USD","SOFR")</f>
        <v/>
      </c>
      <c r="D4215" s="8">
        <f>QS.CONTEXT.ADD.CURVE(C4215,"SOFR",$K$2:$K$7,$L$2:$L$7,,,"Actual360","LogLinear",TRUE)</f>
        <v/>
      </c>
      <c r="E4215" s="8">
        <f>QS.INSTRUMENT.SWAP("swap.4213",C4215,H4215,B4215,"USD","SOFR",I4215,J4215,0,"Actual360","Simple","Annual","Annual","Annual")</f>
        <v/>
      </c>
      <c r="F4215" s="8">
        <f>QS.TRADE.CREATE("trade.4213",C4215,E4215,A4215,"Receive")</f>
        <v/>
      </c>
      <c r="G4215" s="5"/>
      <c r="H4215" s="7" t="s">
        <v>4256</v>
      </c>
      <c r="I4215" s="9">
        <v>1421300</v>
      </c>
      <c r="J4215" s="10">
        <v>0.03630000000000001</v>
      </c>
    </row>
    <row r="4216" spans="1:10">
      <c r="A4216" s="7" t="s">
        <v>4250</v>
      </c>
      <c r="B4216" s="7" t="s">
        <v>6083</v>
      </c>
      <c r="C4216" s="8">
        <f>QS.CONTEXT.CREATE("market.4214",A4216,"USD","SOFR")</f>
        <v/>
      </c>
      <c r="D4216" s="8">
        <f>QS.CONTEXT.ADD.CURVE(C4216,"SOFR",$K$2:$K$7,$L$2:$L$7,,,"Actual360","LogLinear",TRUE)</f>
        <v/>
      </c>
      <c r="E4216" s="8">
        <f>QS.INSTRUMENT.SWAP("swap.4214",C4216,H4216,B4216,"USD","SOFR",I4216,J4216,0,"Actual360","Simple","Annual","Annual","Annual")</f>
        <v/>
      </c>
      <c r="F4216" s="8">
        <f>QS.TRADE.CREATE("trade.4214",C4216,E4216,A4216,"Receive")</f>
        <v/>
      </c>
      <c r="G4216" s="5"/>
      <c r="H4216" s="7" t="s">
        <v>4257</v>
      </c>
      <c r="I4216" s="9">
        <v>1421400</v>
      </c>
      <c r="J4216" s="10">
        <v>0.0364</v>
      </c>
    </row>
    <row r="4217" spans="1:10">
      <c r="A4217" s="7" t="s">
        <v>4251</v>
      </c>
      <c r="B4217" s="7" t="s">
        <v>6084</v>
      </c>
      <c r="C4217" s="8">
        <f>QS.CONTEXT.CREATE("market.4215",A4217,"USD","SOFR")</f>
        <v/>
      </c>
      <c r="D4217" s="8">
        <f>QS.CONTEXT.ADD.CURVE(C4217,"SOFR",$K$2:$K$7,$L$2:$L$7,,,"Actual360","LogLinear",TRUE)</f>
        <v/>
      </c>
      <c r="E4217" s="8">
        <f>QS.INSTRUMENT.SWAP("swap.4215",C4217,H4217,B4217,"USD","SOFR",I4217,J4217,0,"Actual360","Simple","Annual","Annual","Annual")</f>
        <v/>
      </c>
      <c r="F4217" s="8">
        <f>QS.TRADE.CREATE("trade.4215",C4217,E4217,A4217,"Receive")</f>
        <v/>
      </c>
      <c r="G4217" s="5"/>
      <c r="H4217" s="7" t="s">
        <v>4258</v>
      </c>
      <c r="I4217" s="9">
        <v>1421500</v>
      </c>
      <c r="J4217" s="10">
        <v>0.0365</v>
      </c>
    </row>
    <row r="4218" spans="1:10">
      <c r="A4218" s="7" t="s">
        <v>4252</v>
      </c>
      <c r="B4218" s="7" t="s">
        <v>6085</v>
      </c>
      <c r="C4218" s="8">
        <f>QS.CONTEXT.CREATE("market.4216",A4218,"USD","SOFR")</f>
        <v/>
      </c>
      <c r="D4218" s="8">
        <f>QS.CONTEXT.ADD.CURVE(C4218,"SOFR",$K$2:$K$7,$L$2:$L$7,,,"Actual360","LogLinear",TRUE)</f>
        <v/>
      </c>
      <c r="E4218" s="8">
        <f>QS.INSTRUMENT.SWAP("swap.4216",C4218,H4218,B4218,"USD","SOFR",I4218,J4218,0,"Actual360","Simple","Annual","Annual","Annual")</f>
        <v/>
      </c>
      <c r="F4218" s="8">
        <f>QS.TRADE.CREATE("trade.4216",C4218,E4218,A4218,"Receive")</f>
        <v/>
      </c>
      <c r="G4218" s="5"/>
      <c r="H4218" s="7" t="s">
        <v>4259</v>
      </c>
      <c r="I4218" s="9">
        <v>1421600</v>
      </c>
      <c r="J4218" s="10">
        <v>0.0366</v>
      </c>
    </row>
    <row r="4219" spans="1:10">
      <c r="A4219" s="7" t="s">
        <v>4253</v>
      </c>
      <c r="B4219" s="7" t="s">
        <v>6086</v>
      </c>
      <c r="C4219" s="8">
        <f>QS.CONTEXT.CREATE("market.4217",A4219,"USD","SOFR")</f>
        <v/>
      </c>
      <c r="D4219" s="8">
        <f>QS.CONTEXT.ADD.CURVE(C4219,"SOFR",$K$2:$K$7,$L$2:$L$7,,,"Actual360","LogLinear",TRUE)</f>
        <v/>
      </c>
      <c r="E4219" s="8">
        <f>QS.INSTRUMENT.SWAP("swap.4217",C4219,H4219,B4219,"USD","SOFR",I4219,J4219,0,"Actual360","Simple","Annual","Annual","Annual")</f>
        <v/>
      </c>
      <c r="F4219" s="8">
        <f>QS.TRADE.CREATE("trade.4217",C4219,E4219,A4219,"Receive")</f>
        <v/>
      </c>
      <c r="G4219" s="5"/>
      <c r="H4219" s="7" t="s">
        <v>4260</v>
      </c>
      <c r="I4219" s="9">
        <v>1421700</v>
      </c>
      <c r="J4219" s="10">
        <v>0.0367</v>
      </c>
    </row>
    <row r="4220" spans="1:10">
      <c r="A4220" s="7" t="s">
        <v>4254</v>
      </c>
      <c r="B4220" s="7" t="s">
        <v>6087</v>
      </c>
      <c r="C4220" s="8">
        <f>QS.CONTEXT.CREATE("market.4218",A4220,"USD","SOFR")</f>
        <v/>
      </c>
      <c r="D4220" s="8">
        <f>QS.CONTEXT.ADD.CURVE(C4220,"SOFR",$K$2:$K$7,$L$2:$L$7,,,"Actual360","LogLinear",TRUE)</f>
        <v/>
      </c>
      <c r="E4220" s="8">
        <f>QS.INSTRUMENT.SWAP("swap.4218",C4220,H4220,B4220,"USD","SOFR",I4220,J4220,0,"Actual360","Simple","Annual","Annual","Annual")</f>
        <v/>
      </c>
      <c r="F4220" s="8">
        <f>QS.TRADE.CREATE("trade.4218",C4220,E4220,A4220,"Receive")</f>
        <v/>
      </c>
      <c r="G4220" s="5"/>
      <c r="H4220" s="7" t="s">
        <v>4261</v>
      </c>
      <c r="I4220" s="9">
        <v>1421800</v>
      </c>
      <c r="J4220" s="10">
        <v>0.03680000000000001</v>
      </c>
    </row>
    <row r="4221" spans="1:10">
      <c r="A4221" s="7" t="s">
        <v>4255</v>
      </c>
      <c r="B4221" s="7" t="s">
        <v>6088</v>
      </c>
      <c r="C4221" s="8">
        <f>QS.CONTEXT.CREATE("market.4219",A4221,"USD","SOFR")</f>
        <v/>
      </c>
      <c r="D4221" s="8">
        <f>QS.CONTEXT.ADD.CURVE(C4221,"SOFR",$K$2:$K$7,$L$2:$L$7,,,"Actual360","LogLinear",TRUE)</f>
        <v/>
      </c>
      <c r="E4221" s="8">
        <f>QS.INSTRUMENT.SWAP("swap.4219",C4221,H4221,B4221,"USD","SOFR",I4221,J4221,0,"Actual360","Simple","Annual","Annual","Annual")</f>
        <v/>
      </c>
      <c r="F4221" s="8">
        <f>QS.TRADE.CREATE("trade.4219",C4221,E4221,A4221,"Receive")</f>
        <v/>
      </c>
      <c r="G4221" s="5"/>
      <c r="H4221" s="7" t="s">
        <v>4262</v>
      </c>
      <c r="I4221" s="9">
        <v>1421900</v>
      </c>
      <c r="J4221" s="10">
        <v>0.0369</v>
      </c>
    </row>
    <row r="4222" spans="1:10">
      <c r="A4222" s="7" t="s">
        <v>4256</v>
      </c>
      <c r="B4222" s="7" t="s">
        <v>6089</v>
      </c>
      <c r="C4222" s="8">
        <f>QS.CONTEXT.CREATE("market.4220",A4222,"USD","SOFR")</f>
        <v/>
      </c>
      <c r="D4222" s="8">
        <f>QS.CONTEXT.ADD.CURVE(C4222,"SOFR",$K$2:$K$7,$L$2:$L$7,,,"Actual360","LogLinear",TRUE)</f>
        <v/>
      </c>
      <c r="E4222" s="8">
        <f>QS.INSTRUMENT.SWAP("swap.4220",C4222,H4222,B4222,"USD","SOFR",I4222,J4222,0,"Actual360","Simple","Annual","Annual","Annual")</f>
        <v/>
      </c>
      <c r="F4222" s="8">
        <f>QS.TRADE.CREATE("trade.4220",C4222,E4222,A4222,"Receive")</f>
        <v/>
      </c>
      <c r="G4222" s="5"/>
      <c r="H4222" s="7" t="s">
        <v>4263</v>
      </c>
      <c r="I4222" s="9">
        <v>1422000</v>
      </c>
      <c r="J4222" s="10">
        <v>0.03700000000000001</v>
      </c>
    </row>
    <row r="4223" spans="1:10">
      <c r="A4223" s="7" t="s">
        <v>4257</v>
      </c>
      <c r="B4223" s="7" t="s">
        <v>6090</v>
      </c>
      <c r="C4223" s="8">
        <f>QS.CONTEXT.CREATE("market.4221",A4223,"USD","SOFR")</f>
        <v/>
      </c>
      <c r="D4223" s="8">
        <f>QS.CONTEXT.ADD.CURVE(C4223,"SOFR",$K$2:$K$7,$L$2:$L$7,,,"Actual360","LogLinear",TRUE)</f>
        <v/>
      </c>
      <c r="E4223" s="8">
        <f>QS.INSTRUMENT.SWAP("swap.4221",C4223,H4223,B4223,"USD","SOFR",I4223,J4223,0,"Actual360","Simple","Annual","Annual","Annual")</f>
        <v/>
      </c>
      <c r="F4223" s="8">
        <f>QS.TRADE.CREATE("trade.4221",C4223,E4223,A4223,"Receive")</f>
        <v/>
      </c>
      <c r="G4223" s="5"/>
      <c r="H4223" s="7" t="s">
        <v>4264</v>
      </c>
      <c r="I4223" s="9">
        <v>1422100</v>
      </c>
      <c r="J4223" s="10">
        <v>0.0371</v>
      </c>
    </row>
    <row r="4224" spans="1:10">
      <c r="A4224" s="7" t="s">
        <v>4258</v>
      </c>
      <c r="B4224" s="7" t="s">
        <v>6091</v>
      </c>
      <c r="C4224" s="8">
        <f>QS.CONTEXT.CREATE("market.4222",A4224,"USD","SOFR")</f>
        <v/>
      </c>
      <c r="D4224" s="8">
        <f>QS.CONTEXT.ADD.CURVE(C4224,"SOFR",$K$2:$K$7,$L$2:$L$7,,,"Actual360","LogLinear",TRUE)</f>
        <v/>
      </c>
      <c r="E4224" s="8">
        <f>QS.INSTRUMENT.SWAP("swap.4222",C4224,H4224,B4224,"USD","SOFR",I4224,J4224,0,"Actual360","Simple","Annual","Annual","Annual")</f>
        <v/>
      </c>
      <c r="F4224" s="8">
        <f>QS.TRADE.CREATE("trade.4222",C4224,E4224,A4224,"Receive")</f>
        <v/>
      </c>
      <c r="G4224" s="5"/>
      <c r="H4224" s="7" t="s">
        <v>4265</v>
      </c>
      <c r="I4224" s="9">
        <v>1422200</v>
      </c>
      <c r="J4224" s="10">
        <v>0.0372</v>
      </c>
    </row>
    <row r="4225" spans="1:10">
      <c r="A4225" s="7" t="s">
        <v>4259</v>
      </c>
      <c r="B4225" s="7" t="s">
        <v>6092</v>
      </c>
      <c r="C4225" s="8">
        <f>QS.CONTEXT.CREATE("market.4223",A4225,"USD","SOFR")</f>
        <v/>
      </c>
      <c r="D4225" s="8">
        <f>QS.CONTEXT.ADD.CURVE(C4225,"SOFR",$K$2:$K$7,$L$2:$L$7,,,"Actual360","LogLinear",TRUE)</f>
        <v/>
      </c>
      <c r="E4225" s="8">
        <f>QS.INSTRUMENT.SWAP("swap.4223",C4225,H4225,B4225,"USD","SOFR",I4225,J4225,0,"Actual360","Simple","Annual","Annual","Annual")</f>
        <v/>
      </c>
      <c r="F4225" s="8">
        <f>QS.TRADE.CREATE("trade.4223",C4225,E4225,A4225,"Receive")</f>
        <v/>
      </c>
      <c r="G4225" s="5"/>
      <c r="H4225" s="7" t="s">
        <v>4266</v>
      </c>
      <c r="I4225" s="9">
        <v>1422300</v>
      </c>
      <c r="J4225" s="10">
        <v>0.0373</v>
      </c>
    </row>
    <row r="4226" spans="1:10">
      <c r="A4226" s="7" t="s">
        <v>4260</v>
      </c>
      <c r="B4226" s="7" t="s">
        <v>6093</v>
      </c>
      <c r="C4226" s="8">
        <f>QS.CONTEXT.CREATE("market.4224",A4226,"USD","SOFR")</f>
        <v/>
      </c>
      <c r="D4226" s="8">
        <f>QS.CONTEXT.ADD.CURVE(C4226,"SOFR",$K$2:$K$7,$L$2:$L$7,,,"Actual360","LogLinear",TRUE)</f>
        <v/>
      </c>
      <c r="E4226" s="8">
        <f>QS.INSTRUMENT.SWAP("swap.4224",C4226,H4226,B4226,"USD","SOFR",I4226,J4226,0,"Actual360","Simple","Annual","Annual","Annual")</f>
        <v/>
      </c>
      <c r="F4226" s="8">
        <f>QS.TRADE.CREATE("trade.4224",C4226,E4226,A4226,"Receive")</f>
        <v/>
      </c>
      <c r="G4226" s="5"/>
      <c r="H4226" s="7" t="s">
        <v>4267</v>
      </c>
      <c r="I4226" s="9">
        <v>1422400</v>
      </c>
      <c r="J4226" s="10">
        <v>0.0374</v>
      </c>
    </row>
    <row r="4227" spans="1:10">
      <c r="A4227" s="7" t="s">
        <v>4261</v>
      </c>
      <c r="B4227" s="7" t="s">
        <v>6094</v>
      </c>
      <c r="C4227" s="8">
        <f>QS.CONTEXT.CREATE("market.4225",A4227,"USD","SOFR")</f>
        <v/>
      </c>
      <c r="D4227" s="8">
        <f>QS.CONTEXT.ADD.CURVE(C4227,"SOFR",$K$2:$K$7,$L$2:$L$7,,,"Actual360","LogLinear",TRUE)</f>
        <v/>
      </c>
      <c r="E4227" s="8">
        <f>QS.INSTRUMENT.SWAP("swap.4225",C4227,H4227,B4227,"USD","SOFR",I4227,J4227,0,"Actual360","Simple","Annual","Annual","Annual")</f>
        <v/>
      </c>
      <c r="F4227" s="8">
        <f>QS.TRADE.CREATE("trade.4225",C4227,E4227,A4227,"Receive")</f>
        <v/>
      </c>
      <c r="G4227" s="5"/>
      <c r="H4227" s="7" t="s">
        <v>4268</v>
      </c>
      <c r="I4227" s="9">
        <v>1422500</v>
      </c>
      <c r="J4227" s="10">
        <v>0.03750000000000001</v>
      </c>
    </row>
    <row r="4228" spans="1:10">
      <c r="A4228" s="7" t="s">
        <v>4262</v>
      </c>
      <c r="B4228" s="7" t="s">
        <v>6095</v>
      </c>
      <c r="C4228" s="8">
        <f>QS.CONTEXT.CREATE("market.4226",A4228,"USD","SOFR")</f>
        <v/>
      </c>
      <c r="D4228" s="8">
        <f>QS.CONTEXT.ADD.CURVE(C4228,"SOFR",$K$2:$K$7,$L$2:$L$7,,,"Actual360","LogLinear",TRUE)</f>
        <v/>
      </c>
      <c r="E4228" s="8">
        <f>QS.INSTRUMENT.SWAP("swap.4226",C4228,H4228,B4228,"USD","SOFR",I4228,J4228,0,"Actual360","Simple","Annual","Annual","Annual")</f>
        <v/>
      </c>
      <c r="F4228" s="8">
        <f>QS.TRADE.CREATE("trade.4226",C4228,E4228,A4228,"Receive")</f>
        <v/>
      </c>
      <c r="G4228" s="5"/>
      <c r="H4228" s="7" t="s">
        <v>4269</v>
      </c>
      <c r="I4228" s="9">
        <v>1422600</v>
      </c>
      <c r="J4228" s="10">
        <v>0.0376</v>
      </c>
    </row>
    <row r="4229" spans="1:10">
      <c r="A4229" s="7" t="s">
        <v>4263</v>
      </c>
      <c r="B4229" s="7" t="s">
        <v>6096</v>
      </c>
      <c r="C4229" s="8">
        <f>QS.CONTEXT.CREATE("market.4227",A4229,"USD","SOFR")</f>
        <v/>
      </c>
      <c r="D4229" s="8">
        <f>QS.CONTEXT.ADD.CURVE(C4229,"SOFR",$K$2:$K$7,$L$2:$L$7,,,"Actual360","LogLinear",TRUE)</f>
        <v/>
      </c>
      <c r="E4229" s="8">
        <f>QS.INSTRUMENT.SWAP("swap.4227",C4229,H4229,B4229,"USD","SOFR",I4229,J4229,0,"Actual360","Simple","Annual","Annual","Annual")</f>
        <v/>
      </c>
      <c r="F4229" s="8">
        <f>QS.TRADE.CREATE("trade.4227",C4229,E4229,A4229,"Receive")</f>
        <v/>
      </c>
      <c r="G4229" s="5"/>
      <c r="H4229" s="7" t="s">
        <v>4270</v>
      </c>
      <c r="I4229" s="9">
        <v>1422700</v>
      </c>
      <c r="J4229" s="10">
        <v>0.0377</v>
      </c>
    </row>
    <row r="4230" spans="1:10">
      <c r="A4230" s="7" t="s">
        <v>4264</v>
      </c>
      <c r="B4230" s="7" t="s">
        <v>6097</v>
      </c>
      <c r="C4230" s="8">
        <f>QS.CONTEXT.CREATE("market.4228",A4230,"USD","SOFR")</f>
        <v/>
      </c>
      <c r="D4230" s="8">
        <f>QS.CONTEXT.ADD.CURVE(C4230,"SOFR",$K$2:$K$7,$L$2:$L$7,,,"Actual360","LogLinear",TRUE)</f>
        <v/>
      </c>
      <c r="E4230" s="8">
        <f>QS.INSTRUMENT.SWAP("swap.4228",C4230,H4230,B4230,"USD","SOFR",I4230,J4230,0,"Actual360","Simple","Annual","Annual","Annual")</f>
        <v/>
      </c>
      <c r="F4230" s="8">
        <f>QS.TRADE.CREATE("trade.4228",C4230,E4230,A4230,"Receive")</f>
        <v/>
      </c>
      <c r="G4230" s="5"/>
      <c r="H4230" s="7" t="s">
        <v>4271</v>
      </c>
      <c r="I4230" s="9">
        <v>1422800</v>
      </c>
      <c r="J4230" s="10">
        <v>0.0378</v>
      </c>
    </row>
    <row r="4231" spans="1:10">
      <c r="A4231" s="7" t="s">
        <v>4265</v>
      </c>
      <c r="B4231" s="7" t="s">
        <v>6098</v>
      </c>
      <c r="C4231" s="8">
        <f>QS.CONTEXT.CREATE("market.4229",A4231,"USD","SOFR")</f>
        <v/>
      </c>
      <c r="D4231" s="8">
        <f>QS.CONTEXT.ADD.CURVE(C4231,"SOFR",$K$2:$K$7,$L$2:$L$7,,,"Actual360","LogLinear",TRUE)</f>
        <v/>
      </c>
      <c r="E4231" s="8">
        <f>QS.INSTRUMENT.SWAP("swap.4229",C4231,H4231,B4231,"USD","SOFR",I4231,J4231,0,"Actual360","Simple","Annual","Annual","Annual")</f>
        <v/>
      </c>
      <c r="F4231" s="8">
        <f>QS.TRADE.CREATE("trade.4229",C4231,E4231,A4231,"Receive")</f>
        <v/>
      </c>
      <c r="G4231" s="5"/>
      <c r="H4231" s="7" t="s">
        <v>4272</v>
      </c>
      <c r="I4231" s="9">
        <v>1422900</v>
      </c>
      <c r="J4231" s="10">
        <v>0.0379</v>
      </c>
    </row>
    <row r="4232" spans="1:10">
      <c r="A4232" s="7" t="s">
        <v>4266</v>
      </c>
      <c r="B4232" s="7" t="s">
        <v>6099</v>
      </c>
      <c r="C4232" s="8">
        <f>QS.CONTEXT.CREATE("market.4230",A4232,"USD","SOFR")</f>
        <v/>
      </c>
      <c r="D4232" s="8">
        <f>QS.CONTEXT.ADD.CURVE(C4232,"SOFR",$K$2:$K$7,$L$2:$L$7,,,"Actual360","LogLinear",TRUE)</f>
        <v/>
      </c>
      <c r="E4232" s="8">
        <f>QS.INSTRUMENT.SWAP("swap.4230",C4232,H4232,B4232,"USD","SOFR",I4232,J4232,0,"Actual360","Simple","Annual","Annual","Annual")</f>
        <v/>
      </c>
      <c r="F4232" s="8">
        <f>QS.TRADE.CREATE("trade.4230",C4232,E4232,A4232,"Receive")</f>
        <v/>
      </c>
      <c r="G4232" s="5"/>
      <c r="H4232" s="7" t="s">
        <v>4273</v>
      </c>
      <c r="I4232" s="9">
        <v>1423000</v>
      </c>
      <c r="J4232" s="10">
        <v>0.03800000000000001</v>
      </c>
    </row>
    <row r="4233" spans="1:10">
      <c r="A4233" s="7" t="s">
        <v>4267</v>
      </c>
      <c r="B4233" s="7" t="s">
        <v>6100</v>
      </c>
      <c r="C4233" s="8">
        <f>QS.CONTEXT.CREATE("market.4231",A4233,"USD","SOFR")</f>
        <v/>
      </c>
      <c r="D4233" s="8">
        <f>QS.CONTEXT.ADD.CURVE(C4233,"SOFR",$K$2:$K$7,$L$2:$L$7,,,"Actual360","LogLinear",TRUE)</f>
        <v/>
      </c>
      <c r="E4233" s="8">
        <f>QS.INSTRUMENT.SWAP("swap.4231",C4233,H4233,B4233,"USD","SOFR",I4233,J4233,0,"Actual360","Simple","Annual","Annual","Annual")</f>
        <v/>
      </c>
      <c r="F4233" s="8">
        <f>QS.TRADE.CREATE("trade.4231",C4233,E4233,A4233,"Receive")</f>
        <v/>
      </c>
      <c r="G4233" s="5"/>
      <c r="H4233" s="7" t="s">
        <v>4274</v>
      </c>
      <c r="I4233" s="9">
        <v>1423100</v>
      </c>
      <c r="J4233" s="10">
        <v>0.0381</v>
      </c>
    </row>
    <row r="4234" spans="1:10">
      <c r="A4234" s="7" t="s">
        <v>4268</v>
      </c>
      <c r="B4234" s="7" t="s">
        <v>6101</v>
      </c>
      <c r="C4234" s="8">
        <f>QS.CONTEXT.CREATE("market.4232",A4234,"USD","SOFR")</f>
        <v/>
      </c>
      <c r="D4234" s="8">
        <f>QS.CONTEXT.ADD.CURVE(C4234,"SOFR",$K$2:$K$7,$L$2:$L$7,,,"Actual360","LogLinear",TRUE)</f>
        <v/>
      </c>
      <c r="E4234" s="8">
        <f>QS.INSTRUMENT.SWAP("swap.4232",C4234,H4234,B4234,"USD","SOFR",I4234,J4234,0,"Actual360","Simple","Annual","Annual","Annual")</f>
        <v/>
      </c>
      <c r="F4234" s="8">
        <f>QS.TRADE.CREATE("trade.4232",C4234,E4234,A4234,"Receive")</f>
        <v/>
      </c>
      <c r="G4234" s="5"/>
      <c r="H4234" s="7" t="s">
        <v>4275</v>
      </c>
      <c r="I4234" s="9">
        <v>1423200</v>
      </c>
      <c r="J4234" s="10">
        <v>0.0382</v>
      </c>
    </row>
    <row r="4235" spans="1:10">
      <c r="A4235" s="7" t="s">
        <v>4269</v>
      </c>
      <c r="B4235" s="7" t="s">
        <v>6102</v>
      </c>
      <c r="C4235" s="8">
        <f>QS.CONTEXT.CREATE("market.4233",A4235,"USD","SOFR")</f>
        <v/>
      </c>
      <c r="D4235" s="8">
        <f>QS.CONTEXT.ADD.CURVE(C4235,"SOFR",$K$2:$K$7,$L$2:$L$7,,,"Actual360","LogLinear",TRUE)</f>
        <v/>
      </c>
      <c r="E4235" s="8">
        <f>QS.INSTRUMENT.SWAP("swap.4233",C4235,H4235,B4235,"USD","SOFR",I4235,J4235,0,"Actual360","Simple","Annual","Annual","Annual")</f>
        <v/>
      </c>
      <c r="F4235" s="8">
        <f>QS.TRADE.CREATE("trade.4233",C4235,E4235,A4235,"Receive")</f>
        <v/>
      </c>
      <c r="G4235" s="5"/>
      <c r="H4235" s="7" t="s">
        <v>4276</v>
      </c>
      <c r="I4235" s="9">
        <v>1423300</v>
      </c>
      <c r="J4235" s="10">
        <v>0.0383</v>
      </c>
    </row>
    <row r="4236" spans="1:10">
      <c r="A4236" s="7" t="s">
        <v>4270</v>
      </c>
      <c r="B4236" s="7" t="s">
        <v>6103</v>
      </c>
      <c r="C4236" s="8">
        <f>QS.CONTEXT.CREATE("market.4234",A4236,"USD","SOFR")</f>
        <v/>
      </c>
      <c r="D4236" s="8">
        <f>QS.CONTEXT.ADD.CURVE(C4236,"SOFR",$K$2:$K$7,$L$2:$L$7,,,"Actual360","LogLinear",TRUE)</f>
        <v/>
      </c>
      <c r="E4236" s="8">
        <f>QS.INSTRUMENT.SWAP("swap.4234",C4236,H4236,B4236,"USD","SOFR",I4236,J4236,0,"Actual360","Simple","Annual","Annual","Annual")</f>
        <v/>
      </c>
      <c r="F4236" s="8">
        <f>QS.TRADE.CREATE("trade.4234",C4236,E4236,A4236,"Receive")</f>
        <v/>
      </c>
      <c r="G4236" s="5"/>
      <c r="H4236" s="7" t="s">
        <v>4277</v>
      </c>
      <c r="I4236" s="9">
        <v>1423400</v>
      </c>
      <c r="J4236" s="10">
        <v>0.0384</v>
      </c>
    </row>
    <row r="4237" spans="1:10">
      <c r="A4237" s="7" t="s">
        <v>4271</v>
      </c>
      <c r="B4237" s="7" t="s">
        <v>6104</v>
      </c>
      <c r="C4237" s="8">
        <f>QS.CONTEXT.CREATE("market.4235",A4237,"USD","SOFR")</f>
        <v/>
      </c>
      <c r="D4237" s="8">
        <f>QS.CONTEXT.ADD.CURVE(C4237,"SOFR",$K$2:$K$7,$L$2:$L$7,,,"Actual360","LogLinear",TRUE)</f>
        <v/>
      </c>
      <c r="E4237" s="8">
        <f>QS.INSTRUMENT.SWAP("swap.4235",C4237,H4237,B4237,"USD","SOFR",I4237,J4237,0,"Actual360","Simple","Annual","Annual","Annual")</f>
        <v/>
      </c>
      <c r="F4237" s="8">
        <f>QS.TRADE.CREATE("trade.4235",C4237,E4237,A4237,"Receive")</f>
        <v/>
      </c>
      <c r="G4237" s="5"/>
      <c r="H4237" s="7" t="s">
        <v>4278</v>
      </c>
      <c r="I4237" s="9">
        <v>1423500</v>
      </c>
      <c r="J4237" s="10">
        <v>0.03850000000000001</v>
      </c>
    </row>
    <row r="4238" spans="1:10">
      <c r="A4238" s="7" t="s">
        <v>4272</v>
      </c>
      <c r="B4238" s="7" t="s">
        <v>6105</v>
      </c>
      <c r="C4238" s="8">
        <f>QS.CONTEXT.CREATE("market.4236",A4238,"USD","SOFR")</f>
        <v/>
      </c>
      <c r="D4238" s="8">
        <f>QS.CONTEXT.ADD.CURVE(C4238,"SOFR",$K$2:$K$7,$L$2:$L$7,,,"Actual360","LogLinear",TRUE)</f>
        <v/>
      </c>
      <c r="E4238" s="8">
        <f>QS.INSTRUMENT.SWAP("swap.4236",C4238,H4238,B4238,"USD","SOFR",I4238,J4238,0,"Actual360","Simple","Annual","Annual","Annual")</f>
        <v/>
      </c>
      <c r="F4238" s="8">
        <f>QS.TRADE.CREATE("trade.4236",C4238,E4238,A4238,"Receive")</f>
        <v/>
      </c>
      <c r="G4238" s="5"/>
      <c r="H4238" s="7" t="s">
        <v>4279</v>
      </c>
      <c r="I4238" s="9">
        <v>1423600</v>
      </c>
      <c r="J4238" s="10">
        <v>0.0386</v>
      </c>
    </row>
    <row r="4239" spans="1:10">
      <c r="A4239" s="7" t="s">
        <v>4273</v>
      </c>
      <c r="B4239" s="7" t="s">
        <v>6106</v>
      </c>
      <c r="C4239" s="8">
        <f>QS.CONTEXT.CREATE("market.4237",A4239,"USD","SOFR")</f>
        <v/>
      </c>
      <c r="D4239" s="8">
        <f>QS.CONTEXT.ADD.CURVE(C4239,"SOFR",$K$2:$K$7,$L$2:$L$7,,,"Actual360","LogLinear",TRUE)</f>
        <v/>
      </c>
      <c r="E4239" s="8">
        <f>QS.INSTRUMENT.SWAP("swap.4237",C4239,H4239,B4239,"USD","SOFR",I4239,J4239,0,"Actual360","Simple","Annual","Annual","Annual")</f>
        <v/>
      </c>
      <c r="F4239" s="8">
        <f>QS.TRADE.CREATE("trade.4237",C4239,E4239,A4239,"Receive")</f>
        <v/>
      </c>
      <c r="G4239" s="5"/>
      <c r="H4239" s="7" t="s">
        <v>4280</v>
      </c>
      <c r="I4239" s="9">
        <v>1423700</v>
      </c>
      <c r="J4239" s="10">
        <v>0.03870000000000001</v>
      </c>
    </row>
    <row r="4240" spans="1:10">
      <c r="A4240" s="7" t="s">
        <v>4274</v>
      </c>
      <c r="B4240" s="7" t="s">
        <v>6107</v>
      </c>
      <c r="C4240" s="8">
        <f>QS.CONTEXT.CREATE("market.4238",A4240,"USD","SOFR")</f>
        <v/>
      </c>
      <c r="D4240" s="8">
        <f>QS.CONTEXT.ADD.CURVE(C4240,"SOFR",$K$2:$K$7,$L$2:$L$7,,,"Actual360","LogLinear",TRUE)</f>
        <v/>
      </c>
      <c r="E4240" s="8">
        <f>QS.INSTRUMENT.SWAP("swap.4238",C4240,H4240,B4240,"USD","SOFR",I4240,J4240,0,"Actual360","Simple","Annual","Annual","Annual")</f>
        <v/>
      </c>
      <c r="F4240" s="8">
        <f>QS.TRADE.CREATE("trade.4238",C4240,E4240,A4240,"Receive")</f>
        <v/>
      </c>
      <c r="G4240" s="5"/>
      <c r="H4240" s="7" t="s">
        <v>4281</v>
      </c>
      <c r="I4240" s="9">
        <v>1423800</v>
      </c>
      <c r="J4240" s="10">
        <v>0.0388</v>
      </c>
    </row>
    <row r="4241" spans="1:10">
      <c r="A4241" s="7" t="s">
        <v>4275</v>
      </c>
      <c r="B4241" s="7" t="s">
        <v>6108</v>
      </c>
      <c r="C4241" s="8">
        <f>QS.CONTEXT.CREATE("market.4239",A4241,"USD","SOFR")</f>
        <v/>
      </c>
      <c r="D4241" s="8">
        <f>QS.CONTEXT.ADD.CURVE(C4241,"SOFR",$K$2:$K$7,$L$2:$L$7,,,"Actual360","LogLinear",TRUE)</f>
        <v/>
      </c>
      <c r="E4241" s="8">
        <f>QS.INSTRUMENT.SWAP("swap.4239",C4241,H4241,B4241,"USD","SOFR",I4241,J4241,0,"Actual360","Simple","Annual","Annual","Annual")</f>
        <v/>
      </c>
      <c r="F4241" s="8">
        <f>QS.TRADE.CREATE("trade.4239",C4241,E4241,A4241,"Receive")</f>
        <v/>
      </c>
      <c r="G4241" s="5"/>
      <c r="H4241" s="7" t="s">
        <v>4282</v>
      </c>
      <c r="I4241" s="9">
        <v>1423900</v>
      </c>
      <c r="J4241" s="10">
        <v>0.0389</v>
      </c>
    </row>
    <row r="4242" spans="1:10">
      <c r="A4242" s="7" t="s">
        <v>4276</v>
      </c>
      <c r="B4242" s="7" t="s">
        <v>6109</v>
      </c>
      <c r="C4242" s="8">
        <f>QS.CONTEXT.CREATE("market.4240",A4242,"USD","SOFR")</f>
        <v/>
      </c>
      <c r="D4242" s="8">
        <f>QS.CONTEXT.ADD.CURVE(C4242,"SOFR",$K$2:$K$7,$L$2:$L$7,,,"Actual360","LogLinear",TRUE)</f>
        <v/>
      </c>
      <c r="E4242" s="8">
        <f>QS.INSTRUMENT.SWAP("swap.4240",C4242,H4242,B4242,"USD","SOFR",I4242,J4242,0,"Actual360","Simple","Annual","Annual","Annual")</f>
        <v/>
      </c>
      <c r="F4242" s="8">
        <f>QS.TRADE.CREATE("trade.4240",C4242,E4242,A4242,"Receive")</f>
        <v/>
      </c>
      <c r="G4242" s="5"/>
      <c r="H4242" s="7" t="s">
        <v>4283</v>
      </c>
      <c r="I4242" s="9">
        <v>1424000</v>
      </c>
      <c r="J4242" s="10">
        <v>0.03900000000000001</v>
      </c>
    </row>
    <row r="4243" spans="1:10">
      <c r="A4243" s="7" t="s">
        <v>4277</v>
      </c>
      <c r="B4243" s="7" t="s">
        <v>6110</v>
      </c>
      <c r="C4243" s="8">
        <f>QS.CONTEXT.CREATE("market.4241",A4243,"USD","SOFR")</f>
        <v/>
      </c>
      <c r="D4243" s="8">
        <f>QS.CONTEXT.ADD.CURVE(C4243,"SOFR",$K$2:$K$7,$L$2:$L$7,,,"Actual360","LogLinear",TRUE)</f>
        <v/>
      </c>
      <c r="E4243" s="8">
        <f>QS.INSTRUMENT.SWAP("swap.4241",C4243,H4243,B4243,"USD","SOFR",I4243,J4243,0,"Actual360","Simple","Annual","Annual","Annual")</f>
        <v/>
      </c>
      <c r="F4243" s="8">
        <f>QS.TRADE.CREATE("trade.4241",C4243,E4243,A4243,"Receive")</f>
        <v/>
      </c>
      <c r="G4243" s="5"/>
      <c r="H4243" s="7" t="s">
        <v>4284</v>
      </c>
      <c r="I4243" s="9">
        <v>1424100</v>
      </c>
      <c r="J4243" s="10">
        <v>0.0391</v>
      </c>
    </row>
    <row r="4244" spans="1:10">
      <c r="A4244" s="7" t="s">
        <v>4278</v>
      </c>
      <c r="B4244" s="7" t="s">
        <v>6111</v>
      </c>
      <c r="C4244" s="8">
        <f>QS.CONTEXT.CREATE("market.4242",A4244,"USD","SOFR")</f>
        <v/>
      </c>
      <c r="D4244" s="8">
        <f>QS.CONTEXT.ADD.CURVE(C4244,"SOFR",$K$2:$K$7,$L$2:$L$7,,,"Actual360","LogLinear",TRUE)</f>
        <v/>
      </c>
      <c r="E4244" s="8">
        <f>QS.INSTRUMENT.SWAP("swap.4242",C4244,H4244,B4244,"USD","SOFR",I4244,J4244,0,"Actual360","Simple","Annual","Annual","Annual")</f>
        <v/>
      </c>
      <c r="F4244" s="8">
        <f>QS.TRADE.CREATE("trade.4242",C4244,E4244,A4244,"Receive")</f>
        <v/>
      </c>
      <c r="G4244" s="5"/>
      <c r="H4244" s="7" t="s">
        <v>4285</v>
      </c>
      <c r="I4244" s="9">
        <v>1424200</v>
      </c>
      <c r="J4244" s="10">
        <v>0.03920000000000001</v>
      </c>
    </row>
    <row r="4245" spans="1:10">
      <c r="A4245" s="7" t="s">
        <v>4279</v>
      </c>
      <c r="B4245" s="7" t="s">
        <v>6112</v>
      </c>
      <c r="C4245" s="8">
        <f>QS.CONTEXT.CREATE("market.4243",A4245,"USD","SOFR")</f>
        <v/>
      </c>
      <c r="D4245" s="8">
        <f>QS.CONTEXT.ADD.CURVE(C4245,"SOFR",$K$2:$K$7,$L$2:$L$7,,,"Actual360","LogLinear",TRUE)</f>
        <v/>
      </c>
      <c r="E4245" s="8">
        <f>QS.INSTRUMENT.SWAP("swap.4243",C4245,H4245,B4245,"USD","SOFR",I4245,J4245,0,"Actual360","Simple","Annual","Annual","Annual")</f>
        <v/>
      </c>
      <c r="F4245" s="8">
        <f>QS.TRADE.CREATE("trade.4243",C4245,E4245,A4245,"Receive")</f>
        <v/>
      </c>
      <c r="G4245" s="5"/>
      <c r="H4245" s="7" t="s">
        <v>4286</v>
      </c>
      <c r="I4245" s="9">
        <v>1424300</v>
      </c>
      <c r="J4245" s="10">
        <v>0.0393</v>
      </c>
    </row>
    <row r="4246" spans="1:10">
      <c r="A4246" s="7" t="s">
        <v>4280</v>
      </c>
      <c r="B4246" s="7" t="s">
        <v>6113</v>
      </c>
      <c r="C4246" s="8">
        <f>QS.CONTEXT.CREATE("market.4244",A4246,"USD","SOFR")</f>
        <v/>
      </c>
      <c r="D4246" s="8">
        <f>QS.CONTEXT.ADD.CURVE(C4246,"SOFR",$K$2:$K$7,$L$2:$L$7,,,"Actual360","LogLinear",TRUE)</f>
        <v/>
      </c>
      <c r="E4246" s="8">
        <f>QS.INSTRUMENT.SWAP("swap.4244",C4246,H4246,B4246,"USD","SOFR",I4246,J4246,0,"Actual360","Simple","Annual","Annual","Annual")</f>
        <v/>
      </c>
      <c r="F4246" s="8">
        <f>QS.TRADE.CREATE("trade.4244",C4246,E4246,A4246,"Receive")</f>
        <v/>
      </c>
      <c r="G4246" s="5"/>
      <c r="H4246" s="7" t="s">
        <v>4287</v>
      </c>
      <c r="I4246" s="9">
        <v>1424400</v>
      </c>
      <c r="J4246" s="10">
        <v>0.0394</v>
      </c>
    </row>
    <row r="4247" spans="1:10">
      <c r="A4247" s="7" t="s">
        <v>4281</v>
      </c>
      <c r="B4247" s="7" t="s">
        <v>6114</v>
      </c>
      <c r="C4247" s="8">
        <f>QS.CONTEXT.CREATE("market.4245",A4247,"USD","SOFR")</f>
        <v/>
      </c>
      <c r="D4247" s="8">
        <f>QS.CONTEXT.ADD.CURVE(C4247,"SOFR",$K$2:$K$7,$L$2:$L$7,,,"Actual360","LogLinear",TRUE)</f>
        <v/>
      </c>
      <c r="E4247" s="8">
        <f>QS.INSTRUMENT.SWAP("swap.4245",C4247,H4247,B4247,"USD","SOFR",I4247,J4247,0,"Actual360","Simple","Annual","Annual","Annual")</f>
        <v/>
      </c>
      <c r="F4247" s="8">
        <f>QS.TRADE.CREATE("trade.4245",C4247,E4247,A4247,"Receive")</f>
        <v/>
      </c>
      <c r="G4247" s="5"/>
      <c r="H4247" s="7" t="s">
        <v>4288</v>
      </c>
      <c r="I4247" s="9">
        <v>1424500</v>
      </c>
      <c r="J4247" s="10">
        <v>0.03950000000000001</v>
      </c>
    </row>
    <row r="4248" spans="1:10">
      <c r="A4248" s="7" t="s">
        <v>4282</v>
      </c>
      <c r="B4248" s="7" t="s">
        <v>6115</v>
      </c>
      <c r="C4248" s="8">
        <f>QS.CONTEXT.CREATE("market.4246",A4248,"USD","SOFR")</f>
        <v/>
      </c>
      <c r="D4248" s="8">
        <f>QS.CONTEXT.ADD.CURVE(C4248,"SOFR",$K$2:$K$7,$L$2:$L$7,,,"Actual360","LogLinear",TRUE)</f>
        <v/>
      </c>
      <c r="E4248" s="8">
        <f>QS.INSTRUMENT.SWAP("swap.4246",C4248,H4248,B4248,"USD","SOFR",I4248,J4248,0,"Actual360","Simple","Annual","Annual","Annual")</f>
        <v/>
      </c>
      <c r="F4248" s="8">
        <f>QS.TRADE.CREATE("trade.4246",C4248,E4248,A4248,"Receive")</f>
        <v/>
      </c>
      <c r="G4248" s="5"/>
      <c r="H4248" s="7" t="s">
        <v>4289</v>
      </c>
      <c r="I4248" s="9">
        <v>1424600</v>
      </c>
      <c r="J4248" s="10">
        <v>0.0396</v>
      </c>
    </row>
    <row r="4249" spans="1:10">
      <c r="A4249" s="7" t="s">
        <v>4283</v>
      </c>
      <c r="B4249" s="7" t="s">
        <v>6116</v>
      </c>
      <c r="C4249" s="8">
        <f>QS.CONTEXT.CREATE("market.4247",A4249,"USD","SOFR")</f>
        <v/>
      </c>
      <c r="D4249" s="8">
        <f>QS.CONTEXT.ADD.CURVE(C4249,"SOFR",$K$2:$K$7,$L$2:$L$7,,,"Actual360","LogLinear",TRUE)</f>
        <v/>
      </c>
      <c r="E4249" s="8">
        <f>QS.INSTRUMENT.SWAP("swap.4247",C4249,H4249,B4249,"USD","SOFR",I4249,J4249,0,"Actual360","Simple","Annual","Annual","Annual")</f>
        <v/>
      </c>
      <c r="F4249" s="8">
        <f>QS.TRADE.CREATE("trade.4247",C4249,E4249,A4249,"Receive")</f>
        <v/>
      </c>
      <c r="G4249" s="5"/>
      <c r="H4249" s="7" t="s">
        <v>4290</v>
      </c>
      <c r="I4249" s="9">
        <v>1424700</v>
      </c>
      <c r="J4249" s="10">
        <v>0.03970000000000001</v>
      </c>
    </row>
    <row r="4250" spans="1:10">
      <c r="A4250" s="7" t="s">
        <v>4284</v>
      </c>
      <c r="B4250" s="7" t="s">
        <v>6117</v>
      </c>
      <c r="C4250" s="8">
        <f>QS.CONTEXT.CREATE("market.4248",A4250,"USD","SOFR")</f>
        <v/>
      </c>
      <c r="D4250" s="8">
        <f>QS.CONTEXT.ADD.CURVE(C4250,"SOFR",$K$2:$K$7,$L$2:$L$7,,,"Actual360","LogLinear",TRUE)</f>
        <v/>
      </c>
      <c r="E4250" s="8">
        <f>QS.INSTRUMENT.SWAP("swap.4248",C4250,H4250,B4250,"USD","SOFR",I4250,J4250,0,"Actual360","Simple","Annual","Annual","Annual")</f>
        <v/>
      </c>
      <c r="F4250" s="8">
        <f>QS.TRADE.CREATE("trade.4248",C4250,E4250,A4250,"Receive")</f>
        <v/>
      </c>
      <c r="G4250" s="5"/>
      <c r="H4250" s="7" t="s">
        <v>4291</v>
      </c>
      <c r="I4250" s="9">
        <v>1424800</v>
      </c>
      <c r="J4250" s="10">
        <v>0.0398</v>
      </c>
    </row>
    <row r="4251" spans="1:10">
      <c r="A4251" s="7" t="s">
        <v>4285</v>
      </c>
      <c r="B4251" s="7" t="s">
        <v>6118</v>
      </c>
      <c r="C4251" s="8">
        <f>QS.CONTEXT.CREATE("market.4249",A4251,"USD","SOFR")</f>
        <v/>
      </c>
      <c r="D4251" s="8">
        <f>QS.CONTEXT.ADD.CURVE(C4251,"SOFR",$K$2:$K$7,$L$2:$L$7,,,"Actual360","LogLinear",TRUE)</f>
        <v/>
      </c>
      <c r="E4251" s="8">
        <f>QS.INSTRUMENT.SWAP("swap.4249",C4251,H4251,B4251,"USD","SOFR",I4251,J4251,0,"Actual360","Simple","Annual","Annual","Annual")</f>
        <v/>
      </c>
      <c r="F4251" s="8">
        <f>QS.TRADE.CREATE("trade.4249",C4251,E4251,A4251,"Receive")</f>
        <v/>
      </c>
      <c r="G4251" s="5"/>
      <c r="H4251" s="7" t="s">
        <v>4292</v>
      </c>
      <c r="I4251" s="9">
        <v>1424900</v>
      </c>
      <c r="J4251" s="10">
        <v>0.0399</v>
      </c>
    </row>
    <row r="4252" spans="1:10">
      <c r="A4252" s="7" t="s">
        <v>4286</v>
      </c>
      <c r="B4252" s="7" t="s">
        <v>6119</v>
      </c>
      <c r="C4252" s="8">
        <f>QS.CONTEXT.CREATE("market.4250",A4252,"USD","SOFR")</f>
        <v/>
      </c>
      <c r="D4252" s="8">
        <f>QS.CONTEXT.ADD.CURVE(C4252,"SOFR",$K$2:$K$7,$L$2:$L$7,,,"Actual360","LogLinear",TRUE)</f>
        <v/>
      </c>
      <c r="E4252" s="8">
        <f>QS.INSTRUMENT.SWAP("swap.4250",C4252,H4252,B4252,"USD","SOFR",I4252,J4252,0,"Actual360","Simple","Annual","Annual","Annual")</f>
        <v/>
      </c>
      <c r="F4252" s="8">
        <f>QS.TRADE.CREATE("trade.4250",C4252,E4252,A4252,"Receive")</f>
        <v/>
      </c>
      <c r="G4252" s="5"/>
      <c r="H4252" s="7" t="s">
        <v>4293</v>
      </c>
      <c r="I4252" s="9">
        <v>1425000</v>
      </c>
      <c r="J4252" s="10">
        <v>0.035</v>
      </c>
    </row>
    <row r="4253" spans="1:10">
      <c r="A4253" s="7" t="s">
        <v>4287</v>
      </c>
      <c r="B4253" s="7" t="s">
        <v>6120</v>
      </c>
      <c r="C4253" s="8">
        <f>QS.CONTEXT.CREATE("market.4251",A4253,"USD","SOFR")</f>
        <v/>
      </c>
      <c r="D4253" s="8">
        <f>QS.CONTEXT.ADD.CURVE(C4253,"SOFR",$K$2:$K$7,$L$2:$L$7,,,"Actual360","LogLinear",TRUE)</f>
        <v/>
      </c>
      <c r="E4253" s="8">
        <f>QS.INSTRUMENT.SWAP("swap.4251",C4253,H4253,B4253,"USD","SOFR",I4253,J4253,0,"Actual360","Simple","Annual","Annual","Annual")</f>
        <v/>
      </c>
      <c r="F4253" s="8">
        <f>QS.TRADE.CREATE("trade.4251",C4253,E4253,A4253,"Receive")</f>
        <v/>
      </c>
      <c r="G4253" s="5"/>
      <c r="H4253" s="7" t="s">
        <v>4294</v>
      </c>
      <c r="I4253" s="9">
        <v>1425100</v>
      </c>
      <c r="J4253" s="10">
        <v>0.03510000000000001</v>
      </c>
    </row>
    <row r="4254" spans="1:10">
      <c r="A4254" s="7" t="s">
        <v>4288</v>
      </c>
      <c r="B4254" s="7" t="s">
        <v>6121</v>
      </c>
      <c r="C4254" s="8">
        <f>QS.CONTEXT.CREATE("market.4252",A4254,"USD","SOFR")</f>
        <v/>
      </c>
      <c r="D4254" s="8">
        <f>QS.CONTEXT.ADD.CURVE(C4254,"SOFR",$K$2:$K$7,$L$2:$L$7,,,"Actual360","LogLinear",TRUE)</f>
        <v/>
      </c>
      <c r="E4254" s="8">
        <f>QS.INSTRUMENT.SWAP("swap.4252",C4254,H4254,B4254,"USD","SOFR",I4254,J4254,0,"Actual360","Simple","Annual","Annual","Annual")</f>
        <v/>
      </c>
      <c r="F4254" s="8">
        <f>QS.TRADE.CREATE("trade.4252",C4254,E4254,A4254,"Receive")</f>
        <v/>
      </c>
      <c r="G4254" s="5"/>
      <c r="H4254" s="7" t="s">
        <v>4295</v>
      </c>
      <c r="I4254" s="9">
        <v>1425200</v>
      </c>
      <c r="J4254" s="10">
        <v>0.0352</v>
      </c>
    </row>
    <row r="4255" spans="1:10">
      <c r="A4255" s="7" t="s">
        <v>4289</v>
      </c>
      <c r="B4255" s="7" t="s">
        <v>6122</v>
      </c>
      <c r="C4255" s="8">
        <f>QS.CONTEXT.CREATE("market.4253",A4255,"USD","SOFR")</f>
        <v/>
      </c>
      <c r="D4255" s="8">
        <f>QS.CONTEXT.ADD.CURVE(C4255,"SOFR",$K$2:$K$7,$L$2:$L$7,,,"Actual360","LogLinear",TRUE)</f>
        <v/>
      </c>
      <c r="E4255" s="8">
        <f>QS.INSTRUMENT.SWAP("swap.4253",C4255,H4255,B4255,"USD","SOFR",I4255,J4255,0,"Actual360","Simple","Annual","Annual","Annual")</f>
        <v/>
      </c>
      <c r="F4255" s="8">
        <f>QS.TRADE.CREATE("trade.4253",C4255,E4255,A4255,"Receive")</f>
        <v/>
      </c>
      <c r="G4255" s="5"/>
      <c r="H4255" s="7" t="s">
        <v>4296</v>
      </c>
      <c r="I4255" s="9">
        <v>1425300</v>
      </c>
      <c r="J4255" s="10">
        <v>0.0353</v>
      </c>
    </row>
    <row r="4256" spans="1:10">
      <c r="A4256" s="7" t="s">
        <v>4290</v>
      </c>
      <c r="B4256" s="7" t="s">
        <v>6123</v>
      </c>
      <c r="C4256" s="8">
        <f>QS.CONTEXT.CREATE("market.4254",A4256,"USD","SOFR")</f>
        <v/>
      </c>
      <c r="D4256" s="8">
        <f>QS.CONTEXT.ADD.CURVE(C4256,"SOFR",$K$2:$K$7,$L$2:$L$7,,,"Actual360","LogLinear",TRUE)</f>
        <v/>
      </c>
      <c r="E4256" s="8">
        <f>QS.INSTRUMENT.SWAP("swap.4254",C4256,H4256,B4256,"USD","SOFR",I4256,J4256,0,"Actual360","Simple","Annual","Annual","Annual")</f>
        <v/>
      </c>
      <c r="F4256" s="8">
        <f>QS.TRADE.CREATE("trade.4254",C4256,E4256,A4256,"Receive")</f>
        <v/>
      </c>
      <c r="G4256" s="5"/>
      <c r="H4256" s="7" t="s">
        <v>4297</v>
      </c>
      <c r="I4256" s="9">
        <v>1425400</v>
      </c>
      <c r="J4256" s="10">
        <v>0.0354</v>
      </c>
    </row>
    <row r="4257" spans="1:10">
      <c r="A4257" s="7" t="s">
        <v>4291</v>
      </c>
      <c r="B4257" s="7" t="s">
        <v>6124</v>
      </c>
      <c r="C4257" s="8">
        <f>QS.CONTEXT.CREATE("market.4255",A4257,"USD","SOFR")</f>
        <v/>
      </c>
      <c r="D4257" s="8">
        <f>QS.CONTEXT.ADD.CURVE(C4257,"SOFR",$K$2:$K$7,$L$2:$L$7,,,"Actual360","LogLinear",TRUE)</f>
        <v/>
      </c>
      <c r="E4257" s="8">
        <f>QS.INSTRUMENT.SWAP("swap.4255",C4257,H4257,B4257,"USD","SOFR",I4257,J4257,0,"Actual360","Simple","Annual","Annual","Annual")</f>
        <v/>
      </c>
      <c r="F4257" s="8">
        <f>QS.TRADE.CREATE("trade.4255",C4257,E4257,A4257,"Receive")</f>
        <v/>
      </c>
      <c r="G4257" s="5"/>
      <c r="H4257" s="7" t="s">
        <v>4298</v>
      </c>
      <c r="I4257" s="9">
        <v>1425500</v>
      </c>
      <c r="J4257" s="10">
        <v>0.0355</v>
      </c>
    </row>
    <row r="4258" spans="1:10">
      <c r="A4258" s="7" t="s">
        <v>4292</v>
      </c>
      <c r="B4258" s="7" t="s">
        <v>6125</v>
      </c>
      <c r="C4258" s="8">
        <f>QS.CONTEXT.CREATE("market.4256",A4258,"USD","SOFR")</f>
        <v/>
      </c>
      <c r="D4258" s="8">
        <f>QS.CONTEXT.ADD.CURVE(C4258,"SOFR",$K$2:$K$7,$L$2:$L$7,,,"Actual360","LogLinear",TRUE)</f>
        <v/>
      </c>
      <c r="E4258" s="8">
        <f>QS.INSTRUMENT.SWAP("swap.4256",C4258,H4258,B4258,"USD","SOFR",I4258,J4258,0,"Actual360","Simple","Annual","Annual","Annual")</f>
        <v/>
      </c>
      <c r="F4258" s="8">
        <f>QS.TRADE.CREATE("trade.4256",C4258,E4258,A4258,"Receive")</f>
        <v/>
      </c>
      <c r="G4258" s="5"/>
      <c r="H4258" s="7" t="s">
        <v>4299</v>
      </c>
      <c r="I4258" s="9">
        <v>1425600</v>
      </c>
      <c r="J4258" s="10">
        <v>0.03560000000000001</v>
      </c>
    </row>
    <row r="4259" spans="1:10">
      <c r="A4259" s="7" t="s">
        <v>4293</v>
      </c>
      <c r="B4259" s="7" t="s">
        <v>6126</v>
      </c>
      <c r="C4259" s="8">
        <f>QS.CONTEXT.CREATE("market.4257",A4259,"USD","SOFR")</f>
        <v/>
      </c>
      <c r="D4259" s="8">
        <f>QS.CONTEXT.ADD.CURVE(C4259,"SOFR",$K$2:$K$7,$L$2:$L$7,,,"Actual360","LogLinear",TRUE)</f>
        <v/>
      </c>
      <c r="E4259" s="8">
        <f>QS.INSTRUMENT.SWAP("swap.4257",C4259,H4259,B4259,"USD","SOFR",I4259,J4259,0,"Actual360","Simple","Annual","Annual","Annual")</f>
        <v/>
      </c>
      <c r="F4259" s="8">
        <f>QS.TRADE.CREATE("trade.4257",C4259,E4259,A4259,"Receive")</f>
        <v/>
      </c>
      <c r="G4259" s="5"/>
      <c r="H4259" s="7" t="s">
        <v>4300</v>
      </c>
      <c r="I4259" s="9">
        <v>1425700</v>
      </c>
      <c r="J4259" s="10">
        <v>0.0357</v>
      </c>
    </row>
    <row r="4260" spans="1:10">
      <c r="A4260" s="7" t="s">
        <v>4294</v>
      </c>
      <c r="B4260" s="7" t="s">
        <v>6127</v>
      </c>
      <c r="C4260" s="8">
        <f>QS.CONTEXT.CREATE("market.4258",A4260,"USD","SOFR")</f>
        <v/>
      </c>
      <c r="D4260" s="8">
        <f>QS.CONTEXT.ADD.CURVE(C4260,"SOFR",$K$2:$K$7,$L$2:$L$7,,,"Actual360","LogLinear",TRUE)</f>
        <v/>
      </c>
      <c r="E4260" s="8">
        <f>QS.INSTRUMENT.SWAP("swap.4258",C4260,H4260,B4260,"USD","SOFR",I4260,J4260,0,"Actual360","Simple","Annual","Annual","Annual")</f>
        <v/>
      </c>
      <c r="F4260" s="8">
        <f>QS.TRADE.CREATE("trade.4258",C4260,E4260,A4260,"Receive")</f>
        <v/>
      </c>
      <c r="G4260" s="5"/>
      <c r="H4260" s="7" t="s">
        <v>4301</v>
      </c>
      <c r="I4260" s="9">
        <v>1425800</v>
      </c>
      <c r="J4260" s="10">
        <v>0.03580000000000001</v>
      </c>
    </row>
    <row r="4261" spans="1:10">
      <c r="A4261" s="7" t="s">
        <v>4295</v>
      </c>
      <c r="B4261" s="7" t="s">
        <v>6128</v>
      </c>
      <c r="C4261" s="8">
        <f>QS.CONTEXT.CREATE("market.4259",A4261,"USD","SOFR")</f>
        <v/>
      </c>
      <c r="D4261" s="8">
        <f>QS.CONTEXT.ADD.CURVE(C4261,"SOFR",$K$2:$K$7,$L$2:$L$7,,,"Actual360","LogLinear",TRUE)</f>
        <v/>
      </c>
      <c r="E4261" s="8">
        <f>QS.INSTRUMENT.SWAP("swap.4259",C4261,H4261,B4261,"USD","SOFR",I4261,J4261,0,"Actual360","Simple","Annual","Annual","Annual")</f>
        <v/>
      </c>
      <c r="F4261" s="8">
        <f>QS.TRADE.CREATE("trade.4259",C4261,E4261,A4261,"Receive")</f>
        <v/>
      </c>
      <c r="G4261" s="5"/>
      <c r="H4261" s="7" t="s">
        <v>4302</v>
      </c>
      <c r="I4261" s="9">
        <v>1425900</v>
      </c>
      <c r="J4261" s="10">
        <v>0.0359</v>
      </c>
    </row>
    <row r="4262" spans="1:10">
      <c r="A4262" s="7" t="s">
        <v>4296</v>
      </c>
      <c r="B4262" s="7" t="s">
        <v>6129</v>
      </c>
      <c r="C4262" s="8">
        <f>QS.CONTEXT.CREATE("market.4260",A4262,"USD","SOFR")</f>
        <v/>
      </c>
      <c r="D4262" s="8">
        <f>QS.CONTEXT.ADD.CURVE(C4262,"SOFR",$K$2:$K$7,$L$2:$L$7,,,"Actual360","LogLinear",TRUE)</f>
        <v/>
      </c>
      <c r="E4262" s="8">
        <f>QS.INSTRUMENT.SWAP("swap.4260",C4262,H4262,B4262,"USD","SOFR",I4262,J4262,0,"Actual360","Simple","Annual","Annual","Annual")</f>
        <v/>
      </c>
      <c r="F4262" s="8">
        <f>QS.TRADE.CREATE("trade.4260",C4262,E4262,A4262,"Receive")</f>
        <v/>
      </c>
      <c r="G4262" s="5"/>
      <c r="H4262" s="7" t="s">
        <v>4303</v>
      </c>
      <c r="I4262" s="9">
        <v>1426000</v>
      </c>
      <c r="J4262" s="10">
        <v>0.036</v>
      </c>
    </row>
    <row r="4263" spans="1:10">
      <c r="A4263" s="7" t="s">
        <v>4297</v>
      </c>
      <c r="B4263" s="7" t="s">
        <v>6130</v>
      </c>
      <c r="C4263" s="8">
        <f>QS.CONTEXT.CREATE("market.4261",A4263,"USD","SOFR")</f>
        <v/>
      </c>
      <c r="D4263" s="8">
        <f>QS.CONTEXT.ADD.CURVE(C4263,"SOFR",$K$2:$K$7,$L$2:$L$7,,,"Actual360","LogLinear",TRUE)</f>
        <v/>
      </c>
      <c r="E4263" s="8">
        <f>QS.INSTRUMENT.SWAP("swap.4261",C4263,H4263,B4263,"USD","SOFR",I4263,J4263,0,"Actual360","Simple","Annual","Annual","Annual")</f>
        <v/>
      </c>
      <c r="F4263" s="8">
        <f>QS.TRADE.CREATE("trade.4261",C4263,E4263,A4263,"Receive")</f>
        <v/>
      </c>
      <c r="G4263" s="5"/>
      <c r="H4263" s="7" t="s">
        <v>4304</v>
      </c>
      <c r="I4263" s="9">
        <v>1426100</v>
      </c>
      <c r="J4263" s="10">
        <v>0.0361</v>
      </c>
    </row>
    <row r="4264" spans="1:10">
      <c r="A4264" s="7" t="s">
        <v>4298</v>
      </c>
      <c r="B4264" s="7" t="s">
        <v>6131</v>
      </c>
      <c r="C4264" s="8">
        <f>QS.CONTEXT.CREATE("market.4262",A4264,"USD","SOFR")</f>
        <v/>
      </c>
      <c r="D4264" s="8">
        <f>QS.CONTEXT.ADD.CURVE(C4264,"SOFR",$K$2:$K$7,$L$2:$L$7,,,"Actual360","LogLinear",TRUE)</f>
        <v/>
      </c>
      <c r="E4264" s="8">
        <f>QS.INSTRUMENT.SWAP("swap.4262",C4264,H4264,B4264,"USD","SOFR",I4264,J4264,0,"Actual360","Simple","Annual","Annual","Annual")</f>
        <v/>
      </c>
      <c r="F4264" s="8">
        <f>QS.TRADE.CREATE("trade.4262",C4264,E4264,A4264,"Receive")</f>
        <v/>
      </c>
      <c r="G4264" s="5"/>
      <c r="H4264" s="7" t="s">
        <v>4305</v>
      </c>
      <c r="I4264" s="9">
        <v>1426200</v>
      </c>
      <c r="J4264" s="10">
        <v>0.0362</v>
      </c>
    </row>
    <row r="4265" spans="1:10">
      <c r="A4265" s="7" t="s">
        <v>4299</v>
      </c>
      <c r="B4265" s="7" t="s">
        <v>6132</v>
      </c>
      <c r="C4265" s="8">
        <f>QS.CONTEXT.CREATE("market.4263",A4265,"USD","SOFR")</f>
        <v/>
      </c>
      <c r="D4265" s="8">
        <f>QS.CONTEXT.ADD.CURVE(C4265,"SOFR",$K$2:$K$7,$L$2:$L$7,,,"Actual360","LogLinear",TRUE)</f>
        <v/>
      </c>
      <c r="E4265" s="8">
        <f>QS.INSTRUMENT.SWAP("swap.4263",C4265,H4265,B4265,"USD","SOFR",I4265,J4265,0,"Actual360","Simple","Annual","Annual","Annual")</f>
        <v/>
      </c>
      <c r="F4265" s="8">
        <f>QS.TRADE.CREATE("trade.4263",C4265,E4265,A4265,"Receive")</f>
        <v/>
      </c>
      <c r="G4265" s="5"/>
      <c r="H4265" s="7" t="s">
        <v>4306</v>
      </c>
      <c r="I4265" s="9">
        <v>1426300</v>
      </c>
      <c r="J4265" s="10">
        <v>0.03630000000000001</v>
      </c>
    </row>
    <row r="4266" spans="1:10">
      <c r="A4266" s="7" t="s">
        <v>4300</v>
      </c>
      <c r="B4266" s="7" t="s">
        <v>6133</v>
      </c>
      <c r="C4266" s="8">
        <f>QS.CONTEXT.CREATE("market.4264",A4266,"USD","SOFR")</f>
        <v/>
      </c>
      <c r="D4266" s="8">
        <f>QS.CONTEXT.ADD.CURVE(C4266,"SOFR",$K$2:$K$7,$L$2:$L$7,,,"Actual360","LogLinear",TRUE)</f>
        <v/>
      </c>
      <c r="E4266" s="8">
        <f>QS.INSTRUMENT.SWAP("swap.4264",C4266,H4266,B4266,"USD","SOFR",I4266,J4266,0,"Actual360","Simple","Annual","Annual","Annual")</f>
        <v/>
      </c>
      <c r="F4266" s="8">
        <f>QS.TRADE.CREATE("trade.4264",C4266,E4266,A4266,"Receive")</f>
        <v/>
      </c>
      <c r="G4266" s="5"/>
      <c r="H4266" s="7" t="s">
        <v>4307</v>
      </c>
      <c r="I4266" s="9">
        <v>1426400</v>
      </c>
      <c r="J4266" s="10">
        <v>0.0364</v>
      </c>
    </row>
    <row r="4267" spans="1:10">
      <c r="A4267" s="7" t="s">
        <v>4301</v>
      </c>
      <c r="B4267" s="7" t="s">
        <v>6134</v>
      </c>
      <c r="C4267" s="8">
        <f>QS.CONTEXT.CREATE("market.4265",A4267,"USD","SOFR")</f>
        <v/>
      </c>
      <c r="D4267" s="8">
        <f>QS.CONTEXT.ADD.CURVE(C4267,"SOFR",$K$2:$K$7,$L$2:$L$7,,,"Actual360","LogLinear",TRUE)</f>
        <v/>
      </c>
      <c r="E4267" s="8">
        <f>QS.INSTRUMENT.SWAP("swap.4265",C4267,H4267,B4267,"USD","SOFR",I4267,J4267,0,"Actual360","Simple","Annual","Annual","Annual")</f>
        <v/>
      </c>
      <c r="F4267" s="8">
        <f>QS.TRADE.CREATE("trade.4265",C4267,E4267,A4267,"Receive")</f>
        <v/>
      </c>
      <c r="G4267" s="5"/>
      <c r="H4267" s="7" t="s">
        <v>4308</v>
      </c>
      <c r="I4267" s="9">
        <v>1426500</v>
      </c>
      <c r="J4267" s="10">
        <v>0.0365</v>
      </c>
    </row>
    <row r="4268" spans="1:10">
      <c r="A4268" s="7" t="s">
        <v>4302</v>
      </c>
      <c r="B4268" s="7" t="s">
        <v>6135</v>
      </c>
      <c r="C4268" s="8">
        <f>QS.CONTEXT.CREATE("market.4266",A4268,"USD","SOFR")</f>
        <v/>
      </c>
      <c r="D4268" s="8">
        <f>QS.CONTEXT.ADD.CURVE(C4268,"SOFR",$K$2:$K$7,$L$2:$L$7,,,"Actual360","LogLinear",TRUE)</f>
        <v/>
      </c>
      <c r="E4268" s="8">
        <f>QS.INSTRUMENT.SWAP("swap.4266",C4268,H4268,B4268,"USD","SOFR",I4268,J4268,0,"Actual360","Simple","Annual","Annual","Annual")</f>
        <v/>
      </c>
      <c r="F4268" s="8">
        <f>QS.TRADE.CREATE("trade.4266",C4268,E4268,A4268,"Receive")</f>
        <v/>
      </c>
      <c r="G4268" s="5"/>
      <c r="H4268" s="7" t="s">
        <v>4309</v>
      </c>
      <c r="I4268" s="9">
        <v>1426600</v>
      </c>
      <c r="J4268" s="10">
        <v>0.0366</v>
      </c>
    </row>
    <row r="4269" spans="1:10">
      <c r="A4269" s="7" t="s">
        <v>4303</v>
      </c>
      <c r="B4269" s="7" t="s">
        <v>6136</v>
      </c>
      <c r="C4269" s="8">
        <f>QS.CONTEXT.CREATE("market.4267",A4269,"USD","SOFR")</f>
        <v/>
      </c>
      <c r="D4269" s="8">
        <f>QS.CONTEXT.ADD.CURVE(C4269,"SOFR",$K$2:$K$7,$L$2:$L$7,,,"Actual360","LogLinear",TRUE)</f>
        <v/>
      </c>
      <c r="E4269" s="8">
        <f>QS.INSTRUMENT.SWAP("swap.4267",C4269,H4269,B4269,"USD","SOFR",I4269,J4269,0,"Actual360","Simple","Annual","Annual","Annual")</f>
        <v/>
      </c>
      <c r="F4269" s="8">
        <f>QS.TRADE.CREATE("trade.4267",C4269,E4269,A4269,"Receive")</f>
        <v/>
      </c>
      <c r="G4269" s="5"/>
      <c r="H4269" s="7" t="s">
        <v>4310</v>
      </c>
      <c r="I4269" s="9">
        <v>1426700</v>
      </c>
      <c r="J4269" s="10">
        <v>0.0367</v>
      </c>
    </row>
    <row r="4270" spans="1:10">
      <c r="A4270" s="7" t="s">
        <v>4304</v>
      </c>
      <c r="B4270" s="7" t="s">
        <v>6137</v>
      </c>
      <c r="C4270" s="8">
        <f>QS.CONTEXT.CREATE("market.4268",A4270,"USD","SOFR")</f>
        <v/>
      </c>
      <c r="D4270" s="8">
        <f>QS.CONTEXT.ADD.CURVE(C4270,"SOFR",$K$2:$K$7,$L$2:$L$7,,,"Actual360","LogLinear",TRUE)</f>
        <v/>
      </c>
      <c r="E4270" s="8">
        <f>QS.INSTRUMENT.SWAP("swap.4268",C4270,H4270,B4270,"USD","SOFR",I4270,J4270,0,"Actual360","Simple","Annual","Annual","Annual")</f>
        <v/>
      </c>
      <c r="F4270" s="8">
        <f>QS.TRADE.CREATE("trade.4268",C4270,E4270,A4270,"Receive")</f>
        <v/>
      </c>
      <c r="G4270" s="5"/>
      <c r="H4270" s="7" t="s">
        <v>4311</v>
      </c>
      <c r="I4270" s="9">
        <v>1426800</v>
      </c>
      <c r="J4270" s="10">
        <v>0.03680000000000001</v>
      </c>
    </row>
    <row r="4271" spans="1:10">
      <c r="A4271" s="7" t="s">
        <v>4305</v>
      </c>
      <c r="B4271" s="7" t="s">
        <v>6138</v>
      </c>
      <c r="C4271" s="8">
        <f>QS.CONTEXT.CREATE("market.4269",A4271,"USD","SOFR")</f>
        <v/>
      </c>
      <c r="D4271" s="8">
        <f>QS.CONTEXT.ADD.CURVE(C4271,"SOFR",$K$2:$K$7,$L$2:$L$7,,,"Actual360","LogLinear",TRUE)</f>
        <v/>
      </c>
      <c r="E4271" s="8">
        <f>QS.INSTRUMENT.SWAP("swap.4269",C4271,H4271,B4271,"USD","SOFR",I4271,J4271,0,"Actual360","Simple","Annual","Annual","Annual")</f>
        <v/>
      </c>
      <c r="F4271" s="8">
        <f>QS.TRADE.CREATE("trade.4269",C4271,E4271,A4271,"Receive")</f>
        <v/>
      </c>
      <c r="G4271" s="5"/>
      <c r="H4271" s="7" t="s">
        <v>4312</v>
      </c>
      <c r="I4271" s="9">
        <v>1426900</v>
      </c>
      <c r="J4271" s="10">
        <v>0.0369</v>
      </c>
    </row>
    <row r="4272" spans="1:10">
      <c r="A4272" s="7" t="s">
        <v>4306</v>
      </c>
      <c r="B4272" s="7" t="s">
        <v>6139</v>
      </c>
      <c r="C4272" s="8">
        <f>QS.CONTEXT.CREATE("market.4270",A4272,"USD","SOFR")</f>
        <v/>
      </c>
      <c r="D4272" s="8">
        <f>QS.CONTEXT.ADD.CURVE(C4272,"SOFR",$K$2:$K$7,$L$2:$L$7,,,"Actual360","LogLinear",TRUE)</f>
        <v/>
      </c>
      <c r="E4272" s="8">
        <f>QS.INSTRUMENT.SWAP("swap.4270",C4272,H4272,B4272,"USD","SOFR",I4272,J4272,0,"Actual360","Simple","Annual","Annual","Annual")</f>
        <v/>
      </c>
      <c r="F4272" s="8">
        <f>QS.TRADE.CREATE("trade.4270",C4272,E4272,A4272,"Receive")</f>
        <v/>
      </c>
      <c r="G4272" s="5"/>
      <c r="H4272" s="7" t="s">
        <v>4313</v>
      </c>
      <c r="I4272" s="9">
        <v>1427000</v>
      </c>
      <c r="J4272" s="10">
        <v>0.03700000000000001</v>
      </c>
    </row>
    <row r="4273" spans="1:10">
      <c r="A4273" s="7" t="s">
        <v>4307</v>
      </c>
      <c r="B4273" s="7" t="s">
        <v>6140</v>
      </c>
      <c r="C4273" s="8">
        <f>QS.CONTEXT.CREATE("market.4271",A4273,"USD","SOFR")</f>
        <v/>
      </c>
      <c r="D4273" s="8">
        <f>QS.CONTEXT.ADD.CURVE(C4273,"SOFR",$K$2:$K$7,$L$2:$L$7,,,"Actual360","LogLinear",TRUE)</f>
        <v/>
      </c>
      <c r="E4273" s="8">
        <f>QS.INSTRUMENT.SWAP("swap.4271",C4273,H4273,B4273,"USD","SOFR",I4273,J4273,0,"Actual360","Simple","Annual","Annual","Annual")</f>
        <v/>
      </c>
      <c r="F4273" s="8">
        <f>QS.TRADE.CREATE("trade.4271",C4273,E4273,A4273,"Receive")</f>
        <v/>
      </c>
      <c r="G4273" s="5"/>
      <c r="H4273" s="7" t="s">
        <v>4314</v>
      </c>
      <c r="I4273" s="9">
        <v>1427100</v>
      </c>
      <c r="J4273" s="10">
        <v>0.0371</v>
      </c>
    </row>
    <row r="4274" spans="1:10">
      <c r="A4274" s="7" t="s">
        <v>4308</v>
      </c>
      <c r="B4274" s="7" t="s">
        <v>6141</v>
      </c>
      <c r="C4274" s="8">
        <f>QS.CONTEXT.CREATE("market.4272",A4274,"USD","SOFR")</f>
        <v/>
      </c>
      <c r="D4274" s="8">
        <f>QS.CONTEXT.ADD.CURVE(C4274,"SOFR",$K$2:$K$7,$L$2:$L$7,,,"Actual360","LogLinear",TRUE)</f>
        <v/>
      </c>
      <c r="E4274" s="8">
        <f>QS.INSTRUMENT.SWAP("swap.4272",C4274,H4274,B4274,"USD","SOFR",I4274,J4274,0,"Actual360","Simple","Annual","Annual","Annual")</f>
        <v/>
      </c>
      <c r="F4274" s="8">
        <f>QS.TRADE.CREATE("trade.4272",C4274,E4274,A4274,"Receive")</f>
        <v/>
      </c>
      <c r="G4274" s="5"/>
      <c r="H4274" s="7" t="s">
        <v>4315</v>
      </c>
      <c r="I4274" s="9">
        <v>1427200</v>
      </c>
      <c r="J4274" s="10">
        <v>0.0372</v>
      </c>
    </row>
    <row r="4275" spans="1:10">
      <c r="A4275" s="7" t="s">
        <v>4309</v>
      </c>
      <c r="B4275" s="7" t="s">
        <v>6142</v>
      </c>
      <c r="C4275" s="8">
        <f>QS.CONTEXT.CREATE("market.4273",A4275,"USD","SOFR")</f>
        <v/>
      </c>
      <c r="D4275" s="8">
        <f>QS.CONTEXT.ADD.CURVE(C4275,"SOFR",$K$2:$K$7,$L$2:$L$7,,,"Actual360","LogLinear",TRUE)</f>
        <v/>
      </c>
      <c r="E4275" s="8">
        <f>QS.INSTRUMENT.SWAP("swap.4273",C4275,H4275,B4275,"USD","SOFR",I4275,J4275,0,"Actual360","Simple","Annual","Annual","Annual")</f>
        <v/>
      </c>
      <c r="F4275" s="8">
        <f>QS.TRADE.CREATE("trade.4273",C4275,E4275,A4275,"Receive")</f>
        <v/>
      </c>
      <c r="G4275" s="5"/>
      <c r="H4275" s="7" t="s">
        <v>4316</v>
      </c>
      <c r="I4275" s="9">
        <v>1427300</v>
      </c>
      <c r="J4275" s="10">
        <v>0.0373</v>
      </c>
    </row>
    <row r="4276" spans="1:10">
      <c r="A4276" s="7" t="s">
        <v>4310</v>
      </c>
      <c r="B4276" s="7" t="s">
        <v>6143</v>
      </c>
      <c r="C4276" s="8">
        <f>QS.CONTEXT.CREATE("market.4274",A4276,"USD","SOFR")</f>
        <v/>
      </c>
      <c r="D4276" s="8">
        <f>QS.CONTEXT.ADD.CURVE(C4276,"SOFR",$K$2:$K$7,$L$2:$L$7,,,"Actual360","LogLinear",TRUE)</f>
        <v/>
      </c>
      <c r="E4276" s="8">
        <f>QS.INSTRUMENT.SWAP("swap.4274",C4276,H4276,B4276,"USD","SOFR",I4276,J4276,0,"Actual360","Simple","Annual","Annual","Annual")</f>
        <v/>
      </c>
      <c r="F4276" s="8">
        <f>QS.TRADE.CREATE("trade.4274",C4276,E4276,A4276,"Receive")</f>
        <v/>
      </c>
      <c r="G4276" s="5"/>
      <c r="H4276" s="7" t="s">
        <v>4317</v>
      </c>
      <c r="I4276" s="9">
        <v>1427400</v>
      </c>
      <c r="J4276" s="10">
        <v>0.0374</v>
      </c>
    </row>
    <row r="4277" spans="1:10">
      <c r="A4277" s="7" t="s">
        <v>4311</v>
      </c>
      <c r="B4277" s="7" t="s">
        <v>6144</v>
      </c>
      <c r="C4277" s="8">
        <f>QS.CONTEXT.CREATE("market.4275",A4277,"USD","SOFR")</f>
        <v/>
      </c>
      <c r="D4277" s="8">
        <f>QS.CONTEXT.ADD.CURVE(C4277,"SOFR",$K$2:$K$7,$L$2:$L$7,,,"Actual360","LogLinear",TRUE)</f>
        <v/>
      </c>
      <c r="E4277" s="8">
        <f>QS.INSTRUMENT.SWAP("swap.4275",C4277,H4277,B4277,"USD","SOFR",I4277,J4277,0,"Actual360","Simple","Annual","Annual","Annual")</f>
        <v/>
      </c>
      <c r="F4277" s="8">
        <f>QS.TRADE.CREATE("trade.4275",C4277,E4277,A4277,"Receive")</f>
        <v/>
      </c>
      <c r="G4277" s="5"/>
      <c r="H4277" s="7" t="s">
        <v>4318</v>
      </c>
      <c r="I4277" s="9">
        <v>1427500</v>
      </c>
      <c r="J4277" s="10">
        <v>0.03750000000000001</v>
      </c>
    </row>
    <row r="4278" spans="1:10">
      <c r="A4278" s="7" t="s">
        <v>4312</v>
      </c>
      <c r="B4278" s="7" t="s">
        <v>6145</v>
      </c>
      <c r="C4278" s="8">
        <f>QS.CONTEXT.CREATE("market.4276",A4278,"USD","SOFR")</f>
        <v/>
      </c>
      <c r="D4278" s="8">
        <f>QS.CONTEXT.ADD.CURVE(C4278,"SOFR",$K$2:$K$7,$L$2:$L$7,,,"Actual360","LogLinear",TRUE)</f>
        <v/>
      </c>
      <c r="E4278" s="8">
        <f>QS.INSTRUMENT.SWAP("swap.4276",C4278,H4278,B4278,"USD","SOFR",I4278,J4278,0,"Actual360","Simple","Annual","Annual","Annual")</f>
        <v/>
      </c>
      <c r="F4278" s="8">
        <f>QS.TRADE.CREATE("trade.4276",C4278,E4278,A4278,"Receive")</f>
        <v/>
      </c>
      <c r="G4278" s="5"/>
      <c r="H4278" s="7" t="s">
        <v>4319</v>
      </c>
      <c r="I4278" s="9">
        <v>1427600</v>
      </c>
      <c r="J4278" s="10">
        <v>0.0376</v>
      </c>
    </row>
    <row r="4279" spans="1:10">
      <c r="A4279" s="7" t="s">
        <v>4313</v>
      </c>
      <c r="B4279" s="7" t="s">
        <v>6146</v>
      </c>
      <c r="C4279" s="8">
        <f>QS.CONTEXT.CREATE("market.4277",A4279,"USD","SOFR")</f>
        <v/>
      </c>
      <c r="D4279" s="8">
        <f>QS.CONTEXT.ADD.CURVE(C4279,"SOFR",$K$2:$K$7,$L$2:$L$7,,,"Actual360","LogLinear",TRUE)</f>
        <v/>
      </c>
      <c r="E4279" s="8">
        <f>QS.INSTRUMENT.SWAP("swap.4277",C4279,H4279,B4279,"USD","SOFR",I4279,J4279,0,"Actual360","Simple","Annual","Annual","Annual")</f>
        <v/>
      </c>
      <c r="F4279" s="8">
        <f>QS.TRADE.CREATE("trade.4277",C4279,E4279,A4279,"Receive")</f>
        <v/>
      </c>
      <c r="G4279" s="5"/>
      <c r="H4279" s="7" t="s">
        <v>4320</v>
      </c>
      <c r="I4279" s="9">
        <v>1427700</v>
      </c>
      <c r="J4279" s="10">
        <v>0.0377</v>
      </c>
    </row>
    <row r="4280" spans="1:10">
      <c r="A4280" s="7" t="s">
        <v>4314</v>
      </c>
      <c r="B4280" s="7" t="s">
        <v>6147</v>
      </c>
      <c r="C4280" s="8">
        <f>QS.CONTEXT.CREATE("market.4278",A4280,"USD","SOFR")</f>
        <v/>
      </c>
      <c r="D4280" s="8">
        <f>QS.CONTEXT.ADD.CURVE(C4280,"SOFR",$K$2:$K$7,$L$2:$L$7,,,"Actual360","LogLinear",TRUE)</f>
        <v/>
      </c>
      <c r="E4280" s="8">
        <f>QS.INSTRUMENT.SWAP("swap.4278",C4280,H4280,B4280,"USD","SOFR",I4280,J4280,0,"Actual360","Simple","Annual","Annual","Annual")</f>
        <v/>
      </c>
      <c r="F4280" s="8">
        <f>QS.TRADE.CREATE("trade.4278",C4280,E4280,A4280,"Receive")</f>
        <v/>
      </c>
      <c r="G4280" s="5"/>
      <c r="H4280" s="7" t="s">
        <v>4321</v>
      </c>
      <c r="I4280" s="9">
        <v>1427800</v>
      </c>
      <c r="J4280" s="10">
        <v>0.0378</v>
      </c>
    </row>
    <row r="4281" spans="1:10">
      <c r="A4281" s="7" t="s">
        <v>4315</v>
      </c>
      <c r="B4281" s="7" t="s">
        <v>6148</v>
      </c>
      <c r="C4281" s="8">
        <f>QS.CONTEXT.CREATE("market.4279",A4281,"USD","SOFR")</f>
        <v/>
      </c>
      <c r="D4281" s="8">
        <f>QS.CONTEXT.ADD.CURVE(C4281,"SOFR",$K$2:$K$7,$L$2:$L$7,,,"Actual360","LogLinear",TRUE)</f>
        <v/>
      </c>
      <c r="E4281" s="8">
        <f>QS.INSTRUMENT.SWAP("swap.4279",C4281,H4281,B4281,"USD","SOFR",I4281,J4281,0,"Actual360","Simple","Annual","Annual","Annual")</f>
        <v/>
      </c>
      <c r="F4281" s="8">
        <f>QS.TRADE.CREATE("trade.4279",C4281,E4281,A4281,"Receive")</f>
        <v/>
      </c>
      <c r="G4281" s="5"/>
      <c r="H4281" s="7" t="s">
        <v>4322</v>
      </c>
      <c r="I4281" s="9">
        <v>1427900</v>
      </c>
      <c r="J4281" s="10">
        <v>0.0379</v>
      </c>
    </row>
    <row r="4282" spans="1:10">
      <c r="A4282" s="7" t="s">
        <v>4316</v>
      </c>
      <c r="B4282" s="7" t="s">
        <v>6149</v>
      </c>
      <c r="C4282" s="8">
        <f>QS.CONTEXT.CREATE("market.4280",A4282,"USD","SOFR")</f>
        <v/>
      </c>
      <c r="D4282" s="8">
        <f>QS.CONTEXT.ADD.CURVE(C4282,"SOFR",$K$2:$K$7,$L$2:$L$7,,,"Actual360","LogLinear",TRUE)</f>
        <v/>
      </c>
      <c r="E4282" s="8">
        <f>QS.INSTRUMENT.SWAP("swap.4280",C4282,H4282,B4282,"USD","SOFR",I4282,J4282,0,"Actual360","Simple","Annual","Annual","Annual")</f>
        <v/>
      </c>
      <c r="F4282" s="8">
        <f>QS.TRADE.CREATE("trade.4280",C4282,E4282,A4282,"Receive")</f>
        <v/>
      </c>
      <c r="G4282" s="5"/>
      <c r="H4282" s="7" t="s">
        <v>4323</v>
      </c>
      <c r="I4282" s="9">
        <v>1428000</v>
      </c>
      <c r="J4282" s="10">
        <v>0.03800000000000001</v>
      </c>
    </row>
    <row r="4283" spans="1:10">
      <c r="A4283" s="7" t="s">
        <v>4317</v>
      </c>
      <c r="B4283" s="7" t="s">
        <v>6150</v>
      </c>
      <c r="C4283" s="8">
        <f>QS.CONTEXT.CREATE("market.4281",A4283,"USD","SOFR")</f>
        <v/>
      </c>
      <c r="D4283" s="8">
        <f>QS.CONTEXT.ADD.CURVE(C4283,"SOFR",$K$2:$K$7,$L$2:$L$7,,,"Actual360","LogLinear",TRUE)</f>
        <v/>
      </c>
      <c r="E4283" s="8">
        <f>QS.INSTRUMENT.SWAP("swap.4281",C4283,H4283,B4283,"USD","SOFR",I4283,J4283,0,"Actual360","Simple","Annual","Annual","Annual")</f>
        <v/>
      </c>
      <c r="F4283" s="8">
        <f>QS.TRADE.CREATE("trade.4281",C4283,E4283,A4283,"Receive")</f>
        <v/>
      </c>
      <c r="G4283" s="5"/>
      <c r="H4283" s="7" t="s">
        <v>4324</v>
      </c>
      <c r="I4283" s="9">
        <v>1428100</v>
      </c>
      <c r="J4283" s="10">
        <v>0.0381</v>
      </c>
    </row>
    <row r="4284" spans="1:10">
      <c r="A4284" s="7" t="s">
        <v>4318</v>
      </c>
      <c r="B4284" s="7" t="s">
        <v>6151</v>
      </c>
      <c r="C4284" s="8">
        <f>QS.CONTEXT.CREATE("market.4282",A4284,"USD","SOFR")</f>
        <v/>
      </c>
      <c r="D4284" s="8">
        <f>QS.CONTEXT.ADD.CURVE(C4284,"SOFR",$K$2:$K$7,$L$2:$L$7,,,"Actual360","LogLinear",TRUE)</f>
        <v/>
      </c>
      <c r="E4284" s="8">
        <f>QS.INSTRUMENT.SWAP("swap.4282",C4284,H4284,B4284,"USD","SOFR",I4284,J4284,0,"Actual360","Simple","Annual","Annual","Annual")</f>
        <v/>
      </c>
      <c r="F4284" s="8">
        <f>QS.TRADE.CREATE("trade.4282",C4284,E4284,A4284,"Receive")</f>
        <v/>
      </c>
      <c r="G4284" s="5"/>
      <c r="H4284" s="7" t="s">
        <v>4325</v>
      </c>
      <c r="I4284" s="9">
        <v>1428200</v>
      </c>
      <c r="J4284" s="10">
        <v>0.0382</v>
      </c>
    </row>
    <row r="4285" spans="1:10">
      <c r="A4285" s="7" t="s">
        <v>4319</v>
      </c>
      <c r="B4285" s="7" t="s">
        <v>6152</v>
      </c>
      <c r="C4285" s="8">
        <f>QS.CONTEXT.CREATE("market.4283",A4285,"USD","SOFR")</f>
        <v/>
      </c>
      <c r="D4285" s="8">
        <f>QS.CONTEXT.ADD.CURVE(C4285,"SOFR",$K$2:$K$7,$L$2:$L$7,,,"Actual360","LogLinear",TRUE)</f>
        <v/>
      </c>
      <c r="E4285" s="8">
        <f>QS.INSTRUMENT.SWAP("swap.4283",C4285,H4285,B4285,"USD","SOFR",I4285,J4285,0,"Actual360","Simple","Annual","Annual","Annual")</f>
        <v/>
      </c>
      <c r="F4285" s="8">
        <f>QS.TRADE.CREATE("trade.4283",C4285,E4285,A4285,"Receive")</f>
        <v/>
      </c>
      <c r="G4285" s="5"/>
      <c r="H4285" s="7" t="s">
        <v>4326</v>
      </c>
      <c r="I4285" s="9">
        <v>1428300</v>
      </c>
      <c r="J4285" s="10">
        <v>0.0383</v>
      </c>
    </row>
    <row r="4286" spans="1:10">
      <c r="A4286" s="7" t="s">
        <v>4320</v>
      </c>
      <c r="B4286" s="7" t="s">
        <v>6153</v>
      </c>
      <c r="C4286" s="8">
        <f>QS.CONTEXT.CREATE("market.4284",A4286,"USD","SOFR")</f>
        <v/>
      </c>
      <c r="D4286" s="8">
        <f>QS.CONTEXT.ADD.CURVE(C4286,"SOFR",$K$2:$K$7,$L$2:$L$7,,,"Actual360","LogLinear",TRUE)</f>
        <v/>
      </c>
      <c r="E4286" s="8">
        <f>QS.INSTRUMENT.SWAP("swap.4284",C4286,H4286,B4286,"USD","SOFR",I4286,J4286,0,"Actual360","Simple","Annual","Annual","Annual")</f>
        <v/>
      </c>
      <c r="F4286" s="8">
        <f>QS.TRADE.CREATE("trade.4284",C4286,E4286,A4286,"Receive")</f>
        <v/>
      </c>
      <c r="G4286" s="5"/>
      <c r="H4286" s="7" t="s">
        <v>4327</v>
      </c>
      <c r="I4286" s="9">
        <v>1428400</v>
      </c>
      <c r="J4286" s="10">
        <v>0.0384</v>
      </c>
    </row>
    <row r="4287" spans="1:10">
      <c r="A4287" s="7" t="s">
        <v>4321</v>
      </c>
      <c r="B4287" s="7" t="s">
        <v>6154</v>
      </c>
      <c r="C4287" s="8">
        <f>QS.CONTEXT.CREATE("market.4285",A4287,"USD","SOFR")</f>
        <v/>
      </c>
      <c r="D4287" s="8">
        <f>QS.CONTEXT.ADD.CURVE(C4287,"SOFR",$K$2:$K$7,$L$2:$L$7,,,"Actual360","LogLinear",TRUE)</f>
        <v/>
      </c>
      <c r="E4287" s="8">
        <f>QS.INSTRUMENT.SWAP("swap.4285",C4287,H4287,B4287,"USD","SOFR",I4287,J4287,0,"Actual360","Simple","Annual","Annual","Annual")</f>
        <v/>
      </c>
      <c r="F4287" s="8">
        <f>QS.TRADE.CREATE("trade.4285",C4287,E4287,A4287,"Receive")</f>
        <v/>
      </c>
      <c r="G4287" s="5"/>
      <c r="H4287" s="7" t="s">
        <v>4328</v>
      </c>
      <c r="I4287" s="9">
        <v>1428500</v>
      </c>
      <c r="J4287" s="10">
        <v>0.03850000000000001</v>
      </c>
    </row>
    <row r="4288" spans="1:10">
      <c r="A4288" s="7" t="s">
        <v>4322</v>
      </c>
      <c r="B4288" s="7" t="s">
        <v>6155</v>
      </c>
      <c r="C4288" s="8">
        <f>QS.CONTEXT.CREATE("market.4286",A4288,"USD","SOFR")</f>
        <v/>
      </c>
      <c r="D4288" s="8">
        <f>QS.CONTEXT.ADD.CURVE(C4288,"SOFR",$K$2:$K$7,$L$2:$L$7,,,"Actual360","LogLinear",TRUE)</f>
        <v/>
      </c>
      <c r="E4288" s="8">
        <f>QS.INSTRUMENT.SWAP("swap.4286",C4288,H4288,B4288,"USD","SOFR",I4288,J4288,0,"Actual360","Simple","Annual","Annual","Annual")</f>
        <v/>
      </c>
      <c r="F4288" s="8">
        <f>QS.TRADE.CREATE("trade.4286",C4288,E4288,A4288,"Receive")</f>
        <v/>
      </c>
      <c r="G4288" s="5"/>
      <c r="H4288" s="7" t="s">
        <v>4329</v>
      </c>
      <c r="I4288" s="9">
        <v>1428600</v>
      </c>
      <c r="J4288" s="10">
        <v>0.0386</v>
      </c>
    </row>
    <row r="4289" spans="1:10">
      <c r="A4289" s="7" t="s">
        <v>4323</v>
      </c>
      <c r="B4289" s="7" t="s">
        <v>6156</v>
      </c>
      <c r="C4289" s="8">
        <f>QS.CONTEXT.CREATE("market.4287",A4289,"USD","SOFR")</f>
        <v/>
      </c>
      <c r="D4289" s="8">
        <f>QS.CONTEXT.ADD.CURVE(C4289,"SOFR",$K$2:$K$7,$L$2:$L$7,,,"Actual360","LogLinear",TRUE)</f>
        <v/>
      </c>
      <c r="E4289" s="8">
        <f>QS.INSTRUMENT.SWAP("swap.4287",C4289,H4289,B4289,"USD","SOFR",I4289,J4289,0,"Actual360","Simple","Annual","Annual","Annual")</f>
        <v/>
      </c>
      <c r="F4289" s="8">
        <f>QS.TRADE.CREATE("trade.4287",C4289,E4289,A4289,"Receive")</f>
        <v/>
      </c>
      <c r="G4289" s="5"/>
      <c r="H4289" s="7" t="s">
        <v>4330</v>
      </c>
      <c r="I4289" s="9">
        <v>1428700</v>
      </c>
      <c r="J4289" s="10">
        <v>0.03870000000000001</v>
      </c>
    </row>
    <row r="4290" spans="1:10">
      <c r="A4290" s="7" t="s">
        <v>4324</v>
      </c>
      <c r="B4290" s="7" t="s">
        <v>6157</v>
      </c>
      <c r="C4290" s="8">
        <f>QS.CONTEXT.CREATE("market.4288",A4290,"USD","SOFR")</f>
        <v/>
      </c>
      <c r="D4290" s="8">
        <f>QS.CONTEXT.ADD.CURVE(C4290,"SOFR",$K$2:$K$7,$L$2:$L$7,,,"Actual360","LogLinear",TRUE)</f>
        <v/>
      </c>
      <c r="E4290" s="8">
        <f>QS.INSTRUMENT.SWAP("swap.4288",C4290,H4290,B4290,"USD","SOFR",I4290,J4290,0,"Actual360","Simple","Annual","Annual","Annual")</f>
        <v/>
      </c>
      <c r="F4290" s="8">
        <f>QS.TRADE.CREATE("trade.4288",C4290,E4290,A4290,"Receive")</f>
        <v/>
      </c>
      <c r="G4290" s="5"/>
      <c r="H4290" s="7" t="s">
        <v>4331</v>
      </c>
      <c r="I4290" s="9">
        <v>1428800</v>
      </c>
      <c r="J4290" s="10">
        <v>0.0388</v>
      </c>
    </row>
    <row r="4291" spans="1:10">
      <c r="A4291" s="7" t="s">
        <v>4325</v>
      </c>
      <c r="B4291" s="7" t="s">
        <v>6158</v>
      </c>
      <c r="C4291" s="8">
        <f>QS.CONTEXT.CREATE("market.4289",A4291,"USD","SOFR")</f>
        <v/>
      </c>
      <c r="D4291" s="8">
        <f>QS.CONTEXT.ADD.CURVE(C4291,"SOFR",$K$2:$K$7,$L$2:$L$7,,,"Actual360","LogLinear",TRUE)</f>
        <v/>
      </c>
      <c r="E4291" s="8">
        <f>QS.INSTRUMENT.SWAP("swap.4289",C4291,H4291,B4291,"USD","SOFR",I4291,J4291,0,"Actual360","Simple","Annual","Annual","Annual")</f>
        <v/>
      </c>
      <c r="F4291" s="8">
        <f>QS.TRADE.CREATE("trade.4289",C4291,E4291,A4291,"Receive")</f>
        <v/>
      </c>
      <c r="G4291" s="5"/>
      <c r="H4291" s="7" t="s">
        <v>4332</v>
      </c>
      <c r="I4291" s="9">
        <v>1428900</v>
      </c>
      <c r="J4291" s="10">
        <v>0.0389</v>
      </c>
    </row>
    <row r="4292" spans="1:10">
      <c r="A4292" s="7" t="s">
        <v>4326</v>
      </c>
      <c r="B4292" s="7" t="s">
        <v>6159</v>
      </c>
      <c r="C4292" s="8">
        <f>QS.CONTEXT.CREATE("market.4290",A4292,"USD","SOFR")</f>
        <v/>
      </c>
      <c r="D4292" s="8">
        <f>QS.CONTEXT.ADD.CURVE(C4292,"SOFR",$K$2:$K$7,$L$2:$L$7,,,"Actual360","LogLinear",TRUE)</f>
        <v/>
      </c>
      <c r="E4292" s="8">
        <f>QS.INSTRUMENT.SWAP("swap.4290",C4292,H4292,B4292,"USD","SOFR",I4292,J4292,0,"Actual360","Simple","Annual","Annual","Annual")</f>
        <v/>
      </c>
      <c r="F4292" s="8">
        <f>QS.TRADE.CREATE("trade.4290",C4292,E4292,A4292,"Receive")</f>
        <v/>
      </c>
      <c r="G4292" s="5"/>
      <c r="H4292" s="7" t="s">
        <v>4333</v>
      </c>
      <c r="I4292" s="9">
        <v>1429000</v>
      </c>
      <c r="J4292" s="10">
        <v>0.03900000000000001</v>
      </c>
    </row>
    <row r="4293" spans="1:10">
      <c r="A4293" s="7" t="s">
        <v>4327</v>
      </c>
      <c r="B4293" s="7" t="s">
        <v>6160</v>
      </c>
      <c r="C4293" s="8">
        <f>QS.CONTEXT.CREATE("market.4291",A4293,"USD","SOFR")</f>
        <v/>
      </c>
      <c r="D4293" s="8">
        <f>QS.CONTEXT.ADD.CURVE(C4293,"SOFR",$K$2:$K$7,$L$2:$L$7,,,"Actual360","LogLinear",TRUE)</f>
        <v/>
      </c>
      <c r="E4293" s="8">
        <f>QS.INSTRUMENT.SWAP("swap.4291",C4293,H4293,B4293,"USD","SOFR",I4293,J4293,0,"Actual360","Simple","Annual","Annual","Annual")</f>
        <v/>
      </c>
      <c r="F4293" s="8">
        <f>QS.TRADE.CREATE("trade.4291",C4293,E4293,A4293,"Receive")</f>
        <v/>
      </c>
      <c r="G4293" s="5"/>
      <c r="H4293" s="7" t="s">
        <v>4334</v>
      </c>
      <c r="I4293" s="9">
        <v>1429100</v>
      </c>
      <c r="J4293" s="10">
        <v>0.0391</v>
      </c>
    </row>
    <row r="4294" spans="1:10">
      <c r="A4294" s="7" t="s">
        <v>4328</v>
      </c>
      <c r="B4294" s="7" t="s">
        <v>6161</v>
      </c>
      <c r="C4294" s="8">
        <f>QS.CONTEXT.CREATE("market.4292",A4294,"USD","SOFR")</f>
        <v/>
      </c>
      <c r="D4294" s="8">
        <f>QS.CONTEXT.ADD.CURVE(C4294,"SOFR",$K$2:$K$7,$L$2:$L$7,,,"Actual360","LogLinear",TRUE)</f>
        <v/>
      </c>
      <c r="E4294" s="8">
        <f>QS.INSTRUMENT.SWAP("swap.4292",C4294,H4294,B4294,"USD","SOFR",I4294,J4294,0,"Actual360","Simple","Annual","Annual","Annual")</f>
        <v/>
      </c>
      <c r="F4294" s="8">
        <f>QS.TRADE.CREATE("trade.4292",C4294,E4294,A4294,"Receive")</f>
        <v/>
      </c>
      <c r="G4294" s="5"/>
      <c r="H4294" s="7" t="s">
        <v>4335</v>
      </c>
      <c r="I4294" s="9">
        <v>1429200</v>
      </c>
      <c r="J4294" s="10">
        <v>0.03920000000000001</v>
      </c>
    </row>
    <row r="4295" spans="1:10">
      <c r="A4295" s="7" t="s">
        <v>4329</v>
      </c>
      <c r="B4295" s="7" t="s">
        <v>6162</v>
      </c>
      <c r="C4295" s="8">
        <f>QS.CONTEXT.CREATE("market.4293",A4295,"USD","SOFR")</f>
        <v/>
      </c>
      <c r="D4295" s="8">
        <f>QS.CONTEXT.ADD.CURVE(C4295,"SOFR",$K$2:$K$7,$L$2:$L$7,,,"Actual360","LogLinear",TRUE)</f>
        <v/>
      </c>
      <c r="E4295" s="8">
        <f>QS.INSTRUMENT.SWAP("swap.4293",C4295,H4295,B4295,"USD","SOFR",I4295,J4295,0,"Actual360","Simple","Annual","Annual","Annual")</f>
        <v/>
      </c>
      <c r="F4295" s="8">
        <f>QS.TRADE.CREATE("trade.4293",C4295,E4295,A4295,"Receive")</f>
        <v/>
      </c>
      <c r="G4295" s="5"/>
      <c r="H4295" s="7" t="s">
        <v>4336</v>
      </c>
      <c r="I4295" s="9">
        <v>1429300</v>
      </c>
      <c r="J4295" s="10">
        <v>0.0393</v>
      </c>
    </row>
    <row r="4296" spans="1:10">
      <c r="A4296" s="7" t="s">
        <v>4330</v>
      </c>
      <c r="B4296" s="7" t="s">
        <v>6163</v>
      </c>
      <c r="C4296" s="8">
        <f>QS.CONTEXT.CREATE("market.4294",A4296,"USD","SOFR")</f>
        <v/>
      </c>
      <c r="D4296" s="8">
        <f>QS.CONTEXT.ADD.CURVE(C4296,"SOFR",$K$2:$K$7,$L$2:$L$7,,,"Actual360","LogLinear",TRUE)</f>
        <v/>
      </c>
      <c r="E4296" s="8">
        <f>QS.INSTRUMENT.SWAP("swap.4294",C4296,H4296,B4296,"USD","SOFR",I4296,J4296,0,"Actual360","Simple","Annual","Annual","Annual")</f>
        <v/>
      </c>
      <c r="F4296" s="8">
        <f>QS.TRADE.CREATE("trade.4294",C4296,E4296,A4296,"Receive")</f>
        <v/>
      </c>
      <c r="G4296" s="5"/>
      <c r="H4296" s="7" t="s">
        <v>4337</v>
      </c>
      <c r="I4296" s="9">
        <v>1429400</v>
      </c>
      <c r="J4296" s="10">
        <v>0.0394</v>
      </c>
    </row>
    <row r="4297" spans="1:10">
      <c r="A4297" s="7" t="s">
        <v>4331</v>
      </c>
      <c r="B4297" s="7" t="s">
        <v>6164</v>
      </c>
      <c r="C4297" s="8">
        <f>QS.CONTEXT.CREATE("market.4295",A4297,"USD","SOFR")</f>
        <v/>
      </c>
      <c r="D4297" s="8">
        <f>QS.CONTEXT.ADD.CURVE(C4297,"SOFR",$K$2:$K$7,$L$2:$L$7,,,"Actual360","LogLinear",TRUE)</f>
        <v/>
      </c>
      <c r="E4297" s="8">
        <f>QS.INSTRUMENT.SWAP("swap.4295",C4297,H4297,B4297,"USD","SOFR",I4297,J4297,0,"Actual360","Simple","Annual","Annual","Annual")</f>
        <v/>
      </c>
      <c r="F4297" s="8">
        <f>QS.TRADE.CREATE("trade.4295",C4297,E4297,A4297,"Receive")</f>
        <v/>
      </c>
      <c r="G4297" s="5"/>
      <c r="H4297" s="7" t="s">
        <v>4338</v>
      </c>
      <c r="I4297" s="9">
        <v>1429500</v>
      </c>
      <c r="J4297" s="10">
        <v>0.03950000000000001</v>
      </c>
    </row>
    <row r="4298" spans="1:10">
      <c r="A4298" s="7" t="s">
        <v>4332</v>
      </c>
      <c r="B4298" s="7" t="s">
        <v>6165</v>
      </c>
      <c r="C4298" s="8">
        <f>QS.CONTEXT.CREATE("market.4296",A4298,"USD","SOFR")</f>
        <v/>
      </c>
      <c r="D4298" s="8">
        <f>QS.CONTEXT.ADD.CURVE(C4298,"SOFR",$K$2:$K$7,$L$2:$L$7,,,"Actual360","LogLinear",TRUE)</f>
        <v/>
      </c>
      <c r="E4298" s="8">
        <f>QS.INSTRUMENT.SWAP("swap.4296",C4298,H4298,B4298,"USD","SOFR",I4298,J4298,0,"Actual360","Simple","Annual","Annual","Annual")</f>
        <v/>
      </c>
      <c r="F4298" s="8">
        <f>QS.TRADE.CREATE("trade.4296",C4298,E4298,A4298,"Receive")</f>
        <v/>
      </c>
      <c r="G4298" s="5"/>
      <c r="H4298" s="7" t="s">
        <v>4339</v>
      </c>
      <c r="I4298" s="9">
        <v>1429600</v>
      </c>
      <c r="J4298" s="10">
        <v>0.0396</v>
      </c>
    </row>
    <row r="4299" spans="1:10">
      <c r="A4299" s="7" t="s">
        <v>4333</v>
      </c>
      <c r="B4299" s="7" t="s">
        <v>6166</v>
      </c>
      <c r="C4299" s="8">
        <f>QS.CONTEXT.CREATE("market.4297",A4299,"USD","SOFR")</f>
        <v/>
      </c>
      <c r="D4299" s="8">
        <f>QS.CONTEXT.ADD.CURVE(C4299,"SOFR",$K$2:$K$7,$L$2:$L$7,,,"Actual360","LogLinear",TRUE)</f>
        <v/>
      </c>
      <c r="E4299" s="8">
        <f>QS.INSTRUMENT.SWAP("swap.4297",C4299,H4299,B4299,"USD","SOFR",I4299,J4299,0,"Actual360","Simple","Annual","Annual","Annual")</f>
        <v/>
      </c>
      <c r="F4299" s="8">
        <f>QS.TRADE.CREATE("trade.4297",C4299,E4299,A4299,"Receive")</f>
        <v/>
      </c>
      <c r="G4299" s="5"/>
      <c r="H4299" s="7" t="s">
        <v>4340</v>
      </c>
      <c r="I4299" s="9">
        <v>1429700</v>
      </c>
      <c r="J4299" s="10">
        <v>0.03970000000000001</v>
      </c>
    </row>
    <row r="4300" spans="1:10">
      <c r="A4300" s="7" t="s">
        <v>4334</v>
      </c>
      <c r="B4300" s="7" t="s">
        <v>6167</v>
      </c>
      <c r="C4300" s="8">
        <f>QS.CONTEXT.CREATE("market.4298",A4300,"USD","SOFR")</f>
        <v/>
      </c>
      <c r="D4300" s="8">
        <f>QS.CONTEXT.ADD.CURVE(C4300,"SOFR",$K$2:$K$7,$L$2:$L$7,,,"Actual360","LogLinear",TRUE)</f>
        <v/>
      </c>
      <c r="E4300" s="8">
        <f>QS.INSTRUMENT.SWAP("swap.4298",C4300,H4300,B4300,"USD","SOFR",I4300,J4300,0,"Actual360","Simple","Annual","Annual","Annual")</f>
        <v/>
      </c>
      <c r="F4300" s="8">
        <f>QS.TRADE.CREATE("trade.4298",C4300,E4300,A4300,"Receive")</f>
        <v/>
      </c>
      <c r="G4300" s="5"/>
      <c r="H4300" s="7" t="s">
        <v>4341</v>
      </c>
      <c r="I4300" s="9">
        <v>1429800</v>
      </c>
      <c r="J4300" s="10">
        <v>0.0398</v>
      </c>
    </row>
    <row r="4301" spans="1:10">
      <c r="A4301" s="7" t="s">
        <v>4335</v>
      </c>
      <c r="B4301" s="7" t="s">
        <v>6168</v>
      </c>
      <c r="C4301" s="8">
        <f>QS.CONTEXT.CREATE("market.4299",A4301,"USD","SOFR")</f>
        <v/>
      </c>
      <c r="D4301" s="8">
        <f>QS.CONTEXT.ADD.CURVE(C4301,"SOFR",$K$2:$K$7,$L$2:$L$7,,,"Actual360","LogLinear",TRUE)</f>
        <v/>
      </c>
      <c r="E4301" s="8">
        <f>QS.INSTRUMENT.SWAP("swap.4299",C4301,H4301,B4301,"USD","SOFR",I4301,J4301,0,"Actual360","Simple","Annual","Annual","Annual")</f>
        <v/>
      </c>
      <c r="F4301" s="8">
        <f>QS.TRADE.CREATE("trade.4299",C4301,E4301,A4301,"Receive")</f>
        <v/>
      </c>
      <c r="G4301" s="5"/>
      <c r="H4301" s="7" t="s">
        <v>4342</v>
      </c>
      <c r="I4301" s="9">
        <v>1429900</v>
      </c>
      <c r="J4301" s="10">
        <v>0.0399</v>
      </c>
    </row>
    <row r="4302" spans="1:10">
      <c r="A4302" s="7" t="s">
        <v>4336</v>
      </c>
      <c r="B4302" s="7" t="s">
        <v>6169</v>
      </c>
      <c r="C4302" s="8">
        <f>QS.CONTEXT.CREATE("market.4300",A4302,"USD","SOFR")</f>
        <v/>
      </c>
      <c r="D4302" s="8">
        <f>QS.CONTEXT.ADD.CURVE(C4302,"SOFR",$K$2:$K$7,$L$2:$L$7,,,"Actual360","LogLinear",TRUE)</f>
        <v/>
      </c>
      <c r="E4302" s="8">
        <f>QS.INSTRUMENT.SWAP("swap.4300",C4302,H4302,B4302,"USD","SOFR",I4302,J4302,0,"Actual360","Simple","Annual","Annual","Annual")</f>
        <v/>
      </c>
      <c r="F4302" s="8">
        <f>QS.TRADE.CREATE("trade.4300",C4302,E4302,A4302,"Receive")</f>
        <v/>
      </c>
      <c r="G4302" s="5"/>
      <c r="H4302" s="7" t="s">
        <v>4343</v>
      </c>
      <c r="I4302" s="9">
        <v>1430000</v>
      </c>
      <c r="J4302" s="10">
        <v>0.035</v>
      </c>
    </row>
    <row r="4303" spans="1:10">
      <c r="A4303" s="7" t="s">
        <v>4337</v>
      </c>
      <c r="B4303" s="7" t="s">
        <v>6170</v>
      </c>
      <c r="C4303" s="8">
        <f>QS.CONTEXT.CREATE("market.4301",A4303,"USD","SOFR")</f>
        <v/>
      </c>
      <c r="D4303" s="8">
        <f>QS.CONTEXT.ADD.CURVE(C4303,"SOFR",$K$2:$K$7,$L$2:$L$7,,,"Actual360","LogLinear",TRUE)</f>
        <v/>
      </c>
      <c r="E4303" s="8">
        <f>QS.INSTRUMENT.SWAP("swap.4301",C4303,H4303,B4303,"USD","SOFR",I4303,J4303,0,"Actual360","Simple","Annual","Annual","Annual")</f>
        <v/>
      </c>
      <c r="F4303" s="8">
        <f>QS.TRADE.CREATE("trade.4301",C4303,E4303,A4303,"Receive")</f>
        <v/>
      </c>
      <c r="G4303" s="5"/>
      <c r="H4303" s="7" t="s">
        <v>4344</v>
      </c>
      <c r="I4303" s="9">
        <v>1430100</v>
      </c>
      <c r="J4303" s="10">
        <v>0.03510000000000001</v>
      </c>
    </row>
    <row r="4304" spans="1:10">
      <c r="A4304" s="7" t="s">
        <v>4338</v>
      </c>
      <c r="B4304" s="7" t="s">
        <v>6171</v>
      </c>
      <c r="C4304" s="8">
        <f>QS.CONTEXT.CREATE("market.4302",A4304,"USD","SOFR")</f>
        <v/>
      </c>
      <c r="D4304" s="8">
        <f>QS.CONTEXT.ADD.CURVE(C4304,"SOFR",$K$2:$K$7,$L$2:$L$7,,,"Actual360","LogLinear",TRUE)</f>
        <v/>
      </c>
      <c r="E4304" s="8">
        <f>QS.INSTRUMENT.SWAP("swap.4302",C4304,H4304,B4304,"USD","SOFR",I4304,J4304,0,"Actual360","Simple","Annual","Annual","Annual")</f>
        <v/>
      </c>
      <c r="F4304" s="8">
        <f>QS.TRADE.CREATE("trade.4302",C4304,E4304,A4304,"Receive")</f>
        <v/>
      </c>
      <c r="G4304" s="5"/>
      <c r="H4304" s="7" t="s">
        <v>4345</v>
      </c>
      <c r="I4304" s="9">
        <v>1430200</v>
      </c>
      <c r="J4304" s="10">
        <v>0.0352</v>
      </c>
    </row>
    <row r="4305" spans="1:10">
      <c r="A4305" s="7" t="s">
        <v>4339</v>
      </c>
      <c r="B4305" s="7" t="s">
        <v>6172</v>
      </c>
      <c r="C4305" s="8">
        <f>QS.CONTEXT.CREATE("market.4303",A4305,"USD","SOFR")</f>
        <v/>
      </c>
      <c r="D4305" s="8">
        <f>QS.CONTEXT.ADD.CURVE(C4305,"SOFR",$K$2:$K$7,$L$2:$L$7,,,"Actual360","LogLinear",TRUE)</f>
        <v/>
      </c>
      <c r="E4305" s="8">
        <f>QS.INSTRUMENT.SWAP("swap.4303",C4305,H4305,B4305,"USD","SOFR",I4305,J4305,0,"Actual360","Simple","Annual","Annual","Annual")</f>
        <v/>
      </c>
      <c r="F4305" s="8">
        <f>QS.TRADE.CREATE("trade.4303",C4305,E4305,A4305,"Receive")</f>
        <v/>
      </c>
      <c r="G4305" s="5"/>
      <c r="H4305" s="7" t="s">
        <v>4346</v>
      </c>
      <c r="I4305" s="9">
        <v>1430300</v>
      </c>
      <c r="J4305" s="10">
        <v>0.0353</v>
      </c>
    </row>
    <row r="4306" spans="1:10">
      <c r="A4306" s="7" t="s">
        <v>4340</v>
      </c>
      <c r="B4306" s="7" t="s">
        <v>6173</v>
      </c>
      <c r="C4306" s="8">
        <f>QS.CONTEXT.CREATE("market.4304",A4306,"USD","SOFR")</f>
        <v/>
      </c>
      <c r="D4306" s="8">
        <f>QS.CONTEXT.ADD.CURVE(C4306,"SOFR",$K$2:$K$7,$L$2:$L$7,,,"Actual360","LogLinear",TRUE)</f>
        <v/>
      </c>
      <c r="E4306" s="8">
        <f>QS.INSTRUMENT.SWAP("swap.4304",C4306,H4306,B4306,"USD","SOFR",I4306,J4306,0,"Actual360","Simple","Annual","Annual","Annual")</f>
        <v/>
      </c>
      <c r="F4306" s="8">
        <f>QS.TRADE.CREATE("trade.4304",C4306,E4306,A4306,"Receive")</f>
        <v/>
      </c>
      <c r="G4306" s="5"/>
      <c r="H4306" s="7" t="s">
        <v>4347</v>
      </c>
      <c r="I4306" s="9">
        <v>1430400</v>
      </c>
      <c r="J4306" s="10">
        <v>0.0354</v>
      </c>
    </row>
    <row r="4307" spans="1:10">
      <c r="A4307" s="7" t="s">
        <v>4341</v>
      </c>
      <c r="B4307" s="7" t="s">
        <v>6174</v>
      </c>
      <c r="C4307" s="8">
        <f>QS.CONTEXT.CREATE("market.4305",A4307,"USD","SOFR")</f>
        <v/>
      </c>
      <c r="D4307" s="8">
        <f>QS.CONTEXT.ADD.CURVE(C4307,"SOFR",$K$2:$K$7,$L$2:$L$7,,,"Actual360","LogLinear",TRUE)</f>
        <v/>
      </c>
      <c r="E4307" s="8">
        <f>QS.INSTRUMENT.SWAP("swap.4305",C4307,H4307,B4307,"USD","SOFR",I4307,J4307,0,"Actual360","Simple","Annual","Annual","Annual")</f>
        <v/>
      </c>
      <c r="F4307" s="8">
        <f>QS.TRADE.CREATE("trade.4305",C4307,E4307,A4307,"Receive")</f>
        <v/>
      </c>
      <c r="G4307" s="5"/>
      <c r="H4307" s="7" t="s">
        <v>4348</v>
      </c>
      <c r="I4307" s="9">
        <v>1430500</v>
      </c>
      <c r="J4307" s="10">
        <v>0.0355</v>
      </c>
    </row>
    <row r="4308" spans="1:10">
      <c r="A4308" s="7" t="s">
        <v>4342</v>
      </c>
      <c r="B4308" s="7" t="s">
        <v>6175</v>
      </c>
      <c r="C4308" s="8">
        <f>QS.CONTEXT.CREATE("market.4306",A4308,"USD","SOFR")</f>
        <v/>
      </c>
      <c r="D4308" s="8">
        <f>QS.CONTEXT.ADD.CURVE(C4308,"SOFR",$K$2:$K$7,$L$2:$L$7,,,"Actual360","LogLinear",TRUE)</f>
        <v/>
      </c>
      <c r="E4308" s="8">
        <f>QS.INSTRUMENT.SWAP("swap.4306",C4308,H4308,B4308,"USD","SOFR",I4308,J4308,0,"Actual360","Simple","Annual","Annual","Annual")</f>
        <v/>
      </c>
      <c r="F4308" s="8">
        <f>QS.TRADE.CREATE("trade.4306",C4308,E4308,A4308,"Receive")</f>
        <v/>
      </c>
      <c r="G4308" s="5"/>
      <c r="H4308" s="7" t="s">
        <v>4349</v>
      </c>
      <c r="I4308" s="9">
        <v>1430600</v>
      </c>
      <c r="J4308" s="10">
        <v>0.03560000000000001</v>
      </c>
    </row>
    <row r="4309" spans="1:10">
      <c r="A4309" s="7" t="s">
        <v>4343</v>
      </c>
      <c r="B4309" s="7" t="s">
        <v>6176</v>
      </c>
      <c r="C4309" s="8">
        <f>QS.CONTEXT.CREATE("market.4307",A4309,"USD","SOFR")</f>
        <v/>
      </c>
      <c r="D4309" s="8">
        <f>QS.CONTEXT.ADD.CURVE(C4309,"SOFR",$K$2:$K$7,$L$2:$L$7,,,"Actual360","LogLinear",TRUE)</f>
        <v/>
      </c>
      <c r="E4309" s="8">
        <f>QS.INSTRUMENT.SWAP("swap.4307",C4309,H4309,B4309,"USD","SOFR",I4309,J4309,0,"Actual360","Simple","Annual","Annual","Annual")</f>
        <v/>
      </c>
      <c r="F4309" s="8">
        <f>QS.TRADE.CREATE("trade.4307",C4309,E4309,A4309,"Receive")</f>
        <v/>
      </c>
      <c r="G4309" s="5"/>
      <c r="H4309" s="7" t="s">
        <v>4350</v>
      </c>
      <c r="I4309" s="9">
        <v>1430700</v>
      </c>
      <c r="J4309" s="10">
        <v>0.0357</v>
      </c>
    </row>
    <row r="4310" spans="1:10">
      <c r="A4310" s="7" t="s">
        <v>4344</v>
      </c>
      <c r="B4310" s="7" t="s">
        <v>6177</v>
      </c>
      <c r="C4310" s="8">
        <f>QS.CONTEXT.CREATE("market.4308",A4310,"USD","SOFR")</f>
        <v/>
      </c>
      <c r="D4310" s="8">
        <f>QS.CONTEXT.ADD.CURVE(C4310,"SOFR",$K$2:$K$7,$L$2:$L$7,,,"Actual360","LogLinear",TRUE)</f>
        <v/>
      </c>
      <c r="E4310" s="8">
        <f>QS.INSTRUMENT.SWAP("swap.4308",C4310,H4310,B4310,"USD","SOFR",I4310,J4310,0,"Actual360","Simple","Annual","Annual","Annual")</f>
        <v/>
      </c>
      <c r="F4310" s="8">
        <f>QS.TRADE.CREATE("trade.4308",C4310,E4310,A4310,"Receive")</f>
        <v/>
      </c>
      <c r="G4310" s="5"/>
      <c r="H4310" s="7" t="s">
        <v>4351</v>
      </c>
      <c r="I4310" s="9">
        <v>1430800</v>
      </c>
      <c r="J4310" s="10">
        <v>0.03580000000000001</v>
      </c>
    </row>
    <row r="4311" spans="1:10">
      <c r="A4311" s="7" t="s">
        <v>4345</v>
      </c>
      <c r="B4311" s="7" t="s">
        <v>6178</v>
      </c>
      <c r="C4311" s="8">
        <f>QS.CONTEXT.CREATE("market.4309",A4311,"USD","SOFR")</f>
        <v/>
      </c>
      <c r="D4311" s="8">
        <f>QS.CONTEXT.ADD.CURVE(C4311,"SOFR",$K$2:$K$7,$L$2:$L$7,,,"Actual360","LogLinear",TRUE)</f>
        <v/>
      </c>
      <c r="E4311" s="8">
        <f>QS.INSTRUMENT.SWAP("swap.4309",C4311,H4311,B4311,"USD","SOFR",I4311,J4311,0,"Actual360","Simple","Annual","Annual","Annual")</f>
        <v/>
      </c>
      <c r="F4311" s="8">
        <f>QS.TRADE.CREATE("trade.4309",C4311,E4311,A4311,"Receive")</f>
        <v/>
      </c>
      <c r="G4311" s="5"/>
      <c r="H4311" s="7" t="s">
        <v>4352</v>
      </c>
      <c r="I4311" s="9">
        <v>1430900</v>
      </c>
      <c r="J4311" s="10">
        <v>0.0359</v>
      </c>
    </row>
    <row r="4312" spans="1:10">
      <c r="A4312" s="7" t="s">
        <v>4346</v>
      </c>
      <c r="B4312" s="7" t="s">
        <v>6179</v>
      </c>
      <c r="C4312" s="8">
        <f>QS.CONTEXT.CREATE("market.4310",A4312,"USD","SOFR")</f>
        <v/>
      </c>
      <c r="D4312" s="8">
        <f>QS.CONTEXT.ADD.CURVE(C4312,"SOFR",$K$2:$K$7,$L$2:$L$7,,,"Actual360","LogLinear",TRUE)</f>
        <v/>
      </c>
      <c r="E4312" s="8">
        <f>QS.INSTRUMENT.SWAP("swap.4310",C4312,H4312,B4312,"USD","SOFR",I4312,J4312,0,"Actual360","Simple","Annual","Annual","Annual")</f>
        <v/>
      </c>
      <c r="F4312" s="8">
        <f>QS.TRADE.CREATE("trade.4310",C4312,E4312,A4312,"Receive")</f>
        <v/>
      </c>
      <c r="G4312" s="5"/>
      <c r="H4312" s="7" t="s">
        <v>4353</v>
      </c>
      <c r="I4312" s="9">
        <v>1431000</v>
      </c>
      <c r="J4312" s="10">
        <v>0.036</v>
      </c>
    </row>
    <row r="4313" spans="1:10">
      <c r="A4313" s="7" t="s">
        <v>4347</v>
      </c>
      <c r="B4313" s="7" t="s">
        <v>6180</v>
      </c>
      <c r="C4313" s="8">
        <f>QS.CONTEXT.CREATE("market.4311",A4313,"USD","SOFR")</f>
        <v/>
      </c>
      <c r="D4313" s="8">
        <f>QS.CONTEXT.ADD.CURVE(C4313,"SOFR",$K$2:$K$7,$L$2:$L$7,,,"Actual360","LogLinear",TRUE)</f>
        <v/>
      </c>
      <c r="E4313" s="8">
        <f>QS.INSTRUMENT.SWAP("swap.4311",C4313,H4313,B4313,"USD","SOFR",I4313,J4313,0,"Actual360","Simple","Annual","Annual","Annual")</f>
        <v/>
      </c>
      <c r="F4313" s="8">
        <f>QS.TRADE.CREATE("trade.4311",C4313,E4313,A4313,"Receive")</f>
        <v/>
      </c>
      <c r="G4313" s="5"/>
      <c r="H4313" s="7" t="s">
        <v>4354</v>
      </c>
      <c r="I4313" s="9">
        <v>1431100</v>
      </c>
      <c r="J4313" s="10">
        <v>0.0361</v>
      </c>
    </row>
    <row r="4314" spans="1:10">
      <c r="A4314" s="7" t="s">
        <v>4348</v>
      </c>
      <c r="B4314" s="7" t="s">
        <v>6181</v>
      </c>
      <c r="C4314" s="8">
        <f>QS.CONTEXT.CREATE("market.4312",A4314,"USD","SOFR")</f>
        <v/>
      </c>
      <c r="D4314" s="8">
        <f>QS.CONTEXT.ADD.CURVE(C4314,"SOFR",$K$2:$K$7,$L$2:$L$7,,,"Actual360","LogLinear",TRUE)</f>
        <v/>
      </c>
      <c r="E4314" s="8">
        <f>QS.INSTRUMENT.SWAP("swap.4312",C4314,H4314,B4314,"USD","SOFR",I4314,J4314,0,"Actual360","Simple","Annual","Annual","Annual")</f>
        <v/>
      </c>
      <c r="F4314" s="8">
        <f>QS.TRADE.CREATE("trade.4312",C4314,E4314,A4314,"Receive")</f>
        <v/>
      </c>
      <c r="G4314" s="5"/>
      <c r="H4314" s="7" t="s">
        <v>4355</v>
      </c>
      <c r="I4314" s="9">
        <v>1431200</v>
      </c>
      <c r="J4314" s="10">
        <v>0.0362</v>
      </c>
    </row>
    <row r="4315" spans="1:10">
      <c r="A4315" s="7" t="s">
        <v>4349</v>
      </c>
      <c r="B4315" s="7" t="s">
        <v>6182</v>
      </c>
      <c r="C4315" s="8">
        <f>QS.CONTEXT.CREATE("market.4313",A4315,"USD","SOFR")</f>
        <v/>
      </c>
      <c r="D4315" s="8">
        <f>QS.CONTEXT.ADD.CURVE(C4315,"SOFR",$K$2:$K$7,$L$2:$L$7,,,"Actual360","LogLinear",TRUE)</f>
        <v/>
      </c>
      <c r="E4315" s="8">
        <f>QS.INSTRUMENT.SWAP("swap.4313",C4315,H4315,B4315,"USD","SOFR",I4315,J4315,0,"Actual360","Simple","Annual","Annual","Annual")</f>
        <v/>
      </c>
      <c r="F4315" s="8">
        <f>QS.TRADE.CREATE("trade.4313",C4315,E4315,A4315,"Receive")</f>
        <v/>
      </c>
      <c r="G4315" s="5"/>
      <c r="H4315" s="7" t="s">
        <v>4356</v>
      </c>
      <c r="I4315" s="9">
        <v>1431300</v>
      </c>
      <c r="J4315" s="10">
        <v>0.03630000000000001</v>
      </c>
    </row>
    <row r="4316" spans="1:10">
      <c r="A4316" s="7" t="s">
        <v>4350</v>
      </c>
      <c r="B4316" s="7" t="s">
        <v>6183</v>
      </c>
      <c r="C4316" s="8">
        <f>QS.CONTEXT.CREATE("market.4314",A4316,"USD","SOFR")</f>
        <v/>
      </c>
      <c r="D4316" s="8">
        <f>QS.CONTEXT.ADD.CURVE(C4316,"SOFR",$K$2:$K$7,$L$2:$L$7,,,"Actual360","LogLinear",TRUE)</f>
        <v/>
      </c>
      <c r="E4316" s="8">
        <f>QS.INSTRUMENT.SWAP("swap.4314",C4316,H4316,B4316,"USD","SOFR",I4316,J4316,0,"Actual360","Simple","Annual","Annual","Annual")</f>
        <v/>
      </c>
      <c r="F4316" s="8">
        <f>QS.TRADE.CREATE("trade.4314",C4316,E4316,A4316,"Receive")</f>
        <v/>
      </c>
      <c r="G4316" s="5"/>
      <c r="H4316" s="7" t="s">
        <v>4357</v>
      </c>
      <c r="I4316" s="9">
        <v>1431400</v>
      </c>
      <c r="J4316" s="10">
        <v>0.0364</v>
      </c>
    </row>
    <row r="4317" spans="1:10">
      <c r="A4317" s="7" t="s">
        <v>4351</v>
      </c>
      <c r="B4317" s="7" t="s">
        <v>6184</v>
      </c>
      <c r="C4317" s="8">
        <f>QS.CONTEXT.CREATE("market.4315",A4317,"USD","SOFR")</f>
        <v/>
      </c>
      <c r="D4317" s="8">
        <f>QS.CONTEXT.ADD.CURVE(C4317,"SOFR",$K$2:$K$7,$L$2:$L$7,,,"Actual360","LogLinear",TRUE)</f>
        <v/>
      </c>
      <c r="E4317" s="8">
        <f>QS.INSTRUMENT.SWAP("swap.4315",C4317,H4317,B4317,"USD","SOFR",I4317,J4317,0,"Actual360","Simple","Annual","Annual","Annual")</f>
        <v/>
      </c>
      <c r="F4317" s="8">
        <f>QS.TRADE.CREATE("trade.4315",C4317,E4317,A4317,"Receive")</f>
        <v/>
      </c>
      <c r="G4317" s="5"/>
      <c r="H4317" s="7" t="s">
        <v>4358</v>
      </c>
      <c r="I4317" s="9">
        <v>1431500</v>
      </c>
      <c r="J4317" s="10">
        <v>0.0365</v>
      </c>
    </row>
    <row r="4318" spans="1:10">
      <c r="A4318" s="7" t="s">
        <v>4352</v>
      </c>
      <c r="B4318" s="7" t="s">
        <v>6185</v>
      </c>
      <c r="C4318" s="8">
        <f>QS.CONTEXT.CREATE("market.4316",A4318,"USD","SOFR")</f>
        <v/>
      </c>
      <c r="D4318" s="8">
        <f>QS.CONTEXT.ADD.CURVE(C4318,"SOFR",$K$2:$K$7,$L$2:$L$7,,,"Actual360","LogLinear",TRUE)</f>
        <v/>
      </c>
      <c r="E4318" s="8">
        <f>QS.INSTRUMENT.SWAP("swap.4316",C4318,H4318,B4318,"USD","SOFR",I4318,J4318,0,"Actual360","Simple","Annual","Annual","Annual")</f>
        <v/>
      </c>
      <c r="F4318" s="8">
        <f>QS.TRADE.CREATE("trade.4316",C4318,E4318,A4318,"Receive")</f>
        <v/>
      </c>
      <c r="G4318" s="5"/>
      <c r="H4318" s="7" t="s">
        <v>4359</v>
      </c>
      <c r="I4318" s="9">
        <v>1431600</v>
      </c>
      <c r="J4318" s="10">
        <v>0.0366</v>
      </c>
    </row>
    <row r="4319" spans="1:10">
      <c r="A4319" s="7" t="s">
        <v>4353</v>
      </c>
      <c r="B4319" s="7" t="s">
        <v>6186</v>
      </c>
      <c r="C4319" s="8">
        <f>QS.CONTEXT.CREATE("market.4317",A4319,"USD","SOFR")</f>
        <v/>
      </c>
      <c r="D4319" s="8">
        <f>QS.CONTEXT.ADD.CURVE(C4319,"SOFR",$K$2:$K$7,$L$2:$L$7,,,"Actual360","LogLinear",TRUE)</f>
        <v/>
      </c>
      <c r="E4319" s="8">
        <f>QS.INSTRUMENT.SWAP("swap.4317",C4319,H4319,B4319,"USD","SOFR",I4319,J4319,0,"Actual360","Simple","Annual","Annual","Annual")</f>
        <v/>
      </c>
      <c r="F4319" s="8">
        <f>QS.TRADE.CREATE("trade.4317",C4319,E4319,A4319,"Receive")</f>
        <v/>
      </c>
      <c r="G4319" s="5"/>
      <c r="H4319" s="7" t="s">
        <v>4360</v>
      </c>
      <c r="I4319" s="9">
        <v>1431700</v>
      </c>
      <c r="J4319" s="10">
        <v>0.0367</v>
      </c>
    </row>
    <row r="4320" spans="1:10">
      <c r="A4320" s="7" t="s">
        <v>4354</v>
      </c>
      <c r="B4320" s="7" t="s">
        <v>6187</v>
      </c>
      <c r="C4320" s="8">
        <f>QS.CONTEXT.CREATE("market.4318",A4320,"USD","SOFR")</f>
        <v/>
      </c>
      <c r="D4320" s="8">
        <f>QS.CONTEXT.ADD.CURVE(C4320,"SOFR",$K$2:$K$7,$L$2:$L$7,,,"Actual360","LogLinear",TRUE)</f>
        <v/>
      </c>
      <c r="E4320" s="8">
        <f>QS.INSTRUMENT.SWAP("swap.4318",C4320,H4320,B4320,"USD","SOFR",I4320,J4320,0,"Actual360","Simple","Annual","Annual","Annual")</f>
        <v/>
      </c>
      <c r="F4320" s="8">
        <f>QS.TRADE.CREATE("trade.4318",C4320,E4320,A4320,"Receive")</f>
        <v/>
      </c>
      <c r="G4320" s="5"/>
      <c r="H4320" s="7" t="s">
        <v>4361</v>
      </c>
      <c r="I4320" s="9">
        <v>1431800</v>
      </c>
      <c r="J4320" s="10">
        <v>0.03680000000000001</v>
      </c>
    </row>
    <row r="4321" spans="1:10">
      <c r="A4321" s="7" t="s">
        <v>4355</v>
      </c>
      <c r="B4321" s="7" t="s">
        <v>6188</v>
      </c>
      <c r="C4321" s="8">
        <f>QS.CONTEXT.CREATE("market.4319",A4321,"USD","SOFR")</f>
        <v/>
      </c>
      <c r="D4321" s="8">
        <f>QS.CONTEXT.ADD.CURVE(C4321,"SOFR",$K$2:$K$7,$L$2:$L$7,,,"Actual360","LogLinear",TRUE)</f>
        <v/>
      </c>
      <c r="E4321" s="8">
        <f>QS.INSTRUMENT.SWAP("swap.4319",C4321,H4321,B4321,"USD","SOFR",I4321,J4321,0,"Actual360","Simple","Annual","Annual","Annual")</f>
        <v/>
      </c>
      <c r="F4321" s="8">
        <f>QS.TRADE.CREATE("trade.4319",C4321,E4321,A4321,"Receive")</f>
        <v/>
      </c>
      <c r="G4321" s="5"/>
      <c r="H4321" s="7" t="s">
        <v>4362</v>
      </c>
      <c r="I4321" s="9">
        <v>1431900</v>
      </c>
      <c r="J4321" s="10">
        <v>0.0369</v>
      </c>
    </row>
    <row r="4322" spans="1:10">
      <c r="A4322" s="7" t="s">
        <v>4356</v>
      </c>
      <c r="B4322" s="7" t="s">
        <v>6189</v>
      </c>
      <c r="C4322" s="8">
        <f>QS.CONTEXT.CREATE("market.4320",A4322,"USD","SOFR")</f>
        <v/>
      </c>
      <c r="D4322" s="8">
        <f>QS.CONTEXT.ADD.CURVE(C4322,"SOFR",$K$2:$K$7,$L$2:$L$7,,,"Actual360","LogLinear",TRUE)</f>
        <v/>
      </c>
      <c r="E4322" s="8">
        <f>QS.INSTRUMENT.SWAP("swap.4320",C4322,H4322,B4322,"USD","SOFR",I4322,J4322,0,"Actual360","Simple","Annual","Annual","Annual")</f>
        <v/>
      </c>
      <c r="F4322" s="8">
        <f>QS.TRADE.CREATE("trade.4320",C4322,E4322,A4322,"Receive")</f>
        <v/>
      </c>
      <c r="G4322" s="5"/>
      <c r="H4322" s="7" t="s">
        <v>4363</v>
      </c>
      <c r="I4322" s="9">
        <v>1432000</v>
      </c>
      <c r="J4322" s="10">
        <v>0.03700000000000001</v>
      </c>
    </row>
    <row r="4323" spans="1:10">
      <c r="A4323" s="7" t="s">
        <v>4357</v>
      </c>
      <c r="B4323" s="7" t="s">
        <v>6190</v>
      </c>
      <c r="C4323" s="8">
        <f>QS.CONTEXT.CREATE("market.4321",A4323,"USD","SOFR")</f>
        <v/>
      </c>
      <c r="D4323" s="8">
        <f>QS.CONTEXT.ADD.CURVE(C4323,"SOFR",$K$2:$K$7,$L$2:$L$7,,,"Actual360","LogLinear",TRUE)</f>
        <v/>
      </c>
      <c r="E4323" s="8">
        <f>QS.INSTRUMENT.SWAP("swap.4321",C4323,H4323,B4323,"USD","SOFR",I4323,J4323,0,"Actual360","Simple","Annual","Annual","Annual")</f>
        <v/>
      </c>
      <c r="F4323" s="8">
        <f>QS.TRADE.CREATE("trade.4321",C4323,E4323,A4323,"Receive")</f>
        <v/>
      </c>
      <c r="G4323" s="5"/>
      <c r="H4323" s="7" t="s">
        <v>4364</v>
      </c>
      <c r="I4323" s="9">
        <v>1432100</v>
      </c>
      <c r="J4323" s="10">
        <v>0.0371</v>
      </c>
    </row>
    <row r="4324" spans="1:10">
      <c r="A4324" s="7" t="s">
        <v>4358</v>
      </c>
      <c r="B4324" s="7" t="s">
        <v>6191</v>
      </c>
      <c r="C4324" s="8">
        <f>QS.CONTEXT.CREATE("market.4322",A4324,"USD","SOFR")</f>
        <v/>
      </c>
      <c r="D4324" s="8">
        <f>QS.CONTEXT.ADD.CURVE(C4324,"SOFR",$K$2:$K$7,$L$2:$L$7,,,"Actual360","LogLinear",TRUE)</f>
        <v/>
      </c>
      <c r="E4324" s="8">
        <f>QS.INSTRUMENT.SWAP("swap.4322",C4324,H4324,B4324,"USD","SOFR",I4324,J4324,0,"Actual360","Simple","Annual","Annual","Annual")</f>
        <v/>
      </c>
      <c r="F4324" s="8">
        <f>QS.TRADE.CREATE("trade.4322",C4324,E4324,A4324,"Receive")</f>
        <v/>
      </c>
      <c r="G4324" s="5"/>
      <c r="H4324" s="7" t="s">
        <v>4365</v>
      </c>
      <c r="I4324" s="9">
        <v>1432200</v>
      </c>
      <c r="J4324" s="10">
        <v>0.0372</v>
      </c>
    </row>
    <row r="4325" spans="1:10">
      <c r="A4325" s="7" t="s">
        <v>4359</v>
      </c>
      <c r="B4325" s="7" t="s">
        <v>6192</v>
      </c>
      <c r="C4325" s="8">
        <f>QS.CONTEXT.CREATE("market.4323",A4325,"USD","SOFR")</f>
        <v/>
      </c>
      <c r="D4325" s="8">
        <f>QS.CONTEXT.ADD.CURVE(C4325,"SOFR",$K$2:$K$7,$L$2:$L$7,,,"Actual360","LogLinear",TRUE)</f>
        <v/>
      </c>
      <c r="E4325" s="8">
        <f>QS.INSTRUMENT.SWAP("swap.4323",C4325,H4325,B4325,"USD","SOFR",I4325,J4325,0,"Actual360","Simple","Annual","Annual","Annual")</f>
        <v/>
      </c>
      <c r="F4325" s="8">
        <f>QS.TRADE.CREATE("trade.4323",C4325,E4325,A4325,"Receive")</f>
        <v/>
      </c>
      <c r="G4325" s="5"/>
      <c r="H4325" s="7" t="s">
        <v>4366</v>
      </c>
      <c r="I4325" s="9">
        <v>1432300</v>
      </c>
      <c r="J4325" s="10">
        <v>0.0373</v>
      </c>
    </row>
    <row r="4326" spans="1:10">
      <c r="A4326" s="7" t="s">
        <v>4360</v>
      </c>
      <c r="B4326" s="7" t="s">
        <v>6193</v>
      </c>
      <c r="C4326" s="8">
        <f>QS.CONTEXT.CREATE("market.4324",A4326,"USD","SOFR")</f>
        <v/>
      </c>
      <c r="D4326" s="8">
        <f>QS.CONTEXT.ADD.CURVE(C4326,"SOFR",$K$2:$K$7,$L$2:$L$7,,,"Actual360","LogLinear",TRUE)</f>
        <v/>
      </c>
      <c r="E4326" s="8">
        <f>QS.INSTRUMENT.SWAP("swap.4324",C4326,H4326,B4326,"USD","SOFR",I4326,J4326,0,"Actual360","Simple","Annual","Annual","Annual")</f>
        <v/>
      </c>
      <c r="F4326" s="8">
        <f>QS.TRADE.CREATE("trade.4324",C4326,E4326,A4326,"Receive")</f>
        <v/>
      </c>
      <c r="G4326" s="5"/>
      <c r="H4326" s="7" t="s">
        <v>4367</v>
      </c>
      <c r="I4326" s="9">
        <v>1432400</v>
      </c>
      <c r="J4326" s="10">
        <v>0.0374</v>
      </c>
    </row>
    <row r="4327" spans="1:10">
      <c r="A4327" s="7" t="s">
        <v>4361</v>
      </c>
      <c r="B4327" s="7" t="s">
        <v>6194</v>
      </c>
      <c r="C4327" s="8">
        <f>QS.CONTEXT.CREATE("market.4325",A4327,"USD","SOFR")</f>
        <v/>
      </c>
      <c r="D4327" s="8">
        <f>QS.CONTEXT.ADD.CURVE(C4327,"SOFR",$K$2:$K$7,$L$2:$L$7,,,"Actual360","LogLinear",TRUE)</f>
        <v/>
      </c>
      <c r="E4327" s="8">
        <f>QS.INSTRUMENT.SWAP("swap.4325",C4327,H4327,B4327,"USD","SOFR",I4327,J4327,0,"Actual360","Simple","Annual","Annual","Annual")</f>
        <v/>
      </c>
      <c r="F4327" s="8">
        <f>QS.TRADE.CREATE("trade.4325",C4327,E4327,A4327,"Receive")</f>
        <v/>
      </c>
      <c r="G4327" s="5"/>
      <c r="H4327" s="7" t="s">
        <v>4368</v>
      </c>
      <c r="I4327" s="9">
        <v>1432500</v>
      </c>
      <c r="J4327" s="10">
        <v>0.03750000000000001</v>
      </c>
    </row>
    <row r="4328" spans="1:10">
      <c r="A4328" s="7" t="s">
        <v>4362</v>
      </c>
      <c r="B4328" s="7" t="s">
        <v>6195</v>
      </c>
      <c r="C4328" s="8">
        <f>QS.CONTEXT.CREATE("market.4326",A4328,"USD","SOFR")</f>
        <v/>
      </c>
      <c r="D4328" s="8">
        <f>QS.CONTEXT.ADD.CURVE(C4328,"SOFR",$K$2:$K$7,$L$2:$L$7,,,"Actual360","LogLinear",TRUE)</f>
        <v/>
      </c>
      <c r="E4328" s="8">
        <f>QS.INSTRUMENT.SWAP("swap.4326",C4328,H4328,B4328,"USD","SOFR",I4328,J4328,0,"Actual360","Simple","Annual","Annual","Annual")</f>
        <v/>
      </c>
      <c r="F4328" s="8">
        <f>QS.TRADE.CREATE("trade.4326",C4328,E4328,A4328,"Receive")</f>
        <v/>
      </c>
      <c r="G4328" s="5"/>
      <c r="H4328" s="7" t="s">
        <v>4369</v>
      </c>
      <c r="I4328" s="9">
        <v>1432600</v>
      </c>
      <c r="J4328" s="10">
        <v>0.0376</v>
      </c>
    </row>
    <row r="4329" spans="1:10">
      <c r="A4329" s="7" t="s">
        <v>4363</v>
      </c>
      <c r="B4329" s="7" t="s">
        <v>6196</v>
      </c>
      <c r="C4329" s="8">
        <f>QS.CONTEXT.CREATE("market.4327",A4329,"USD","SOFR")</f>
        <v/>
      </c>
      <c r="D4329" s="8">
        <f>QS.CONTEXT.ADD.CURVE(C4329,"SOFR",$K$2:$K$7,$L$2:$L$7,,,"Actual360","LogLinear",TRUE)</f>
        <v/>
      </c>
      <c r="E4329" s="8">
        <f>QS.INSTRUMENT.SWAP("swap.4327",C4329,H4329,B4329,"USD","SOFR",I4329,J4329,0,"Actual360","Simple","Annual","Annual","Annual")</f>
        <v/>
      </c>
      <c r="F4329" s="8">
        <f>QS.TRADE.CREATE("trade.4327",C4329,E4329,A4329,"Receive")</f>
        <v/>
      </c>
      <c r="G4329" s="5"/>
      <c r="H4329" s="7" t="s">
        <v>4370</v>
      </c>
      <c r="I4329" s="9">
        <v>1432700</v>
      </c>
      <c r="J4329" s="10">
        <v>0.0377</v>
      </c>
    </row>
    <row r="4330" spans="1:10">
      <c r="A4330" s="7" t="s">
        <v>4364</v>
      </c>
      <c r="B4330" s="7" t="s">
        <v>6197</v>
      </c>
      <c r="C4330" s="8">
        <f>QS.CONTEXT.CREATE("market.4328",A4330,"USD","SOFR")</f>
        <v/>
      </c>
      <c r="D4330" s="8">
        <f>QS.CONTEXT.ADD.CURVE(C4330,"SOFR",$K$2:$K$7,$L$2:$L$7,,,"Actual360","LogLinear",TRUE)</f>
        <v/>
      </c>
      <c r="E4330" s="8">
        <f>QS.INSTRUMENT.SWAP("swap.4328",C4330,H4330,B4330,"USD","SOFR",I4330,J4330,0,"Actual360","Simple","Annual","Annual","Annual")</f>
        <v/>
      </c>
      <c r="F4330" s="8">
        <f>QS.TRADE.CREATE("trade.4328",C4330,E4330,A4330,"Receive")</f>
        <v/>
      </c>
      <c r="G4330" s="5"/>
      <c r="H4330" s="7" t="s">
        <v>4371</v>
      </c>
      <c r="I4330" s="9">
        <v>1432800</v>
      </c>
      <c r="J4330" s="10">
        <v>0.0378</v>
      </c>
    </row>
    <row r="4331" spans="1:10">
      <c r="A4331" s="7" t="s">
        <v>4365</v>
      </c>
      <c r="B4331" s="7" t="s">
        <v>6198</v>
      </c>
      <c r="C4331" s="8">
        <f>QS.CONTEXT.CREATE("market.4329",A4331,"USD","SOFR")</f>
        <v/>
      </c>
      <c r="D4331" s="8">
        <f>QS.CONTEXT.ADD.CURVE(C4331,"SOFR",$K$2:$K$7,$L$2:$L$7,,,"Actual360","LogLinear",TRUE)</f>
        <v/>
      </c>
      <c r="E4331" s="8">
        <f>QS.INSTRUMENT.SWAP("swap.4329",C4331,H4331,B4331,"USD","SOFR",I4331,J4331,0,"Actual360","Simple","Annual","Annual","Annual")</f>
        <v/>
      </c>
      <c r="F4331" s="8">
        <f>QS.TRADE.CREATE("trade.4329",C4331,E4331,A4331,"Receive")</f>
        <v/>
      </c>
      <c r="G4331" s="5"/>
      <c r="H4331" s="7" t="s">
        <v>4372</v>
      </c>
      <c r="I4331" s="9">
        <v>1432900</v>
      </c>
      <c r="J4331" s="10">
        <v>0.0379</v>
      </c>
    </row>
    <row r="4332" spans="1:10">
      <c r="A4332" s="7" t="s">
        <v>4366</v>
      </c>
      <c r="B4332" s="7" t="s">
        <v>6199</v>
      </c>
      <c r="C4332" s="8">
        <f>QS.CONTEXT.CREATE("market.4330",A4332,"USD","SOFR")</f>
        <v/>
      </c>
      <c r="D4332" s="8">
        <f>QS.CONTEXT.ADD.CURVE(C4332,"SOFR",$K$2:$K$7,$L$2:$L$7,,,"Actual360","LogLinear",TRUE)</f>
        <v/>
      </c>
      <c r="E4332" s="8">
        <f>QS.INSTRUMENT.SWAP("swap.4330",C4332,H4332,B4332,"USD","SOFR",I4332,J4332,0,"Actual360","Simple","Annual","Annual","Annual")</f>
        <v/>
      </c>
      <c r="F4332" s="8">
        <f>QS.TRADE.CREATE("trade.4330",C4332,E4332,A4332,"Receive")</f>
        <v/>
      </c>
      <c r="G4332" s="5"/>
      <c r="H4332" s="7" t="s">
        <v>4373</v>
      </c>
      <c r="I4332" s="9">
        <v>1433000</v>
      </c>
      <c r="J4332" s="10">
        <v>0.03800000000000001</v>
      </c>
    </row>
    <row r="4333" spans="1:10">
      <c r="A4333" s="7" t="s">
        <v>4367</v>
      </c>
      <c r="B4333" s="7" t="s">
        <v>6200</v>
      </c>
      <c r="C4333" s="8">
        <f>QS.CONTEXT.CREATE("market.4331",A4333,"USD","SOFR")</f>
        <v/>
      </c>
      <c r="D4333" s="8">
        <f>QS.CONTEXT.ADD.CURVE(C4333,"SOFR",$K$2:$K$7,$L$2:$L$7,,,"Actual360","LogLinear",TRUE)</f>
        <v/>
      </c>
      <c r="E4333" s="8">
        <f>QS.INSTRUMENT.SWAP("swap.4331",C4333,H4333,B4333,"USD","SOFR",I4333,J4333,0,"Actual360","Simple","Annual","Annual","Annual")</f>
        <v/>
      </c>
      <c r="F4333" s="8">
        <f>QS.TRADE.CREATE("trade.4331",C4333,E4333,A4333,"Receive")</f>
        <v/>
      </c>
      <c r="G4333" s="5"/>
      <c r="H4333" s="7" t="s">
        <v>4374</v>
      </c>
      <c r="I4333" s="9">
        <v>1433100</v>
      </c>
      <c r="J4333" s="10">
        <v>0.0381</v>
      </c>
    </row>
    <row r="4334" spans="1:10">
      <c r="A4334" s="7" t="s">
        <v>4368</v>
      </c>
      <c r="B4334" s="7" t="s">
        <v>6201</v>
      </c>
      <c r="C4334" s="8">
        <f>QS.CONTEXT.CREATE("market.4332",A4334,"USD","SOFR")</f>
        <v/>
      </c>
      <c r="D4334" s="8">
        <f>QS.CONTEXT.ADD.CURVE(C4334,"SOFR",$K$2:$K$7,$L$2:$L$7,,,"Actual360","LogLinear",TRUE)</f>
        <v/>
      </c>
      <c r="E4334" s="8">
        <f>QS.INSTRUMENT.SWAP("swap.4332",C4334,H4334,B4334,"USD","SOFR",I4334,J4334,0,"Actual360","Simple","Annual","Annual","Annual")</f>
        <v/>
      </c>
      <c r="F4334" s="8">
        <f>QS.TRADE.CREATE("trade.4332",C4334,E4334,A4334,"Receive")</f>
        <v/>
      </c>
      <c r="G4334" s="5"/>
      <c r="H4334" s="7" t="s">
        <v>4375</v>
      </c>
      <c r="I4334" s="9">
        <v>1433200</v>
      </c>
      <c r="J4334" s="10">
        <v>0.0382</v>
      </c>
    </row>
    <row r="4335" spans="1:10">
      <c r="A4335" s="7" t="s">
        <v>4369</v>
      </c>
      <c r="B4335" s="7" t="s">
        <v>6202</v>
      </c>
      <c r="C4335" s="8">
        <f>QS.CONTEXT.CREATE("market.4333",A4335,"USD","SOFR")</f>
        <v/>
      </c>
      <c r="D4335" s="8">
        <f>QS.CONTEXT.ADD.CURVE(C4335,"SOFR",$K$2:$K$7,$L$2:$L$7,,,"Actual360","LogLinear",TRUE)</f>
        <v/>
      </c>
      <c r="E4335" s="8">
        <f>QS.INSTRUMENT.SWAP("swap.4333",C4335,H4335,B4335,"USD","SOFR",I4335,J4335,0,"Actual360","Simple","Annual","Annual","Annual")</f>
        <v/>
      </c>
      <c r="F4335" s="8">
        <f>QS.TRADE.CREATE("trade.4333",C4335,E4335,A4335,"Receive")</f>
        <v/>
      </c>
      <c r="G4335" s="5"/>
      <c r="H4335" s="7" t="s">
        <v>4376</v>
      </c>
      <c r="I4335" s="9">
        <v>1433300</v>
      </c>
      <c r="J4335" s="10">
        <v>0.0383</v>
      </c>
    </row>
    <row r="4336" spans="1:10">
      <c r="A4336" s="7" t="s">
        <v>4370</v>
      </c>
      <c r="B4336" s="7" t="s">
        <v>6203</v>
      </c>
      <c r="C4336" s="8">
        <f>QS.CONTEXT.CREATE("market.4334",A4336,"USD","SOFR")</f>
        <v/>
      </c>
      <c r="D4336" s="8">
        <f>QS.CONTEXT.ADD.CURVE(C4336,"SOFR",$K$2:$K$7,$L$2:$L$7,,,"Actual360","LogLinear",TRUE)</f>
        <v/>
      </c>
      <c r="E4336" s="8">
        <f>QS.INSTRUMENT.SWAP("swap.4334",C4336,H4336,B4336,"USD","SOFR",I4336,J4336,0,"Actual360","Simple","Annual","Annual","Annual")</f>
        <v/>
      </c>
      <c r="F4336" s="8">
        <f>QS.TRADE.CREATE("trade.4334",C4336,E4336,A4336,"Receive")</f>
        <v/>
      </c>
      <c r="G4336" s="5"/>
      <c r="H4336" s="7" t="s">
        <v>4377</v>
      </c>
      <c r="I4336" s="9">
        <v>1433400</v>
      </c>
      <c r="J4336" s="10">
        <v>0.0384</v>
      </c>
    </row>
    <row r="4337" spans="1:10">
      <c r="A4337" s="7" t="s">
        <v>4371</v>
      </c>
      <c r="B4337" s="7" t="s">
        <v>6204</v>
      </c>
      <c r="C4337" s="8">
        <f>QS.CONTEXT.CREATE("market.4335",A4337,"USD","SOFR")</f>
        <v/>
      </c>
      <c r="D4337" s="8">
        <f>QS.CONTEXT.ADD.CURVE(C4337,"SOFR",$K$2:$K$7,$L$2:$L$7,,,"Actual360","LogLinear",TRUE)</f>
        <v/>
      </c>
      <c r="E4337" s="8">
        <f>QS.INSTRUMENT.SWAP("swap.4335",C4337,H4337,B4337,"USD","SOFR",I4337,J4337,0,"Actual360","Simple","Annual","Annual","Annual")</f>
        <v/>
      </c>
      <c r="F4337" s="8">
        <f>QS.TRADE.CREATE("trade.4335",C4337,E4337,A4337,"Receive")</f>
        <v/>
      </c>
      <c r="G4337" s="5"/>
      <c r="H4337" s="7" t="s">
        <v>4378</v>
      </c>
      <c r="I4337" s="9">
        <v>1433500</v>
      </c>
      <c r="J4337" s="10">
        <v>0.03850000000000001</v>
      </c>
    </row>
    <row r="4338" spans="1:10">
      <c r="A4338" s="7" t="s">
        <v>4372</v>
      </c>
      <c r="B4338" s="7" t="s">
        <v>6205</v>
      </c>
      <c r="C4338" s="8">
        <f>QS.CONTEXT.CREATE("market.4336",A4338,"USD","SOFR")</f>
        <v/>
      </c>
      <c r="D4338" s="8">
        <f>QS.CONTEXT.ADD.CURVE(C4338,"SOFR",$K$2:$K$7,$L$2:$L$7,,,"Actual360","LogLinear",TRUE)</f>
        <v/>
      </c>
      <c r="E4338" s="8">
        <f>QS.INSTRUMENT.SWAP("swap.4336",C4338,H4338,B4338,"USD","SOFR",I4338,J4338,0,"Actual360","Simple","Annual","Annual","Annual")</f>
        <v/>
      </c>
      <c r="F4338" s="8">
        <f>QS.TRADE.CREATE("trade.4336",C4338,E4338,A4338,"Receive")</f>
        <v/>
      </c>
      <c r="G4338" s="5"/>
      <c r="H4338" s="7" t="s">
        <v>4379</v>
      </c>
      <c r="I4338" s="9">
        <v>1433600</v>
      </c>
      <c r="J4338" s="10">
        <v>0.0386</v>
      </c>
    </row>
    <row r="4339" spans="1:10">
      <c r="A4339" s="7" t="s">
        <v>4373</v>
      </c>
      <c r="B4339" s="7" t="s">
        <v>6206</v>
      </c>
      <c r="C4339" s="8">
        <f>QS.CONTEXT.CREATE("market.4337",A4339,"USD","SOFR")</f>
        <v/>
      </c>
      <c r="D4339" s="8">
        <f>QS.CONTEXT.ADD.CURVE(C4339,"SOFR",$K$2:$K$7,$L$2:$L$7,,,"Actual360","LogLinear",TRUE)</f>
        <v/>
      </c>
      <c r="E4339" s="8">
        <f>QS.INSTRUMENT.SWAP("swap.4337",C4339,H4339,B4339,"USD","SOFR",I4339,J4339,0,"Actual360","Simple","Annual","Annual","Annual")</f>
        <v/>
      </c>
      <c r="F4339" s="8">
        <f>QS.TRADE.CREATE("trade.4337",C4339,E4339,A4339,"Receive")</f>
        <v/>
      </c>
      <c r="G4339" s="5"/>
      <c r="H4339" s="7" t="s">
        <v>4380</v>
      </c>
      <c r="I4339" s="9">
        <v>1433700</v>
      </c>
      <c r="J4339" s="10">
        <v>0.03870000000000001</v>
      </c>
    </row>
    <row r="4340" spans="1:10">
      <c r="A4340" s="7" t="s">
        <v>4374</v>
      </c>
      <c r="B4340" s="7" t="s">
        <v>6207</v>
      </c>
      <c r="C4340" s="8">
        <f>QS.CONTEXT.CREATE("market.4338",A4340,"USD","SOFR")</f>
        <v/>
      </c>
      <c r="D4340" s="8">
        <f>QS.CONTEXT.ADD.CURVE(C4340,"SOFR",$K$2:$K$7,$L$2:$L$7,,,"Actual360","LogLinear",TRUE)</f>
        <v/>
      </c>
      <c r="E4340" s="8">
        <f>QS.INSTRUMENT.SWAP("swap.4338",C4340,H4340,B4340,"USD","SOFR",I4340,J4340,0,"Actual360","Simple","Annual","Annual","Annual")</f>
        <v/>
      </c>
      <c r="F4340" s="8">
        <f>QS.TRADE.CREATE("trade.4338",C4340,E4340,A4340,"Receive")</f>
        <v/>
      </c>
      <c r="G4340" s="5"/>
      <c r="H4340" s="7" t="s">
        <v>4381</v>
      </c>
      <c r="I4340" s="9">
        <v>1433800</v>
      </c>
      <c r="J4340" s="10">
        <v>0.0388</v>
      </c>
    </row>
    <row r="4341" spans="1:10">
      <c r="A4341" s="7" t="s">
        <v>4375</v>
      </c>
      <c r="B4341" s="7" t="s">
        <v>6208</v>
      </c>
      <c r="C4341" s="8">
        <f>QS.CONTEXT.CREATE("market.4339",A4341,"USD","SOFR")</f>
        <v/>
      </c>
      <c r="D4341" s="8">
        <f>QS.CONTEXT.ADD.CURVE(C4341,"SOFR",$K$2:$K$7,$L$2:$L$7,,,"Actual360","LogLinear",TRUE)</f>
        <v/>
      </c>
      <c r="E4341" s="8">
        <f>QS.INSTRUMENT.SWAP("swap.4339",C4341,H4341,B4341,"USD","SOFR",I4341,J4341,0,"Actual360","Simple","Annual","Annual","Annual")</f>
        <v/>
      </c>
      <c r="F4341" s="8">
        <f>QS.TRADE.CREATE("trade.4339",C4341,E4341,A4341,"Receive")</f>
        <v/>
      </c>
      <c r="G4341" s="5"/>
      <c r="H4341" s="7" t="s">
        <v>4382</v>
      </c>
      <c r="I4341" s="9">
        <v>1433900</v>
      </c>
      <c r="J4341" s="10">
        <v>0.0389</v>
      </c>
    </row>
    <row r="4342" spans="1:10">
      <c r="A4342" s="7" t="s">
        <v>4376</v>
      </c>
      <c r="B4342" s="7" t="s">
        <v>6209</v>
      </c>
      <c r="C4342" s="8">
        <f>QS.CONTEXT.CREATE("market.4340",A4342,"USD","SOFR")</f>
        <v/>
      </c>
      <c r="D4342" s="8">
        <f>QS.CONTEXT.ADD.CURVE(C4342,"SOFR",$K$2:$K$7,$L$2:$L$7,,,"Actual360","LogLinear",TRUE)</f>
        <v/>
      </c>
      <c r="E4342" s="8">
        <f>QS.INSTRUMENT.SWAP("swap.4340",C4342,H4342,B4342,"USD","SOFR",I4342,J4342,0,"Actual360","Simple","Annual","Annual","Annual")</f>
        <v/>
      </c>
      <c r="F4342" s="8">
        <f>QS.TRADE.CREATE("trade.4340",C4342,E4342,A4342,"Receive")</f>
        <v/>
      </c>
      <c r="G4342" s="5"/>
      <c r="H4342" s="7" t="s">
        <v>4383</v>
      </c>
      <c r="I4342" s="9">
        <v>1434000</v>
      </c>
      <c r="J4342" s="10">
        <v>0.03900000000000001</v>
      </c>
    </row>
    <row r="4343" spans="1:10">
      <c r="A4343" s="7" t="s">
        <v>4377</v>
      </c>
      <c r="B4343" s="7" t="s">
        <v>6210</v>
      </c>
      <c r="C4343" s="8">
        <f>QS.CONTEXT.CREATE("market.4341",A4343,"USD","SOFR")</f>
        <v/>
      </c>
      <c r="D4343" s="8">
        <f>QS.CONTEXT.ADD.CURVE(C4343,"SOFR",$K$2:$K$7,$L$2:$L$7,,,"Actual360","LogLinear",TRUE)</f>
        <v/>
      </c>
      <c r="E4343" s="8">
        <f>QS.INSTRUMENT.SWAP("swap.4341",C4343,H4343,B4343,"USD","SOFR",I4343,J4343,0,"Actual360","Simple","Annual","Annual","Annual")</f>
        <v/>
      </c>
      <c r="F4343" s="8">
        <f>QS.TRADE.CREATE("trade.4341",C4343,E4343,A4343,"Receive")</f>
        <v/>
      </c>
      <c r="G4343" s="5"/>
      <c r="H4343" s="7" t="s">
        <v>4384</v>
      </c>
      <c r="I4343" s="9">
        <v>1434100</v>
      </c>
      <c r="J4343" s="10">
        <v>0.0391</v>
      </c>
    </row>
    <row r="4344" spans="1:10">
      <c r="A4344" s="7" t="s">
        <v>4378</v>
      </c>
      <c r="B4344" s="7" t="s">
        <v>6211</v>
      </c>
      <c r="C4344" s="8">
        <f>QS.CONTEXT.CREATE("market.4342",A4344,"USD","SOFR")</f>
        <v/>
      </c>
      <c r="D4344" s="8">
        <f>QS.CONTEXT.ADD.CURVE(C4344,"SOFR",$K$2:$K$7,$L$2:$L$7,,,"Actual360","LogLinear",TRUE)</f>
        <v/>
      </c>
      <c r="E4344" s="8">
        <f>QS.INSTRUMENT.SWAP("swap.4342",C4344,H4344,B4344,"USD","SOFR",I4344,J4344,0,"Actual360","Simple","Annual","Annual","Annual")</f>
        <v/>
      </c>
      <c r="F4344" s="8">
        <f>QS.TRADE.CREATE("trade.4342",C4344,E4344,A4344,"Receive")</f>
        <v/>
      </c>
      <c r="G4344" s="5"/>
      <c r="H4344" s="7" t="s">
        <v>4385</v>
      </c>
      <c r="I4344" s="9">
        <v>1434200</v>
      </c>
      <c r="J4344" s="10">
        <v>0.03920000000000001</v>
      </c>
    </row>
    <row r="4345" spans="1:10">
      <c r="A4345" s="7" t="s">
        <v>4379</v>
      </c>
      <c r="B4345" s="7" t="s">
        <v>6212</v>
      </c>
      <c r="C4345" s="8">
        <f>QS.CONTEXT.CREATE("market.4343",A4345,"USD","SOFR")</f>
        <v/>
      </c>
      <c r="D4345" s="8">
        <f>QS.CONTEXT.ADD.CURVE(C4345,"SOFR",$K$2:$K$7,$L$2:$L$7,,,"Actual360","LogLinear",TRUE)</f>
        <v/>
      </c>
      <c r="E4345" s="8">
        <f>QS.INSTRUMENT.SWAP("swap.4343",C4345,H4345,B4345,"USD","SOFR",I4345,J4345,0,"Actual360","Simple","Annual","Annual","Annual")</f>
        <v/>
      </c>
      <c r="F4345" s="8">
        <f>QS.TRADE.CREATE("trade.4343",C4345,E4345,A4345,"Receive")</f>
        <v/>
      </c>
      <c r="G4345" s="5"/>
      <c r="H4345" s="7" t="s">
        <v>4386</v>
      </c>
      <c r="I4345" s="9">
        <v>1434300</v>
      </c>
      <c r="J4345" s="10">
        <v>0.0393</v>
      </c>
    </row>
    <row r="4346" spans="1:10">
      <c r="A4346" s="7" t="s">
        <v>4380</v>
      </c>
      <c r="B4346" s="7" t="s">
        <v>6213</v>
      </c>
      <c r="C4346" s="8">
        <f>QS.CONTEXT.CREATE("market.4344",A4346,"USD","SOFR")</f>
        <v/>
      </c>
      <c r="D4346" s="8">
        <f>QS.CONTEXT.ADD.CURVE(C4346,"SOFR",$K$2:$K$7,$L$2:$L$7,,,"Actual360","LogLinear",TRUE)</f>
        <v/>
      </c>
      <c r="E4346" s="8">
        <f>QS.INSTRUMENT.SWAP("swap.4344",C4346,H4346,B4346,"USD","SOFR",I4346,J4346,0,"Actual360","Simple","Annual","Annual","Annual")</f>
        <v/>
      </c>
      <c r="F4346" s="8">
        <f>QS.TRADE.CREATE("trade.4344",C4346,E4346,A4346,"Receive")</f>
        <v/>
      </c>
      <c r="G4346" s="5"/>
      <c r="H4346" s="7" t="s">
        <v>4387</v>
      </c>
      <c r="I4346" s="9">
        <v>1434400</v>
      </c>
      <c r="J4346" s="10">
        <v>0.0394</v>
      </c>
    </row>
    <row r="4347" spans="1:10">
      <c r="A4347" s="7" t="s">
        <v>4381</v>
      </c>
      <c r="B4347" s="7" t="s">
        <v>6214</v>
      </c>
      <c r="C4347" s="8">
        <f>QS.CONTEXT.CREATE("market.4345",A4347,"USD","SOFR")</f>
        <v/>
      </c>
      <c r="D4347" s="8">
        <f>QS.CONTEXT.ADD.CURVE(C4347,"SOFR",$K$2:$K$7,$L$2:$L$7,,,"Actual360","LogLinear",TRUE)</f>
        <v/>
      </c>
      <c r="E4347" s="8">
        <f>QS.INSTRUMENT.SWAP("swap.4345",C4347,H4347,B4347,"USD","SOFR",I4347,J4347,0,"Actual360","Simple","Annual","Annual","Annual")</f>
        <v/>
      </c>
      <c r="F4347" s="8">
        <f>QS.TRADE.CREATE("trade.4345",C4347,E4347,A4347,"Receive")</f>
        <v/>
      </c>
      <c r="G4347" s="5"/>
      <c r="H4347" s="7" t="s">
        <v>4388</v>
      </c>
      <c r="I4347" s="9">
        <v>1434500</v>
      </c>
      <c r="J4347" s="10">
        <v>0.03950000000000001</v>
      </c>
    </row>
    <row r="4348" spans="1:10">
      <c r="A4348" s="7" t="s">
        <v>4382</v>
      </c>
      <c r="B4348" s="7" t="s">
        <v>6215</v>
      </c>
      <c r="C4348" s="8">
        <f>QS.CONTEXT.CREATE("market.4346",A4348,"USD","SOFR")</f>
        <v/>
      </c>
      <c r="D4348" s="8">
        <f>QS.CONTEXT.ADD.CURVE(C4348,"SOFR",$K$2:$K$7,$L$2:$L$7,,,"Actual360","LogLinear",TRUE)</f>
        <v/>
      </c>
      <c r="E4348" s="8">
        <f>QS.INSTRUMENT.SWAP("swap.4346",C4348,H4348,B4348,"USD","SOFR",I4348,J4348,0,"Actual360","Simple","Annual","Annual","Annual")</f>
        <v/>
      </c>
      <c r="F4348" s="8">
        <f>QS.TRADE.CREATE("trade.4346",C4348,E4348,A4348,"Receive")</f>
        <v/>
      </c>
      <c r="G4348" s="5"/>
      <c r="H4348" s="7" t="s">
        <v>4389</v>
      </c>
      <c r="I4348" s="9">
        <v>1434600</v>
      </c>
      <c r="J4348" s="10">
        <v>0.0396</v>
      </c>
    </row>
    <row r="4349" spans="1:10">
      <c r="A4349" s="7" t="s">
        <v>4383</v>
      </c>
      <c r="B4349" s="7" t="s">
        <v>6216</v>
      </c>
      <c r="C4349" s="8">
        <f>QS.CONTEXT.CREATE("market.4347",A4349,"USD","SOFR")</f>
        <v/>
      </c>
      <c r="D4349" s="8">
        <f>QS.CONTEXT.ADD.CURVE(C4349,"SOFR",$K$2:$K$7,$L$2:$L$7,,,"Actual360","LogLinear",TRUE)</f>
        <v/>
      </c>
      <c r="E4349" s="8">
        <f>QS.INSTRUMENT.SWAP("swap.4347",C4349,H4349,B4349,"USD","SOFR",I4349,J4349,0,"Actual360","Simple","Annual","Annual","Annual")</f>
        <v/>
      </c>
      <c r="F4349" s="8">
        <f>QS.TRADE.CREATE("trade.4347",C4349,E4349,A4349,"Receive")</f>
        <v/>
      </c>
      <c r="G4349" s="5"/>
      <c r="H4349" s="7" t="s">
        <v>4390</v>
      </c>
      <c r="I4349" s="9">
        <v>1434700</v>
      </c>
      <c r="J4349" s="10">
        <v>0.03970000000000001</v>
      </c>
    </row>
    <row r="4350" spans="1:10">
      <c r="A4350" s="7" t="s">
        <v>4384</v>
      </c>
      <c r="B4350" s="7" t="s">
        <v>6217</v>
      </c>
      <c r="C4350" s="8">
        <f>QS.CONTEXT.CREATE("market.4348",A4350,"USD","SOFR")</f>
        <v/>
      </c>
      <c r="D4350" s="8">
        <f>QS.CONTEXT.ADD.CURVE(C4350,"SOFR",$K$2:$K$7,$L$2:$L$7,,,"Actual360","LogLinear",TRUE)</f>
        <v/>
      </c>
      <c r="E4350" s="8">
        <f>QS.INSTRUMENT.SWAP("swap.4348",C4350,H4350,B4350,"USD","SOFR",I4350,J4350,0,"Actual360","Simple","Annual","Annual","Annual")</f>
        <v/>
      </c>
      <c r="F4350" s="8">
        <f>QS.TRADE.CREATE("trade.4348",C4350,E4350,A4350,"Receive")</f>
        <v/>
      </c>
      <c r="G4350" s="5"/>
      <c r="H4350" s="7" t="s">
        <v>4391</v>
      </c>
      <c r="I4350" s="9">
        <v>1434800</v>
      </c>
      <c r="J4350" s="10">
        <v>0.0398</v>
      </c>
    </row>
    <row r="4351" spans="1:10">
      <c r="A4351" s="7" t="s">
        <v>4385</v>
      </c>
      <c r="B4351" s="7" t="s">
        <v>6218</v>
      </c>
      <c r="C4351" s="8">
        <f>QS.CONTEXT.CREATE("market.4349",A4351,"USD","SOFR")</f>
        <v/>
      </c>
      <c r="D4351" s="8">
        <f>QS.CONTEXT.ADD.CURVE(C4351,"SOFR",$K$2:$K$7,$L$2:$L$7,,,"Actual360","LogLinear",TRUE)</f>
        <v/>
      </c>
      <c r="E4351" s="8">
        <f>QS.INSTRUMENT.SWAP("swap.4349",C4351,H4351,B4351,"USD","SOFR",I4351,J4351,0,"Actual360","Simple","Annual","Annual","Annual")</f>
        <v/>
      </c>
      <c r="F4351" s="8">
        <f>QS.TRADE.CREATE("trade.4349",C4351,E4351,A4351,"Receive")</f>
        <v/>
      </c>
      <c r="G4351" s="5"/>
      <c r="H4351" s="7" t="s">
        <v>4392</v>
      </c>
      <c r="I4351" s="9">
        <v>1434900</v>
      </c>
      <c r="J4351" s="10">
        <v>0.0399</v>
      </c>
    </row>
    <row r="4352" spans="1:10">
      <c r="A4352" s="7" t="s">
        <v>4386</v>
      </c>
      <c r="B4352" s="7" t="s">
        <v>6219</v>
      </c>
      <c r="C4352" s="8">
        <f>QS.CONTEXT.CREATE("market.4350",A4352,"USD","SOFR")</f>
        <v/>
      </c>
      <c r="D4352" s="8">
        <f>QS.CONTEXT.ADD.CURVE(C4352,"SOFR",$K$2:$K$7,$L$2:$L$7,,,"Actual360","LogLinear",TRUE)</f>
        <v/>
      </c>
      <c r="E4352" s="8">
        <f>QS.INSTRUMENT.SWAP("swap.4350",C4352,H4352,B4352,"USD","SOFR",I4352,J4352,0,"Actual360","Simple","Annual","Annual","Annual")</f>
        <v/>
      </c>
      <c r="F4352" s="8">
        <f>QS.TRADE.CREATE("trade.4350",C4352,E4352,A4352,"Receive")</f>
        <v/>
      </c>
      <c r="G4352" s="5"/>
      <c r="H4352" s="7" t="s">
        <v>4393</v>
      </c>
      <c r="I4352" s="9">
        <v>1435000</v>
      </c>
      <c r="J4352" s="10">
        <v>0.035</v>
      </c>
    </row>
    <row r="4353" spans="1:10">
      <c r="A4353" s="7" t="s">
        <v>4387</v>
      </c>
      <c r="B4353" s="7" t="s">
        <v>6220</v>
      </c>
      <c r="C4353" s="8">
        <f>QS.CONTEXT.CREATE("market.4351",A4353,"USD","SOFR")</f>
        <v/>
      </c>
      <c r="D4353" s="8">
        <f>QS.CONTEXT.ADD.CURVE(C4353,"SOFR",$K$2:$K$7,$L$2:$L$7,,,"Actual360","LogLinear",TRUE)</f>
        <v/>
      </c>
      <c r="E4353" s="8">
        <f>QS.INSTRUMENT.SWAP("swap.4351",C4353,H4353,B4353,"USD","SOFR",I4353,J4353,0,"Actual360","Simple","Annual","Annual","Annual")</f>
        <v/>
      </c>
      <c r="F4353" s="8">
        <f>QS.TRADE.CREATE("trade.4351",C4353,E4353,A4353,"Receive")</f>
        <v/>
      </c>
      <c r="G4353" s="5"/>
      <c r="H4353" s="7" t="s">
        <v>4394</v>
      </c>
      <c r="I4353" s="9">
        <v>1435100</v>
      </c>
      <c r="J4353" s="10">
        <v>0.03510000000000001</v>
      </c>
    </row>
    <row r="4354" spans="1:10">
      <c r="A4354" s="7" t="s">
        <v>4388</v>
      </c>
      <c r="B4354" s="7" t="s">
        <v>6221</v>
      </c>
      <c r="C4354" s="8">
        <f>QS.CONTEXT.CREATE("market.4352",A4354,"USD","SOFR")</f>
        <v/>
      </c>
      <c r="D4354" s="8">
        <f>QS.CONTEXT.ADD.CURVE(C4354,"SOFR",$K$2:$K$7,$L$2:$L$7,,,"Actual360","LogLinear",TRUE)</f>
        <v/>
      </c>
      <c r="E4354" s="8">
        <f>QS.INSTRUMENT.SWAP("swap.4352",C4354,H4354,B4354,"USD","SOFR",I4354,J4354,0,"Actual360","Simple","Annual","Annual","Annual")</f>
        <v/>
      </c>
      <c r="F4354" s="8">
        <f>QS.TRADE.CREATE("trade.4352",C4354,E4354,A4354,"Receive")</f>
        <v/>
      </c>
      <c r="G4354" s="5"/>
      <c r="H4354" s="7" t="s">
        <v>4395</v>
      </c>
      <c r="I4354" s="9">
        <v>1435200</v>
      </c>
      <c r="J4354" s="10">
        <v>0.0352</v>
      </c>
    </row>
    <row r="4355" spans="1:10">
      <c r="A4355" s="7" t="s">
        <v>4389</v>
      </c>
      <c r="B4355" s="7" t="s">
        <v>6222</v>
      </c>
      <c r="C4355" s="8">
        <f>QS.CONTEXT.CREATE("market.4353",A4355,"USD","SOFR")</f>
        <v/>
      </c>
      <c r="D4355" s="8">
        <f>QS.CONTEXT.ADD.CURVE(C4355,"SOFR",$K$2:$K$7,$L$2:$L$7,,,"Actual360","LogLinear",TRUE)</f>
        <v/>
      </c>
      <c r="E4355" s="8">
        <f>QS.INSTRUMENT.SWAP("swap.4353",C4355,H4355,B4355,"USD","SOFR",I4355,J4355,0,"Actual360","Simple","Annual","Annual","Annual")</f>
        <v/>
      </c>
      <c r="F4355" s="8">
        <f>QS.TRADE.CREATE("trade.4353",C4355,E4355,A4355,"Receive")</f>
        <v/>
      </c>
      <c r="G4355" s="5"/>
      <c r="H4355" s="7" t="s">
        <v>4396</v>
      </c>
      <c r="I4355" s="9">
        <v>1435300</v>
      </c>
      <c r="J4355" s="10">
        <v>0.0353</v>
      </c>
    </row>
    <row r="4356" spans="1:10">
      <c r="A4356" s="7" t="s">
        <v>4390</v>
      </c>
      <c r="B4356" s="7" t="s">
        <v>6223</v>
      </c>
      <c r="C4356" s="8">
        <f>QS.CONTEXT.CREATE("market.4354",A4356,"USD","SOFR")</f>
        <v/>
      </c>
      <c r="D4356" s="8">
        <f>QS.CONTEXT.ADD.CURVE(C4356,"SOFR",$K$2:$K$7,$L$2:$L$7,,,"Actual360","LogLinear",TRUE)</f>
        <v/>
      </c>
      <c r="E4356" s="8">
        <f>QS.INSTRUMENT.SWAP("swap.4354",C4356,H4356,B4356,"USD","SOFR",I4356,J4356,0,"Actual360","Simple","Annual","Annual","Annual")</f>
        <v/>
      </c>
      <c r="F4356" s="8">
        <f>QS.TRADE.CREATE("trade.4354",C4356,E4356,A4356,"Receive")</f>
        <v/>
      </c>
      <c r="G4356" s="5"/>
      <c r="H4356" s="7" t="s">
        <v>4397</v>
      </c>
      <c r="I4356" s="9">
        <v>1435400</v>
      </c>
      <c r="J4356" s="10">
        <v>0.0354</v>
      </c>
    </row>
    <row r="4357" spans="1:10">
      <c r="A4357" s="7" t="s">
        <v>4391</v>
      </c>
      <c r="B4357" s="7" t="s">
        <v>6224</v>
      </c>
      <c r="C4357" s="8">
        <f>QS.CONTEXT.CREATE("market.4355",A4357,"USD","SOFR")</f>
        <v/>
      </c>
      <c r="D4357" s="8">
        <f>QS.CONTEXT.ADD.CURVE(C4357,"SOFR",$K$2:$K$7,$L$2:$L$7,,,"Actual360","LogLinear",TRUE)</f>
        <v/>
      </c>
      <c r="E4357" s="8">
        <f>QS.INSTRUMENT.SWAP("swap.4355",C4357,H4357,B4357,"USD","SOFR",I4357,J4357,0,"Actual360","Simple","Annual","Annual","Annual")</f>
        <v/>
      </c>
      <c r="F4357" s="8">
        <f>QS.TRADE.CREATE("trade.4355",C4357,E4357,A4357,"Receive")</f>
        <v/>
      </c>
      <c r="G4357" s="5"/>
      <c r="H4357" s="7" t="s">
        <v>4398</v>
      </c>
      <c r="I4357" s="9">
        <v>1435500</v>
      </c>
      <c r="J4357" s="10">
        <v>0.0355</v>
      </c>
    </row>
    <row r="4358" spans="1:10">
      <c r="A4358" s="7" t="s">
        <v>4392</v>
      </c>
      <c r="B4358" s="7" t="s">
        <v>6225</v>
      </c>
      <c r="C4358" s="8">
        <f>QS.CONTEXT.CREATE("market.4356",A4358,"USD","SOFR")</f>
        <v/>
      </c>
      <c r="D4358" s="8">
        <f>QS.CONTEXT.ADD.CURVE(C4358,"SOFR",$K$2:$K$7,$L$2:$L$7,,,"Actual360","LogLinear",TRUE)</f>
        <v/>
      </c>
      <c r="E4358" s="8">
        <f>QS.INSTRUMENT.SWAP("swap.4356",C4358,H4358,B4358,"USD","SOFR",I4358,J4358,0,"Actual360","Simple","Annual","Annual","Annual")</f>
        <v/>
      </c>
      <c r="F4358" s="8">
        <f>QS.TRADE.CREATE("trade.4356",C4358,E4358,A4358,"Receive")</f>
        <v/>
      </c>
      <c r="G4358" s="5"/>
      <c r="H4358" s="7" t="s">
        <v>4399</v>
      </c>
      <c r="I4358" s="9">
        <v>1435600</v>
      </c>
      <c r="J4358" s="10">
        <v>0.03560000000000001</v>
      </c>
    </row>
    <row r="4359" spans="1:10">
      <c r="A4359" s="7" t="s">
        <v>4393</v>
      </c>
      <c r="B4359" s="7" t="s">
        <v>6226</v>
      </c>
      <c r="C4359" s="8">
        <f>QS.CONTEXT.CREATE("market.4357",A4359,"USD","SOFR")</f>
        <v/>
      </c>
      <c r="D4359" s="8">
        <f>QS.CONTEXT.ADD.CURVE(C4359,"SOFR",$K$2:$K$7,$L$2:$L$7,,,"Actual360","LogLinear",TRUE)</f>
        <v/>
      </c>
      <c r="E4359" s="8">
        <f>QS.INSTRUMENT.SWAP("swap.4357",C4359,H4359,B4359,"USD","SOFR",I4359,J4359,0,"Actual360","Simple","Annual","Annual","Annual")</f>
        <v/>
      </c>
      <c r="F4359" s="8">
        <f>QS.TRADE.CREATE("trade.4357",C4359,E4359,A4359,"Receive")</f>
        <v/>
      </c>
      <c r="G4359" s="5"/>
      <c r="H4359" s="7" t="s">
        <v>4400</v>
      </c>
      <c r="I4359" s="9">
        <v>1435700</v>
      </c>
      <c r="J4359" s="10">
        <v>0.0357</v>
      </c>
    </row>
    <row r="4360" spans="1:10">
      <c r="A4360" s="7" t="s">
        <v>4394</v>
      </c>
      <c r="B4360" s="7" t="s">
        <v>6227</v>
      </c>
      <c r="C4360" s="8">
        <f>QS.CONTEXT.CREATE("market.4358",A4360,"USD","SOFR")</f>
        <v/>
      </c>
      <c r="D4360" s="8">
        <f>QS.CONTEXT.ADD.CURVE(C4360,"SOFR",$K$2:$K$7,$L$2:$L$7,,,"Actual360","LogLinear",TRUE)</f>
        <v/>
      </c>
      <c r="E4360" s="8">
        <f>QS.INSTRUMENT.SWAP("swap.4358",C4360,H4360,B4360,"USD","SOFR",I4360,J4360,0,"Actual360","Simple","Annual","Annual","Annual")</f>
        <v/>
      </c>
      <c r="F4360" s="8">
        <f>QS.TRADE.CREATE("trade.4358",C4360,E4360,A4360,"Receive")</f>
        <v/>
      </c>
      <c r="G4360" s="5"/>
      <c r="H4360" s="7" t="s">
        <v>4401</v>
      </c>
      <c r="I4360" s="9">
        <v>1435800</v>
      </c>
      <c r="J4360" s="10">
        <v>0.03580000000000001</v>
      </c>
    </row>
    <row r="4361" spans="1:10">
      <c r="A4361" s="7" t="s">
        <v>4395</v>
      </c>
      <c r="B4361" s="7" t="s">
        <v>6228</v>
      </c>
      <c r="C4361" s="8">
        <f>QS.CONTEXT.CREATE("market.4359",A4361,"USD","SOFR")</f>
        <v/>
      </c>
      <c r="D4361" s="8">
        <f>QS.CONTEXT.ADD.CURVE(C4361,"SOFR",$K$2:$K$7,$L$2:$L$7,,,"Actual360","LogLinear",TRUE)</f>
        <v/>
      </c>
      <c r="E4361" s="8">
        <f>QS.INSTRUMENT.SWAP("swap.4359",C4361,H4361,B4361,"USD","SOFR",I4361,J4361,0,"Actual360","Simple","Annual","Annual","Annual")</f>
        <v/>
      </c>
      <c r="F4361" s="8">
        <f>QS.TRADE.CREATE("trade.4359",C4361,E4361,A4361,"Receive")</f>
        <v/>
      </c>
      <c r="G4361" s="5"/>
      <c r="H4361" s="7" t="s">
        <v>4402</v>
      </c>
      <c r="I4361" s="9">
        <v>1435900</v>
      </c>
      <c r="J4361" s="10">
        <v>0.0359</v>
      </c>
    </row>
    <row r="4362" spans="1:10">
      <c r="A4362" s="7" t="s">
        <v>4396</v>
      </c>
      <c r="B4362" s="7" t="s">
        <v>6229</v>
      </c>
      <c r="C4362" s="8">
        <f>QS.CONTEXT.CREATE("market.4360",A4362,"USD","SOFR")</f>
        <v/>
      </c>
      <c r="D4362" s="8">
        <f>QS.CONTEXT.ADD.CURVE(C4362,"SOFR",$K$2:$K$7,$L$2:$L$7,,,"Actual360","LogLinear",TRUE)</f>
        <v/>
      </c>
      <c r="E4362" s="8">
        <f>QS.INSTRUMENT.SWAP("swap.4360",C4362,H4362,B4362,"USD","SOFR",I4362,J4362,0,"Actual360","Simple","Annual","Annual","Annual")</f>
        <v/>
      </c>
      <c r="F4362" s="8">
        <f>QS.TRADE.CREATE("trade.4360",C4362,E4362,A4362,"Receive")</f>
        <v/>
      </c>
      <c r="G4362" s="5"/>
      <c r="H4362" s="7" t="s">
        <v>4403</v>
      </c>
      <c r="I4362" s="9">
        <v>1436000</v>
      </c>
      <c r="J4362" s="10">
        <v>0.036</v>
      </c>
    </row>
    <row r="4363" spans="1:10">
      <c r="A4363" s="7" t="s">
        <v>4397</v>
      </c>
      <c r="B4363" s="7" t="s">
        <v>6230</v>
      </c>
      <c r="C4363" s="8">
        <f>QS.CONTEXT.CREATE("market.4361",A4363,"USD","SOFR")</f>
        <v/>
      </c>
      <c r="D4363" s="8">
        <f>QS.CONTEXT.ADD.CURVE(C4363,"SOFR",$K$2:$K$7,$L$2:$L$7,,,"Actual360","LogLinear",TRUE)</f>
        <v/>
      </c>
      <c r="E4363" s="8">
        <f>QS.INSTRUMENT.SWAP("swap.4361",C4363,H4363,B4363,"USD","SOFR",I4363,J4363,0,"Actual360","Simple","Annual","Annual","Annual")</f>
        <v/>
      </c>
      <c r="F4363" s="8">
        <f>QS.TRADE.CREATE("trade.4361",C4363,E4363,A4363,"Receive")</f>
        <v/>
      </c>
      <c r="G4363" s="5"/>
      <c r="H4363" s="7" t="s">
        <v>4404</v>
      </c>
      <c r="I4363" s="9">
        <v>1436100</v>
      </c>
      <c r="J4363" s="10">
        <v>0.0361</v>
      </c>
    </row>
    <row r="4364" spans="1:10">
      <c r="A4364" s="7" t="s">
        <v>4398</v>
      </c>
      <c r="B4364" s="7" t="s">
        <v>6231</v>
      </c>
      <c r="C4364" s="8">
        <f>QS.CONTEXT.CREATE("market.4362",A4364,"USD","SOFR")</f>
        <v/>
      </c>
      <c r="D4364" s="8">
        <f>QS.CONTEXT.ADD.CURVE(C4364,"SOFR",$K$2:$K$7,$L$2:$L$7,,,"Actual360","LogLinear",TRUE)</f>
        <v/>
      </c>
      <c r="E4364" s="8">
        <f>QS.INSTRUMENT.SWAP("swap.4362",C4364,H4364,B4364,"USD","SOFR",I4364,J4364,0,"Actual360","Simple","Annual","Annual","Annual")</f>
        <v/>
      </c>
      <c r="F4364" s="8">
        <f>QS.TRADE.CREATE("trade.4362",C4364,E4364,A4364,"Receive")</f>
        <v/>
      </c>
      <c r="G4364" s="5"/>
      <c r="H4364" s="7" t="s">
        <v>4405</v>
      </c>
      <c r="I4364" s="9">
        <v>1436200</v>
      </c>
      <c r="J4364" s="10">
        <v>0.0362</v>
      </c>
    </row>
    <row r="4365" spans="1:10">
      <c r="A4365" s="7" t="s">
        <v>4399</v>
      </c>
      <c r="B4365" s="7" t="s">
        <v>6232</v>
      </c>
      <c r="C4365" s="8">
        <f>QS.CONTEXT.CREATE("market.4363",A4365,"USD","SOFR")</f>
        <v/>
      </c>
      <c r="D4365" s="8">
        <f>QS.CONTEXT.ADD.CURVE(C4365,"SOFR",$K$2:$K$7,$L$2:$L$7,,,"Actual360","LogLinear",TRUE)</f>
        <v/>
      </c>
      <c r="E4365" s="8">
        <f>QS.INSTRUMENT.SWAP("swap.4363",C4365,H4365,B4365,"USD","SOFR",I4365,J4365,0,"Actual360","Simple","Annual","Annual","Annual")</f>
        <v/>
      </c>
      <c r="F4365" s="8">
        <f>QS.TRADE.CREATE("trade.4363",C4365,E4365,A4365,"Receive")</f>
        <v/>
      </c>
      <c r="G4365" s="5"/>
      <c r="H4365" s="7" t="s">
        <v>4406</v>
      </c>
      <c r="I4365" s="9">
        <v>1436300</v>
      </c>
      <c r="J4365" s="10">
        <v>0.03630000000000001</v>
      </c>
    </row>
    <row r="4366" spans="1:10">
      <c r="A4366" s="7" t="s">
        <v>4400</v>
      </c>
      <c r="B4366" s="7" t="s">
        <v>6233</v>
      </c>
      <c r="C4366" s="8">
        <f>QS.CONTEXT.CREATE("market.4364",A4366,"USD","SOFR")</f>
        <v/>
      </c>
      <c r="D4366" s="8">
        <f>QS.CONTEXT.ADD.CURVE(C4366,"SOFR",$K$2:$K$7,$L$2:$L$7,,,"Actual360","LogLinear",TRUE)</f>
        <v/>
      </c>
      <c r="E4366" s="8">
        <f>QS.INSTRUMENT.SWAP("swap.4364",C4366,H4366,B4366,"USD","SOFR",I4366,J4366,0,"Actual360","Simple","Annual","Annual","Annual")</f>
        <v/>
      </c>
      <c r="F4366" s="8">
        <f>QS.TRADE.CREATE("trade.4364",C4366,E4366,A4366,"Receive")</f>
        <v/>
      </c>
      <c r="G4366" s="5"/>
      <c r="H4366" s="7" t="s">
        <v>4407</v>
      </c>
      <c r="I4366" s="9">
        <v>1436400</v>
      </c>
      <c r="J4366" s="10">
        <v>0.0364</v>
      </c>
    </row>
    <row r="4367" spans="1:10">
      <c r="A4367" s="7" t="s">
        <v>4401</v>
      </c>
      <c r="B4367" s="7" t="s">
        <v>6234</v>
      </c>
      <c r="C4367" s="8">
        <f>QS.CONTEXT.CREATE("market.4365",A4367,"USD","SOFR")</f>
        <v/>
      </c>
      <c r="D4367" s="8">
        <f>QS.CONTEXT.ADD.CURVE(C4367,"SOFR",$K$2:$K$7,$L$2:$L$7,,,"Actual360","LogLinear",TRUE)</f>
        <v/>
      </c>
      <c r="E4367" s="8">
        <f>QS.INSTRUMENT.SWAP("swap.4365",C4367,H4367,B4367,"USD","SOFR",I4367,J4367,0,"Actual360","Simple","Annual","Annual","Annual")</f>
        <v/>
      </c>
      <c r="F4367" s="8">
        <f>QS.TRADE.CREATE("trade.4365",C4367,E4367,A4367,"Receive")</f>
        <v/>
      </c>
      <c r="G4367" s="5"/>
      <c r="H4367" s="7" t="s">
        <v>4408</v>
      </c>
      <c r="I4367" s="9">
        <v>1436500</v>
      </c>
      <c r="J4367" s="10">
        <v>0.0365</v>
      </c>
    </row>
    <row r="4368" spans="1:10">
      <c r="A4368" s="7" t="s">
        <v>4402</v>
      </c>
      <c r="B4368" s="7" t="s">
        <v>6235</v>
      </c>
      <c r="C4368" s="8">
        <f>QS.CONTEXT.CREATE("market.4366",A4368,"USD","SOFR")</f>
        <v/>
      </c>
      <c r="D4368" s="8">
        <f>QS.CONTEXT.ADD.CURVE(C4368,"SOFR",$K$2:$K$7,$L$2:$L$7,,,"Actual360","LogLinear",TRUE)</f>
        <v/>
      </c>
      <c r="E4368" s="8">
        <f>QS.INSTRUMENT.SWAP("swap.4366",C4368,H4368,B4368,"USD","SOFR",I4368,J4368,0,"Actual360","Simple","Annual","Annual","Annual")</f>
        <v/>
      </c>
      <c r="F4368" s="8">
        <f>QS.TRADE.CREATE("trade.4366",C4368,E4368,A4368,"Receive")</f>
        <v/>
      </c>
      <c r="G4368" s="5"/>
      <c r="H4368" s="7" t="s">
        <v>4409</v>
      </c>
      <c r="I4368" s="9">
        <v>1436600</v>
      </c>
      <c r="J4368" s="10">
        <v>0.0366</v>
      </c>
    </row>
    <row r="4369" spans="1:10">
      <c r="A4369" s="7" t="s">
        <v>4403</v>
      </c>
      <c r="B4369" s="7" t="s">
        <v>6236</v>
      </c>
      <c r="C4369" s="8">
        <f>QS.CONTEXT.CREATE("market.4367",A4369,"USD","SOFR")</f>
        <v/>
      </c>
      <c r="D4369" s="8">
        <f>QS.CONTEXT.ADD.CURVE(C4369,"SOFR",$K$2:$K$7,$L$2:$L$7,,,"Actual360","LogLinear",TRUE)</f>
        <v/>
      </c>
      <c r="E4369" s="8">
        <f>QS.INSTRUMENT.SWAP("swap.4367",C4369,H4369,B4369,"USD","SOFR",I4369,J4369,0,"Actual360","Simple","Annual","Annual","Annual")</f>
        <v/>
      </c>
      <c r="F4369" s="8">
        <f>QS.TRADE.CREATE("trade.4367",C4369,E4369,A4369,"Receive")</f>
        <v/>
      </c>
      <c r="G4369" s="5"/>
      <c r="H4369" s="7" t="s">
        <v>4410</v>
      </c>
      <c r="I4369" s="9">
        <v>1436700</v>
      </c>
      <c r="J4369" s="10">
        <v>0.0367</v>
      </c>
    </row>
    <row r="4370" spans="1:10">
      <c r="A4370" s="7" t="s">
        <v>4404</v>
      </c>
      <c r="B4370" s="7" t="s">
        <v>6237</v>
      </c>
      <c r="C4370" s="8">
        <f>QS.CONTEXT.CREATE("market.4368",A4370,"USD","SOFR")</f>
        <v/>
      </c>
      <c r="D4370" s="8">
        <f>QS.CONTEXT.ADD.CURVE(C4370,"SOFR",$K$2:$K$7,$L$2:$L$7,,,"Actual360","LogLinear",TRUE)</f>
        <v/>
      </c>
      <c r="E4370" s="8">
        <f>QS.INSTRUMENT.SWAP("swap.4368",C4370,H4370,B4370,"USD","SOFR",I4370,J4370,0,"Actual360","Simple","Annual","Annual","Annual")</f>
        <v/>
      </c>
      <c r="F4370" s="8">
        <f>QS.TRADE.CREATE("trade.4368",C4370,E4370,A4370,"Receive")</f>
        <v/>
      </c>
      <c r="G4370" s="5"/>
      <c r="H4370" s="7" t="s">
        <v>4411</v>
      </c>
      <c r="I4370" s="9">
        <v>1436800</v>
      </c>
      <c r="J4370" s="10">
        <v>0.03680000000000001</v>
      </c>
    </row>
    <row r="4371" spans="1:10">
      <c r="A4371" s="7" t="s">
        <v>4405</v>
      </c>
      <c r="B4371" s="7" t="s">
        <v>6238</v>
      </c>
      <c r="C4371" s="8">
        <f>QS.CONTEXT.CREATE("market.4369",A4371,"USD","SOFR")</f>
        <v/>
      </c>
      <c r="D4371" s="8">
        <f>QS.CONTEXT.ADD.CURVE(C4371,"SOFR",$K$2:$K$7,$L$2:$L$7,,,"Actual360","LogLinear",TRUE)</f>
        <v/>
      </c>
      <c r="E4371" s="8">
        <f>QS.INSTRUMENT.SWAP("swap.4369",C4371,H4371,B4371,"USD","SOFR",I4371,J4371,0,"Actual360","Simple","Annual","Annual","Annual")</f>
        <v/>
      </c>
      <c r="F4371" s="8">
        <f>QS.TRADE.CREATE("trade.4369",C4371,E4371,A4371,"Receive")</f>
        <v/>
      </c>
      <c r="G4371" s="5"/>
      <c r="H4371" s="7" t="s">
        <v>4412</v>
      </c>
      <c r="I4371" s="9">
        <v>1436900</v>
      </c>
      <c r="J4371" s="10">
        <v>0.0369</v>
      </c>
    </row>
    <row r="4372" spans="1:10">
      <c r="A4372" s="7" t="s">
        <v>4406</v>
      </c>
      <c r="B4372" s="7" t="s">
        <v>6239</v>
      </c>
      <c r="C4372" s="8">
        <f>QS.CONTEXT.CREATE("market.4370",A4372,"USD","SOFR")</f>
        <v/>
      </c>
      <c r="D4372" s="8">
        <f>QS.CONTEXT.ADD.CURVE(C4372,"SOFR",$K$2:$K$7,$L$2:$L$7,,,"Actual360","LogLinear",TRUE)</f>
        <v/>
      </c>
      <c r="E4372" s="8">
        <f>QS.INSTRUMENT.SWAP("swap.4370",C4372,H4372,B4372,"USD","SOFR",I4372,J4372,0,"Actual360","Simple","Annual","Annual","Annual")</f>
        <v/>
      </c>
      <c r="F4372" s="8">
        <f>QS.TRADE.CREATE("trade.4370",C4372,E4372,A4372,"Receive")</f>
        <v/>
      </c>
      <c r="G4372" s="5"/>
      <c r="H4372" s="7" t="s">
        <v>4413</v>
      </c>
      <c r="I4372" s="9">
        <v>1437000</v>
      </c>
      <c r="J4372" s="10">
        <v>0.03700000000000001</v>
      </c>
    </row>
    <row r="4373" spans="1:10">
      <c r="A4373" s="7" t="s">
        <v>4407</v>
      </c>
      <c r="B4373" s="7" t="s">
        <v>6240</v>
      </c>
      <c r="C4373" s="8">
        <f>QS.CONTEXT.CREATE("market.4371",A4373,"USD","SOFR")</f>
        <v/>
      </c>
      <c r="D4373" s="8">
        <f>QS.CONTEXT.ADD.CURVE(C4373,"SOFR",$K$2:$K$7,$L$2:$L$7,,,"Actual360","LogLinear",TRUE)</f>
        <v/>
      </c>
      <c r="E4373" s="8">
        <f>QS.INSTRUMENT.SWAP("swap.4371",C4373,H4373,B4373,"USD","SOFR",I4373,J4373,0,"Actual360","Simple","Annual","Annual","Annual")</f>
        <v/>
      </c>
      <c r="F4373" s="8">
        <f>QS.TRADE.CREATE("trade.4371",C4373,E4373,A4373,"Receive")</f>
        <v/>
      </c>
      <c r="G4373" s="5"/>
      <c r="H4373" s="7" t="s">
        <v>4414</v>
      </c>
      <c r="I4373" s="9">
        <v>1437100</v>
      </c>
      <c r="J4373" s="10">
        <v>0.0371</v>
      </c>
    </row>
    <row r="4374" spans="1:10">
      <c r="A4374" s="7" t="s">
        <v>4408</v>
      </c>
      <c r="B4374" s="7" t="s">
        <v>6241</v>
      </c>
      <c r="C4374" s="8">
        <f>QS.CONTEXT.CREATE("market.4372",A4374,"USD","SOFR")</f>
        <v/>
      </c>
      <c r="D4374" s="8">
        <f>QS.CONTEXT.ADD.CURVE(C4374,"SOFR",$K$2:$K$7,$L$2:$L$7,,,"Actual360","LogLinear",TRUE)</f>
        <v/>
      </c>
      <c r="E4374" s="8">
        <f>QS.INSTRUMENT.SWAP("swap.4372",C4374,H4374,B4374,"USD","SOFR",I4374,J4374,0,"Actual360","Simple","Annual","Annual","Annual")</f>
        <v/>
      </c>
      <c r="F4374" s="8">
        <f>QS.TRADE.CREATE("trade.4372",C4374,E4374,A4374,"Receive")</f>
        <v/>
      </c>
      <c r="G4374" s="5"/>
      <c r="H4374" s="7" t="s">
        <v>4415</v>
      </c>
      <c r="I4374" s="9">
        <v>1437200</v>
      </c>
      <c r="J4374" s="10">
        <v>0.0372</v>
      </c>
    </row>
    <row r="4375" spans="1:10">
      <c r="A4375" s="7" t="s">
        <v>4409</v>
      </c>
      <c r="B4375" s="7" t="s">
        <v>6242</v>
      </c>
      <c r="C4375" s="8">
        <f>QS.CONTEXT.CREATE("market.4373",A4375,"USD","SOFR")</f>
        <v/>
      </c>
      <c r="D4375" s="8">
        <f>QS.CONTEXT.ADD.CURVE(C4375,"SOFR",$K$2:$K$7,$L$2:$L$7,,,"Actual360","LogLinear",TRUE)</f>
        <v/>
      </c>
      <c r="E4375" s="8">
        <f>QS.INSTRUMENT.SWAP("swap.4373",C4375,H4375,B4375,"USD","SOFR",I4375,J4375,0,"Actual360","Simple","Annual","Annual","Annual")</f>
        <v/>
      </c>
      <c r="F4375" s="8">
        <f>QS.TRADE.CREATE("trade.4373",C4375,E4375,A4375,"Receive")</f>
        <v/>
      </c>
      <c r="G4375" s="5"/>
      <c r="H4375" s="7" t="s">
        <v>4416</v>
      </c>
      <c r="I4375" s="9">
        <v>1437300</v>
      </c>
      <c r="J4375" s="10">
        <v>0.0373</v>
      </c>
    </row>
    <row r="4376" spans="1:10">
      <c r="A4376" s="7" t="s">
        <v>4410</v>
      </c>
      <c r="B4376" s="7" t="s">
        <v>6243</v>
      </c>
      <c r="C4376" s="8">
        <f>QS.CONTEXT.CREATE("market.4374",A4376,"USD","SOFR")</f>
        <v/>
      </c>
      <c r="D4376" s="8">
        <f>QS.CONTEXT.ADD.CURVE(C4376,"SOFR",$K$2:$K$7,$L$2:$L$7,,,"Actual360","LogLinear",TRUE)</f>
        <v/>
      </c>
      <c r="E4376" s="8">
        <f>QS.INSTRUMENT.SWAP("swap.4374",C4376,H4376,B4376,"USD","SOFR",I4376,J4376,0,"Actual360","Simple","Annual","Annual","Annual")</f>
        <v/>
      </c>
      <c r="F4376" s="8">
        <f>QS.TRADE.CREATE("trade.4374",C4376,E4376,A4376,"Receive")</f>
        <v/>
      </c>
      <c r="G4376" s="5"/>
      <c r="H4376" s="7" t="s">
        <v>4417</v>
      </c>
      <c r="I4376" s="9">
        <v>1437400</v>
      </c>
      <c r="J4376" s="10">
        <v>0.0374</v>
      </c>
    </row>
    <row r="4377" spans="1:10">
      <c r="A4377" s="7" t="s">
        <v>4411</v>
      </c>
      <c r="B4377" s="7" t="s">
        <v>6244</v>
      </c>
      <c r="C4377" s="8">
        <f>QS.CONTEXT.CREATE("market.4375",A4377,"USD","SOFR")</f>
        <v/>
      </c>
      <c r="D4377" s="8">
        <f>QS.CONTEXT.ADD.CURVE(C4377,"SOFR",$K$2:$K$7,$L$2:$L$7,,,"Actual360","LogLinear",TRUE)</f>
        <v/>
      </c>
      <c r="E4377" s="8">
        <f>QS.INSTRUMENT.SWAP("swap.4375",C4377,H4377,B4377,"USD","SOFR",I4377,J4377,0,"Actual360","Simple","Annual","Annual","Annual")</f>
        <v/>
      </c>
      <c r="F4377" s="8">
        <f>QS.TRADE.CREATE("trade.4375",C4377,E4377,A4377,"Receive")</f>
        <v/>
      </c>
      <c r="G4377" s="5"/>
      <c r="H4377" s="7" t="s">
        <v>4418</v>
      </c>
      <c r="I4377" s="9">
        <v>1437500</v>
      </c>
      <c r="J4377" s="10">
        <v>0.03750000000000001</v>
      </c>
    </row>
    <row r="4378" spans="1:10">
      <c r="A4378" s="7" t="s">
        <v>4412</v>
      </c>
      <c r="B4378" s="7" t="s">
        <v>6245</v>
      </c>
      <c r="C4378" s="8">
        <f>QS.CONTEXT.CREATE("market.4376",A4378,"USD","SOFR")</f>
        <v/>
      </c>
      <c r="D4378" s="8">
        <f>QS.CONTEXT.ADD.CURVE(C4378,"SOFR",$K$2:$K$7,$L$2:$L$7,,,"Actual360","LogLinear",TRUE)</f>
        <v/>
      </c>
      <c r="E4378" s="8">
        <f>QS.INSTRUMENT.SWAP("swap.4376",C4378,H4378,B4378,"USD","SOFR",I4378,J4378,0,"Actual360","Simple","Annual","Annual","Annual")</f>
        <v/>
      </c>
      <c r="F4378" s="8">
        <f>QS.TRADE.CREATE("trade.4376",C4378,E4378,A4378,"Receive")</f>
        <v/>
      </c>
      <c r="G4378" s="5"/>
      <c r="H4378" s="7" t="s">
        <v>4419</v>
      </c>
      <c r="I4378" s="9">
        <v>1437600</v>
      </c>
      <c r="J4378" s="10">
        <v>0.0376</v>
      </c>
    </row>
    <row r="4379" spans="1:10">
      <c r="A4379" s="7" t="s">
        <v>4413</v>
      </c>
      <c r="B4379" s="7" t="s">
        <v>6246</v>
      </c>
      <c r="C4379" s="8">
        <f>QS.CONTEXT.CREATE("market.4377",A4379,"USD","SOFR")</f>
        <v/>
      </c>
      <c r="D4379" s="8">
        <f>QS.CONTEXT.ADD.CURVE(C4379,"SOFR",$K$2:$K$7,$L$2:$L$7,,,"Actual360","LogLinear",TRUE)</f>
        <v/>
      </c>
      <c r="E4379" s="8">
        <f>QS.INSTRUMENT.SWAP("swap.4377",C4379,H4379,B4379,"USD","SOFR",I4379,J4379,0,"Actual360","Simple","Annual","Annual","Annual")</f>
        <v/>
      </c>
      <c r="F4379" s="8">
        <f>QS.TRADE.CREATE("trade.4377",C4379,E4379,A4379,"Receive")</f>
        <v/>
      </c>
      <c r="G4379" s="5"/>
      <c r="H4379" s="7" t="s">
        <v>4420</v>
      </c>
      <c r="I4379" s="9">
        <v>1437700</v>
      </c>
      <c r="J4379" s="10">
        <v>0.0377</v>
      </c>
    </row>
    <row r="4380" spans="1:10">
      <c r="A4380" s="7" t="s">
        <v>4414</v>
      </c>
      <c r="B4380" s="7" t="s">
        <v>6247</v>
      </c>
      <c r="C4380" s="8">
        <f>QS.CONTEXT.CREATE("market.4378",A4380,"USD","SOFR")</f>
        <v/>
      </c>
      <c r="D4380" s="8">
        <f>QS.CONTEXT.ADD.CURVE(C4380,"SOFR",$K$2:$K$7,$L$2:$L$7,,,"Actual360","LogLinear",TRUE)</f>
        <v/>
      </c>
      <c r="E4380" s="8">
        <f>QS.INSTRUMENT.SWAP("swap.4378",C4380,H4380,B4380,"USD","SOFR",I4380,J4380,0,"Actual360","Simple","Annual","Annual","Annual")</f>
        <v/>
      </c>
      <c r="F4380" s="8">
        <f>QS.TRADE.CREATE("trade.4378",C4380,E4380,A4380,"Receive")</f>
        <v/>
      </c>
      <c r="G4380" s="5"/>
      <c r="H4380" s="7" t="s">
        <v>4421</v>
      </c>
      <c r="I4380" s="9">
        <v>1437800</v>
      </c>
      <c r="J4380" s="10">
        <v>0.0378</v>
      </c>
    </row>
    <row r="4381" spans="1:10">
      <c r="A4381" s="7" t="s">
        <v>4415</v>
      </c>
      <c r="B4381" s="7" t="s">
        <v>6248</v>
      </c>
      <c r="C4381" s="8">
        <f>QS.CONTEXT.CREATE("market.4379",A4381,"USD","SOFR")</f>
        <v/>
      </c>
      <c r="D4381" s="8">
        <f>QS.CONTEXT.ADD.CURVE(C4381,"SOFR",$K$2:$K$7,$L$2:$L$7,,,"Actual360","LogLinear",TRUE)</f>
        <v/>
      </c>
      <c r="E4381" s="8">
        <f>QS.INSTRUMENT.SWAP("swap.4379",C4381,H4381,B4381,"USD","SOFR",I4381,J4381,0,"Actual360","Simple","Annual","Annual","Annual")</f>
        <v/>
      </c>
      <c r="F4381" s="8">
        <f>QS.TRADE.CREATE("trade.4379",C4381,E4381,A4381,"Receive")</f>
        <v/>
      </c>
      <c r="G4381" s="5"/>
      <c r="H4381" s="7" t="s">
        <v>4422</v>
      </c>
      <c r="I4381" s="9">
        <v>1437900</v>
      </c>
      <c r="J4381" s="10">
        <v>0.0379</v>
      </c>
    </row>
    <row r="4382" spans="1:10">
      <c r="A4382" s="7" t="s">
        <v>4416</v>
      </c>
      <c r="B4382" s="7" t="s">
        <v>6249</v>
      </c>
      <c r="C4382" s="8">
        <f>QS.CONTEXT.CREATE("market.4380",A4382,"USD","SOFR")</f>
        <v/>
      </c>
      <c r="D4382" s="8">
        <f>QS.CONTEXT.ADD.CURVE(C4382,"SOFR",$K$2:$K$7,$L$2:$L$7,,,"Actual360","LogLinear",TRUE)</f>
        <v/>
      </c>
      <c r="E4382" s="8">
        <f>QS.INSTRUMENT.SWAP("swap.4380",C4382,H4382,B4382,"USD","SOFR",I4382,J4382,0,"Actual360","Simple","Annual","Annual","Annual")</f>
        <v/>
      </c>
      <c r="F4382" s="8">
        <f>QS.TRADE.CREATE("trade.4380",C4382,E4382,A4382,"Receive")</f>
        <v/>
      </c>
      <c r="G4382" s="5"/>
      <c r="H4382" s="7" t="s">
        <v>4423</v>
      </c>
      <c r="I4382" s="9">
        <v>1438000</v>
      </c>
      <c r="J4382" s="10">
        <v>0.03800000000000001</v>
      </c>
    </row>
    <row r="4383" spans="1:10">
      <c r="A4383" s="7" t="s">
        <v>4417</v>
      </c>
      <c r="B4383" s="7" t="s">
        <v>6250</v>
      </c>
      <c r="C4383" s="8">
        <f>QS.CONTEXT.CREATE("market.4381",A4383,"USD","SOFR")</f>
        <v/>
      </c>
      <c r="D4383" s="8">
        <f>QS.CONTEXT.ADD.CURVE(C4383,"SOFR",$K$2:$K$7,$L$2:$L$7,,,"Actual360","LogLinear",TRUE)</f>
        <v/>
      </c>
      <c r="E4383" s="8">
        <f>QS.INSTRUMENT.SWAP("swap.4381",C4383,H4383,B4383,"USD","SOFR",I4383,J4383,0,"Actual360","Simple","Annual","Annual","Annual")</f>
        <v/>
      </c>
      <c r="F4383" s="8">
        <f>QS.TRADE.CREATE("trade.4381",C4383,E4383,A4383,"Receive")</f>
        <v/>
      </c>
      <c r="G4383" s="5"/>
      <c r="H4383" s="7" t="s">
        <v>4424</v>
      </c>
      <c r="I4383" s="9">
        <v>1438100</v>
      </c>
      <c r="J4383" s="10">
        <v>0.0381</v>
      </c>
    </row>
    <row r="4384" spans="1:10">
      <c r="A4384" s="7" t="s">
        <v>4418</v>
      </c>
      <c r="B4384" s="7" t="s">
        <v>6251</v>
      </c>
      <c r="C4384" s="8">
        <f>QS.CONTEXT.CREATE("market.4382",A4384,"USD","SOFR")</f>
        <v/>
      </c>
      <c r="D4384" s="8">
        <f>QS.CONTEXT.ADD.CURVE(C4384,"SOFR",$K$2:$K$7,$L$2:$L$7,,,"Actual360","LogLinear",TRUE)</f>
        <v/>
      </c>
      <c r="E4384" s="8">
        <f>QS.INSTRUMENT.SWAP("swap.4382",C4384,H4384,B4384,"USD","SOFR",I4384,J4384,0,"Actual360","Simple","Annual","Annual","Annual")</f>
        <v/>
      </c>
      <c r="F4384" s="8">
        <f>QS.TRADE.CREATE("trade.4382",C4384,E4384,A4384,"Receive")</f>
        <v/>
      </c>
      <c r="G4384" s="5"/>
      <c r="H4384" s="7" t="s">
        <v>4425</v>
      </c>
      <c r="I4384" s="9">
        <v>1438200</v>
      </c>
      <c r="J4384" s="10">
        <v>0.0382</v>
      </c>
    </row>
    <row r="4385" spans="1:10">
      <c r="A4385" s="7" t="s">
        <v>4419</v>
      </c>
      <c r="B4385" s="7" t="s">
        <v>6252</v>
      </c>
      <c r="C4385" s="8">
        <f>QS.CONTEXT.CREATE("market.4383",A4385,"USD","SOFR")</f>
        <v/>
      </c>
      <c r="D4385" s="8">
        <f>QS.CONTEXT.ADD.CURVE(C4385,"SOFR",$K$2:$K$7,$L$2:$L$7,,,"Actual360","LogLinear",TRUE)</f>
        <v/>
      </c>
      <c r="E4385" s="8">
        <f>QS.INSTRUMENT.SWAP("swap.4383",C4385,H4385,B4385,"USD","SOFR",I4385,J4385,0,"Actual360","Simple","Annual","Annual","Annual")</f>
        <v/>
      </c>
      <c r="F4385" s="8">
        <f>QS.TRADE.CREATE("trade.4383",C4385,E4385,A4385,"Receive")</f>
        <v/>
      </c>
      <c r="G4385" s="5"/>
      <c r="H4385" s="7" t="s">
        <v>4426</v>
      </c>
      <c r="I4385" s="9">
        <v>1438300</v>
      </c>
      <c r="J4385" s="10">
        <v>0.0383</v>
      </c>
    </row>
    <row r="4386" spans="1:10">
      <c r="A4386" s="7" t="s">
        <v>4420</v>
      </c>
      <c r="B4386" s="7" t="s">
        <v>6253</v>
      </c>
      <c r="C4386" s="8">
        <f>QS.CONTEXT.CREATE("market.4384",A4386,"USD","SOFR")</f>
        <v/>
      </c>
      <c r="D4386" s="8">
        <f>QS.CONTEXT.ADD.CURVE(C4386,"SOFR",$K$2:$K$7,$L$2:$L$7,,,"Actual360","LogLinear",TRUE)</f>
        <v/>
      </c>
      <c r="E4386" s="8">
        <f>QS.INSTRUMENT.SWAP("swap.4384",C4386,H4386,B4386,"USD","SOFR",I4386,J4386,0,"Actual360","Simple","Annual","Annual","Annual")</f>
        <v/>
      </c>
      <c r="F4386" s="8">
        <f>QS.TRADE.CREATE("trade.4384",C4386,E4386,A4386,"Receive")</f>
        <v/>
      </c>
      <c r="G4386" s="5"/>
      <c r="H4386" s="7" t="s">
        <v>4427</v>
      </c>
      <c r="I4386" s="9">
        <v>1438400</v>
      </c>
      <c r="J4386" s="10">
        <v>0.0384</v>
      </c>
    </row>
    <row r="4387" spans="1:10">
      <c r="A4387" s="7" t="s">
        <v>4421</v>
      </c>
      <c r="B4387" s="7" t="s">
        <v>6254</v>
      </c>
      <c r="C4387" s="8">
        <f>QS.CONTEXT.CREATE("market.4385",A4387,"USD","SOFR")</f>
        <v/>
      </c>
      <c r="D4387" s="8">
        <f>QS.CONTEXT.ADD.CURVE(C4387,"SOFR",$K$2:$K$7,$L$2:$L$7,,,"Actual360","LogLinear",TRUE)</f>
        <v/>
      </c>
      <c r="E4387" s="8">
        <f>QS.INSTRUMENT.SWAP("swap.4385",C4387,H4387,B4387,"USD","SOFR",I4387,J4387,0,"Actual360","Simple","Annual","Annual","Annual")</f>
        <v/>
      </c>
      <c r="F4387" s="8">
        <f>QS.TRADE.CREATE("trade.4385",C4387,E4387,A4387,"Receive")</f>
        <v/>
      </c>
      <c r="G4387" s="5"/>
      <c r="H4387" s="7" t="s">
        <v>4428</v>
      </c>
      <c r="I4387" s="9">
        <v>1438500</v>
      </c>
      <c r="J4387" s="10">
        <v>0.03850000000000001</v>
      </c>
    </row>
    <row r="4388" spans="1:10">
      <c r="A4388" s="7" t="s">
        <v>4422</v>
      </c>
      <c r="B4388" s="7" t="s">
        <v>6255</v>
      </c>
      <c r="C4388" s="8">
        <f>QS.CONTEXT.CREATE("market.4386",A4388,"USD","SOFR")</f>
        <v/>
      </c>
      <c r="D4388" s="8">
        <f>QS.CONTEXT.ADD.CURVE(C4388,"SOFR",$K$2:$K$7,$L$2:$L$7,,,"Actual360","LogLinear",TRUE)</f>
        <v/>
      </c>
      <c r="E4388" s="8">
        <f>QS.INSTRUMENT.SWAP("swap.4386",C4388,H4388,B4388,"USD","SOFR",I4388,J4388,0,"Actual360","Simple","Annual","Annual","Annual")</f>
        <v/>
      </c>
      <c r="F4388" s="8">
        <f>QS.TRADE.CREATE("trade.4386",C4388,E4388,A4388,"Receive")</f>
        <v/>
      </c>
      <c r="G4388" s="5"/>
      <c r="H4388" s="7" t="s">
        <v>4429</v>
      </c>
      <c r="I4388" s="9">
        <v>1438600</v>
      </c>
      <c r="J4388" s="10">
        <v>0.0386</v>
      </c>
    </row>
    <row r="4389" spans="1:10">
      <c r="A4389" s="7" t="s">
        <v>4423</v>
      </c>
      <c r="B4389" s="7" t="s">
        <v>6256</v>
      </c>
      <c r="C4389" s="8">
        <f>QS.CONTEXT.CREATE("market.4387",A4389,"USD","SOFR")</f>
        <v/>
      </c>
      <c r="D4389" s="8">
        <f>QS.CONTEXT.ADD.CURVE(C4389,"SOFR",$K$2:$K$7,$L$2:$L$7,,,"Actual360","LogLinear",TRUE)</f>
        <v/>
      </c>
      <c r="E4389" s="8">
        <f>QS.INSTRUMENT.SWAP("swap.4387",C4389,H4389,B4389,"USD","SOFR",I4389,J4389,0,"Actual360","Simple","Annual","Annual","Annual")</f>
        <v/>
      </c>
      <c r="F4389" s="8">
        <f>QS.TRADE.CREATE("trade.4387",C4389,E4389,A4389,"Receive")</f>
        <v/>
      </c>
      <c r="G4389" s="5"/>
      <c r="H4389" s="7" t="s">
        <v>4430</v>
      </c>
      <c r="I4389" s="9">
        <v>1438700</v>
      </c>
      <c r="J4389" s="10">
        <v>0.03870000000000001</v>
      </c>
    </row>
    <row r="4390" spans="1:10">
      <c r="A4390" s="7" t="s">
        <v>4424</v>
      </c>
      <c r="B4390" s="7" t="s">
        <v>6257</v>
      </c>
      <c r="C4390" s="8">
        <f>QS.CONTEXT.CREATE("market.4388",A4390,"USD","SOFR")</f>
        <v/>
      </c>
      <c r="D4390" s="8">
        <f>QS.CONTEXT.ADD.CURVE(C4390,"SOFR",$K$2:$K$7,$L$2:$L$7,,,"Actual360","LogLinear",TRUE)</f>
        <v/>
      </c>
      <c r="E4390" s="8">
        <f>QS.INSTRUMENT.SWAP("swap.4388",C4390,H4390,B4390,"USD","SOFR",I4390,J4390,0,"Actual360","Simple","Annual","Annual","Annual")</f>
        <v/>
      </c>
      <c r="F4390" s="8">
        <f>QS.TRADE.CREATE("trade.4388",C4390,E4390,A4390,"Receive")</f>
        <v/>
      </c>
      <c r="G4390" s="5"/>
      <c r="H4390" s="7" t="s">
        <v>4431</v>
      </c>
      <c r="I4390" s="9">
        <v>1438800</v>
      </c>
      <c r="J4390" s="10">
        <v>0.0388</v>
      </c>
    </row>
    <row r="4391" spans="1:10">
      <c r="A4391" s="7" t="s">
        <v>4425</v>
      </c>
      <c r="B4391" s="7" t="s">
        <v>6258</v>
      </c>
      <c r="C4391" s="8">
        <f>QS.CONTEXT.CREATE("market.4389",A4391,"USD","SOFR")</f>
        <v/>
      </c>
      <c r="D4391" s="8">
        <f>QS.CONTEXT.ADD.CURVE(C4391,"SOFR",$K$2:$K$7,$L$2:$L$7,,,"Actual360","LogLinear",TRUE)</f>
        <v/>
      </c>
      <c r="E4391" s="8">
        <f>QS.INSTRUMENT.SWAP("swap.4389",C4391,H4391,B4391,"USD","SOFR",I4391,J4391,0,"Actual360","Simple","Annual","Annual","Annual")</f>
        <v/>
      </c>
      <c r="F4391" s="8">
        <f>QS.TRADE.CREATE("trade.4389",C4391,E4391,A4391,"Receive")</f>
        <v/>
      </c>
      <c r="G4391" s="5"/>
      <c r="H4391" s="7" t="s">
        <v>4432</v>
      </c>
      <c r="I4391" s="9">
        <v>1438900</v>
      </c>
      <c r="J4391" s="10">
        <v>0.0389</v>
      </c>
    </row>
    <row r="4392" spans="1:10">
      <c r="A4392" s="7" t="s">
        <v>4426</v>
      </c>
      <c r="B4392" s="7" t="s">
        <v>6259</v>
      </c>
      <c r="C4392" s="8">
        <f>QS.CONTEXT.CREATE("market.4390",A4392,"USD","SOFR")</f>
        <v/>
      </c>
      <c r="D4392" s="8">
        <f>QS.CONTEXT.ADD.CURVE(C4392,"SOFR",$K$2:$K$7,$L$2:$L$7,,,"Actual360","LogLinear",TRUE)</f>
        <v/>
      </c>
      <c r="E4392" s="8">
        <f>QS.INSTRUMENT.SWAP("swap.4390",C4392,H4392,B4392,"USD","SOFR",I4392,J4392,0,"Actual360","Simple","Annual","Annual","Annual")</f>
        <v/>
      </c>
      <c r="F4392" s="8">
        <f>QS.TRADE.CREATE("trade.4390",C4392,E4392,A4392,"Receive")</f>
        <v/>
      </c>
      <c r="G4392" s="5"/>
      <c r="H4392" s="7" t="s">
        <v>4433</v>
      </c>
      <c r="I4392" s="9">
        <v>1439000</v>
      </c>
      <c r="J4392" s="10">
        <v>0.03900000000000001</v>
      </c>
    </row>
    <row r="4393" spans="1:10">
      <c r="A4393" s="7" t="s">
        <v>4427</v>
      </c>
      <c r="B4393" s="7" t="s">
        <v>6260</v>
      </c>
      <c r="C4393" s="8">
        <f>QS.CONTEXT.CREATE("market.4391",A4393,"USD","SOFR")</f>
        <v/>
      </c>
      <c r="D4393" s="8">
        <f>QS.CONTEXT.ADD.CURVE(C4393,"SOFR",$K$2:$K$7,$L$2:$L$7,,,"Actual360","LogLinear",TRUE)</f>
        <v/>
      </c>
      <c r="E4393" s="8">
        <f>QS.INSTRUMENT.SWAP("swap.4391",C4393,H4393,B4393,"USD","SOFR",I4393,J4393,0,"Actual360","Simple","Annual","Annual","Annual")</f>
        <v/>
      </c>
      <c r="F4393" s="8">
        <f>QS.TRADE.CREATE("trade.4391",C4393,E4393,A4393,"Receive")</f>
        <v/>
      </c>
      <c r="G4393" s="5"/>
      <c r="H4393" s="7" t="s">
        <v>4434</v>
      </c>
      <c r="I4393" s="9">
        <v>1439100</v>
      </c>
      <c r="J4393" s="10">
        <v>0.0391</v>
      </c>
    </row>
    <row r="4394" spans="1:10">
      <c r="A4394" s="7" t="s">
        <v>4428</v>
      </c>
      <c r="B4394" s="7" t="s">
        <v>6261</v>
      </c>
      <c r="C4394" s="8">
        <f>QS.CONTEXT.CREATE("market.4392",A4394,"USD","SOFR")</f>
        <v/>
      </c>
      <c r="D4394" s="8">
        <f>QS.CONTEXT.ADD.CURVE(C4394,"SOFR",$K$2:$K$7,$L$2:$L$7,,,"Actual360","LogLinear",TRUE)</f>
        <v/>
      </c>
      <c r="E4394" s="8">
        <f>QS.INSTRUMENT.SWAP("swap.4392",C4394,H4394,B4394,"USD","SOFR",I4394,J4394,0,"Actual360","Simple","Annual","Annual","Annual")</f>
        <v/>
      </c>
      <c r="F4394" s="8">
        <f>QS.TRADE.CREATE("trade.4392",C4394,E4394,A4394,"Receive")</f>
        <v/>
      </c>
      <c r="G4394" s="5"/>
      <c r="H4394" s="7" t="s">
        <v>4435</v>
      </c>
      <c r="I4394" s="9">
        <v>1439200</v>
      </c>
      <c r="J4394" s="10">
        <v>0.03920000000000001</v>
      </c>
    </row>
    <row r="4395" spans="1:10">
      <c r="A4395" s="7" t="s">
        <v>4429</v>
      </c>
      <c r="B4395" s="7" t="s">
        <v>6262</v>
      </c>
      <c r="C4395" s="8">
        <f>QS.CONTEXT.CREATE("market.4393",A4395,"USD","SOFR")</f>
        <v/>
      </c>
      <c r="D4395" s="8">
        <f>QS.CONTEXT.ADD.CURVE(C4395,"SOFR",$K$2:$K$7,$L$2:$L$7,,,"Actual360","LogLinear",TRUE)</f>
        <v/>
      </c>
      <c r="E4395" s="8">
        <f>QS.INSTRUMENT.SWAP("swap.4393",C4395,H4395,B4395,"USD","SOFR",I4395,J4395,0,"Actual360","Simple","Annual","Annual","Annual")</f>
        <v/>
      </c>
      <c r="F4395" s="8">
        <f>QS.TRADE.CREATE("trade.4393",C4395,E4395,A4395,"Receive")</f>
        <v/>
      </c>
      <c r="G4395" s="5"/>
      <c r="H4395" s="7" t="s">
        <v>4436</v>
      </c>
      <c r="I4395" s="9">
        <v>1439300</v>
      </c>
      <c r="J4395" s="10">
        <v>0.0393</v>
      </c>
    </row>
    <row r="4396" spans="1:10">
      <c r="A4396" s="7" t="s">
        <v>4430</v>
      </c>
      <c r="B4396" s="7" t="s">
        <v>6263</v>
      </c>
      <c r="C4396" s="8">
        <f>QS.CONTEXT.CREATE("market.4394",A4396,"USD","SOFR")</f>
        <v/>
      </c>
      <c r="D4396" s="8">
        <f>QS.CONTEXT.ADD.CURVE(C4396,"SOFR",$K$2:$K$7,$L$2:$L$7,,,"Actual360","LogLinear",TRUE)</f>
        <v/>
      </c>
      <c r="E4396" s="8">
        <f>QS.INSTRUMENT.SWAP("swap.4394",C4396,H4396,B4396,"USD","SOFR",I4396,J4396,0,"Actual360","Simple","Annual","Annual","Annual")</f>
        <v/>
      </c>
      <c r="F4396" s="8">
        <f>QS.TRADE.CREATE("trade.4394",C4396,E4396,A4396,"Receive")</f>
        <v/>
      </c>
      <c r="G4396" s="5"/>
      <c r="H4396" s="7" t="s">
        <v>4437</v>
      </c>
      <c r="I4396" s="9">
        <v>1439400</v>
      </c>
      <c r="J4396" s="10">
        <v>0.0394</v>
      </c>
    </row>
    <row r="4397" spans="1:10">
      <c r="A4397" s="7" t="s">
        <v>4431</v>
      </c>
      <c r="B4397" s="7" t="s">
        <v>6264</v>
      </c>
      <c r="C4397" s="8">
        <f>QS.CONTEXT.CREATE("market.4395",A4397,"USD","SOFR")</f>
        <v/>
      </c>
      <c r="D4397" s="8">
        <f>QS.CONTEXT.ADD.CURVE(C4397,"SOFR",$K$2:$K$7,$L$2:$L$7,,,"Actual360","LogLinear",TRUE)</f>
        <v/>
      </c>
      <c r="E4397" s="8">
        <f>QS.INSTRUMENT.SWAP("swap.4395",C4397,H4397,B4397,"USD","SOFR",I4397,J4397,0,"Actual360","Simple","Annual","Annual","Annual")</f>
        <v/>
      </c>
      <c r="F4397" s="8">
        <f>QS.TRADE.CREATE("trade.4395",C4397,E4397,A4397,"Receive")</f>
        <v/>
      </c>
      <c r="G4397" s="5"/>
      <c r="H4397" s="7" t="s">
        <v>4438</v>
      </c>
      <c r="I4397" s="9">
        <v>1439500</v>
      </c>
      <c r="J4397" s="10">
        <v>0.03950000000000001</v>
      </c>
    </row>
    <row r="4398" spans="1:10">
      <c r="A4398" s="7" t="s">
        <v>4432</v>
      </c>
      <c r="B4398" s="7" t="s">
        <v>6265</v>
      </c>
      <c r="C4398" s="8">
        <f>QS.CONTEXT.CREATE("market.4396",A4398,"USD","SOFR")</f>
        <v/>
      </c>
      <c r="D4398" s="8">
        <f>QS.CONTEXT.ADD.CURVE(C4398,"SOFR",$K$2:$K$7,$L$2:$L$7,,,"Actual360","LogLinear",TRUE)</f>
        <v/>
      </c>
      <c r="E4398" s="8">
        <f>QS.INSTRUMENT.SWAP("swap.4396",C4398,H4398,B4398,"USD","SOFR",I4398,J4398,0,"Actual360","Simple","Annual","Annual","Annual")</f>
        <v/>
      </c>
      <c r="F4398" s="8">
        <f>QS.TRADE.CREATE("trade.4396",C4398,E4398,A4398,"Receive")</f>
        <v/>
      </c>
      <c r="G4398" s="5"/>
      <c r="H4398" s="7" t="s">
        <v>4439</v>
      </c>
      <c r="I4398" s="9">
        <v>1439600</v>
      </c>
      <c r="J4398" s="10">
        <v>0.0396</v>
      </c>
    </row>
    <row r="4399" spans="1:10">
      <c r="A4399" s="7" t="s">
        <v>4433</v>
      </c>
      <c r="B4399" s="7" t="s">
        <v>6266</v>
      </c>
      <c r="C4399" s="8">
        <f>QS.CONTEXT.CREATE("market.4397",A4399,"USD","SOFR")</f>
        <v/>
      </c>
      <c r="D4399" s="8">
        <f>QS.CONTEXT.ADD.CURVE(C4399,"SOFR",$K$2:$K$7,$L$2:$L$7,,,"Actual360","LogLinear",TRUE)</f>
        <v/>
      </c>
      <c r="E4399" s="8">
        <f>QS.INSTRUMENT.SWAP("swap.4397",C4399,H4399,B4399,"USD","SOFR",I4399,J4399,0,"Actual360","Simple","Annual","Annual","Annual")</f>
        <v/>
      </c>
      <c r="F4399" s="8">
        <f>QS.TRADE.CREATE("trade.4397",C4399,E4399,A4399,"Receive")</f>
        <v/>
      </c>
      <c r="G4399" s="5"/>
      <c r="H4399" s="7" t="s">
        <v>4440</v>
      </c>
      <c r="I4399" s="9">
        <v>1439700</v>
      </c>
      <c r="J4399" s="10">
        <v>0.03970000000000001</v>
      </c>
    </row>
    <row r="4400" spans="1:10">
      <c r="A4400" s="7" t="s">
        <v>4434</v>
      </c>
      <c r="B4400" s="7" t="s">
        <v>6267</v>
      </c>
      <c r="C4400" s="8">
        <f>QS.CONTEXT.CREATE("market.4398",A4400,"USD","SOFR")</f>
        <v/>
      </c>
      <c r="D4400" s="8">
        <f>QS.CONTEXT.ADD.CURVE(C4400,"SOFR",$K$2:$K$7,$L$2:$L$7,,,"Actual360","LogLinear",TRUE)</f>
        <v/>
      </c>
      <c r="E4400" s="8">
        <f>QS.INSTRUMENT.SWAP("swap.4398",C4400,H4400,B4400,"USD","SOFR",I4400,J4400,0,"Actual360","Simple","Annual","Annual","Annual")</f>
        <v/>
      </c>
      <c r="F4400" s="8">
        <f>QS.TRADE.CREATE("trade.4398",C4400,E4400,A4400,"Receive")</f>
        <v/>
      </c>
      <c r="G4400" s="5"/>
      <c r="H4400" s="7" t="s">
        <v>4441</v>
      </c>
      <c r="I4400" s="9">
        <v>1439800</v>
      </c>
      <c r="J4400" s="10">
        <v>0.0398</v>
      </c>
    </row>
    <row r="4401" spans="1:10">
      <c r="A4401" s="7" t="s">
        <v>4435</v>
      </c>
      <c r="B4401" s="7" t="s">
        <v>6268</v>
      </c>
      <c r="C4401" s="8">
        <f>QS.CONTEXT.CREATE("market.4399",A4401,"USD","SOFR")</f>
        <v/>
      </c>
      <c r="D4401" s="8">
        <f>QS.CONTEXT.ADD.CURVE(C4401,"SOFR",$K$2:$K$7,$L$2:$L$7,,,"Actual360","LogLinear",TRUE)</f>
        <v/>
      </c>
      <c r="E4401" s="8">
        <f>QS.INSTRUMENT.SWAP("swap.4399",C4401,H4401,B4401,"USD","SOFR",I4401,J4401,0,"Actual360","Simple","Annual","Annual","Annual")</f>
        <v/>
      </c>
      <c r="F4401" s="8">
        <f>QS.TRADE.CREATE("trade.4399",C4401,E4401,A4401,"Receive")</f>
        <v/>
      </c>
      <c r="G4401" s="5"/>
      <c r="H4401" s="7" t="s">
        <v>4442</v>
      </c>
      <c r="I4401" s="9">
        <v>1439900</v>
      </c>
      <c r="J4401" s="10">
        <v>0.0399</v>
      </c>
    </row>
    <row r="4402" spans="1:10">
      <c r="A4402" s="7" t="s">
        <v>4436</v>
      </c>
      <c r="B4402" s="7" t="s">
        <v>6269</v>
      </c>
      <c r="C4402" s="8">
        <f>QS.CONTEXT.CREATE("market.4400",A4402,"USD","SOFR")</f>
        <v/>
      </c>
      <c r="D4402" s="8">
        <f>QS.CONTEXT.ADD.CURVE(C4402,"SOFR",$K$2:$K$7,$L$2:$L$7,,,"Actual360","LogLinear",TRUE)</f>
        <v/>
      </c>
      <c r="E4402" s="8">
        <f>QS.INSTRUMENT.SWAP("swap.4400",C4402,H4402,B4402,"USD","SOFR",I4402,J4402,0,"Actual360","Simple","Annual","Annual","Annual")</f>
        <v/>
      </c>
      <c r="F4402" s="8">
        <f>QS.TRADE.CREATE("trade.4400",C4402,E4402,A4402,"Receive")</f>
        <v/>
      </c>
      <c r="G4402" s="5"/>
      <c r="H4402" s="7" t="s">
        <v>4443</v>
      </c>
      <c r="I4402" s="9">
        <v>1440000</v>
      </c>
      <c r="J4402" s="10">
        <v>0.035</v>
      </c>
    </row>
    <row r="4403" spans="1:10">
      <c r="A4403" s="7" t="s">
        <v>4437</v>
      </c>
      <c r="B4403" s="7" t="s">
        <v>6270</v>
      </c>
      <c r="C4403" s="8">
        <f>QS.CONTEXT.CREATE("market.4401",A4403,"USD","SOFR")</f>
        <v/>
      </c>
      <c r="D4403" s="8">
        <f>QS.CONTEXT.ADD.CURVE(C4403,"SOFR",$K$2:$K$7,$L$2:$L$7,,,"Actual360","LogLinear",TRUE)</f>
        <v/>
      </c>
      <c r="E4403" s="8">
        <f>QS.INSTRUMENT.SWAP("swap.4401",C4403,H4403,B4403,"USD","SOFR",I4403,J4403,0,"Actual360","Simple","Annual","Annual","Annual")</f>
        <v/>
      </c>
      <c r="F4403" s="8">
        <f>QS.TRADE.CREATE("trade.4401",C4403,E4403,A4403,"Receive")</f>
        <v/>
      </c>
      <c r="G4403" s="5"/>
      <c r="H4403" s="7" t="s">
        <v>4444</v>
      </c>
      <c r="I4403" s="9">
        <v>1440100</v>
      </c>
      <c r="J4403" s="10">
        <v>0.03510000000000001</v>
      </c>
    </row>
    <row r="4404" spans="1:10">
      <c r="A4404" s="7" t="s">
        <v>4438</v>
      </c>
      <c r="B4404" s="7" t="s">
        <v>6271</v>
      </c>
      <c r="C4404" s="8">
        <f>QS.CONTEXT.CREATE("market.4402",A4404,"USD","SOFR")</f>
        <v/>
      </c>
      <c r="D4404" s="8">
        <f>QS.CONTEXT.ADD.CURVE(C4404,"SOFR",$K$2:$K$7,$L$2:$L$7,,,"Actual360","LogLinear",TRUE)</f>
        <v/>
      </c>
      <c r="E4404" s="8">
        <f>QS.INSTRUMENT.SWAP("swap.4402",C4404,H4404,B4404,"USD","SOFR",I4404,J4404,0,"Actual360","Simple","Annual","Annual","Annual")</f>
        <v/>
      </c>
      <c r="F4404" s="8">
        <f>QS.TRADE.CREATE("trade.4402",C4404,E4404,A4404,"Receive")</f>
        <v/>
      </c>
      <c r="G4404" s="5"/>
      <c r="H4404" s="7" t="s">
        <v>4445</v>
      </c>
      <c r="I4404" s="9">
        <v>1440200</v>
      </c>
      <c r="J4404" s="10">
        <v>0.0352</v>
      </c>
    </row>
    <row r="4405" spans="1:10">
      <c r="A4405" s="7" t="s">
        <v>4439</v>
      </c>
      <c r="B4405" s="7" t="s">
        <v>6272</v>
      </c>
      <c r="C4405" s="8">
        <f>QS.CONTEXT.CREATE("market.4403",A4405,"USD","SOFR")</f>
        <v/>
      </c>
      <c r="D4405" s="8">
        <f>QS.CONTEXT.ADD.CURVE(C4405,"SOFR",$K$2:$K$7,$L$2:$L$7,,,"Actual360","LogLinear",TRUE)</f>
        <v/>
      </c>
      <c r="E4405" s="8">
        <f>QS.INSTRUMENT.SWAP("swap.4403",C4405,H4405,B4405,"USD","SOFR",I4405,J4405,0,"Actual360","Simple","Annual","Annual","Annual")</f>
        <v/>
      </c>
      <c r="F4405" s="8">
        <f>QS.TRADE.CREATE("trade.4403",C4405,E4405,A4405,"Receive")</f>
        <v/>
      </c>
      <c r="G4405" s="5"/>
      <c r="H4405" s="7" t="s">
        <v>4446</v>
      </c>
      <c r="I4405" s="9">
        <v>1440300</v>
      </c>
      <c r="J4405" s="10">
        <v>0.0353</v>
      </c>
    </row>
    <row r="4406" spans="1:10">
      <c r="A4406" s="7" t="s">
        <v>4440</v>
      </c>
      <c r="B4406" s="7" t="s">
        <v>6273</v>
      </c>
      <c r="C4406" s="8">
        <f>QS.CONTEXT.CREATE("market.4404",A4406,"USD","SOFR")</f>
        <v/>
      </c>
      <c r="D4406" s="8">
        <f>QS.CONTEXT.ADD.CURVE(C4406,"SOFR",$K$2:$K$7,$L$2:$L$7,,,"Actual360","LogLinear",TRUE)</f>
        <v/>
      </c>
      <c r="E4406" s="8">
        <f>QS.INSTRUMENT.SWAP("swap.4404",C4406,H4406,B4406,"USD","SOFR",I4406,J4406,0,"Actual360","Simple","Annual","Annual","Annual")</f>
        <v/>
      </c>
      <c r="F4406" s="8">
        <f>QS.TRADE.CREATE("trade.4404",C4406,E4406,A4406,"Receive")</f>
        <v/>
      </c>
      <c r="G4406" s="5"/>
      <c r="H4406" s="7" t="s">
        <v>4447</v>
      </c>
      <c r="I4406" s="9">
        <v>1440400</v>
      </c>
      <c r="J4406" s="10">
        <v>0.0354</v>
      </c>
    </row>
    <row r="4407" spans="1:10">
      <c r="A4407" s="7" t="s">
        <v>4441</v>
      </c>
      <c r="B4407" s="7" t="s">
        <v>6274</v>
      </c>
      <c r="C4407" s="8">
        <f>QS.CONTEXT.CREATE("market.4405",A4407,"USD","SOFR")</f>
        <v/>
      </c>
      <c r="D4407" s="8">
        <f>QS.CONTEXT.ADD.CURVE(C4407,"SOFR",$K$2:$K$7,$L$2:$L$7,,,"Actual360","LogLinear",TRUE)</f>
        <v/>
      </c>
      <c r="E4407" s="8">
        <f>QS.INSTRUMENT.SWAP("swap.4405",C4407,H4407,B4407,"USD","SOFR",I4407,J4407,0,"Actual360","Simple","Annual","Annual","Annual")</f>
        <v/>
      </c>
      <c r="F4407" s="8">
        <f>QS.TRADE.CREATE("trade.4405",C4407,E4407,A4407,"Receive")</f>
        <v/>
      </c>
      <c r="G4407" s="5"/>
      <c r="H4407" s="7" t="s">
        <v>4448</v>
      </c>
      <c r="I4407" s="9">
        <v>1440500</v>
      </c>
      <c r="J4407" s="10">
        <v>0.0355</v>
      </c>
    </row>
    <row r="4408" spans="1:10">
      <c r="A4408" s="7" t="s">
        <v>4442</v>
      </c>
      <c r="B4408" s="7" t="s">
        <v>6275</v>
      </c>
      <c r="C4408" s="8">
        <f>QS.CONTEXT.CREATE("market.4406",A4408,"USD","SOFR")</f>
        <v/>
      </c>
      <c r="D4408" s="8">
        <f>QS.CONTEXT.ADD.CURVE(C4408,"SOFR",$K$2:$K$7,$L$2:$L$7,,,"Actual360","LogLinear",TRUE)</f>
        <v/>
      </c>
      <c r="E4408" s="8">
        <f>QS.INSTRUMENT.SWAP("swap.4406",C4408,H4408,B4408,"USD","SOFR",I4408,J4408,0,"Actual360","Simple","Annual","Annual","Annual")</f>
        <v/>
      </c>
      <c r="F4408" s="8">
        <f>QS.TRADE.CREATE("trade.4406",C4408,E4408,A4408,"Receive")</f>
        <v/>
      </c>
      <c r="G4408" s="5"/>
      <c r="H4408" s="7" t="s">
        <v>4449</v>
      </c>
      <c r="I4408" s="9">
        <v>1440600</v>
      </c>
      <c r="J4408" s="10">
        <v>0.03560000000000001</v>
      </c>
    </row>
    <row r="4409" spans="1:10">
      <c r="A4409" s="7" t="s">
        <v>4443</v>
      </c>
      <c r="B4409" s="7" t="s">
        <v>6276</v>
      </c>
      <c r="C4409" s="8">
        <f>QS.CONTEXT.CREATE("market.4407",A4409,"USD","SOFR")</f>
        <v/>
      </c>
      <c r="D4409" s="8">
        <f>QS.CONTEXT.ADD.CURVE(C4409,"SOFR",$K$2:$K$7,$L$2:$L$7,,,"Actual360","LogLinear",TRUE)</f>
        <v/>
      </c>
      <c r="E4409" s="8">
        <f>QS.INSTRUMENT.SWAP("swap.4407",C4409,H4409,B4409,"USD","SOFR",I4409,J4409,0,"Actual360","Simple","Annual","Annual","Annual")</f>
        <v/>
      </c>
      <c r="F4409" s="8">
        <f>QS.TRADE.CREATE("trade.4407",C4409,E4409,A4409,"Receive")</f>
        <v/>
      </c>
      <c r="G4409" s="5"/>
      <c r="H4409" s="7" t="s">
        <v>4450</v>
      </c>
      <c r="I4409" s="9">
        <v>1440700</v>
      </c>
      <c r="J4409" s="10">
        <v>0.0357</v>
      </c>
    </row>
    <row r="4410" spans="1:10">
      <c r="A4410" s="7" t="s">
        <v>4444</v>
      </c>
      <c r="B4410" s="7" t="s">
        <v>6277</v>
      </c>
      <c r="C4410" s="8">
        <f>QS.CONTEXT.CREATE("market.4408",A4410,"USD","SOFR")</f>
        <v/>
      </c>
      <c r="D4410" s="8">
        <f>QS.CONTEXT.ADD.CURVE(C4410,"SOFR",$K$2:$K$7,$L$2:$L$7,,,"Actual360","LogLinear",TRUE)</f>
        <v/>
      </c>
      <c r="E4410" s="8">
        <f>QS.INSTRUMENT.SWAP("swap.4408",C4410,H4410,B4410,"USD","SOFR",I4410,J4410,0,"Actual360","Simple","Annual","Annual","Annual")</f>
        <v/>
      </c>
      <c r="F4410" s="8">
        <f>QS.TRADE.CREATE("trade.4408",C4410,E4410,A4410,"Receive")</f>
        <v/>
      </c>
      <c r="G4410" s="5"/>
      <c r="H4410" s="7" t="s">
        <v>4451</v>
      </c>
      <c r="I4410" s="9">
        <v>1440800</v>
      </c>
      <c r="J4410" s="10">
        <v>0.03580000000000001</v>
      </c>
    </row>
    <row r="4411" spans="1:10">
      <c r="A4411" s="7" t="s">
        <v>4445</v>
      </c>
      <c r="B4411" s="7" t="s">
        <v>6278</v>
      </c>
      <c r="C4411" s="8">
        <f>QS.CONTEXT.CREATE("market.4409",A4411,"USD","SOFR")</f>
        <v/>
      </c>
      <c r="D4411" s="8">
        <f>QS.CONTEXT.ADD.CURVE(C4411,"SOFR",$K$2:$K$7,$L$2:$L$7,,,"Actual360","LogLinear",TRUE)</f>
        <v/>
      </c>
      <c r="E4411" s="8">
        <f>QS.INSTRUMENT.SWAP("swap.4409",C4411,H4411,B4411,"USD","SOFR",I4411,J4411,0,"Actual360","Simple","Annual","Annual","Annual")</f>
        <v/>
      </c>
      <c r="F4411" s="8">
        <f>QS.TRADE.CREATE("trade.4409",C4411,E4411,A4411,"Receive")</f>
        <v/>
      </c>
      <c r="G4411" s="5"/>
      <c r="H4411" s="7" t="s">
        <v>4452</v>
      </c>
      <c r="I4411" s="9">
        <v>1440900</v>
      </c>
      <c r="J4411" s="10">
        <v>0.0359</v>
      </c>
    </row>
    <row r="4412" spans="1:10">
      <c r="A4412" s="7" t="s">
        <v>4446</v>
      </c>
      <c r="B4412" s="7" t="s">
        <v>6279</v>
      </c>
      <c r="C4412" s="8">
        <f>QS.CONTEXT.CREATE("market.4410",A4412,"USD","SOFR")</f>
        <v/>
      </c>
      <c r="D4412" s="8">
        <f>QS.CONTEXT.ADD.CURVE(C4412,"SOFR",$K$2:$K$7,$L$2:$L$7,,,"Actual360","LogLinear",TRUE)</f>
        <v/>
      </c>
      <c r="E4412" s="8">
        <f>QS.INSTRUMENT.SWAP("swap.4410",C4412,H4412,B4412,"USD","SOFR",I4412,J4412,0,"Actual360","Simple","Annual","Annual","Annual")</f>
        <v/>
      </c>
      <c r="F4412" s="8">
        <f>QS.TRADE.CREATE("trade.4410",C4412,E4412,A4412,"Receive")</f>
        <v/>
      </c>
      <c r="G4412" s="5"/>
      <c r="H4412" s="7" t="s">
        <v>4453</v>
      </c>
      <c r="I4412" s="9">
        <v>1441000</v>
      </c>
      <c r="J4412" s="10">
        <v>0.036</v>
      </c>
    </row>
    <row r="4413" spans="1:10">
      <c r="A4413" s="7" t="s">
        <v>4447</v>
      </c>
      <c r="B4413" s="7" t="s">
        <v>6280</v>
      </c>
      <c r="C4413" s="8">
        <f>QS.CONTEXT.CREATE("market.4411",A4413,"USD","SOFR")</f>
        <v/>
      </c>
      <c r="D4413" s="8">
        <f>QS.CONTEXT.ADD.CURVE(C4413,"SOFR",$K$2:$K$7,$L$2:$L$7,,,"Actual360","LogLinear",TRUE)</f>
        <v/>
      </c>
      <c r="E4413" s="8">
        <f>QS.INSTRUMENT.SWAP("swap.4411",C4413,H4413,B4413,"USD","SOFR",I4413,J4413,0,"Actual360","Simple","Annual","Annual","Annual")</f>
        <v/>
      </c>
      <c r="F4413" s="8">
        <f>QS.TRADE.CREATE("trade.4411",C4413,E4413,A4413,"Receive")</f>
        <v/>
      </c>
      <c r="G4413" s="5"/>
      <c r="H4413" s="7" t="s">
        <v>4454</v>
      </c>
      <c r="I4413" s="9">
        <v>1441100</v>
      </c>
      <c r="J4413" s="10">
        <v>0.0361</v>
      </c>
    </row>
    <row r="4414" spans="1:10">
      <c r="A4414" s="7" t="s">
        <v>4448</v>
      </c>
      <c r="B4414" s="7" t="s">
        <v>6281</v>
      </c>
      <c r="C4414" s="8">
        <f>QS.CONTEXT.CREATE("market.4412",A4414,"USD","SOFR")</f>
        <v/>
      </c>
      <c r="D4414" s="8">
        <f>QS.CONTEXT.ADD.CURVE(C4414,"SOFR",$K$2:$K$7,$L$2:$L$7,,,"Actual360","LogLinear",TRUE)</f>
        <v/>
      </c>
      <c r="E4414" s="8">
        <f>QS.INSTRUMENT.SWAP("swap.4412",C4414,H4414,B4414,"USD","SOFR",I4414,J4414,0,"Actual360","Simple","Annual","Annual","Annual")</f>
        <v/>
      </c>
      <c r="F4414" s="8">
        <f>QS.TRADE.CREATE("trade.4412",C4414,E4414,A4414,"Receive")</f>
        <v/>
      </c>
      <c r="G4414" s="5"/>
      <c r="H4414" s="7" t="s">
        <v>4455</v>
      </c>
      <c r="I4414" s="9">
        <v>1441200</v>
      </c>
      <c r="J4414" s="10">
        <v>0.0362</v>
      </c>
    </row>
    <row r="4415" spans="1:10">
      <c r="A4415" s="7" t="s">
        <v>4449</v>
      </c>
      <c r="B4415" s="7" t="s">
        <v>6282</v>
      </c>
      <c r="C4415" s="8">
        <f>QS.CONTEXT.CREATE("market.4413",A4415,"USD","SOFR")</f>
        <v/>
      </c>
      <c r="D4415" s="8">
        <f>QS.CONTEXT.ADD.CURVE(C4415,"SOFR",$K$2:$K$7,$L$2:$L$7,,,"Actual360","LogLinear",TRUE)</f>
        <v/>
      </c>
      <c r="E4415" s="8">
        <f>QS.INSTRUMENT.SWAP("swap.4413",C4415,H4415,B4415,"USD","SOFR",I4415,J4415,0,"Actual360","Simple","Annual","Annual","Annual")</f>
        <v/>
      </c>
      <c r="F4415" s="8">
        <f>QS.TRADE.CREATE("trade.4413",C4415,E4415,A4415,"Receive")</f>
        <v/>
      </c>
      <c r="G4415" s="5"/>
      <c r="H4415" s="7" t="s">
        <v>4456</v>
      </c>
      <c r="I4415" s="9">
        <v>1441300</v>
      </c>
      <c r="J4415" s="10">
        <v>0.03630000000000001</v>
      </c>
    </row>
    <row r="4416" spans="1:10">
      <c r="A4416" s="7" t="s">
        <v>4450</v>
      </c>
      <c r="B4416" s="7" t="s">
        <v>6283</v>
      </c>
      <c r="C4416" s="8">
        <f>QS.CONTEXT.CREATE("market.4414",A4416,"USD","SOFR")</f>
        <v/>
      </c>
      <c r="D4416" s="8">
        <f>QS.CONTEXT.ADD.CURVE(C4416,"SOFR",$K$2:$K$7,$L$2:$L$7,,,"Actual360","LogLinear",TRUE)</f>
        <v/>
      </c>
      <c r="E4416" s="8">
        <f>QS.INSTRUMENT.SWAP("swap.4414",C4416,H4416,B4416,"USD","SOFR",I4416,J4416,0,"Actual360","Simple","Annual","Annual","Annual")</f>
        <v/>
      </c>
      <c r="F4416" s="8">
        <f>QS.TRADE.CREATE("trade.4414",C4416,E4416,A4416,"Receive")</f>
        <v/>
      </c>
      <c r="G4416" s="5"/>
      <c r="H4416" s="7" t="s">
        <v>4457</v>
      </c>
      <c r="I4416" s="9">
        <v>1441400</v>
      </c>
      <c r="J4416" s="10">
        <v>0.0364</v>
      </c>
    </row>
    <row r="4417" spans="1:10">
      <c r="A4417" s="7" t="s">
        <v>4451</v>
      </c>
      <c r="B4417" s="7" t="s">
        <v>6284</v>
      </c>
      <c r="C4417" s="8">
        <f>QS.CONTEXT.CREATE("market.4415",A4417,"USD","SOFR")</f>
        <v/>
      </c>
      <c r="D4417" s="8">
        <f>QS.CONTEXT.ADD.CURVE(C4417,"SOFR",$K$2:$K$7,$L$2:$L$7,,,"Actual360","LogLinear",TRUE)</f>
        <v/>
      </c>
      <c r="E4417" s="8">
        <f>QS.INSTRUMENT.SWAP("swap.4415",C4417,H4417,B4417,"USD","SOFR",I4417,J4417,0,"Actual360","Simple","Annual","Annual","Annual")</f>
        <v/>
      </c>
      <c r="F4417" s="8">
        <f>QS.TRADE.CREATE("trade.4415",C4417,E4417,A4417,"Receive")</f>
        <v/>
      </c>
      <c r="G4417" s="5"/>
      <c r="H4417" s="7" t="s">
        <v>4458</v>
      </c>
      <c r="I4417" s="9">
        <v>1441500</v>
      </c>
      <c r="J4417" s="10">
        <v>0.0365</v>
      </c>
    </row>
    <row r="4418" spans="1:10">
      <c r="A4418" s="7" t="s">
        <v>4452</v>
      </c>
      <c r="B4418" s="7" t="s">
        <v>6285</v>
      </c>
      <c r="C4418" s="8">
        <f>QS.CONTEXT.CREATE("market.4416",A4418,"USD","SOFR")</f>
        <v/>
      </c>
      <c r="D4418" s="8">
        <f>QS.CONTEXT.ADD.CURVE(C4418,"SOFR",$K$2:$K$7,$L$2:$L$7,,,"Actual360","LogLinear",TRUE)</f>
        <v/>
      </c>
      <c r="E4418" s="8">
        <f>QS.INSTRUMENT.SWAP("swap.4416",C4418,H4418,B4418,"USD","SOFR",I4418,J4418,0,"Actual360","Simple","Annual","Annual","Annual")</f>
        <v/>
      </c>
      <c r="F4418" s="8">
        <f>QS.TRADE.CREATE("trade.4416",C4418,E4418,A4418,"Receive")</f>
        <v/>
      </c>
      <c r="G4418" s="5"/>
      <c r="H4418" s="7" t="s">
        <v>4459</v>
      </c>
      <c r="I4418" s="9">
        <v>1441600</v>
      </c>
      <c r="J4418" s="10">
        <v>0.0366</v>
      </c>
    </row>
    <row r="4419" spans="1:10">
      <c r="A4419" s="7" t="s">
        <v>4453</v>
      </c>
      <c r="B4419" s="7" t="s">
        <v>6286</v>
      </c>
      <c r="C4419" s="8">
        <f>QS.CONTEXT.CREATE("market.4417",A4419,"USD","SOFR")</f>
        <v/>
      </c>
      <c r="D4419" s="8">
        <f>QS.CONTEXT.ADD.CURVE(C4419,"SOFR",$K$2:$K$7,$L$2:$L$7,,,"Actual360","LogLinear",TRUE)</f>
        <v/>
      </c>
      <c r="E4419" s="8">
        <f>QS.INSTRUMENT.SWAP("swap.4417",C4419,H4419,B4419,"USD","SOFR",I4419,J4419,0,"Actual360","Simple","Annual","Annual","Annual")</f>
        <v/>
      </c>
      <c r="F4419" s="8">
        <f>QS.TRADE.CREATE("trade.4417",C4419,E4419,A4419,"Receive")</f>
        <v/>
      </c>
      <c r="G4419" s="5"/>
      <c r="H4419" s="7" t="s">
        <v>4460</v>
      </c>
      <c r="I4419" s="9">
        <v>1441700</v>
      </c>
      <c r="J4419" s="10">
        <v>0.0367</v>
      </c>
    </row>
    <row r="4420" spans="1:10">
      <c r="A4420" s="7" t="s">
        <v>4454</v>
      </c>
      <c r="B4420" s="7" t="s">
        <v>6287</v>
      </c>
      <c r="C4420" s="8">
        <f>QS.CONTEXT.CREATE("market.4418",A4420,"USD","SOFR")</f>
        <v/>
      </c>
      <c r="D4420" s="8">
        <f>QS.CONTEXT.ADD.CURVE(C4420,"SOFR",$K$2:$K$7,$L$2:$L$7,,,"Actual360","LogLinear",TRUE)</f>
        <v/>
      </c>
      <c r="E4420" s="8">
        <f>QS.INSTRUMENT.SWAP("swap.4418",C4420,H4420,B4420,"USD","SOFR",I4420,J4420,0,"Actual360","Simple","Annual","Annual","Annual")</f>
        <v/>
      </c>
      <c r="F4420" s="8">
        <f>QS.TRADE.CREATE("trade.4418",C4420,E4420,A4420,"Receive")</f>
        <v/>
      </c>
      <c r="G4420" s="5"/>
      <c r="H4420" s="7" t="s">
        <v>4461</v>
      </c>
      <c r="I4420" s="9">
        <v>1441800</v>
      </c>
      <c r="J4420" s="10">
        <v>0.03680000000000001</v>
      </c>
    </row>
    <row r="4421" spans="1:10">
      <c r="A4421" s="7" t="s">
        <v>4455</v>
      </c>
      <c r="B4421" s="7" t="s">
        <v>6288</v>
      </c>
      <c r="C4421" s="8">
        <f>QS.CONTEXT.CREATE("market.4419",A4421,"USD","SOFR")</f>
        <v/>
      </c>
      <c r="D4421" s="8">
        <f>QS.CONTEXT.ADD.CURVE(C4421,"SOFR",$K$2:$K$7,$L$2:$L$7,,,"Actual360","LogLinear",TRUE)</f>
        <v/>
      </c>
      <c r="E4421" s="8">
        <f>QS.INSTRUMENT.SWAP("swap.4419",C4421,H4421,B4421,"USD","SOFR",I4421,J4421,0,"Actual360","Simple","Annual","Annual","Annual")</f>
        <v/>
      </c>
      <c r="F4421" s="8">
        <f>QS.TRADE.CREATE("trade.4419",C4421,E4421,A4421,"Receive")</f>
        <v/>
      </c>
      <c r="G4421" s="5"/>
      <c r="H4421" s="7" t="s">
        <v>4462</v>
      </c>
      <c r="I4421" s="9">
        <v>1441900</v>
      </c>
      <c r="J4421" s="10">
        <v>0.0369</v>
      </c>
    </row>
    <row r="4422" spans="1:10">
      <c r="A4422" s="7" t="s">
        <v>4456</v>
      </c>
      <c r="B4422" s="7" t="s">
        <v>6289</v>
      </c>
      <c r="C4422" s="8">
        <f>QS.CONTEXT.CREATE("market.4420",A4422,"USD","SOFR")</f>
        <v/>
      </c>
      <c r="D4422" s="8">
        <f>QS.CONTEXT.ADD.CURVE(C4422,"SOFR",$K$2:$K$7,$L$2:$L$7,,,"Actual360","LogLinear",TRUE)</f>
        <v/>
      </c>
      <c r="E4422" s="8">
        <f>QS.INSTRUMENT.SWAP("swap.4420",C4422,H4422,B4422,"USD","SOFR",I4422,J4422,0,"Actual360","Simple","Annual","Annual","Annual")</f>
        <v/>
      </c>
      <c r="F4422" s="8">
        <f>QS.TRADE.CREATE("trade.4420",C4422,E4422,A4422,"Receive")</f>
        <v/>
      </c>
      <c r="G4422" s="5"/>
      <c r="H4422" s="7" t="s">
        <v>4463</v>
      </c>
      <c r="I4422" s="9">
        <v>1442000</v>
      </c>
      <c r="J4422" s="10">
        <v>0.03700000000000001</v>
      </c>
    </row>
    <row r="4423" spans="1:10">
      <c r="A4423" s="7" t="s">
        <v>4457</v>
      </c>
      <c r="B4423" s="7" t="s">
        <v>6290</v>
      </c>
      <c r="C4423" s="8">
        <f>QS.CONTEXT.CREATE("market.4421",A4423,"USD","SOFR")</f>
        <v/>
      </c>
      <c r="D4423" s="8">
        <f>QS.CONTEXT.ADD.CURVE(C4423,"SOFR",$K$2:$K$7,$L$2:$L$7,,,"Actual360","LogLinear",TRUE)</f>
        <v/>
      </c>
      <c r="E4423" s="8">
        <f>QS.INSTRUMENT.SWAP("swap.4421",C4423,H4423,B4423,"USD","SOFR",I4423,J4423,0,"Actual360","Simple","Annual","Annual","Annual")</f>
        <v/>
      </c>
      <c r="F4423" s="8">
        <f>QS.TRADE.CREATE("trade.4421",C4423,E4423,A4423,"Receive")</f>
        <v/>
      </c>
      <c r="G4423" s="5"/>
      <c r="H4423" s="7" t="s">
        <v>4464</v>
      </c>
      <c r="I4423" s="9">
        <v>1442100</v>
      </c>
      <c r="J4423" s="10">
        <v>0.0371</v>
      </c>
    </row>
    <row r="4424" spans="1:10">
      <c r="A4424" s="7" t="s">
        <v>4458</v>
      </c>
      <c r="B4424" s="7" t="s">
        <v>6291</v>
      </c>
      <c r="C4424" s="8">
        <f>QS.CONTEXT.CREATE("market.4422",A4424,"USD","SOFR")</f>
        <v/>
      </c>
      <c r="D4424" s="8">
        <f>QS.CONTEXT.ADD.CURVE(C4424,"SOFR",$K$2:$K$7,$L$2:$L$7,,,"Actual360","LogLinear",TRUE)</f>
        <v/>
      </c>
      <c r="E4424" s="8">
        <f>QS.INSTRUMENT.SWAP("swap.4422",C4424,H4424,B4424,"USD","SOFR",I4424,J4424,0,"Actual360","Simple","Annual","Annual","Annual")</f>
        <v/>
      </c>
      <c r="F4424" s="8">
        <f>QS.TRADE.CREATE("trade.4422",C4424,E4424,A4424,"Receive")</f>
        <v/>
      </c>
      <c r="G4424" s="5"/>
      <c r="H4424" s="7" t="s">
        <v>4465</v>
      </c>
      <c r="I4424" s="9">
        <v>1442200</v>
      </c>
      <c r="J4424" s="10">
        <v>0.0372</v>
      </c>
    </row>
    <row r="4425" spans="1:10">
      <c r="A4425" s="7" t="s">
        <v>4459</v>
      </c>
      <c r="B4425" s="7" t="s">
        <v>6292</v>
      </c>
      <c r="C4425" s="8">
        <f>QS.CONTEXT.CREATE("market.4423",A4425,"USD","SOFR")</f>
        <v/>
      </c>
      <c r="D4425" s="8">
        <f>QS.CONTEXT.ADD.CURVE(C4425,"SOFR",$K$2:$K$7,$L$2:$L$7,,,"Actual360","LogLinear",TRUE)</f>
        <v/>
      </c>
      <c r="E4425" s="8">
        <f>QS.INSTRUMENT.SWAP("swap.4423",C4425,H4425,B4425,"USD","SOFR",I4425,J4425,0,"Actual360","Simple","Annual","Annual","Annual")</f>
        <v/>
      </c>
      <c r="F4425" s="8">
        <f>QS.TRADE.CREATE("trade.4423",C4425,E4425,A4425,"Receive")</f>
        <v/>
      </c>
      <c r="G4425" s="5"/>
      <c r="H4425" s="7" t="s">
        <v>4466</v>
      </c>
      <c r="I4425" s="9">
        <v>1442300</v>
      </c>
      <c r="J4425" s="10">
        <v>0.0373</v>
      </c>
    </row>
    <row r="4426" spans="1:10">
      <c r="A4426" s="7" t="s">
        <v>4460</v>
      </c>
      <c r="B4426" s="7" t="s">
        <v>6293</v>
      </c>
      <c r="C4426" s="8">
        <f>QS.CONTEXT.CREATE("market.4424",A4426,"USD","SOFR")</f>
        <v/>
      </c>
      <c r="D4426" s="8">
        <f>QS.CONTEXT.ADD.CURVE(C4426,"SOFR",$K$2:$K$7,$L$2:$L$7,,,"Actual360","LogLinear",TRUE)</f>
        <v/>
      </c>
      <c r="E4426" s="8">
        <f>QS.INSTRUMENT.SWAP("swap.4424",C4426,H4426,B4426,"USD","SOFR",I4426,J4426,0,"Actual360","Simple","Annual","Annual","Annual")</f>
        <v/>
      </c>
      <c r="F4426" s="8">
        <f>QS.TRADE.CREATE("trade.4424",C4426,E4426,A4426,"Receive")</f>
        <v/>
      </c>
      <c r="G4426" s="5"/>
      <c r="H4426" s="7" t="s">
        <v>4467</v>
      </c>
      <c r="I4426" s="9">
        <v>1442400</v>
      </c>
      <c r="J4426" s="10">
        <v>0.0374</v>
      </c>
    </row>
    <row r="4427" spans="1:10">
      <c r="A4427" s="7" t="s">
        <v>4461</v>
      </c>
      <c r="B4427" s="7" t="s">
        <v>6294</v>
      </c>
      <c r="C4427" s="8">
        <f>QS.CONTEXT.CREATE("market.4425",A4427,"USD","SOFR")</f>
        <v/>
      </c>
      <c r="D4427" s="8">
        <f>QS.CONTEXT.ADD.CURVE(C4427,"SOFR",$K$2:$K$7,$L$2:$L$7,,,"Actual360","LogLinear",TRUE)</f>
        <v/>
      </c>
      <c r="E4427" s="8">
        <f>QS.INSTRUMENT.SWAP("swap.4425",C4427,H4427,B4427,"USD","SOFR",I4427,J4427,0,"Actual360","Simple","Annual","Annual","Annual")</f>
        <v/>
      </c>
      <c r="F4427" s="8">
        <f>QS.TRADE.CREATE("trade.4425",C4427,E4427,A4427,"Receive")</f>
        <v/>
      </c>
      <c r="G4427" s="5"/>
      <c r="H4427" s="7" t="s">
        <v>4468</v>
      </c>
      <c r="I4427" s="9">
        <v>1442500</v>
      </c>
      <c r="J4427" s="10">
        <v>0.03750000000000001</v>
      </c>
    </row>
    <row r="4428" spans="1:10">
      <c r="A4428" s="7" t="s">
        <v>4462</v>
      </c>
      <c r="B4428" s="7" t="s">
        <v>6295</v>
      </c>
      <c r="C4428" s="8">
        <f>QS.CONTEXT.CREATE("market.4426",A4428,"USD","SOFR")</f>
        <v/>
      </c>
      <c r="D4428" s="8">
        <f>QS.CONTEXT.ADD.CURVE(C4428,"SOFR",$K$2:$K$7,$L$2:$L$7,,,"Actual360","LogLinear",TRUE)</f>
        <v/>
      </c>
      <c r="E4428" s="8">
        <f>QS.INSTRUMENT.SWAP("swap.4426",C4428,H4428,B4428,"USD","SOFR",I4428,J4428,0,"Actual360","Simple","Annual","Annual","Annual")</f>
        <v/>
      </c>
      <c r="F4428" s="8">
        <f>QS.TRADE.CREATE("trade.4426",C4428,E4428,A4428,"Receive")</f>
        <v/>
      </c>
      <c r="G4428" s="5"/>
      <c r="H4428" s="7" t="s">
        <v>4469</v>
      </c>
      <c r="I4428" s="9">
        <v>1442600</v>
      </c>
      <c r="J4428" s="10">
        <v>0.0376</v>
      </c>
    </row>
    <row r="4429" spans="1:10">
      <c r="A4429" s="7" t="s">
        <v>4463</v>
      </c>
      <c r="B4429" s="7" t="s">
        <v>6296</v>
      </c>
      <c r="C4429" s="8">
        <f>QS.CONTEXT.CREATE("market.4427",A4429,"USD","SOFR")</f>
        <v/>
      </c>
      <c r="D4429" s="8">
        <f>QS.CONTEXT.ADD.CURVE(C4429,"SOFR",$K$2:$K$7,$L$2:$L$7,,,"Actual360","LogLinear",TRUE)</f>
        <v/>
      </c>
      <c r="E4429" s="8">
        <f>QS.INSTRUMENT.SWAP("swap.4427",C4429,H4429,B4429,"USD","SOFR",I4429,J4429,0,"Actual360","Simple","Annual","Annual","Annual")</f>
        <v/>
      </c>
      <c r="F4429" s="8">
        <f>QS.TRADE.CREATE("trade.4427",C4429,E4429,A4429,"Receive")</f>
        <v/>
      </c>
      <c r="G4429" s="5"/>
      <c r="H4429" s="7" t="s">
        <v>4470</v>
      </c>
      <c r="I4429" s="9">
        <v>1442700</v>
      </c>
      <c r="J4429" s="10">
        <v>0.0377</v>
      </c>
    </row>
    <row r="4430" spans="1:10">
      <c r="A4430" s="7" t="s">
        <v>4464</v>
      </c>
      <c r="B4430" s="7" t="s">
        <v>6297</v>
      </c>
      <c r="C4430" s="8">
        <f>QS.CONTEXT.CREATE("market.4428",A4430,"USD","SOFR")</f>
        <v/>
      </c>
      <c r="D4430" s="8">
        <f>QS.CONTEXT.ADD.CURVE(C4430,"SOFR",$K$2:$K$7,$L$2:$L$7,,,"Actual360","LogLinear",TRUE)</f>
        <v/>
      </c>
      <c r="E4430" s="8">
        <f>QS.INSTRUMENT.SWAP("swap.4428",C4430,H4430,B4430,"USD","SOFR",I4430,J4430,0,"Actual360","Simple","Annual","Annual","Annual")</f>
        <v/>
      </c>
      <c r="F4430" s="8">
        <f>QS.TRADE.CREATE("trade.4428",C4430,E4430,A4430,"Receive")</f>
        <v/>
      </c>
      <c r="G4430" s="5"/>
      <c r="H4430" s="7" t="s">
        <v>4471</v>
      </c>
      <c r="I4430" s="9">
        <v>1442800</v>
      </c>
      <c r="J4430" s="10">
        <v>0.0378</v>
      </c>
    </row>
    <row r="4431" spans="1:10">
      <c r="A4431" s="7" t="s">
        <v>4465</v>
      </c>
      <c r="B4431" s="7" t="s">
        <v>6298</v>
      </c>
      <c r="C4431" s="8">
        <f>QS.CONTEXT.CREATE("market.4429",A4431,"USD","SOFR")</f>
        <v/>
      </c>
      <c r="D4431" s="8">
        <f>QS.CONTEXT.ADD.CURVE(C4431,"SOFR",$K$2:$K$7,$L$2:$L$7,,,"Actual360","LogLinear",TRUE)</f>
        <v/>
      </c>
      <c r="E4431" s="8">
        <f>QS.INSTRUMENT.SWAP("swap.4429",C4431,H4431,B4431,"USD","SOFR",I4431,J4431,0,"Actual360","Simple","Annual","Annual","Annual")</f>
        <v/>
      </c>
      <c r="F4431" s="8">
        <f>QS.TRADE.CREATE("trade.4429",C4431,E4431,A4431,"Receive")</f>
        <v/>
      </c>
      <c r="G4431" s="5"/>
      <c r="H4431" s="7" t="s">
        <v>4472</v>
      </c>
      <c r="I4431" s="9">
        <v>1442900</v>
      </c>
      <c r="J4431" s="10">
        <v>0.0379</v>
      </c>
    </row>
    <row r="4432" spans="1:10">
      <c r="A4432" s="7" t="s">
        <v>4466</v>
      </c>
      <c r="B4432" s="7" t="s">
        <v>6299</v>
      </c>
      <c r="C4432" s="8">
        <f>QS.CONTEXT.CREATE("market.4430",A4432,"USD","SOFR")</f>
        <v/>
      </c>
      <c r="D4432" s="8">
        <f>QS.CONTEXT.ADD.CURVE(C4432,"SOFR",$K$2:$K$7,$L$2:$L$7,,,"Actual360","LogLinear",TRUE)</f>
        <v/>
      </c>
      <c r="E4432" s="8">
        <f>QS.INSTRUMENT.SWAP("swap.4430",C4432,H4432,B4432,"USD","SOFR",I4432,J4432,0,"Actual360","Simple","Annual","Annual","Annual")</f>
        <v/>
      </c>
      <c r="F4432" s="8">
        <f>QS.TRADE.CREATE("trade.4430",C4432,E4432,A4432,"Receive")</f>
        <v/>
      </c>
      <c r="G4432" s="5"/>
      <c r="H4432" s="7" t="s">
        <v>4473</v>
      </c>
      <c r="I4432" s="9">
        <v>1443000</v>
      </c>
      <c r="J4432" s="10">
        <v>0.03800000000000001</v>
      </c>
    </row>
    <row r="4433" spans="1:10">
      <c r="A4433" s="7" t="s">
        <v>4467</v>
      </c>
      <c r="B4433" s="7" t="s">
        <v>6300</v>
      </c>
      <c r="C4433" s="8">
        <f>QS.CONTEXT.CREATE("market.4431",A4433,"USD","SOFR")</f>
        <v/>
      </c>
      <c r="D4433" s="8">
        <f>QS.CONTEXT.ADD.CURVE(C4433,"SOFR",$K$2:$K$7,$L$2:$L$7,,,"Actual360","LogLinear",TRUE)</f>
        <v/>
      </c>
      <c r="E4433" s="8">
        <f>QS.INSTRUMENT.SWAP("swap.4431",C4433,H4433,B4433,"USD","SOFR",I4433,J4433,0,"Actual360","Simple","Annual","Annual","Annual")</f>
        <v/>
      </c>
      <c r="F4433" s="8">
        <f>QS.TRADE.CREATE("trade.4431",C4433,E4433,A4433,"Receive")</f>
        <v/>
      </c>
      <c r="G4433" s="5"/>
      <c r="H4433" s="7" t="s">
        <v>4474</v>
      </c>
      <c r="I4433" s="9">
        <v>1443100</v>
      </c>
      <c r="J4433" s="10">
        <v>0.0381</v>
      </c>
    </row>
    <row r="4434" spans="1:10">
      <c r="A4434" s="7" t="s">
        <v>4468</v>
      </c>
      <c r="B4434" s="7" t="s">
        <v>6301</v>
      </c>
      <c r="C4434" s="8">
        <f>QS.CONTEXT.CREATE("market.4432",A4434,"USD","SOFR")</f>
        <v/>
      </c>
      <c r="D4434" s="8">
        <f>QS.CONTEXT.ADD.CURVE(C4434,"SOFR",$K$2:$K$7,$L$2:$L$7,,,"Actual360","LogLinear",TRUE)</f>
        <v/>
      </c>
      <c r="E4434" s="8">
        <f>QS.INSTRUMENT.SWAP("swap.4432",C4434,H4434,B4434,"USD","SOFR",I4434,J4434,0,"Actual360","Simple","Annual","Annual","Annual")</f>
        <v/>
      </c>
      <c r="F4434" s="8">
        <f>QS.TRADE.CREATE("trade.4432",C4434,E4434,A4434,"Receive")</f>
        <v/>
      </c>
      <c r="G4434" s="5"/>
      <c r="H4434" s="7" t="s">
        <v>4475</v>
      </c>
      <c r="I4434" s="9">
        <v>1443200</v>
      </c>
      <c r="J4434" s="10">
        <v>0.0382</v>
      </c>
    </row>
    <row r="4435" spans="1:10">
      <c r="A4435" s="7" t="s">
        <v>4469</v>
      </c>
      <c r="B4435" s="7" t="s">
        <v>6302</v>
      </c>
      <c r="C4435" s="8">
        <f>QS.CONTEXT.CREATE("market.4433",A4435,"USD","SOFR")</f>
        <v/>
      </c>
      <c r="D4435" s="8">
        <f>QS.CONTEXT.ADD.CURVE(C4435,"SOFR",$K$2:$K$7,$L$2:$L$7,,,"Actual360","LogLinear",TRUE)</f>
        <v/>
      </c>
      <c r="E4435" s="8">
        <f>QS.INSTRUMENT.SWAP("swap.4433",C4435,H4435,B4435,"USD","SOFR",I4435,J4435,0,"Actual360","Simple","Annual","Annual","Annual")</f>
        <v/>
      </c>
      <c r="F4435" s="8">
        <f>QS.TRADE.CREATE("trade.4433",C4435,E4435,A4435,"Receive")</f>
        <v/>
      </c>
      <c r="G4435" s="5"/>
      <c r="H4435" s="7" t="s">
        <v>4476</v>
      </c>
      <c r="I4435" s="9">
        <v>1443300</v>
      </c>
      <c r="J4435" s="10">
        <v>0.0383</v>
      </c>
    </row>
    <row r="4436" spans="1:10">
      <c r="A4436" s="7" t="s">
        <v>4470</v>
      </c>
      <c r="B4436" s="7" t="s">
        <v>6303</v>
      </c>
      <c r="C4436" s="8">
        <f>QS.CONTEXT.CREATE("market.4434",A4436,"USD","SOFR")</f>
        <v/>
      </c>
      <c r="D4436" s="8">
        <f>QS.CONTEXT.ADD.CURVE(C4436,"SOFR",$K$2:$K$7,$L$2:$L$7,,,"Actual360","LogLinear",TRUE)</f>
        <v/>
      </c>
      <c r="E4436" s="8">
        <f>QS.INSTRUMENT.SWAP("swap.4434",C4436,H4436,B4436,"USD","SOFR",I4436,J4436,0,"Actual360","Simple","Annual","Annual","Annual")</f>
        <v/>
      </c>
      <c r="F4436" s="8">
        <f>QS.TRADE.CREATE("trade.4434",C4436,E4436,A4436,"Receive")</f>
        <v/>
      </c>
      <c r="G4436" s="5"/>
      <c r="H4436" s="7" t="s">
        <v>4477</v>
      </c>
      <c r="I4436" s="9">
        <v>1443400</v>
      </c>
      <c r="J4436" s="10">
        <v>0.0384</v>
      </c>
    </row>
    <row r="4437" spans="1:10">
      <c r="A4437" s="7" t="s">
        <v>4471</v>
      </c>
      <c r="B4437" s="7" t="s">
        <v>6304</v>
      </c>
      <c r="C4437" s="8">
        <f>QS.CONTEXT.CREATE("market.4435",A4437,"USD","SOFR")</f>
        <v/>
      </c>
      <c r="D4437" s="8">
        <f>QS.CONTEXT.ADD.CURVE(C4437,"SOFR",$K$2:$K$7,$L$2:$L$7,,,"Actual360","LogLinear",TRUE)</f>
        <v/>
      </c>
      <c r="E4437" s="8">
        <f>QS.INSTRUMENT.SWAP("swap.4435",C4437,H4437,B4437,"USD","SOFR",I4437,J4437,0,"Actual360","Simple","Annual","Annual","Annual")</f>
        <v/>
      </c>
      <c r="F4437" s="8">
        <f>QS.TRADE.CREATE("trade.4435",C4437,E4437,A4437,"Receive")</f>
        <v/>
      </c>
      <c r="G4437" s="5"/>
      <c r="H4437" s="7" t="s">
        <v>4478</v>
      </c>
      <c r="I4437" s="9">
        <v>1443500</v>
      </c>
      <c r="J4437" s="10">
        <v>0.03850000000000001</v>
      </c>
    </row>
    <row r="4438" spans="1:10">
      <c r="A4438" s="7" t="s">
        <v>4472</v>
      </c>
      <c r="B4438" s="7" t="s">
        <v>6305</v>
      </c>
      <c r="C4438" s="8">
        <f>QS.CONTEXT.CREATE("market.4436",A4438,"USD","SOFR")</f>
        <v/>
      </c>
      <c r="D4438" s="8">
        <f>QS.CONTEXT.ADD.CURVE(C4438,"SOFR",$K$2:$K$7,$L$2:$L$7,,,"Actual360","LogLinear",TRUE)</f>
        <v/>
      </c>
      <c r="E4438" s="8">
        <f>QS.INSTRUMENT.SWAP("swap.4436",C4438,H4438,B4438,"USD","SOFR",I4438,J4438,0,"Actual360","Simple","Annual","Annual","Annual")</f>
        <v/>
      </c>
      <c r="F4438" s="8">
        <f>QS.TRADE.CREATE("trade.4436",C4438,E4438,A4438,"Receive")</f>
        <v/>
      </c>
      <c r="G4438" s="5"/>
      <c r="H4438" s="7" t="s">
        <v>4479</v>
      </c>
      <c r="I4438" s="9">
        <v>1443600</v>
      </c>
      <c r="J4438" s="10">
        <v>0.0386</v>
      </c>
    </row>
    <row r="4439" spans="1:10">
      <c r="A4439" s="7" t="s">
        <v>4473</v>
      </c>
      <c r="B4439" s="7" t="s">
        <v>6306</v>
      </c>
      <c r="C4439" s="8">
        <f>QS.CONTEXT.CREATE("market.4437",A4439,"USD","SOFR")</f>
        <v/>
      </c>
      <c r="D4439" s="8">
        <f>QS.CONTEXT.ADD.CURVE(C4439,"SOFR",$K$2:$K$7,$L$2:$L$7,,,"Actual360","LogLinear",TRUE)</f>
        <v/>
      </c>
      <c r="E4439" s="8">
        <f>QS.INSTRUMENT.SWAP("swap.4437",C4439,H4439,B4439,"USD","SOFR",I4439,J4439,0,"Actual360","Simple","Annual","Annual","Annual")</f>
        <v/>
      </c>
      <c r="F4439" s="8">
        <f>QS.TRADE.CREATE("trade.4437",C4439,E4439,A4439,"Receive")</f>
        <v/>
      </c>
      <c r="G4439" s="5"/>
      <c r="H4439" s="7" t="s">
        <v>4480</v>
      </c>
      <c r="I4439" s="9">
        <v>1443700</v>
      </c>
      <c r="J4439" s="10">
        <v>0.03870000000000001</v>
      </c>
    </row>
    <row r="4440" spans="1:10">
      <c r="A4440" s="7" t="s">
        <v>4474</v>
      </c>
      <c r="B4440" s="7" t="s">
        <v>6307</v>
      </c>
      <c r="C4440" s="8">
        <f>QS.CONTEXT.CREATE("market.4438",A4440,"USD","SOFR")</f>
        <v/>
      </c>
      <c r="D4440" s="8">
        <f>QS.CONTEXT.ADD.CURVE(C4440,"SOFR",$K$2:$K$7,$L$2:$L$7,,,"Actual360","LogLinear",TRUE)</f>
        <v/>
      </c>
      <c r="E4440" s="8">
        <f>QS.INSTRUMENT.SWAP("swap.4438",C4440,H4440,B4440,"USD","SOFR",I4440,J4440,0,"Actual360","Simple","Annual","Annual","Annual")</f>
        <v/>
      </c>
      <c r="F4440" s="8">
        <f>QS.TRADE.CREATE("trade.4438",C4440,E4440,A4440,"Receive")</f>
        <v/>
      </c>
      <c r="G4440" s="5"/>
      <c r="H4440" s="7" t="s">
        <v>4481</v>
      </c>
      <c r="I4440" s="9">
        <v>1443800</v>
      </c>
      <c r="J4440" s="10">
        <v>0.0388</v>
      </c>
    </row>
    <row r="4441" spans="1:10">
      <c r="A4441" s="7" t="s">
        <v>4475</v>
      </c>
      <c r="B4441" s="7" t="s">
        <v>6308</v>
      </c>
      <c r="C4441" s="8">
        <f>QS.CONTEXT.CREATE("market.4439",A4441,"USD","SOFR")</f>
        <v/>
      </c>
      <c r="D4441" s="8">
        <f>QS.CONTEXT.ADD.CURVE(C4441,"SOFR",$K$2:$K$7,$L$2:$L$7,,,"Actual360","LogLinear",TRUE)</f>
        <v/>
      </c>
      <c r="E4441" s="8">
        <f>QS.INSTRUMENT.SWAP("swap.4439",C4441,H4441,B4441,"USD","SOFR",I4441,J4441,0,"Actual360","Simple","Annual","Annual","Annual")</f>
        <v/>
      </c>
      <c r="F4441" s="8">
        <f>QS.TRADE.CREATE("trade.4439",C4441,E4441,A4441,"Receive")</f>
        <v/>
      </c>
      <c r="G4441" s="5"/>
      <c r="H4441" s="7" t="s">
        <v>4482</v>
      </c>
      <c r="I4441" s="9">
        <v>1443900</v>
      </c>
      <c r="J4441" s="10">
        <v>0.0389</v>
      </c>
    </row>
    <row r="4442" spans="1:10">
      <c r="A4442" s="7" t="s">
        <v>4476</v>
      </c>
      <c r="B4442" s="7" t="s">
        <v>6309</v>
      </c>
      <c r="C4442" s="8">
        <f>QS.CONTEXT.CREATE("market.4440",A4442,"USD","SOFR")</f>
        <v/>
      </c>
      <c r="D4442" s="8">
        <f>QS.CONTEXT.ADD.CURVE(C4442,"SOFR",$K$2:$K$7,$L$2:$L$7,,,"Actual360","LogLinear",TRUE)</f>
        <v/>
      </c>
      <c r="E4442" s="8">
        <f>QS.INSTRUMENT.SWAP("swap.4440",C4442,H4442,B4442,"USD","SOFR",I4442,J4442,0,"Actual360","Simple","Annual","Annual","Annual")</f>
        <v/>
      </c>
      <c r="F4442" s="8">
        <f>QS.TRADE.CREATE("trade.4440",C4442,E4442,A4442,"Receive")</f>
        <v/>
      </c>
      <c r="G4442" s="5"/>
      <c r="H4442" s="7" t="s">
        <v>4483</v>
      </c>
      <c r="I4442" s="9">
        <v>1444000</v>
      </c>
      <c r="J4442" s="10">
        <v>0.03900000000000001</v>
      </c>
    </row>
    <row r="4443" spans="1:10">
      <c r="A4443" s="7" t="s">
        <v>4477</v>
      </c>
      <c r="B4443" s="7" t="s">
        <v>6310</v>
      </c>
      <c r="C4443" s="8">
        <f>QS.CONTEXT.CREATE("market.4441",A4443,"USD","SOFR")</f>
        <v/>
      </c>
      <c r="D4443" s="8">
        <f>QS.CONTEXT.ADD.CURVE(C4443,"SOFR",$K$2:$K$7,$L$2:$L$7,,,"Actual360","LogLinear",TRUE)</f>
        <v/>
      </c>
      <c r="E4443" s="8">
        <f>QS.INSTRUMENT.SWAP("swap.4441",C4443,H4443,B4443,"USD","SOFR",I4443,J4443,0,"Actual360","Simple","Annual","Annual","Annual")</f>
        <v/>
      </c>
      <c r="F4443" s="8">
        <f>QS.TRADE.CREATE("trade.4441",C4443,E4443,A4443,"Receive")</f>
        <v/>
      </c>
      <c r="G4443" s="5"/>
      <c r="H4443" s="7" t="s">
        <v>4484</v>
      </c>
      <c r="I4443" s="9">
        <v>1444100</v>
      </c>
      <c r="J4443" s="10">
        <v>0.0391</v>
      </c>
    </row>
    <row r="4444" spans="1:10">
      <c r="A4444" s="7" t="s">
        <v>4478</v>
      </c>
      <c r="B4444" s="7" t="s">
        <v>6311</v>
      </c>
      <c r="C4444" s="8">
        <f>QS.CONTEXT.CREATE("market.4442",A4444,"USD","SOFR")</f>
        <v/>
      </c>
      <c r="D4444" s="8">
        <f>QS.CONTEXT.ADD.CURVE(C4444,"SOFR",$K$2:$K$7,$L$2:$L$7,,,"Actual360","LogLinear",TRUE)</f>
        <v/>
      </c>
      <c r="E4444" s="8">
        <f>QS.INSTRUMENT.SWAP("swap.4442",C4444,H4444,B4444,"USD","SOFR",I4444,J4444,0,"Actual360","Simple","Annual","Annual","Annual")</f>
        <v/>
      </c>
      <c r="F4444" s="8">
        <f>QS.TRADE.CREATE("trade.4442",C4444,E4444,A4444,"Receive")</f>
        <v/>
      </c>
      <c r="G4444" s="5"/>
      <c r="H4444" s="7" t="s">
        <v>4485</v>
      </c>
      <c r="I4444" s="9">
        <v>1444200</v>
      </c>
      <c r="J4444" s="10">
        <v>0.03920000000000001</v>
      </c>
    </row>
    <row r="4445" spans="1:10">
      <c r="A4445" s="7" t="s">
        <v>4479</v>
      </c>
      <c r="B4445" s="7" t="s">
        <v>6312</v>
      </c>
      <c r="C4445" s="8">
        <f>QS.CONTEXT.CREATE("market.4443",A4445,"USD","SOFR")</f>
        <v/>
      </c>
      <c r="D4445" s="8">
        <f>QS.CONTEXT.ADD.CURVE(C4445,"SOFR",$K$2:$K$7,$L$2:$L$7,,,"Actual360","LogLinear",TRUE)</f>
        <v/>
      </c>
      <c r="E4445" s="8">
        <f>QS.INSTRUMENT.SWAP("swap.4443",C4445,H4445,B4445,"USD","SOFR",I4445,J4445,0,"Actual360","Simple","Annual","Annual","Annual")</f>
        <v/>
      </c>
      <c r="F4445" s="8">
        <f>QS.TRADE.CREATE("trade.4443",C4445,E4445,A4445,"Receive")</f>
        <v/>
      </c>
      <c r="G4445" s="5"/>
      <c r="H4445" s="7" t="s">
        <v>4486</v>
      </c>
      <c r="I4445" s="9">
        <v>1444300</v>
      </c>
      <c r="J4445" s="10">
        <v>0.0393</v>
      </c>
    </row>
    <row r="4446" spans="1:10">
      <c r="A4446" s="7" t="s">
        <v>4480</v>
      </c>
      <c r="B4446" s="7" t="s">
        <v>6313</v>
      </c>
      <c r="C4446" s="8">
        <f>QS.CONTEXT.CREATE("market.4444",A4446,"USD","SOFR")</f>
        <v/>
      </c>
      <c r="D4446" s="8">
        <f>QS.CONTEXT.ADD.CURVE(C4446,"SOFR",$K$2:$K$7,$L$2:$L$7,,,"Actual360","LogLinear",TRUE)</f>
        <v/>
      </c>
      <c r="E4446" s="8">
        <f>QS.INSTRUMENT.SWAP("swap.4444",C4446,H4446,B4446,"USD","SOFR",I4446,J4446,0,"Actual360","Simple","Annual","Annual","Annual")</f>
        <v/>
      </c>
      <c r="F4446" s="8">
        <f>QS.TRADE.CREATE("trade.4444",C4446,E4446,A4446,"Receive")</f>
        <v/>
      </c>
      <c r="G4446" s="5"/>
      <c r="H4446" s="7" t="s">
        <v>4487</v>
      </c>
      <c r="I4446" s="9">
        <v>1444400</v>
      </c>
      <c r="J4446" s="10">
        <v>0.0394</v>
      </c>
    </row>
    <row r="4447" spans="1:10">
      <c r="A4447" s="7" t="s">
        <v>4481</v>
      </c>
      <c r="B4447" s="7" t="s">
        <v>6314</v>
      </c>
      <c r="C4447" s="8">
        <f>QS.CONTEXT.CREATE("market.4445",A4447,"USD","SOFR")</f>
        <v/>
      </c>
      <c r="D4447" s="8">
        <f>QS.CONTEXT.ADD.CURVE(C4447,"SOFR",$K$2:$K$7,$L$2:$L$7,,,"Actual360","LogLinear",TRUE)</f>
        <v/>
      </c>
      <c r="E4447" s="8">
        <f>QS.INSTRUMENT.SWAP("swap.4445",C4447,H4447,B4447,"USD","SOFR",I4447,J4447,0,"Actual360","Simple","Annual","Annual","Annual")</f>
        <v/>
      </c>
      <c r="F4447" s="8">
        <f>QS.TRADE.CREATE("trade.4445",C4447,E4447,A4447,"Receive")</f>
        <v/>
      </c>
      <c r="G4447" s="5"/>
      <c r="H4447" s="7" t="s">
        <v>4488</v>
      </c>
      <c r="I4447" s="9">
        <v>1444500</v>
      </c>
      <c r="J4447" s="10">
        <v>0.03950000000000001</v>
      </c>
    </row>
    <row r="4448" spans="1:10">
      <c r="A4448" s="7" t="s">
        <v>4482</v>
      </c>
      <c r="B4448" s="7" t="s">
        <v>6315</v>
      </c>
      <c r="C4448" s="8">
        <f>QS.CONTEXT.CREATE("market.4446",A4448,"USD","SOFR")</f>
        <v/>
      </c>
      <c r="D4448" s="8">
        <f>QS.CONTEXT.ADD.CURVE(C4448,"SOFR",$K$2:$K$7,$L$2:$L$7,,,"Actual360","LogLinear",TRUE)</f>
        <v/>
      </c>
      <c r="E4448" s="8">
        <f>QS.INSTRUMENT.SWAP("swap.4446",C4448,H4448,B4448,"USD","SOFR",I4448,J4448,0,"Actual360","Simple","Annual","Annual","Annual")</f>
        <v/>
      </c>
      <c r="F4448" s="8">
        <f>QS.TRADE.CREATE("trade.4446",C4448,E4448,A4448,"Receive")</f>
        <v/>
      </c>
      <c r="G4448" s="5"/>
      <c r="H4448" s="7" t="s">
        <v>4489</v>
      </c>
      <c r="I4448" s="9">
        <v>1444600</v>
      </c>
      <c r="J4448" s="10">
        <v>0.0396</v>
      </c>
    </row>
    <row r="4449" spans="1:10">
      <c r="A4449" s="7" t="s">
        <v>4483</v>
      </c>
      <c r="B4449" s="7" t="s">
        <v>6316</v>
      </c>
      <c r="C4449" s="8">
        <f>QS.CONTEXT.CREATE("market.4447",A4449,"USD","SOFR")</f>
        <v/>
      </c>
      <c r="D4449" s="8">
        <f>QS.CONTEXT.ADD.CURVE(C4449,"SOFR",$K$2:$K$7,$L$2:$L$7,,,"Actual360","LogLinear",TRUE)</f>
        <v/>
      </c>
      <c r="E4449" s="8">
        <f>QS.INSTRUMENT.SWAP("swap.4447",C4449,H4449,B4449,"USD","SOFR",I4449,J4449,0,"Actual360","Simple","Annual","Annual","Annual")</f>
        <v/>
      </c>
      <c r="F4449" s="8">
        <f>QS.TRADE.CREATE("trade.4447",C4449,E4449,A4449,"Receive")</f>
        <v/>
      </c>
      <c r="G4449" s="5"/>
      <c r="H4449" s="7" t="s">
        <v>4490</v>
      </c>
      <c r="I4449" s="9">
        <v>1444700</v>
      </c>
      <c r="J4449" s="10">
        <v>0.03970000000000001</v>
      </c>
    </row>
    <row r="4450" spans="1:10">
      <c r="A4450" s="7" t="s">
        <v>4484</v>
      </c>
      <c r="B4450" s="7" t="s">
        <v>6317</v>
      </c>
      <c r="C4450" s="8">
        <f>QS.CONTEXT.CREATE("market.4448",A4450,"USD","SOFR")</f>
        <v/>
      </c>
      <c r="D4450" s="8">
        <f>QS.CONTEXT.ADD.CURVE(C4450,"SOFR",$K$2:$K$7,$L$2:$L$7,,,"Actual360","LogLinear",TRUE)</f>
        <v/>
      </c>
      <c r="E4450" s="8">
        <f>QS.INSTRUMENT.SWAP("swap.4448",C4450,H4450,B4450,"USD","SOFR",I4450,J4450,0,"Actual360","Simple","Annual","Annual","Annual")</f>
        <v/>
      </c>
      <c r="F4450" s="8">
        <f>QS.TRADE.CREATE("trade.4448",C4450,E4450,A4450,"Receive")</f>
        <v/>
      </c>
      <c r="G4450" s="5"/>
      <c r="H4450" s="7" t="s">
        <v>4491</v>
      </c>
      <c r="I4450" s="9">
        <v>1444800</v>
      </c>
      <c r="J4450" s="10">
        <v>0.0398</v>
      </c>
    </row>
    <row r="4451" spans="1:10">
      <c r="A4451" s="7" t="s">
        <v>4485</v>
      </c>
      <c r="B4451" s="7" t="s">
        <v>6318</v>
      </c>
      <c r="C4451" s="8">
        <f>QS.CONTEXT.CREATE("market.4449",A4451,"USD","SOFR")</f>
        <v/>
      </c>
      <c r="D4451" s="8">
        <f>QS.CONTEXT.ADD.CURVE(C4451,"SOFR",$K$2:$K$7,$L$2:$L$7,,,"Actual360","LogLinear",TRUE)</f>
        <v/>
      </c>
      <c r="E4451" s="8">
        <f>QS.INSTRUMENT.SWAP("swap.4449",C4451,H4451,B4451,"USD","SOFR",I4451,J4451,0,"Actual360","Simple","Annual","Annual","Annual")</f>
        <v/>
      </c>
      <c r="F4451" s="8">
        <f>QS.TRADE.CREATE("trade.4449",C4451,E4451,A4451,"Receive")</f>
        <v/>
      </c>
      <c r="G4451" s="5"/>
      <c r="H4451" s="7" t="s">
        <v>4492</v>
      </c>
      <c r="I4451" s="9">
        <v>1444900</v>
      </c>
      <c r="J4451" s="10">
        <v>0.0399</v>
      </c>
    </row>
    <row r="4452" spans="1:10">
      <c r="A4452" s="7" t="s">
        <v>4486</v>
      </c>
      <c r="B4452" s="7" t="s">
        <v>6319</v>
      </c>
      <c r="C4452" s="8">
        <f>QS.CONTEXT.CREATE("market.4450",A4452,"USD","SOFR")</f>
        <v/>
      </c>
      <c r="D4452" s="8">
        <f>QS.CONTEXT.ADD.CURVE(C4452,"SOFR",$K$2:$K$7,$L$2:$L$7,,,"Actual360","LogLinear",TRUE)</f>
        <v/>
      </c>
      <c r="E4452" s="8">
        <f>QS.INSTRUMENT.SWAP("swap.4450",C4452,H4452,B4452,"USD","SOFR",I4452,J4452,0,"Actual360","Simple","Annual","Annual","Annual")</f>
        <v/>
      </c>
      <c r="F4452" s="8">
        <f>QS.TRADE.CREATE("trade.4450",C4452,E4452,A4452,"Receive")</f>
        <v/>
      </c>
      <c r="G4452" s="5"/>
      <c r="H4452" s="7" t="s">
        <v>4493</v>
      </c>
      <c r="I4452" s="9">
        <v>1445000</v>
      </c>
      <c r="J4452" s="10">
        <v>0.035</v>
      </c>
    </row>
    <row r="4453" spans="1:10">
      <c r="A4453" s="7" t="s">
        <v>4487</v>
      </c>
      <c r="B4453" s="7" t="s">
        <v>6320</v>
      </c>
      <c r="C4453" s="8">
        <f>QS.CONTEXT.CREATE("market.4451",A4453,"USD","SOFR")</f>
        <v/>
      </c>
      <c r="D4453" s="8">
        <f>QS.CONTEXT.ADD.CURVE(C4453,"SOFR",$K$2:$K$7,$L$2:$L$7,,,"Actual360","LogLinear",TRUE)</f>
        <v/>
      </c>
      <c r="E4453" s="8">
        <f>QS.INSTRUMENT.SWAP("swap.4451",C4453,H4453,B4453,"USD","SOFR",I4453,J4453,0,"Actual360","Simple","Annual","Annual","Annual")</f>
        <v/>
      </c>
      <c r="F4453" s="8">
        <f>QS.TRADE.CREATE("trade.4451",C4453,E4453,A4453,"Receive")</f>
        <v/>
      </c>
      <c r="G4453" s="5"/>
      <c r="H4453" s="7" t="s">
        <v>4494</v>
      </c>
      <c r="I4453" s="9">
        <v>1445100</v>
      </c>
      <c r="J4453" s="10">
        <v>0.03510000000000001</v>
      </c>
    </row>
    <row r="4454" spans="1:10">
      <c r="A4454" s="7" t="s">
        <v>4488</v>
      </c>
      <c r="B4454" s="7" t="s">
        <v>6321</v>
      </c>
      <c r="C4454" s="8">
        <f>QS.CONTEXT.CREATE("market.4452",A4454,"USD","SOFR")</f>
        <v/>
      </c>
      <c r="D4454" s="8">
        <f>QS.CONTEXT.ADD.CURVE(C4454,"SOFR",$K$2:$K$7,$L$2:$L$7,,,"Actual360","LogLinear",TRUE)</f>
        <v/>
      </c>
      <c r="E4454" s="8">
        <f>QS.INSTRUMENT.SWAP("swap.4452",C4454,H4454,B4454,"USD","SOFR",I4454,J4454,0,"Actual360","Simple","Annual","Annual","Annual")</f>
        <v/>
      </c>
      <c r="F4454" s="8">
        <f>QS.TRADE.CREATE("trade.4452",C4454,E4454,A4454,"Receive")</f>
        <v/>
      </c>
      <c r="G4454" s="5"/>
      <c r="H4454" s="7" t="s">
        <v>4495</v>
      </c>
      <c r="I4454" s="9">
        <v>1445200</v>
      </c>
      <c r="J4454" s="10">
        <v>0.0352</v>
      </c>
    </row>
    <row r="4455" spans="1:10">
      <c r="A4455" s="7" t="s">
        <v>4489</v>
      </c>
      <c r="B4455" s="7" t="s">
        <v>6322</v>
      </c>
      <c r="C4455" s="8">
        <f>QS.CONTEXT.CREATE("market.4453",A4455,"USD","SOFR")</f>
        <v/>
      </c>
      <c r="D4455" s="8">
        <f>QS.CONTEXT.ADD.CURVE(C4455,"SOFR",$K$2:$K$7,$L$2:$L$7,,,"Actual360","LogLinear",TRUE)</f>
        <v/>
      </c>
      <c r="E4455" s="8">
        <f>QS.INSTRUMENT.SWAP("swap.4453",C4455,H4455,B4455,"USD","SOFR",I4455,J4455,0,"Actual360","Simple","Annual","Annual","Annual")</f>
        <v/>
      </c>
      <c r="F4455" s="8">
        <f>QS.TRADE.CREATE("trade.4453",C4455,E4455,A4455,"Receive")</f>
        <v/>
      </c>
      <c r="G4455" s="5"/>
      <c r="H4455" s="7" t="s">
        <v>4496</v>
      </c>
      <c r="I4455" s="9">
        <v>1445300</v>
      </c>
      <c r="J4455" s="10">
        <v>0.0353</v>
      </c>
    </row>
    <row r="4456" spans="1:10">
      <c r="A4456" s="7" t="s">
        <v>4490</v>
      </c>
      <c r="B4456" s="7" t="s">
        <v>6323</v>
      </c>
      <c r="C4456" s="8">
        <f>QS.CONTEXT.CREATE("market.4454",A4456,"USD","SOFR")</f>
        <v/>
      </c>
      <c r="D4456" s="8">
        <f>QS.CONTEXT.ADD.CURVE(C4456,"SOFR",$K$2:$K$7,$L$2:$L$7,,,"Actual360","LogLinear",TRUE)</f>
        <v/>
      </c>
      <c r="E4456" s="8">
        <f>QS.INSTRUMENT.SWAP("swap.4454",C4456,H4456,B4456,"USD","SOFR",I4456,J4456,0,"Actual360","Simple","Annual","Annual","Annual")</f>
        <v/>
      </c>
      <c r="F4456" s="8">
        <f>QS.TRADE.CREATE("trade.4454",C4456,E4456,A4456,"Receive")</f>
        <v/>
      </c>
      <c r="G4456" s="5"/>
      <c r="H4456" s="7" t="s">
        <v>4497</v>
      </c>
      <c r="I4456" s="9">
        <v>1445400</v>
      </c>
      <c r="J4456" s="10">
        <v>0.0354</v>
      </c>
    </row>
    <row r="4457" spans="1:10">
      <c r="A4457" s="7" t="s">
        <v>4491</v>
      </c>
      <c r="B4457" s="7" t="s">
        <v>6324</v>
      </c>
      <c r="C4457" s="8">
        <f>QS.CONTEXT.CREATE("market.4455",A4457,"USD","SOFR")</f>
        <v/>
      </c>
      <c r="D4457" s="8">
        <f>QS.CONTEXT.ADD.CURVE(C4457,"SOFR",$K$2:$K$7,$L$2:$L$7,,,"Actual360","LogLinear",TRUE)</f>
        <v/>
      </c>
      <c r="E4457" s="8">
        <f>QS.INSTRUMENT.SWAP("swap.4455",C4457,H4457,B4457,"USD","SOFR",I4457,J4457,0,"Actual360","Simple","Annual","Annual","Annual")</f>
        <v/>
      </c>
      <c r="F4457" s="8">
        <f>QS.TRADE.CREATE("trade.4455",C4457,E4457,A4457,"Receive")</f>
        <v/>
      </c>
      <c r="G4457" s="5"/>
      <c r="H4457" s="7" t="s">
        <v>4498</v>
      </c>
      <c r="I4457" s="9">
        <v>1445500</v>
      </c>
      <c r="J4457" s="10">
        <v>0.0355</v>
      </c>
    </row>
    <row r="4458" spans="1:10">
      <c r="A4458" s="7" t="s">
        <v>4492</v>
      </c>
      <c r="B4458" s="7" t="s">
        <v>6325</v>
      </c>
      <c r="C4458" s="8">
        <f>QS.CONTEXT.CREATE("market.4456",A4458,"USD","SOFR")</f>
        <v/>
      </c>
      <c r="D4458" s="8">
        <f>QS.CONTEXT.ADD.CURVE(C4458,"SOFR",$K$2:$K$7,$L$2:$L$7,,,"Actual360","LogLinear",TRUE)</f>
        <v/>
      </c>
      <c r="E4458" s="8">
        <f>QS.INSTRUMENT.SWAP("swap.4456",C4458,H4458,B4458,"USD","SOFR",I4458,J4458,0,"Actual360","Simple","Annual","Annual","Annual")</f>
        <v/>
      </c>
      <c r="F4458" s="8">
        <f>QS.TRADE.CREATE("trade.4456",C4458,E4458,A4458,"Receive")</f>
        <v/>
      </c>
      <c r="G4458" s="5"/>
      <c r="H4458" s="7" t="s">
        <v>4499</v>
      </c>
      <c r="I4458" s="9">
        <v>1445600</v>
      </c>
      <c r="J4458" s="10">
        <v>0.03560000000000001</v>
      </c>
    </row>
    <row r="4459" spans="1:10">
      <c r="A4459" s="7" t="s">
        <v>4493</v>
      </c>
      <c r="B4459" s="7" t="s">
        <v>6326</v>
      </c>
      <c r="C4459" s="8">
        <f>QS.CONTEXT.CREATE("market.4457",A4459,"USD","SOFR")</f>
        <v/>
      </c>
      <c r="D4459" s="8">
        <f>QS.CONTEXT.ADD.CURVE(C4459,"SOFR",$K$2:$K$7,$L$2:$L$7,,,"Actual360","LogLinear",TRUE)</f>
        <v/>
      </c>
      <c r="E4459" s="8">
        <f>QS.INSTRUMENT.SWAP("swap.4457",C4459,H4459,B4459,"USD","SOFR",I4459,J4459,0,"Actual360","Simple","Annual","Annual","Annual")</f>
        <v/>
      </c>
      <c r="F4459" s="8">
        <f>QS.TRADE.CREATE("trade.4457",C4459,E4459,A4459,"Receive")</f>
        <v/>
      </c>
      <c r="G4459" s="5"/>
      <c r="H4459" s="7" t="s">
        <v>4500</v>
      </c>
      <c r="I4459" s="9">
        <v>1445700</v>
      </c>
      <c r="J4459" s="10">
        <v>0.0357</v>
      </c>
    </row>
    <row r="4460" spans="1:10">
      <c r="A4460" s="7" t="s">
        <v>4494</v>
      </c>
      <c r="B4460" s="7" t="s">
        <v>6327</v>
      </c>
      <c r="C4460" s="8">
        <f>QS.CONTEXT.CREATE("market.4458",A4460,"USD","SOFR")</f>
        <v/>
      </c>
      <c r="D4460" s="8">
        <f>QS.CONTEXT.ADD.CURVE(C4460,"SOFR",$K$2:$K$7,$L$2:$L$7,,,"Actual360","LogLinear",TRUE)</f>
        <v/>
      </c>
      <c r="E4460" s="8">
        <f>QS.INSTRUMENT.SWAP("swap.4458",C4460,H4460,B4460,"USD","SOFR",I4460,J4460,0,"Actual360","Simple","Annual","Annual","Annual")</f>
        <v/>
      </c>
      <c r="F4460" s="8">
        <f>QS.TRADE.CREATE("trade.4458",C4460,E4460,A4460,"Receive")</f>
        <v/>
      </c>
      <c r="G4460" s="5"/>
      <c r="H4460" s="7" t="s">
        <v>4501</v>
      </c>
      <c r="I4460" s="9">
        <v>1445800</v>
      </c>
      <c r="J4460" s="10">
        <v>0.03580000000000001</v>
      </c>
    </row>
    <row r="4461" spans="1:10">
      <c r="A4461" s="7" t="s">
        <v>4495</v>
      </c>
      <c r="B4461" s="7" t="s">
        <v>6328</v>
      </c>
      <c r="C4461" s="8">
        <f>QS.CONTEXT.CREATE("market.4459",A4461,"USD","SOFR")</f>
        <v/>
      </c>
      <c r="D4461" s="8">
        <f>QS.CONTEXT.ADD.CURVE(C4461,"SOFR",$K$2:$K$7,$L$2:$L$7,,,"Actual360","LogLinear",TRUE)</f>
        <v/>
      </c>
      <c r="E4461" s="8">
        <f>QS.INSTRUMENT.SWAP("swap.4459",C4461,H4461,B4461,"USD","SOFR",I4461,J4461,0,"Actual360","Simple","Annual","Annual","Annual")</f>
        <v/>
      </c>
      <c r="F4461" s="8">
        <f>QS.TRADE.CREATE("trade.4459",C4461,E4461,A4461,"Receive")</f>
        <v/>
      </c>
      <c r="G4461" s="5"/>
      <c r="H4461" s="7" t="s">
        <v>4502</v>
      </c>
      <c r="I4461" s="9">
        <v>1445900</v>
      </c>
      <c r="J4461" s="10">
        <v>0.0359</v>
      </c>
    </row>
    <row r="4462" spans="1:10">
      <c r="A4462" s="7" t="s">
        <v>4496</v>
      </c>
      <c r="B4462" s="7" t="s">
        <v>6329</v>
      </c>
      <c r="C4462" s="8">
        <f>QS.CONTEXT.CREATE("market.4460",A4462,"USD","SOFR")</f>
        <v/>
      </c>
      <c r="D4462" s="8">
        <f>QS.CONTEXT.ADD.CURVE(C4462,"SOFR",$K$2:$K$7,$L$2:$L$7,,,"Actual360","LogLinear",TRUE)</f>
        <v/>
      </c>
      <c r="E4462" s="8">
        <f>QS.INSTRUMENT.SWAP("swap.4460",C4462,H4462,B4462,"USD","SOFR",I4462,J4462,0,"Actual360","Simple","Annual","Annual","Annual")</f>
        <v/>
      </c>
      <c r="F4462" s="8">
        <f>QS.TRADE.CREATE("trade.4460",C4462,E4462,A4462,"Receive")</f>
        <v/>
      </c>
      <c r="G4462" s="5"/>
      <c r="H4462" s="7" t="s">
        <v>4503</v>
      </c>
      <c r="I4462" s="9">
        <v>1446000</v>
      </c>
      <c r="J4462" s="10">
        <v>0.036</v>
      </c>
    </row>
    <row r="4463" spans="1:10">
      <c r="A4463" s="7" t="s">
        <v>4497</v>
      </c>
      <c r="B4463" s="7" t="s">
        <v>6330</v>
      </c>
      <c r="C4463" s="8">
        <f>QS.CONTEXT.CREATE("market.4461",A4463,"USD","SOFR")</f>
        <v/>
      </c>
      <c r="D4463" s="8">
        <f>QS.CONTEXT.ADD.CURVE(C4463,"SOFR",$K$2:$K$7,$L$2:$L$7,,,"Actual360","LogLinear",TRUE)</f>
        <v/>
      </c>
      <c r="E4463" s="8">
        <f>QS.INSTRUMENT.SWAP("swap.4461",C4463,H4463,B4463,"USD","SOFR",I4463,J4463,0,"Actual360","Simple","Annual","Annual","Annual")</f>
        <v/>
      </c>
      <c r="F4463" s="8">
        <f>QS.TRADE.CREATE("trade.4461",C4463,E4463,A4463,"Receive")</f>
        <v/>
      </c>
      <c r="G4463" s="5"/>
      <c r="H4463" s="7" t="s">
        <v>4504</v>
      </c>
      <c r="I4463" s="9">
        <v>1446100</v>
      </c>
      <c r="J4463" s="10">
        <v>0.0361</v>
      </c>
    </row>
    <row r="4464" spans="1:10">
      <c r="A4464" s="7" t="s">
        <v>4498</v>
      </c>
      <c r="B4464" s="7" t="s">
        <v>6331</v>
      </c>
      <c r="C4464" s="8">
        <f>QS.CONTEXT.CREATE("market.4462",A4464,"USD","SOFR")</f>
        <v/>
      </c>
      <c r="D4464" s="8">
        <f>QS.CONTEXT.ADD.CURVE(C4464,"SOFR",$K$2:$K$7,$L$2:$L$7,,,"Actual360","LogLinear",TRUE)</f>
        <v/>
      </c>
      <c r="E4464" s="8">
        <f>QS.INSTRUMENT.SWAP("swap.4462",C4464,H4464,B4464,"USD","SOFR",I4464,J4464,0,"Actual360","Simple","Annual","Annual","Annual")</f>
        <v/>
      </c>
      <c r="F4464" s="8">
        <f>QS.TRADE.CREATE("trade.4462",C4464,E4464,A4464,"Receive")</f>
        <v/>
      </c>
      <c r="G4464" s="5"/>
      <c r="H4464" s="7" t="s">
        <v>4505</v>
      </c>
      <c r="I4464" s="9">
        <v>1446200</v>
      </c>
      <c r="J4464" s="10">
        <v>0.0362</v>
      </c>
    </row>
    <row r="4465" spans="1:10">
      <c r="A4465" s="7" t="s">
        <v>4499</v>
      </c>
      <c r="B4465" s="7" t="s">
        <v>6332</v>
      </c>
      <c r="C4465" s="8">
        <f>QS.CONTEXT.CREATE("market.4463",A4465,"USD","SOFR")</f>
        <v/>
      </c>
      <c r="D4465" s="8">
        <f>QS.CONTEXT.ADD.CURVE(C4465,"SOFR",$K$2:$K$7,$L$2:$L$7,,,"Actual360","LogLinear",TRUE)</f>
        <v/>
      </c>
      <c r="E4465" s="8">
        <f>QS.INSTRUMENT.SWAP("swap.4463",C4465,H4465,B4465,"USD","SOFR",I4465,J4465,0,"Actual360","Simple","Annual","Annual","Annual")</f>
        <v/>
      </c>
      <c r="F4465" s="8">
        <f>QS.TRADE.CREATE("trade.4463",C4465,E4465,A4465,"Receive")</f>
        <v/>
      </c>
      <c r="G4465" s="5"/>
      <c r="H4465" s="7" t="s">
        <v>4506</v>
      </c>
      <c r="I4465" s="9">
        <v>1446300</v>
      </c>
      <c r="J4465" s="10">
        <v>0.03630000000000001</v>
      </c>
    </row>
    <row r="4466" spans="1:10">
      <c r="A4466" s="7" t="s">
        <v>4500</v>
      </c>
      <c r="B4466" s="7" t="s">
        <v>6333</v>
      </c>
      <c r="C4466" s="8">
        <f>QS.CONTEXT.CREATE("market.4464",A4466,"USD","SOFR")</f>
        <v/>
      </c>
      <c r="D4466" s="8">
        <f>QS.CONTEXT.ADD.CURVE(C4466,"SOFR",$K$2:$K$7,$L$2:$L$7,,,"Actual360","LogLinear",TRUE)</f>
        <v/>
      </c>
      <c r="E4466" s="8">
        <f>QS.INSTRUMENT.SWAP("swap.4464",C4466,H4466,B4466,"USD","SOFR",I4466,J4466,0,"Actual360","Simple","Annual","Annual","Annual")</f>
        <v/>
      </c>
      <c r="F4466" s="8">
        <f>QS.TRADE.CREATE("trade.4464",C4466,E4466,A4466,"Receive")</f>
        <v/>
      </c>
      <c r="G4466" s="5"/>
      <c r="H4466" s="7" t="s">
        <v>4507</v>
      </c>
      <c r="I4466" s="9">
        <v>1446400</v>
      </c>
      <c r="J4466" s="10">
        <v>0.0364</v>
      </c>
    </row>
    <row r="4467" spans="1:10">
      <c r="A4467" s="7" t="s">
        <v>4501</v>
      </c>
      <c r="B4467" s="7" t="s">
        <v>6334</v>
      </c>
      <c r="C4467" s="8">
        <f>QS.CONTEXT.CREATE("market.4465",A4467,"USD","SOFR")</f>
        <v/>
      </c>
      <c r="D4467" s="8">
        <f>QS.CONTEXT.ADD.CURVE(C4467,"SOFR",$K$2:$K$7,$L$2:$L$7,,,"Actual360","LogLinear",TRUE)</f>
        <v/>
      </c>
      <c r="E4467" s="8">
        <f>QS.INSTRUMENT.SWAP("swap.4465",C4467,H4467,B4467,"USD","SOFR",I4467,J4467,0,"Actual360","Simple","Annual","Annual","Annual")</f>
        <v/>
      </c>
      <c r="F4467" s="8">
        <f>QS.TRADE.CREATE("trade.4465",C4467,E4467,A4467,"Receive")</f>
        <v/>
      </c>
      <c r="G4467" s="5"/>
      <c r="H4467" s="7" t="s">
        <v>4508</v>
      </c>
      <c r="I4467" s="9">
        <v>1446500</v>
      </c>
      <c r="J4467" s="10">
        <v>0.0365</v>
      </c>
    </row>
    <row r="4468" spans="1:10">
      <c r="A4468" s="7" t="s">
        <v>4502</v>
      </c>
      <c r="B4468" s="7" t="s">
        <v>6335</v>
      </c>
      <c r="C4468" s="8">
        <f>QS.CONTEXT.CREATE("market.4466",A4468,"USD","SOFR")</f>
        <v/>
      </c>
      <c r="D4468" s="8">
        <f>QS.CONTEXT.ADD.CURVE(C4468,"SOFR",$K$2:$K$7,$L$2:$L$7,,,"Actual360","LogLinear",TRUE)</f>
        <v/>
      </c>
      <c r="E4468" s="8">
        <f>QS.INSTRUMENT.SWAP("swap.4466",C4468,H4468,B4468,"USD","SOFR",I4468,J4468,0,"Actual360","Simple","Annual","Annual","Annual")</f>
        <v/>
      </c>
      <c r="F4468" s="8">
        <f>QS.TRADE.CREATE("trade.4466",C4468,E4468,A4468,"Receive")</f>
        <v/>
      </c>
      <c r="G4468" s="5"/>
      <c r="H4468" s="7" t="s">
        <v>4509</v>
      </c>
      <c r="I4468" s="9">
        <v>1446600</v>
      </c>
      <c r="J4468" s="10">
        <v>0.0366</v>
      </c>
    </row>
    <row r="4469" spans="1:10">
      <c r="A4469" s="7" t="s">
        <v>4503</v>
      </c>
      <c r="B4469" s="7" t="s">
        <v>6336</v>
      </c>
      <c r="C4469" s="8">
        <f>QS.CONTEXT.CREATE("market.4467",A4469,"USD","SOFR")</f>
        <v/>
      </c>
      <c r="D4469" s="8">
        <f>QS.CONTEXT.ADD.CURVE(C4469,"SOFR",$K$2:$K$7,$L$2:$L$7,,,"Actual360","LogLinear",TRUE)</f>
        <v/>
      </c>
      <c r="E4469" s="8">
        <f>QS.INSTRUMENT.SWAP("swap.4467",C4469,H4469,B4469,"USD","SOFR",I4469,J4469,0,"Actual360","Simple","Annual","Annual","Annual")</f>
        <v/>
      </c>
      <c r="F4469" s="8">
        <f>QS.TRADE.CREATE("trade.4467",C4469,E4469,A4469,"Receive")</f>
        <v/>
      </c>
      <c r="G4469" s="5"/>
      <c r="H4469" s="7" t="s">
        <v>4510</v>
      </c>
      <c r="I4469" s="9">
        <v>1446700</v>
      </c>
      <c r="J4469" s="10">
        <v>0.0367</v>
      </c>
    </row>
    <row r="4470" spans="1:10">
      <c r="A4470" s="7" t="s">
        <v>4504</v>
      </c>
      <c r="B4470" s="7" t="s">
        <v>6337</v>
      </c>
      <c r="C4470" s="8">
        <f>QS.CONTEXT.CREATE("market.4468",A4470,"USD","SOFR")</f>
        <v/>
      </c>
      <c r="D4470" s="8">
        <f>QS.CONTEXT.ADD.CURVE(C4470,"SOFR",$K$2:$K$7,$L$2:$L$7,,,"Actual360","LogLinear",TRUE)</f>
        <v/>
      </c>
      <c r="E4470" s="8">
        <f>QS.INSTRUMENT.SWAP("swap.4468",C4470,H4470,B4470,"USD","SOFR",I4470,J4470,0,"Actual360","Simple","Annual","Annual","Annual")</f>
        <v/>
      </c>
      <c r="F4470" s="8">
        <f>QS.TRADE.CREATE("trade.4468",C4470,E4470,A4470,"Receive")</f>
        <v/>
      </c>
      <c r="G4470" s="5"/>
      <c r="H4470" s="7" t="s">
        <v>4511</v>
      </c>
      <c r="I4470" s="9">
        <v>1446800</v>
      </c>
      <c r="J4470" s="10">
        <v>0.03680000000000001</v>
      </c>
    </row>
    <row r="4471" spans="1:10">
      <c r="A4471" s="7" t="s">
        <v>4505</v>
      </c>
      <c r="B4471" s="7" t="s">
        <v>6338</v>
      </c>
      <c r="C4471" s="8">
        <f>QS.CONTEXT.CREATE("market.4469",A4471,"USD","SOFR")</f>
        <v/>
      </c>
      <c r="D4471" s="8">
        <f>QS.CONTEXT.ADD.CURVE(C4471,"SOFR",$K$2:$K$7,$L$2:$L$7,,,"Actual360","LogLinear",TRUE)</f>
        <v/>
      </c>
      <c r="E4471" s="8">
        <f>QS.INSTRUMENT.SWAP("swap.4469",C4471,H4471,B4471,"USD","SOFR",I4471,J4471,0,"Actual360","Simple","Annual","Annual","Annual")</f>
        <v/>
      </c>
      <c r="F4471" s="8">
        <f>QS.TRADE.CREATE("trade.4469",C4471,E4471,A4471,"Receive")</f>
        <v/>
      </c>
      <c r="G4471" s="5"/>
      <c r="H4471" s="7" t="s">
        <v>4512</v>
      </c>
      <c r="I4471" s="9">
        <v>1446900</v>
      </c>
      <c r="J4471" s="10">
        <v>0.0369</v>
      </c>
    </row>
    <row r="4472" spans="1:10">
      <c r="A4472" s="7" t="s">
        <v>4506</v>
      </c>
      <c r="B4472" s="7" t="s">
        <v>6339</v>
      </c>
      <c r="C4472" s="8">
        <f>QS.CONTEXT.CREATE("market.4470",A4472,"USD","SOFR")</f>
        <v/>
      </c>
      <c r="D4472" s="8">
        <f>QS.CONTEXT.ADD.CURVE(C4472,"SOFR",$K$2:$K$7,$L$2:$L$7,,,"Actual360","LogLinear",TRUE)</f>
        <v/>
      </c>
      <c r="E4472" s="8">
        <f>QS.INSTRUMENT.SWAP("swap.4470",C4472,H4472,B4472,"USD","SOFR",I4472,J4472,0,"Actual360","Simple","Annual","Annual","Annual")</f>
        <v/>
      </c>
      <c r="F4472" s="8">
        <f>QS.TRADE.CREATE("trade.4470",C4472,E4472,A4472,"Receive")</f>
        <v/>
      </c>
      <c r="G4472" s="5"/>
      <c r="H4472" s="7" t="s">
        <v>4513</v>
      </c>
      <c r="I4472" s="9">
        <v>1447000</v>
      </c>
      <c r="J4472" s="10">
        <v>0.03700000000000001</v>
      </c>
    </row>
    <row r="4473" spans="1:10">
      <c r="A4473" s="7" t="s">
        <v>4507</v>
      </c>
      <c r="B4473" s="7" t="s">
        <v>6340</v>
      </c>
      <c r="C4473" s="8">
        <f>QS.CONTEXT.CREATE("market.4471",A4473,"USD","SOFR")</f>
        <v/>
      </c>
      <c r="D4473" s="8">
        <f>QS.CONTEXT.ADD.CURVE(C4473,"SOFR",$K$2:$K$7,$L$2:$L$7,,,"Actual360","LogLinear",TRUE)</f>
        <v/>
      </c>
      <c r="E4473" s="8">
        <f>QS.INSTRUMENT.SWAP("swap.4471",C4473,H4473,B4473,"USD","SOFR",I4473,J4473,0,"Actual360","Simple","Annual","Annual","Annual")</f>
        <v/>
      </c>
      <c r="F4473" s="8">
        <f>QS.TRADE.CREATE("trade.4471",C4473,E4473,A4473,"Receive")</f>
        <v/>
      </c>
      <c r="G4473" s="5"/>
      <c r="H4473" s="7" t="s">
        <v>4514</v>
      </c>
      <c r="I4473" s="9">
        <v>1447100</v>
      </c>
      <c r="J4473" s="10">
        <v>0.0371</v>
      </c>
    </row>
    <row r="4474" spans="1:10">
      <c r="A4474" s="7" t="s">
        <v>4508</v>
      </c>
      <c r="B4474" s="7" t="s">
        <v>6341</v>
      </c>
      <c r="C4474" s="8">
        <f>QS.CONTEXT.CREATE("market.4472",A4474,"USD","SOFR")</f>
        <v/>
      </c>
      <c r="D4474" s="8">
        <f>QS.CONTEXT.ADD.CURVE(C4474,"SOFR",$K$2:$K$7,$L$2:$L$7,,,"Actual360","LogLinear",TRUE)</f>
        <v/>
      </c>
      <c r="E4474" s="8">
        <f>QS.INSTRUMENT.SWAP("swap.4472",C4474,H4474,B4474,"USD","SOFR",I4474,J4474,0,"Actual360","Simple","Annual","Annual","Annual")</f>
        <v/>
      </c>
      <c r="F4474" s="8">
        <f>QS.TRADE.CREATE("trade.4472",C4474,E4474,A4474,"Receive")</f>
        <v/>
      </c>
      <c r="G4474" s="5"/>
      <c r="H4474" s="7" t="s">
        <v>4515</v>
      </c>
      <c r="I4474" s="9">
        <v>1447200</v>
      </c>
      <c r="J4474" s="10">
        <v>0.0372</v>
      </c>
    </row>
    <row r="4475" spans="1:10">
      <c r="A4475" s="7" t="s">
        <v>4509</v>
      </c>
      <c r="B4475" s="7" t="s">
        <v>6342</v>
      </c>
      <c r="C4475" s="8">
        <f>QS.CONTEXT.CREATE("market.4473",A4475,"USD","SOFR")</f>
        <v/>
      </c>
      <c r="D4475" s="8">
        <f>QS.CONTEXT.ADD.CURVE(C4475,"SOFR",$K$2:$K$7,$L$2:$L$7,,,"Actual360","LogLinear",TRUE)</f>
        <v/>
      </c>
      <c r="E4475" s="8">
        <f>QS.INSTRUMENT.SWAP("swap.4473",C4475,H4475,B4475,"USD","SOFR",I4475,J4475,0,"Actual360","Simple","Annual","Annual","Annual")</f>
        <v/>
      </c>
      <c r="F4475" s="8">
        <f>QS.TRADE.CREATE("trade.4473",C4475,E4475,A4475,"Receive")</f>
        <v/>
      </c>
      <c r="G4475" s="5"/>
      <c r="H4475" s="7" t="s">
        <v>4516</v>
      </c>
      <c r="I4475" s="9">
        <v>1447300</v>
      </c>
      <c r="J4475" s="10">
        <v>0.0373</v>
      </c>
    </row>
    <row r="4476" spans="1:10">
      <c r="A4476" s="7" t="s">
        <v>4510</v>
      </c>
      <c r="B4476" s="7" t="s">
        <v>6343</v>
      </c>
      <c r="C4476" s="8">
        <f>QS.CONTEXT.CREATE("market.4474",A4476,"USD","SOFR")</f>
        <v/>
      </c>
      <c r="D4476" s="8">
        <f>QS.CONTEXT.ADD.CURVE(C4476,"SOFR",$K$2:$K$7,$L$2:$L$7,,,"Actual360","LogLinear",TRUE)</f>
        <v/>
      </c>
      <c r="E4476" s="8">
        <f>QS.INSTRUMENT.SWAP("swap.4474",C4476,H4476,B4476,"USD","SOFR",I4476,J4476,0,"Actual360","Simple","Annual","Annual","Annual")</f>
        <v/>
      </c>
      <c r="F4476" s="8">
        <f>QS.TRADE.CREATE("trade.4474",C4476,E4476,A4476,"Receive")</f>
        <v/>
      </c>
      <c r="G4476" s="5"/>
      <c r="H4476" s="7" t="s">
        <v>4517</v>
      </c>
      <c r="I4476" s="9">
        <v>1447400</v>
      </c>
      <c r="J4476" s="10">
        <v>0.0374</v>
      </c>
    </row>
    <row r="4477" spans="1:10">
      <c r="A4477" s="7" t="s">
        <v>4511</v>
      </c>
      <c r="B4477" s="7" t="s">
        <v>6344</v>
      </c>
      <c r="C4477" s="8">
        <f>QS.CONTEXT.CREATE("market.4475",A4477,"USD","SOFR")</f>
        <v/>
      </c>
      <c r="D4477" s="8">
        <f>QS.CONTEXT.ADD.CURVE(C4477,"SOFR",$K$2:$K$7,$L$2:$L$7,,,"Actual360","LogLinear",TRUE)</f>
        <v/>
      </c>
      <c r="E4477" s="8">
        <f>QS.INSTRUMENT.SWAP("swap.4475",C4477,H4477,B4477,"USD","SOFR",I4477,J4477,0,"Actual360","Simple","Annual","Annual","Annual")</f>
        <v/>
      </c>
      <c r="F4477" s="8">
        <f>QS.TRADE.CREATE("trade.4475",C4477,E4477,A4477,"Receive")</f>
        <v/>
      </c>
      <c r="G4477" s="5"/>
      <c r="H4477" s="7" t="s">
        <v>4518</v>
      </c>
      <c r="I4477" s="9">
        <v>1447500</v>
      </c>
      <c r="J4477" s="10">
        <v>0.03750000000000001</v>
      </c>
    </row>
    <row r="4478" spans="1:10">
      <c r="A4478" s="7" t="s">
        <v>4512</v>
      </c>
      <c r="B4478" s="7" t="s">
        <v>6345</v>
      </c>
      <c r="C4478" s="8">
        <f>QS.CONTEXT.CREATE("market.4476",A4478,"USD","SOFR")</f>
        <v/>
      </c>
      <c r="D4478" s="8">
        <f>QS.CONTEXT.ADD.CURVE(C4478,"SOFR",$K$2:$K$7,$L$2:$L$7,,,"Actual360","LogLinear",TRUE)</f>
        <v/>
      </c>
      <c r="E4478" s="8">
        <f>QS.INSTRUMENT.SWAP("swap.4476",C4478,H4478,B4478,"USD","SOFR",I4478,J4478,0,"Actual360","Simple","Annual","Annual","Annual")</f>
        <v/>
      </c>
      <c r="F4478" s="8">
        <f>QS.TRADE.CREATE("trade.4476",C4478,E4478,A4478,"Receive")</f>
        <v/>
      </c>
      <c r="G4478" s="5"/>
      <c r="H4478" s="7" t="s">
        <v>4519</v>
      </c>
      <c r="I4478" s="9">
        <v>1447600</v>
      </c>
      <c r="J4478" s="10">
        <v>0.0376</v>
      </c>
    </row>
    <row r="4479" spans="1:10">
      <c r="A4479" s="7" t="s">
        <v>4513</v>
      </c>
      <c r="B4479" s="7" t="s">
        <v>6346</v>
      </c>
      <c r="C4479" s="8">
        <f>QS.CONTEXT.CREATE("market.4477",A4479,"USD","SOFR")</f>
        <v/>
      </c>
      <c r="D4479" s="8">
        <f>QS.CONTEXT.ADD.CURVE(C4479,"SOFR",$K$2:$K$7,$L$2:$L$7,,,"Actual360","LogLinear",TRUE)</f>
        <v/>
      </c>
      <c r="E4479" s="8">
        <f>QS.INSTRUMENT.SWAP("swap.4477",C4479,H4479,B4479,"USD","SOFR",I4479,J4479,0,"Actual360","Simple","Annual","Annual","Annual")</f>
        <v/>
      </c>
      <c r="F4479" s="8">
        <f>QS.TRADE.CREATE("trade.4477",C4479,E4479,A4479,"Receive")</f>
        <v/>
      </c>
      <c r="G4479" s="5"/>
      <c r="H4479" s="7" t="s">
        <v>4520</v>
      </c>
      <c r="I4479" s="9">
        <v>1447700</v>
      </c>
      <c r="J4479" s="10">
        <v>0.0377</v>
      </c>
    </row>
    <row r="4480" spans="1:10">
      <c r="A4480" s="7" t="s">
        <v>4514</v>
      </c>
      <c r="B4480" s="7" t="s">
        <v>6347</v>
      </c>
      <c r="C4480" s="8">
        <f>QS.CONTEXT.CREATE("market.4478",A4480,"USD","SOFR")</f>
        <v/>
      </c>
      <c r="D4480" s="8">
        <f>QS.CONTEXT.ADD.CURVE(C4480,"SOFR",$K$2:$K$7,$L$2:$L$7,,,"Actual360","LogLinear",TRUE)</f>
        <v/>
      </c>
      <c r="E4480" s="8">
        <f>QS.INSTRUMENT.SWAP("swap.4478",C4480,H4480,B4480,"USD","SOFR",I4480,J4480,0,"Actual360","Simple","Annual","Annual","Annual")</f>
        <v/>
      </c>
      <c r="F4480" s="8">
        <f>QS.TRADE.CREATE("trade.4478",C4480,E4480,A4480,"Receive")</f>
        <v/>
      </c>
      <c r="G4480" s="5"/>
      <c r="H4480" s="7" t="s">
        <v>4521</v>
      </c>
      <c r="I4480" s="9">
        <v>1447800</v>
      </c>
      <c r="J4480" s="10">
        <v>0.0378</v>
      </c>
    </row>
    <row r="4481" spans="1:10">
      <c r="A4481" s="7" t="s">
        <v>4515</v>
      </c>
      <c r="B4481" s="7" t="s">
        <v>6348</v>
      </c>
      <c r="C4481" s="8">
        <f>QS.CONTEXT.CREATE("market.4479",A4481,"USD","SOFR")</f>
        <v/>
      </c>
      <c r="D4481" s="8">
        <f>QS.CONTEXT.ADD.CURVE(C4481,"SOFR",$K$2:$K$7,$L$2:$L$7,,,"Actual360","LogLinear",TRUE)</f>
        <v/>
      </c>
      <c r="E4481" s="8">
        <f>QS.INSTRUMENT.SWAP("swap.4479",C4481,H4481,B4481,"USD","SOFR",I4481,J4481,0,"Actual360","Simple","Annual","Annual","Annual")</f>
        <v/>
      </c>
      <c r="F4481" s="8">
        <f>QS.TRADE.CREATE("trade.4479",C4481,E4481,A4481,"Receive")</f>
        <v/>
      </c>
      <c r="G4481" s="5"/>
      <c r="H4481" s="7" t="s">
        <v>4522</v>
      </c>
      <c r="I4481" s="9">
        <v>1447900</v>
      </c>
      <c r="J4481" s="10">
        <v>0.0379</v>
      </c>
    </row>
    <row r="4482" spans="1:10">
      <c r="A4482" s="7" t="s">
        <v>4516</v>
      </c>
      <c r="B4482" s="7" t="s">
        <v>6349</v>
      </c>
      <c r="C4482" s="8">
        <f>QS.CONTEXT.CREATE("market.4480",A4482,"USD","SOFR")</f>
        <v/>
      </c>
      <c r="D4482" s="8">
        <f>QS.CONTEXT.ADD.CURVE(C4482,"SOFR",$K$2:$K$7,$L$2:$L$7,,,"Actual360","LogLinear",TRUE)</f>
        <v/>
      </c>
      <c r="E4482" s="8">
        <f>QS.INSTRUMENT.SWAP("swap.4480",C4482,H4482,B4482,"USD","SOFR",I4482,J4482,0,"Actual360","Simple","Annual","Annual","Annual")</f>
        <v/>
      </c>
      <c r="F4482" s="8">
        <f>QS.TRADE.CREATE("trade.4480",C4482,E4482,A4482,"Receive")</f>
        <v/>
      </c>
      <c r="G4482" s="5"/>
      <c r="H4482" s="7" t="s">
        <v>4523</v>
      </c>
      <c r="I4482" s="9">
        <v>1448000</v>
      </c>
      <c r="J4482" s="10">
        <v>0.03800000000000001</v>
      </c>
    </row>
    <row r="4483" spans="1:10">
      <c r="A4483" s="7" t="s">
        <v>4517</v>
      </c>
      <c r="B4483" s="7" t="s">
        <v>6350</v>
      </c>
      <c r="C4483" s="8">
        <f>QS.CONTEXT.CREATE("market.4481",A4483,"USD","SOFR")</f>
        <v/>
      </c>
      <c r="D4483" s="8">
        <f>QS.CONTEXT.ADD.CURVE(C4483,"SOFR",$K$2:$K$7,$L$2:$L$7,,,"Actual360","LogLinear",TRUE)</f>
        <v/>
      </c>
      <c r="E4483" s="8">
        <f>QS.INSTRUMENT.SWAP("swap.4481",C4483,H4483,B4483,"USD","SOFR",I4483,J4483,0,"Actual360","Simple","Annual","Annual","Annual")</f>
        <v/>
      </c>
      <c r="F4483" s="8">
        <f>QS.TRADE.CREATE("trade.4481",C4483,E4483,A4483,"Receive")</f>
        <v/>
      </c>
      <c r="G4483" s="5"/>
      <c r="H4483" s="7" t="s">
        <v>4524</v>
      </c>
      <c r="I4483" s="9">
        <v>1448100</v>
      </c>
      <c r="J4483" s="10">
        <v>0.0381</v>
      </c>
    </row>
    <row r="4484" spans="1:10">
      <c r="A4484" s="7" t="s">
        <v>4518</v>
      </c>
      <c r="B4484" s="7" t="s">
        <v>6351</v>
      </c>
      <c r="C4484" s="8">
        <f>QS.CONTEXT.CREATE("market.4482",A4484,"USD","SOFR")</f>
        <v/>
      </c>
      <c r="D4484" s="8">
        <f>QS.CONTEXT.ADD.CURVE(C4484,"SOFR",$K$2:$K$7,$L$2:$L$7,,,"Actual360","LogLinear",TRUE)</f>
        <v/>
      </c>
      <c r="E4484" s="8">
        <f>QS.INSTRUMENT.SWAP("swap.4482",C4484,H4484,B4484,"USD","SOFR",I4484,J4484,0,"Actual360","Simple","Annual","Annual","Annual")</f>
        <v/>
      </c>
      <c r="F4484" s="8">
        <f>QS.TRADE.CREATE("trade.4482",C4484,E4484,A4484,"Receive")</f>
        <v/>
      </c>
      <c r="G4484" s="5"/>
      <c r="H4484" s="7" t="s">
        <v>4525</v>
      </c>
      <c r="I4484" s="9">
        <v>1448200</v>
      </c>
      <c r="J4484" s="10">
        <v>0.0382</v>
      </c>
    </row>
    <row r="4485" spans="1:10">
      <c r="A4485" s="7" t="s">
        <v>4519</v>
      </c>
      <c r="B4485" s="7" t="s">
        <v>6352</v>
      </c>
      <c r="C4485" s="8">
        <f>QS.CONTEXT.CREATE("market.4483",A4485,"USD","SOFR")</f>
        <v/>
      </c>
      <c r="D4485" s="8">
        <f>QS.CONTEXT.ADD.CURVE(C4485,"SOFR",$K$2:$K$7,$L$2:$L$7,,,"Actual360","LogLinear",TRUE)</f>
        <v/>
      </c>
      <c r="E4485" s="8">
        <f>QS.INSTRUMENT.SWAP("swap.4483",C4485,H4485,B4485,"USD","SOFR",I4485,J4485,0,"Actual360","Simple","Annual","Annual","Annual")</f>
        <v/>
      </c>
      <c r="F4485" s="8">
        <f>QS.TRADE.CREATE("trade.4483",C4485,E4485,A4485,"Receive")</f>
        <v/>
      </c>
      <c r="G4485" s="5"/>
      <c r="H4485" s="7" t="s">
        <v>4526</v>
      </c>
      <c r="I4485" s="9">
        <v>1448300</v>
      </c>
      <c r="J4485" s="10">
        <v>0.0383</v>
      </c>
    </row>
    <row r="4486" spans="1:10">
      <c r="A4486" s="7" t="s">
        <v>4520</v>
      </c>
      <c r="B4486" s="7" t="s">
        <v>6353</v>
      </c>
      <c r="C4486" s="8">
        <f>QS.CONTEXT.CREATE("market.4484",A4486,"USD","SOFR")</f>
        <v/>
      </c>
      <c r="D4486" s="8">
        <f>QS.CONTEXT.ADD.CURVE(C4486,"SOFR",$K$2:$K$7,$L$2:$L$7,,,"Actual360","LogLinear",TRUE)</f>
        <v/>
      </c>
      <c r="E4486" s="8">
        <f>QS.INSTRUMENT.SWAP("swap.4484",C4486,H4486,B4486,"USD","SOFR",I4486,J4486,0,"Actual360","Simple","Annual","Annual","Annual")</f>
        <v/>
      </c>
      <c r="F4486" s="8">
        <f>QS.TRADE.CREATE("trade.4484",C4486,E4486,A4486,"Receive")</f>
        <v/>
      </c>
      <c r="G4486" s="5"/>
      <c r="H4486" s="7" t="s">
        <v>4527</v>
      </c>
      <c r="I4486" s="9">
        <v>1448400</v>
      </c>
      <c r="J4486" s="10">
        <v>0.0384</v>
      </c>
    </row>
    <row r="4487" spans="1:10">
      <c r="A4487" s="7" t="s">
        <v>4521</v>
      </c>
      <c r="B4487" s="7" t="s">
        <v>6354</v>
      </c>
      <c r="C4487" s="8">
        <f>QS.CONTEXT.CREATE("market.4485",A4487,"USD","SOFR")</f>
        <v/>
      </c>
      <c r="D4487" s="8">
        <f>QS.CONTEXT.ADD.CURVE(C4487,"SOFR",$K$2:$K$7,$L$2:$L$7,,,"Actual360","LogLinear",TRUE)</f>
        <v/>
      </c>
      <c r="E4487" s="8">
        <f>QS.INSTRUMENT.SWAP("swap.4485",C4487,H4487,B4487,"USD","SOFR",I4487,J4487,0,"Actual360","Simple","Annual","Annual","Annual")</f>
        <v/>
      </c>
      <c r="F4487" s="8">
        <f>QS.TRADE.CREATE("trade.4485",C4487,E4487,A4487,"Receive")</f>
        <v/>
      </c>
      <c r="G4487" s="5"/>
      <c r="H4487" s="7" t="s">
        <v>4528</v>
      </c>
      <c r="I4487" s="9">
        <v>1448500</v>
      </c>
      <c r="J4487" s="10">
        <v>0.03850000000000001</v>
      </c>
    </row>
    <row r="4488" spans="1:10">
      <c r="A4488" s="7" t="s">
        <v>4522</v>
      </c>
      <c r="B4488" s="7" t="s">
        <v>6355</v>
      </c>
      <c r="C4488" s="8">
        <f>QS.CONTEXT.CREATE("market.4486",A4488,"USD","SOFR")</f>
        <v/>
      </c>
      <c r="D4488" s="8">
        <f>QS.CONTEXT.ADD.CURVE(C4488,"SOFR",$K$2:$K$7,$L$2:$L$7,,,"Actual360","LogLinear",TRUE)</f>
        <v/>
      </c>
      <c r="E4488" s="8">
        <f>QS.INSTRUMENT.SWAP("swap.4486",C4488,H4488,B4488,"USD","SOFR",I4488,J4488,0,"Actual360","Simple","Annual","Annual","Annual")</f>
        <v/>
      </c>
      <c r="F4488" s="8">
        <f>QS.TRADE.CREATE("trade.4486",C4488,E4488,A4488,"Receive")</f>
        <v/>
      </c>
      <c r="G4488" s="5"/>
      <c r="H4488" s="7" t="s">
        <v>4529</v>
      </c>
      <c r="I4488" s="9">
        <v>1448600</v>
      </c>
      <c r="J4488" s="10">
        <v>0.0386</v>
      </c>
    </row>
    <row r="4489" spans="1:10">
      <c r="A4489" s="7" t="s">
        <v>4523</v>
      </c>
      <c r="B4489" s="7" t="s">
        <v>6356</v>
      </c>
      <c r="C4489" s="8">
        <f>QS.CONTEXT.CREATE("market.4487",A4489,"USD","SOFR")</f>
        <v/>
      </c>
      <c r="D4489" s="8">
        <f>QS.CONTEXT.ADD.CURVE(C4489,"SOFR",$K$2:$K$7,$L$2:$L$7,,,"Actual360","LogLinear",TRUE)</f>
        <v/>
      </c>
      <c r="E4489" s="8">
        <f>QS.INSTRUMENT.SWAP("swap.4487",C4489,H4489,B4489,"USD","SOFR",I4489,J4489,0,"Actual360","Simple","Annual","Annual","Annual")</f>
        <v/>
      </c>
      <c r="F4489" s="8">
        <f>QS.TRADE.CREATE("trade.4487",C4489,E4489,A4489,"Receive")</f>
        <v/>
      </c>
      <c r="G4489" s="5"/>
      <c r="H4489" s="7" t="s">
        <v>4530</v>
      </c>
      <c r="I4489" s="9">
        <v>1448700</v>
      </c>
      <c r="J4489" s="10">
        <v>0.03870000000000001</v>
      </c>
    </row>
    <row r="4490" spans="1:10">
      <c r="A4490" s="7" t="s">
        <v>4524</v>
      </c>
      <c r="B4490" s="7" t="s">
        <v>6357</v>
      </c>
      <c r="C4490" s="8">
        <f>QS.CONTEXT.CREATE("market.4488",A4490,"USD","SOFR")</f>
        <v/>
      </c>
      <c r="D4490" s="8">
        <f>QS.CONTEXT.ADD.CURVE(C4490,"SOFR",$K$2:$K$7,$L$2:$L$7,,,"Actual360","LogLinear",TRUE)</f>
        <v/>
      </c>
      <c r="E4490" s="8">
        <f>QS.INSTRUMENT.SWAP("swap.4488",C4490,H4490,B4490,"USD","SOFR",I4490,J4490,0,"Actual360","Simple","Annual","Annual","Annual")</f>
        <v/>
      </c>
      <c r="F4490" s="8">
        <f>QS.TRADE.CREATE("trade.4488",C4490,E4490,A4490,"Receive")</f>
        <v/>
      </c>
      <c r="G4490" s="5"/>
      <c r="H4490" s="7" t="s">
        <v>4531</v>
      </c>
      <c r="I4490" s="9">
        <v>1448800</v>
      </c>
      <c r="J4490" s="10">
        <v>0.0388</v>
      </c>
    </row>
    <row r="4491" spans="1:10">
      <c r="A4491" s="7" t="s">
        <v>4525</v>
      </c>
      <c r="B4491" s="7" t="s">
        <v>6358</v>
      </c>
      <c r="C4491" s="8">
        <f>QS.CONTEXT.CREATE("market.4489",A4491,"USD","SOFR")</f>
        <v/>
      </c>
      <c r="D4491" s="8">
        <f>QS.CONTEXT.ADD.CURVE(C4491,"SOFR",$K$2:$K$7,$L$2:$L$7,,,"Actual360","LogLinear",TRUE)</f>
        <v/>
      </c>
      <c r="E4491" s="8">
        <f>QS.INSTRUMENT.SWAP("swap.4489",C4491,H4491,B4491,"USD","SOFR",I4491,J4491,0,"Actual360","Simple","Annual","Annual","Annual")</f>
        <v/>
      </c>
      <c r="F4491" s="8">
        <f>QS.TRADE.CREATE("trade.4489",C4491,E4491,A4491,"Receive")</f>
        <v/>
      </c>
      <c r="G4491" s="5"/>
      <c r="H4491" s="7" t="s">
        <v>4532</v>
      </c>
      <c r="I4491" s="9">
        <v>1448900</v>
      </c>
      <c r="J4491" s="10">
        <v>0.0389</v>
      </c>
    </row>
    <row r="4492" spans="1:10">
      <c r="A4492" s="7" t="s">
        <v>4526</v>
      </c>
      <c r="B4492" s="7" t="s">
        <v>6359</v>
      </c>
      <c r="C4492" s="8">
        <f>QS.CONTEXT.CREATE("market.4490",A4492,"USD","SOFR")</f>
        <v/>
      </c>
      <c r="D4492" s="8">
        <f>QS.CONTEXT.ADD.CURVE(C4492,"SOFR",$K$2:$K$7,$L$2:$L$7,,,"Actual360","LogLinear",TRUE)</f>
        <v/>
      </c>
      <c r="E4492" s="8">
        <f>QS.INSTRUMENT.SWAP("swap.4490",C4492,H4492,B4492,"USD","SOFR",I4492,J4492,0,"Actual360","Simple","Annual","Annual","Annual")</f>
        <v/>
      </c>
      <c r="F4492" s="8">
        <f>QS.TRADE.CREATE("trade.4490",C4492,E4492,A4492,"Receive")</f>
        <v/>
      </c>
      <c r="G4492" s="5"/>
      <c r="H4492" s="7" t="s">
        <v>4533</v>
      </c>
      <c r="I4492" s="9">
        <v>1449000</v>
      </c>
      <c r="J4492" s="10">
        <v>0.03900000000000001</v>
      </c>
    </row>
    <row r="4493" spans="1:10">
      <c r="A4493" s="7" t="s">
        <v>4527</v>
      </c>
      <c r="B4493" s="7" t="s">
        <v>6360</v>
      </c>
      <c r="C4493" s="8">
        <f>QS.CONTEXT.CREATE("market.4491",A4493,"USD","SOFR")</f>
        <v/>
      </c>
      <c r="D4493" s="8">
        <f>QS.CONTEXT.ADD.CURVE(C4493,"SOFR",$K$2:$K$7,$L$2:$L$7,,,"Actual360","LogLinear",TRUE)</f>
        <v/>
      </c>
      <c r="E4493" s="8">
        <f>QS.INSTRUMENT.SWAP("swap.4491",C4493,H4493,B4493,"USD","SOFR",I4493,J4493,0,"Actual360","Simple","Annual","Annual","Annual")</f>
        <v/>
      </c>
      <c r="F4493" s="8">
        <f>QS.TRADE.CREATE("trade.4491",C4493,E4493,A4493,"Receive")</f>
        <v/>
      </c>
      <c r="G4493" s="5"/>
      <c r="H4493" s="7" t="s">
        <v>4534</v>
      </c>
      <c r="I4493" s="9">
        <v>1449100</v>
      </c>
      <c r="J4493" s="10">
        <v>0.0391</v>
      </c>
    </row>
    <row r="4494" spans="1:10">
      <c r="A4494" s="7" t="s">
        <v>4528</v>
      </c>
      <c r="B4494" s="7" t="s">
        <v>6361</v>
      </c>
      <c r="C4494" s="8">
        <f>QS.CONTEXT.CREATE("market.4492",A4494,"USD","SOFR")</f>
        <v/>
      </c>
      <c r="D4494" s="8">
        <f>QS.CONTEXT.ADD.CURVE(C4494,"SOFR",$K$2:$K$7,$L$2:$L$7,,,"Actual360","LogLinear",TRUE)</f>
        <v/>
      </c>
      <c r="E4494" s="8">
        <f>QS.INSTRUMENT.SWAP("swap.4492",C4494,H4494,B4494,"USD","SOFR",I4494,J4494,0,"Actual360","Simple","Annual","Annual","Annual")</f>
        <v/>
      </c>
      <c r="F4494" s="8">
        <f>QS.TRADE.CREATE("trade.4492",C4494,E4494,A4494,"Receive")</f>
        <v/>
      </c>
      <c r="G4494" s="5"/>
      <c r="H4494" s="7" t="s">
        <v>4535</v>
      </c>
      <c r="I4494" s="9">
        <v>1449200</v>
      </c>
      <c r="J4494" s="10">
        <v>0.03920000000000001</v>
      </c>
    </row>
    <row r="4495" spans="1:10">
      <c r="A4495" s="7" t="s">
        <v>4529</v>
      </c>
      <c r="B4495" s="7" t="s">
        <v>6362</v>
      </c>
      <c r="C4495" s="8">
        <f>QS.CONTEXT.CREATE("market.4493",A4495,"USD","SOFR")</f>
        <v/>
      </c>
      <c r="D4495" s="8">
        <f>QS.CONTEXT.ADD.CURVE(C4495,"SOFR",$K$2:$K$7,$L$2:$L$7,,,"Actual360","LogLinear",TRUE)</f>
        <v/>
      </c>
      <c r="E4495" s="8">
        <f>QS.INSTRUMENT.SWAP("swap.4493",C4495,H4495,B4495,"USD","SOFR",I4495,J4495,0,"Actual360","Simple","Annual","Annual","Annual")</f>
        <v/>
      </c>
      <c r="F4495" s="8">
        <f>QS.TRADE.CREATE("trade.4493",C4495,E4495,A4495,"Receive")</f>
        <v/>
      </c>
      <c r="G4495" s="5"/>
      <c r="H4495" s="7" t="s">
        <v>4536</v>
      </c>
      <c r="I4495" s="9">
        <v>1449300</v>
      </c>
      <c r="J4495" s="10">
        <v>0.0393</v>
      </c>
    </row>
    <row r="4496" spans="1:10">
      <c r="A4496" s="7" t="s">
        <v>4530</v>
      </c>
      <c r="B4496" s="7" t="s">
        <v>6363</v>
      </c>
      <c r="C4496" s="8">
        <f>QS.CONTEXT.CREATE("market.4494",A4496,"USD","SOFR")</f>
        <v/>
      </c>
      <c r="D4496" s="8">
        <f>QS.CONTEXT.ADD.CURVE(C4496,"SOFR",$K$2:$K$7,$L$2:$L$7,,,"Actual360","LogLinear",TRUE)</f>
        <v/>
      </c>
      <c r="E4496" s="8">
        <f>QS.INSTRUMENT.SWAP("swap.4494",C4496,H4496,B4496,"USD","SOFR",I4496,J4496,0,"Actual360","Simple","Annual","Annual","Annual")</f>
        <v/>
      </c>
      <c r="F4496" s="8">
        <f>QS.TRADE.CREATE("trade.4494",C4496,E4496,A4496,"Receive")</f>
        <v/>
      </c>
      <c r="G4496" s="5"/>
      <c r="H4496" s="7" t="s">
        <v>4537</v>
      </c>
      <c r="I4496" s="9">
        <v>1449400</v>
      </c>
      <c r="J4496" s="10">
        <v>0.0394</v>
      </c>
    </row>
    <row r="4497" spans="1:10">
      <c r="A4497" s="7" t="s">
        <v>4531</v>
      </c>
      <c r="B4497" s="7" t="s">
        <v>6364</v>
      </c>
      <c r="C4497" s="8">
        <f>QS.CONTEXT.CREATE("market.4495",A4497,"USD","SOFR")</f>
        <v/>
      </c>
      <c r="D4497" s="8">
        <f>QS.CONTEXT.ADD.CURVE(C4497,"SOFR",$K$2:$K$7,$L$2:$L$7,,,"Actual360","LogLinear",TRUE)</f>
        <v/>
      </c>
      <c r="E4497" s="8">
        <f>QS.INSTRUMENT.SWAP("swap.4495",C4497,H4497,B4497,"USD","SOFR",I4497,J4497,0,"Actual360","Simple","Annual","Annual","Annual")</f>
        <v/>
      </c>
      <c r="F4497" s="8">
        <f>QS.TRADE.CREATE("trade.4495",C4497,E4497,A4497,"Receive")</f>
        <v/>
      </c>
      <c r="G4497" s="5"/>
      <c r="H4497" s="7" t="s">
        <v>4538</v>
      </c>
      <c r="I4497" s="9">
        <v>1449500</v>
      </c>
      <c r="J4497" s="10">
        <v>0.03950000000000001</v>
      </c>
    </row>
    <row r="4498" spans="1:10">
      <c r="A4498" s="7" t="s">
        <v>4532</v>
      </c>
      <c r="B4498" s="7" t="s">
        <v>6365</v>
      </c>
      <c r="C4498" s="8">
        <f>QS.CONTEXT.CREATE("market.4496",A4498,"USD","SOFR")</f>
        <v/>
      </c>
      <c r="D4498" s="8">
        <f>QS.CONTEXT.ADD.CURVE(C4498,"SOFR",$K$2:$K$7,$L$2:$L$7,,,"Actual360","LogLinear",TRUE)</f>
        <v/>
      </c>
      <c r="E4498" s="8">
        <f>QS.INSTRUMENT.SWAP("swap.4496",C4498,H4498,B4498,"USD","SOFR",I4498,J4498,0,"Actual360","Simple","Annual","Annual","Annual")</f>
        <v/>
      </c>
      <c r="F4498" s="8">
        <f>QS.TRADE.CREATE("trade.4496",C4498,E4498,A4498,"Receive")</f>
        <v/>
      </c>
      <c r="G4498" s="5"/>
      <c r="H4498" s="7" t="s">
        <v>4539</v>
      </c>
      <c r="I4498" s="9">
        <v>1449600</v>
      </c>
      <c r="J4498" s="10">
        <v>0.0396</v>
      </c>
    </row>
    <row r="4499" spans="1:10">
      <c r="A4499" s="7" t="s">
        <v>4533</v>
      </c>
      <c r="B4499" s="7" t="s">
        <v>6366</v>
      </c>
      <c r="C4499" s="8">
        <f>QS.CONTEXT.CREATE("market.4497",A4499,"USD","SOFR")</f>
        <v/>
      </c>
      <c r="D4499" s="8">
        <f>QS.CONTEXT.ADD.CURVE(C4499,"SOFR",$K$2:$K$7,$L$2:$L$7,,,"Actual360","LogLinear",TRUE)</f>
        <v/>
      </c>
      <c r="E4499" s="8">
        <f>QS.INSTRUMENT.SWAP("swap.4497",C4499,H4499,B4499,"USD","SOFR",I4499,J4499,0,"Actual360","Simple","Annual","Annual","Annual")</f>
        <v/>
      </c>
      <c r="F4499" s="8">
        <f>QS.TRADE.CREATE("trade.4497",C4499,E4499,A4499,"Receive")</f>
        <v/>
      </c>
      <c r="G4499" s="5"/>
      <c r="H4499" s="7" t="s">
        <v>4540</v>
      </c>
      <c r="I4499" s="9">
        <v>1449700</v>
      </c>
      <c r="J4499" s="10">
        <v>0.03970000000000001</v>
      </c>
    </row>
    <row r="4500" spans="1:10">
      <c r="A4500" s="7" t="s">
        <v>4534</v>
      </c>
      <c r="B4500" s="7" t="s">
        <v>6367</v>
      </c>
      <c r="C4500" s="8">
        <f>QS.CONTEXT.CREATE("market.4498",A4500,"USD","SOFR")</f>
        <v/>
      </c>
      <c r="D4500" s="8">
        <f>QS.CONTEXT.ADD.CURVE(C4500,"SOFR",$K$2:$K$7,$L$2:$L$7,,,"Actual360","LogLinear",TRUE)</f>
        <v/>
      </c>
      <c r="E4500" s="8">
        <f>QS.INSTRUMENT.SWAP("swap.4498",C4500,H4500,B4500,"USD","SOFR",I4500,J4500,0,"Actual360","Simple","Annual","Annual","Annual")</f>
        <v/>
      </c>
      <c r="F4500" s="8">
        <f>QS.TRADE.CREATE("trade.4498",C4500,E4500,A4500,"Receive")</f>
        <v/>
      </c>
      <c r="G4500" s="5"/>
      <c r="H4500" s="7" t="s">
        <v>4541</v>
      </c>
      <c r="I4500" s="9">
        <v>1449800</v>
      </c>
      <c r="J4500" s="10">
        <v>0.0398</v>
      </c>
    </row>
    <row r="4501" spans="1:10">
      <c r="A4501" s="7" t="s">
        <v>4535</v>
      </c>
      <c r="B4501" s="7" t="s">
        <v>6368</v>
      </c>
      <c r="C4501" s="8">
        <f>QS.CONTEXT.CREATE("market.4499",A4501,"USD","SOFR")</f>
        <v/>
      </c>
      <c r="D4501" s="8">
        <f>QS.CONTEXT.ADD.CURVE(C4501,"SOFR",$K$2:$K$7,$L$2:$L$7,,,"Actual360","LogLinear",TRUE)</f>
        <v/>
      </c>
      <c r="E4501" s="8">
        <f>QS.INSTRUMENT.SWAP("swap.4499",C4501,H4501,B4501,"USD","SOFR",I4501,J4501,0,"Actual360","Simple","Annual","Annual","Annual")</f>
        <v/>
      </c>
      <c r="F4501" s="8">
        <f>QS.TRADE.CREATE("trade.4499",C4501,E4501,A4501,"Receive")</f>
        <v/>
      </c>
      <c r="G4501" s="5"/>
      <c r="H4501" s="7" t="s">
        <v>4542</v>
      </c>
      <c r="I4501" s="9">
        <v>1449900</v>
      </c>
      <c r="J4501" s="10">
        <v>0.0399</v>
      </c>
    </row>
    <row r="4502" spans="1:10">
      <c r="A4502" s="7" t="s">
        <v>4536</v>
      </c>
      <c r="B4502" s="7" t="s">
        <v>6369</v>
      </c>
      <c r="C4502" s="8">
        <f>QS.CONTEXT.CREATE("market.4500",A4502,"USD","SOFR")</f>
        <v/>
      </c>
      <c r="D4502" s="8">
        <f>QS.CONTEXT.ADD.CURVE(C4502,"SOFR",$K$2:$K$7,$L$2:$L$7,,,"Actual360","LogLinear",TRUE)</f>
        <v/>
      </c>
      <c r="E4502" s="8">
        <f>QS.INSTRUMENT.SWAP("swap.4500",C4502,H4502,B4502,"USD","SOFR",I4502,J4502,0,"Actual360","Simple","Annual","Annual","Annual")</f>
        <v/>
      </c>
      <c r="F4502" s="8">
        <f>QS.TRADE.CREATE("trade.4500",C4502,E4502,A4502,"Receive")</f>
        <v/>
      </c>
      <c r="G4502" s="5"/>
      <c r="H4502" s="7" t="s">
        <v>4543</v>
      </c>
      <c r="I4502" s="9">
        <v>1450000</v>
      </c>
      <c r="J4502" s="10">
        <v>0.035</v>
      </c>
    </row>
    <row r="4503" spans="1:10">
      <c r="A4503" s="7" t="s">
        <v>4537</v>
      </c>
      <c r="B4503" s="7" t="s">
        <v>6370</v>
      </c>
      <c r="C4503" s="8">
        <f>QS.CONTEXT.CREATE("market.4501",A4503,"USD","SOFR")</f>
        <v/>
      </c>
      <c r="D4503" s="8">
        <f>QS.CONTEXT.ADD.CURVE(C4503,"SOFR",$K$2:$K$7,$L$2:$L$7,,,"Actual360","LogLinear",TRUE)</f>
        <v/>
      </c>
      <c r="E4503" s="8">
        <f>QS.INSTRUMENT.SWAP("swap.4501",C4503,H4503,B4503,"USD","SOFR",I4503,J4503,0,"Actual360","Simple","Annual","Annual","Annual")</f>
        <v/>
      </c>
      <c r="F4503" s="8">
        <f>QS.TRADE.CREATE("trade.4501",C4503,E4503,A4503,"Receive")</f>
        <v/>
      </c>
      <c r="G4503" s="5"/>
      <c r="H4503" s="7" t="s">
        <v>4544</v>
      </c>
      <c r="I4503" s="9">
        <v>1450100</v>
      </c>
      <c r="J4503" s="10">
        <v>0.03510000000000001</v>
      </c>
    </row>
    <row r="4504" spans="1:10">
      <c r="A4504" s="7" t="s">
        <v>4538</v>
      </c>
      <c r="B4504" s="7" t="s">
        <v>6371</v>
      </c>
      <c r="C4504" s="8">
        <f>QS.CONTEXT.CREATE("market.4502",A4504,"USD","SOFR")</f>
        <v/>
      </c>
      <c r="D4504" s="8">
        <f>QS.CONTEXT.ADD.CURVE(C4504,"SOFR",$K$2:$K$7,$L$2:$L$7,,,"Actual360","LogLinear",TRUE)</f>
        <v/>
      </c>
      <c r="E4504" s="8">
        <f>QS.INSTRUMENT.SWAP("swap.4502",C4504,H4504,B4504,"USD","SOFR",I4504,J4504,0,"Actual360","Simple","Annual","Annual","Annual")</f>
        <v/>
      </c>
      <c r="F4504" s="8">
        <f>QS.TRADE.CREATE("trade.4502",C4504,E4504,A4504,"Receive")</f>
        <v/>
      </c>
      <c r="G4504" s="5"/>
      <c r="H4504" s="7" t="s">
        <v>4545</v>
      </c>
      <c r="I4504" s="9">
        <v>1450200</v>
      </c>
      <c r="J4504" s="10">
        <v>0.0352</v>
      </c>
    </row>
    <row r="4505" spans="1:10">
      <c r="A4505" s="7" t="s">
        <v>4539</v>
      </c>
      <c r="B4505" s="7" t="s">
        <v>6372</v>
      </c>
      <c r="C4505" s="8">
        <f>QS.CONTEXT.CREATE("market.4503",A4505,"USD","SOFR")</f>
        <v/>
      </c>
      <c r="D4505" s="8">
        <f>QS.CONTEXT.ADD.CURVE(C4505,"SOFR",$K$2:$K$7,$L$2:$L$7,,,"Actual360","LogLinear",TRUE)</f>
        <v/>
      </c>
      <c r="E4505" s="8">
        <f>QS.INSTRUMENT.SWAP("swap.4503",C4505,H4505,B4505,"USD","SOFR",I4505,J4505,0,"Actual360","Simple","Annual","Annual","Annual")</f>
        <v/>
      </c>
      <c r="F4505" s="8">
        <f>QS.TRADE.CREATE("trade.4503",C4505,E4505,A4505,"Receive")</f>
        <v/>
      </c>
      <c r="G4505" s="5"/>
      <c r="H4505" s="7" t="s">
        <v>4546</v>
      </c>
      <c r="I4505" s="9">
        <v>1450300</v>
      </c>
      <c r="J4505" s="10">
        <v>0.0353</v>
      </c>
    </row>
    <row r="4506" spans="1:10">
      <c r="A4506" s="7" t="s">
        <v>4540</v>
      </c>
      <c r="B4506" s="7" t="s">
        <v>6373</v>
      </c>
      <c r="C4506" s="8">
        <f>QS.CONTEXT.CREATE("market.4504",A4506,"USD","SOFR")</f>
        <v/>
      </c>
      <c r="D4506" s="8">
        <f>QS.CONTEXT.ADD.CURVE(C4506,"SOFR",$K$2:$K$7,$L$2:$L$7,,,"Actual360","LogLinear",TRUE)</f>
        <v/>
      </c>
      <c r="E4506" s="8">
        <f>QS.INSTRUMENT.SWAP("swap.4504",C4506,H4506,B4506,"USD","SOFR",I4506,J4506,0,"Actual360","Simple","Annual","Annual","Annual")</f>
        <v/>
      </c>
      <c r="F4506" s="8">
        <f>QS.TRADE.CREATE("trade.4504",C4506,E4506,A4506,"Receive")</f>
        <v/>
      </c>
      <c r="G4506" s="5"/>
      <c r="H4506" s="7" t="s">
        <v>4547</v>
      </c>
      <c r="I4506" s="9">
        <v>1450400</v>
      </c>
      <c r="J4506" s="10">
        <v>0.0354</v>
      </c>
    </row>
    <row r="4507" spans="1:10">
      <c r="A4507" s="7" t="s">
        <v>4541</v>
      </c>
      <c r="B4507" s="7" t="s">
        <v>6374</v>
      </c>
      <c r="C4507" s="8">
        <f>QS.CONTEXT.CREATE("market.4505",A4507,"USD","SOFR")</f>
        <v/>
      </c>
      <c r="D4507" s="8">
        <f>QS.CONTEXT.ADD.CURVE(C4507,"SOFR",$K$2:$K$7,$L$2:$L$7,,,"Actual360","LogLinear",TRUE)</f>
        <v/>
      </c>
      <c r="E4507" s="8">
        <f>QS.INSTRUMENT.SWAP("swap.4505",C4507,H4507,B4507,"USD","SOFR",I4507,J4507,0,"Actual360","Simple","Annual","Annual","Annual")</f>
        <v/>
      </c>
      <c r="F4507" s="8">
        <f>QS.TRADE.CREATE("trade.4505",C4507,E4507,A4507,"Receive")</f>
        <v/>
      </c>
      <c r="G4507" s="5"/>
      <c r="H4507" s="7" t="s">
        <v>4548</v>
      </c>
      <c r="I4507" s="9">
        <v>1450500</v>
      </c>
      <c r="J4507" s="10">
        <v>0.0355</v>
      </c>
    </row>
    <row r="4508" spans="1:10">
      <c r="A4508" s="7" t="s">
        <v>4542</v>
      </c>
      <c r="B4508" s="7" t="s">
        <v>6375</v>
      </c>
      <c r="C4508" s="8">
        <f>QS.CONTEXT.CREATE("market.4506",A4508,"USD","SOFR")</f>
        <v/>
      </c>
      <c r="D4508" s="8">
        <f>QS.CONTEXT.ADD.CURVE(C4508,"SOFR",$K$2:$K$7,$L$2:$L$7,,,"Actual360","LogLinear",TRUE)</f>
        <v/>
      </c>
      <c r="E4508" s="8">
        <f>QS.INSTRUMENT.SWAP("swap.4506",C4508,H4508,B4508,"USD","SOFR",I4508,J4508,0,"Actual360","Simple","Annual","Annual","Annual")</f>
        <v/>
      </c>
      <c r="F4508" s="8">
        <f>QS.TRADE.CREATE("trade.4506",C4508,E4508,A4508,"Receive")</f>
        <v/>
      </c>
      <c r="G4508" s="5"/>
      <c r="H4508" s="7" t="s">
        <v>4549</v>
      </c>
      <c r="I4508" s="9">
        <v>1450600</v>
      </c>
      <c r="J4508" s="10">
        <v>0.03560000000000001</v>
      </c>
    </row>
    <row r="4509" spans="1:10">
      <c r="A4509" s="7" t="s">
        <v>4543</v>
      </c>
      <c r="B4509" s="7" t="s">
        <v>6376</v>
      </c>
      <c r="C4509" s="8">
        <f>QS.CONTEXT.CREATE("market.4507",A4509,"USD","SOFR")</f>
        <v/>
      </c>
      <c r="D4509" s="8">
        <f>QS.CONTEXT.ADD.CURVE(C4509,"SOFR",$K$2:$K$7,$L$2:$L$7,,,"Actual360","LogLinear",TRUE)</f>
        <v/>
      </c>
      <c r="E4509" s="8">
        <f>QS.INSTRUMENT.SWAP("swap.4507",C4509,H4509,B4509,"USD","SOFR",I4509,J4509,0,"Actual360","Simple","Annual","Annual","Annual")</f>
        <v/>
      </c>
      <c r="F4509" s="8">
        <f>QS.TRADE.CREATE("trade.4507",C4509,E4509,A4509,"Receive")</f>
        <v/>
      </c>
      <c r="G4509" s="5"/>
      <c r="H4509" s="7" t="s">
        <v>4550</v>
      </c>
      <c r="I4509" s="9">
        <v>1450700</v>
      </c>
      <c r="J4509" s="10">
        <v>0.0357</v>
      </c>
    </row>
    <row r="4510" spans="1:10">
      <c r="A4510" s="7" t="s">
        <v>4544</v>
      </c>
      <c r="B4510" s="7" t="s">
        <v>6377</v>
      </c>
      <c r="C4510" s="8">
        <f>QS.CONTEXT.CREATE("market.4508",A4510,"USD","SOFR")</f>
        <v/>
      </c>
      <c r="D4510" s="8">
        <f>QS.CONTEXT.ADD.CURVE(C4510,"SOFR",$K$2:$K$7,$L$2:$L$7,,,"Actual360","LogLinear",TRUE)</f>
        <v/>
      </c>
      <c r="E4510" s="8">
        <f>QS.INSTRUMENT.SWAP("swap.4508",C4510,H4510,B4510,"USD","SOFR",I4510,J4510,0,"Actual360","Simple","Annual","Annual","Annual")</f>
        <v/>
      </c>
      <c r="F4510" s="8">
        <f>QS.TRADE.CREATE("trade.4508",C4510,E4510,A4510,"Receive")</f>
        <v/>
      </c>
      <c r="G4510" s="5"/>
      <c r="H4510" s="7" t="s">
        <v>4551</v>
      </c>
      <c r="I4510" s="9">
        <v>1450800</v>
      </c>
      <c r="J4510" s="10">
        <v>0.03580000000000001</v>
      </c>
    </row>
    <row r="4511" spans="1:10">
      <c r="A4511" s="7" t="s">
        <v>4545</v>
      </c>
      <c r="B4511" s="7" t="s">
        <v>6378</v>
      </c>
      <c r="C4511" s="8">
        <f>QS.CONTEXT.CREATE("market.4509",A4511,"USD","SOFR")</f>
        <v/>
      </c>
      <c r="D4511" s="8">
        <f>QS.CONTEXT.ADD.CURVE(C4511,"SOFR",$K$2:$K$7,$L$2:$L$7,,,"Actual360","LogLinear",TRUE)</f>
        <v/>
      </c>
      <c r="E4511" s="8">
        <f>QS.INSTRUMENT.SWAP("swap.4509",C4511,H4511,B4511,"USD","SOFR",I4511,J4511,0,"Actual360","Simple","Annual","Annual","Annual")</f>
        <v/>
      </c>
      <c r="F4511" s="8">
        <f>QS.TRADE.CREATE("trade.4509",C4511,E4511,A4511,"Receive")</f>
        <v/>
      </c>
      <c r="G4511" s="5"/>
      <c r="H4511" s="7" t="s">
        <v>4552</v>
      </c>
      <c r="I4511" s="9">
        <v>1450900</v>
      </c>
      <c r="J4511" s="10">
        <v>0.0359</v>
      </c>
    </row>
    <row r="4512" spans="1:10">
      <c r="A4512" s="7" t="s">
        <v>4546</v>
      </c>
      <c r="B4512" s="7" t="s">
        <v>6379</v>
      </c>
      <c r="C4512" s="8">
        <f>QS.CONTEXT.CREATE("market.4510",A4512,"USD","SOFR")</f>
        <v/>
      </c>
      <c r="D4512" s="8">
        <f>QS.CONTEXT.ADD.CURVE(C4512,"SOFR",$K$2:$K$7,$L$2:$L$7,,,"Actual360","LogLinear",TRUE)</f>
        <v/>
      </c>
      <c r="E4512" s="8">
        <f>QS.INSTRUMENT.SWAP("swap.4510",C4512,H4512,B4512,"USD","SOFR",I4512,J4512,0,"Actual360","Simple","Annual","Annual","Annual")</f>
        <v/>
      </c>
      <c r="F4512" s="8">
        <f>QS.TRADE.CREATE("trade.4510",C4512,E4512,A4512,"Receive")</f>
        <v/>
      </c>
      <c r="G4512" s="5"/>
      <c r="H4512" s="7" t="s">
        <v>4553</v>
      </c>
      <c r="I4512" s="9">
        <v>1451000</v>
      </c>
      <c r="J4512" s="10">
        <v>0.036</v>
      </c>
    </row>
    <row r="4513" spans="1:10">
      <c r="A4513" s="7" t="s">
        <v>4547</v>
      </c>
      <c r="B4513" s="7" t="s">
        <v>6380</v>
      </c>
      <c r="C4513" s="8">
        <f>QS.CONTEXT.CREATE("market.4511",A4513,"USD","SOFR")</f>
        <v/>
      </c>
      <c r="D4513" s="8">
        <f>QS.CONTEXT.ADD.CURVE(C4513,"SOFR",$K$2:$K$7,$L$2:$L$7,,,"Actual360","LogLinear",TRUE)</f>
        <v/>
      </c>
      <c r="E4513" s="8">
        <f>QS.INSTRUMENT.SWAP("swap.4511",C4513,H4513,B4513,"USD","SOFR",I4513,J4513,0,"Actual360","Simple","Annual","Annual","Annual")</f>
        <v/>
      </c>
      <c r="F4513" s="8">
        <f>QS.TRADE.CREATE("trade.4511",C4513,E4513,A4513,"Receive")</f>
        <v/>
      </c>
      <c r="G4513" s="5"/>
      <c r="H4513" s="7" t="s">
        <v>4554</v>
      </c>
      <c r="I4513" s="9">
        <v>1451100</v>
      </c>
      <c r="J4513" s="10">
        <v>0.0361</v>
      </c>
    </row>
    <row r="4514" spans="1:10">
      <c r="A4514" s="7" t="s">
        <v>4548</v>
      </c>
      <c r="B4514" s="7" t="s">
        <v>6381</v>
      </c>
      <c r="C4514" s="8">
        <f>QS.CONTEXT.CREATE("market.4512",A4514,"USD","SOFR")</f>
        <v/>
      </c>
      <c r="D4514" s="8">
        <f>QS.CONTEXT.ADD.CURVE(C4514,"SOFR",$K$2:$K$7,$L$2:$L$7,,,"Actual360","LogLinear",TRUE)</f>
        <v/>
      </c>
      <c r="E4514" s="8">
        <f>QS.INSTRUMENT.SWAP("swap.4512",C4514,H4514,B4514,"USD","SOFR",I4514,J4514,0,"Actual360","Simple","Annual","Annual","Annual")</f>
        <v/>
      </c>
      <c r="F4514" s="8">
        <f>QS.TRADE.CREATE("trade.4512",C4514,E4514,A4514,"Receive")</f>
        <v/>
      </c>
      <c r="G4514" s="5"/>
      <c r="H4514" s="7" t="s">
        <v>4555</v>
      </c>
      <c r="I4514" s="9">
        <v>1451200</v>
      </c>
      <c r="J4514" s="10">
        <v>0.0362</v>
      </c>
    </row>
    <row r="4515" spans="1:10">
      <c r="A4515" s="7" t="s">
        <v>4549</v>
      </c>
      <c r="B4515" s="7" t="s">
        <v>6382</v>
      </c>
      <c r="C4515" s="8">
        <f>QS.CONTEXT.CREATE("market.4513",A4515,"USD","SOFR")</f>
        <v/>
      </c>
      <c r="D4515" s="8">
        <f>QS.CONTEXT.ADD.CURVE(C4515,"SOFR",$K$2:$K$7,$L$2:$L$7,,,"Actual360","LogLinear",TRUE)</f>
        <v/>
      </c>
      <c r="E4515" s="8">
        <f>QS.INSTRUMENT.SWAP("swap.4513",C4515,H4515,B4515,"USD","SOFR",I4515,J4515,0,"Actual360","Simple","Annual","Annual","Annual")</f>
        <v/>
      </c>
      <c r="F4515" s="8">
        <f>QS.TRADE.CREATE("trade.4513",C4515,E4515,A4515,"Receive")</f>
        <v/>
      </c>
      <c r="G4515" s="5"/>
      <c r="H4515" s="7" t="s">
        <v>4556</v>
      </c>
      <c r="I4515" s="9">
        <v>1451300</v>
      </c>
      <c r="J4515" s="10">
        <v>0.03630000000000001</v>
      </c>
    </row>
    <row r="4516" spans="1:10">
      <c r="A4516" s="7" t="s">
        <v>4550</v>
      </c>
      <c r="B4516" s="7" t="s">
        <v>6383</v>
      </c>
      <c r="C4516" s="8">
        <f>QS.CONTEXT.CREATE("market.4514",A4516,"USD","SOFR")</f>
        <v/>
      </c>
      <c r="D4516" s="8">
        <f>QS.CONTEXT.ADD.CURVE(C4516,"SOFR",$K$2:$K$7,$L$2:$L$7,,,"Actual360","LogLinear",TRUE)</f>
        <v/>
      </c>
      <c r="E4516" s="8">
        <f>QS.INSTRUMENT.SWAP("swap.4514",C4516,H4516,B4516,"USD","SOFR",I4516,J4516,0,"Actual360","Simple","Annual","Annual","Annual")</f>
        <v/>
      </c>
      <c r="F4516" s="8">
        <f>QS.TRADE.CREATE("trade.4514",C4516,E4516,A4516,"Receive")</f>
        <v/>
      </c>
      <c r="G4516" s="5"/>
      <c r="H4516" s="7" t="s">
        <v>4557</v>
      </c>
      <c r="I4516" s="9">
        <v>1451400</v>
      </c>
      <c r="J4516" s="10">
        <v>0.0364</v>
      </c>
    </row>
    <row r="4517" spans="1:10">
      <c r="A4517" s="7" t="s">
        <v>4551</v>
      </c>
      <c r="B4517" s="7" t="s">
        <v>6384</v>
      </c>
      <c r="C4517" s="8">
        <f>QS.CONTEXT.CREATE("market.4515",A4517,"USD","SOFR")</f>
        <v/>
      </c>
      <c r="D4517" s="8">
        <f>QS.CONTEXT.ADD.CURVE(C4517,"SOFR",$K$2:$K$7,$L$2:$L$7,,,"Actual360","LogLinear",TRUE)</f>
        <v/>
      </c>
      <c r="E4517" s="8">
        <f>QS.INSTRUMENT.SWAP("swap.4515",C4517,H4517,B4517,"USD","SOFR",I4517,J4517,0,"Actual360","Simple","Annual","Annual","Annual")</f>
        <v/>
      </c>
      <c r="F4517" s="8">
        <f>QS.TRADE.CREATE("trade.4515",C4517,E4517,A4517,"Receive")</f>
        <v/>
      </c>
      <c r="G4517" s="5"/>
      <c r="H4517" s="7" t="s">
        <v>4558</v>
      </c>
      <c r="I4517" s="9">
        <v>1451500</v>
      </c>
      <c r="J4517" s="10">
        <v>0.0365</v>
      </c>
    </row>
    <row r="4518" spans="1:10">
      <c r="A4518" s="7" t="s">
        <v>4552</v>
      </c>
      <c r="B4518" s="7" t="s">
        <v>6385</v>
      </c>
      <c r="C4518" s="8">
        <f>QS.CONTEXT.CREATE("market.4516",A4518,"USD","SOFR")</f>
        <v/>
      </c>
      <c r="D4518" s="8">
        <f>QS.CONTEXT.ADD.CURVE(C4518,"SOFR",$K$2:$K$7,$L$2:$L$7,,,"Actual360","LogLinear",TRUE)</f>
        <v/>
      </c>
      <c r="E4518" s="8">
        <f>QS.INSTRUMENT.SWAP("swap.4516",C4518,H4518,B4518,"USD","SOFR",I4518,J4518,0,"Actual360","Simple","Annual","Annual","Annual")</f>
        <v/>
      </c>
      <c r="F4518" s="8">
        <f>QS.TRADE.CREATE("trade.4516",C4518,E4518,A4518,"Receive")</f>
        <v/>
      </c>
      <c r="G4518" s="5"/>
      <c r="H4518" s="7" t="s">
        <v>4559</v>
      </c>
      <c r="I4518" s="9">
        <v>1451600</v>
      </c>
      <c r="J4518" s="10">
        <v>0.0366</v>
      </c>
    </row>
    <row r="4519" spans="1:10">
      <c r="A4519" s="7" t="s">
        <v>4553</v>
      </c>
      <c r="B4519" s="7" t="s">
        <v>6386</v>
      </c>
      <c r="C4519" s="8">
        <f>QS.CONTEXT.CREATE("market.4517",A4519,"USD","SOFR")</f>
        <v/>
      </c>
      <c r="D4519" s="8">
        <f>QS.CONTEXT.ADD.CURVE(C4519,"SOFR",$K$2:$K$7,$L$2:$L$7,,,"Actual360","LogLinear",TRUE)</f>
        <v/>
      </c>
      <c r="E4519" s="8">
        <f>QS.INSTRUMENT.SWAP("swap.4517",C4519,H4519,B4519,"USD","SOFR",I4519,J4519,0,"Actual360","Simple","Annual","Annual","Annual")</f>
        <v/>
      </c>
      <c r="F4519" s="8">
        <f>QS.TRADE.CREATE("trade.4517",C4519,E4519,A4519,"Receive")</f>
        <v/>
      </c>
      <c r="G4519" s="5"/>
      <c r="H4519" s="7" t="s">
        <v>4560</v>
      </c>
      <c r="I4519" s="9">
        <v>1451700</v>
      </c>
      <c r="J4519" s="10">
        <v>0.0367</v>
      </c>
    </row>
    <row r="4520" spans="1:10">
      <c r="A4520" s="7" t="s">
        <v>4554</v>
      </c>
      <c r="B4520" s="7" t="s">
        <v>6387</v>
      </c>
      <c r="C4520" s="8">
        <f>QS.CONTEXT.CREATE("market.4518",A4520,"USD","SOFR")</f>
        <v/>
      </c>
      <c r="D4520" s="8">
        <f>QS.CONTEXT.ADD.CURVE(C4520,"SOFR",$K$2:$K$7,$L$2:$L$7,,,"Actual360","LogLinear",TRUE)</f>
        <v/>
      </c>
      <c r="E4520" s="8">
        <f>QS.INSTRUMENT.SWAP("swap.4518",C4520,H4520,B4520,"USD","SOFR",I4520,J4520,0,"Actual360","Simple","Annual","Annual","Annual")</f>
        <v/>
      </c>
      <c r="F4520" s="8">
        <f>QS.TRADE.CREATE("trade.4518",C4520,E4520,A4520,"Receive")</f>
        <v/>
      </c>
      <c r="G4520" s="5"/>
      <c r="H4520" s="7" t="s">
        <v>4561</v>
      </c>
      <c r="I4520" s="9">
        <v>1451800</v>
      </c>
      <c r="J4520" s="10">
        <v>0.03680000000000001</v>
      </c>
    </row>
    <row r="4521" spans="1:10">
      <c r="A4521" s="7" t="s">
        <v>4555</v>
      </c>
      <c r="B4521" s="7" t="s">
        <v>6388</v>
      </c>
      <c r="C4521" s="8">
        <f>QS.CONTEXT.CREATE("market.4519",A4521,"USD","SOFR")</f>
        <v/>
      </c>
      <c r="D4521" s="8">
        <f>QS.CONTEXT.ADD.CURVE(C4521,"SOFR",$K$2:$K$7,$L$2:$L$7,,,"Actual360","LogLinear",TRUE)</f>
        <v/>
      </c>
      <c r="E4521" s="8">
        <f>QS.INSTRUMENT.SWAP("swap.4519",C4521,H4521,B4521,"USD","SOFR",I4521,J4521,0,"Actual360","Simple","Annual","Annual","Annual")</f>
        <v/>
      </c>
      <c r="F4521" s="8">
        <f>QS.TRADE.CREATE("trade.4519",C4521,E4521,A4521,"Receive")</f>
        <v/>
      </c>
      <c r="G4521" s="5"/>
      <c r="H4521" s="7" t="s">
        <v>4562</v>
      </c>
      <c r="I4521" s="9">
        <v>1451900</v>
      </c>
      <c r="J4521" s="10">
        <v>0.0369</v>
      </c>
    </row>
    <row r="4522" spans="1:10">
      <c r="A4522" s="7" t="s">
        <v>4556</v>
      </c>
      <c r="B4522" s="7" t="s">
        <v>6389</v>
      </c>
      <c r="C4522" s="8">
        <f>QS.CONTEXT.CREATE("market.4520",A4522,"USD","SOFR")</f>
        <v/>
      </c>
      <c r="D4522" s="8">
        <f>QS.CONTEXT.ADD.CURVE(C4522,"SOFR",$K$2:$K$7,$L$2:$L$7,,,"Actual360","LogLinear",TRUE)</f>
        <v/>
      </c>
      <c r="E4522" s="8">
        <f>QS.INSTRUMENT.SWAP("swap.4520",C4522,H4522,B4522,"USD","SOFR",I4522,J4522,0,"Actual360","Simple","Annual","Annual","Annual")</f>
        <v/>
      </c>
      <c r="F4522" s="8">
        <f>QS.TRADE.CREATE("trade.4520",C4522,E4522,A4522,"Receive")</f>
        <v/>
      </c>
      <c r="G4522" s="5"/>
      <c r="H4522" s="7" t="s">
        <v>4563</v>
      </c>
      <c r="I4522" s="9">
        <v>1452000</v>
      </c>
      <c r="J4522" s="10">
        <v>0.03700000000000001</v>
      </c>
    </row>
    <row r="4523" spans="1:10">
      <c r="A4523" s="7" t="s">
        <v>4557</v>
      </c>
      <c r="B4523" s="7" t="s">
        <v>6390</v>
      </c>
      <c r="C4523" s="8">
        <f>QS.CONTEXT.CREATE("market.4521",A4523,"USD","SOFR")</f>
        <v/>
      </c>
      <c r="D4523" s="8">
        <f>QS.CONTEXT.ADD.CURVE(C4523,"SOFR",$K$2:$K$7,$L$2:$L$7,,,"Actual360","LogLinear",TRUE)</f>
        <v/>
      </c>
      <c r="E4523" s="8">
        <f>QS.INSTRUMENT.SWAP("swap.4521",C4523,H4523,B4523,"USD","SOFR",I4523,J4523,0,"Actual360","Simple","Annual","Annual","Annual")</f>
        <v/>
      </c>
      <c r="F4523" s="8">
        <f>QS.TRADE.CREATE("trade.4521",C4523,E4523,A4523,"Receive")</f>
        <v/>
      </c>
      <c r="G4523" s="5"/>
      <c r="H4523" s="7" t="s">
        <v>4564</v>
      </c>
      <c r="I4523" s="9">
        <v>1452100</v>
      </c>
      <c r="J4523" s="10">
        <v>0.0371</v>
      </c>
    </row>
    <row r="4524" spans="1:10">
      <c r="A4524" s="7" t="s">
        <v>4558</v>
      </c>
      <c r="B4524" s="7" t="s">
        <v>6391</v>
      </c>
      <c r="C4524" s="8">
        <f>QS.CONTEXT.CREATE("market.4522",A4524,"USD","SOFR")</f>
        <v/>
      </c>
      <c r="D4524" s="8">
        <f>QS.CONTEXT.ADD.CURVE(C4524,"SOFR",$K$2:$K$7,$L$2:$L$7,,,"Actual360","LogLinear",TRUE)</f>
        <v/>
      </c>
      <c r="E4524" s="8">
        <f>QS.INSTRUMENT.SWAP("swap.4522",C4524,H4524,B4524,"USD","SOFR",I4524,J4524,0,"Actual360","Simple","Annual","Annual","Annual")</f>
        <v/>
      </c>
      <c r="F4524" s="8">
        <f>QS.TRADE.CREATE("trade.4522",C4524,E4524,A4524,"Receive")</f>
        <v/>
      </c>
      <c r="G4524" s="5"/>
      <c r="H4524" s="7" t="s">
        <v>4565</v>
      </c>
      <c r="I4524" s="9">
        <v>1452200</v>
      </c>
      <c r="J4524" s="10">
        <v>0.0372</v>
      </c>
    </row>
    <row r="4525" spans="1:10">
      <c r="A4525" s="7" t="s">
        <v>4559</v>
      </c>
      <c r="B4525" s="7" t="s">
        <v>6392</v>
      </c>
      <c r="C4525" s="8">
        <f>QS.CONTEXT.CREATE("market.4523",A4525,"USD","SOFR")</f>
        <v/>
      </c>
      <c r="D4525" s="8">
        <f>QS.CONTEXT.ADD.CURVE(C4525,"SOFR",$K$2:$K$7,$L$2:$L$7,,,"Actual360","LogLinear",TRUE)</f>
        <v/>
      </c>
      <c r="E4525" s="8">
        <f>QS.INSTRUMENT.SWAP("swap.4523",C4525,H4525,B4525,"USD","SOFR",I4525,J4525,0,"Actual360","Simple","Annual","Annual","Annual")</f>
        <v/>
      </c>
      <c r="F4525" s="8">
        <f>QS.TRADE.CREATE("trade.4523",C4525,E4525,A4525,"Receive")</f>
        <v/>
      </c>
      <c r="G4525" s="5"/>
      <c r="H4525" s="7" t="s">
        <v>4566</v>
      </c>
      <c r="I4525" s="9">
        <v>1452300</v>
      </c>
      <c r="J4525" s="10">
        <v>0.0373</v>
      </c>
    </row>
    <row r="4526" spans="1:10">
      <c r="A4526" s="7" t="s">
        <v>4560</v>
      </c>
      <c r="B4526" s="7" t="s">
        <v>6393</v>
      </c>
      <c r="C4526" s="8">
        <f>QS.CONTEXT.CREATE("market.4524",A4526,"USD","SOFR")</f>
        <v/>
      </c>
      <c r="D4526" s="8">
        <f>QS.CONTEXT.ADD.CURVE(C4526,"SOFR",$K$2:$K$7,$L$2:$L$7,,,"Actual360","LogLinear",TRUE)</f>
        <v/>
      </c>
      <c r="E4526" s="8">
        <f>QS.INSTRUMENT.SWAP("swap.4524",C4526,H4526,B4526,"USD","SOFR",I4526,J4526,0,"Actual360","Simple","Annual","Annual","Annual")</f>
        <v/>
      </c>
      <c r="F4526" s="8">
        <f>QS.TRADE.CREATE("trade.4524",C4526,E4526,A4526,"Receive")</f>
        <v/>
      </c>
      <c r="G4526" s="5"/>
      <c r="H4526" s="7" t="s">
        <v>4567</v>
      </c>
      <c r="I4526" s="9">
        <v>1452400</v>
      </c>
      <c r="J4526" s="10">
        <v>0.0374</v>
      </c>
    </row>
    <row r="4527" spans="1:10">
      <c r="A4527" s="7" t="s">
        <v>4561</v>
      </c>
      <c r="B4527" s="7" t="s">
        <v>6394</v>
      </c>
      <c r="C4527" s="8">
        <f>QS.CONTEXT.CREATE("market.4525",A4527,"USD","SOFR")</f>
        <v/>
      </c>
      <c r="D4527" s="8">
        <f>QS.CONTEXT.ADD.CURVE(C4527,"SOFR",$K$2:$K$7,$L$2:$L$7,,,"Actual360","LogLinear",TRUE)</f>
        <v/>
      </c>
      <c r="E4527" s="8">
        <f>QS.INSTRUMENT.SWAP("swap.4525",C4527,H4527,B4527,"USD","SOFR",I4527,J4527,0,"Actual360","Simple","Annual","Annual","Annual")</f>
        <v/>
      </c>
      <c r="F4527" s="8">
        <f>QS.TRADE.CREATE("trade.4525",C4527,E4527,A4527,"Receive")</f>
        <v/>
      </c>
      <c r="G4527" s="5"/>
      <c r="H4527" s="7" t="s">
        <v>4568</v>
      </c>
      <c r="I4527" s="9">
        <v>1452500</v>
      </c>
      <c r="J4527" s="10">
        <v>0.03750000000000001</v>
      </c>
    </row>
    <row r="4528" spans="1:10">
      <c r="A4528" s="7" t="s">
        <v>4562</v>
      </c>
      <c r="B4528" s="7" t="s">
        <v>6395</v>
      </c>
      <c r="C4528" s="8">
        <f>QS.CONTEXT.CREATE("market.4526",A4528,"USD","SOFR")</f>
        <v/>
      </c>
      <c r="D4528" s="8">
        <f>QS.CONTEXT.ADD.CURVE(C4528,"SOFR",$K$2:$K$7,$L$2:$L$7,,,"Actual360","LogLinear",TRUE)</f>
        <v/>
      </c>
      <c r="E4528" s="8">
        <f>QS.INSTRUMENT.SWAP("swap.4526",C4528,H4528,B4528,"USD","SOFR",I4528,J4528,0,"Actual360","Simple","Annual","Annual","Annual")</f>
        <v/>
      </c>
      <c r="F4528" s="8">
        <f>QS.TRADE.CREATE("trade.4526",C4528,E4528,A4528,"Receive")</f>
        <v/>
      </c>
      <c r="G4528" s="5"/>
      <c r="H4528" s="7" t="s">
        <v>4569</v>
      </c>
      <c r="I4528" s="9">
        <v>1452600</v>
      </c>
      <c r="J4528" s="10">
        <v>0.0376</v>
      </c>
    </row>
    <row r="4529" spans="1:10">
      <c r="A4529" s="7" t="s">
        <v>4563</v>
      </c>
      <c r="B4529" s="7" t="s">
        <v>6396</v>
      </c>
      <c r="C4529" s="8">
        <f>QS.CONTEXT.CREATE("market.4527",A4529,"USD","SOFR")</f>
        <v/>
      </c>
      <c r="D4529" s="8">
        <f>QS.CONTEXT.ADD.CURVE(C4529,"SOFR",$K$2:$K$7,$L$2:$L$7,,,"Actual360","LogLinear",TRUE)</f>
        <v/>
      </c>
      <c r="E4529" s="8">
        <f>QS.INSTRUMENT.SWAP("swap.4527",C4529,H4529,B4529,"USD","SOFR",I4529,J4529,0,"Actual360","Simple","Annual","Annual","Annual")</f>
        <v/>
      </c>
      <c r="F4529" s="8">
        <f>QS.TRADE.CREATE("trade.4527",C4529,E4529,A4529,"Receive")</f>
        <v/>
      </c>
      <c r="G4529" s="5"/>
      <c r="H4529" s="7" t="s">
        <v>4570</v>
      </c>
      <c r="I4529" s="9">
        <v>1452700</v>
      </c>
      <c r="J4529" s="10">
        <v>0.0377</v>
      </c>
    </row>
    <row r="4530" spans="1:10">
      <c r="A4530" s="7" t="s">
        <v>4564</v>
      </c>
      <c r="B4530" s="7" t="s">
        <v>6397</v>
      </c>
      <c r="C4530" s="8">
        <f>QS.CONTEXT.CREATE("market.4528",A4530,"USD","SOFR")</f>
        <v/>
      </c>
      <c r="D4530" s="8">
        <f>QS.CONTEXT.ADD.CURVE(C4530,"SOFR",$K$2:$K$7,$L$2:$L$7,,,"Actual360","LogLinear",TRUE)</f>
        <v/>
      </c>
      <c r="E4530" s="8">
        <f>QS.INSTRUMENT.SWAP("swap.4528",C4530,H4530,B4530,"USD","SOFR",I4530,J4530,0,"Actual360","Simple","Annual","Annual","Annual")</f>
        <v/>
      </c>
      <c r="F4530" s="8">
        <f>QS.TRADE.CREATE("trade.4528",C4530,E4530,A4530,"Receive")</f>
        <v/>
      </c>
      <c r="G4530" s="5"/>
      <c r="H4530" s="7" t="s">
        <v>4571</v>
      </c>
      <c r="I4530" s="9">
        <v>1452800</v>
      </c>
      <c r="J4530" s="10">
        <v>0.0378</v>
      </c>
    </row>
    <row r="4531" spans="1:10">
      <c r="A4531" s="7" t="s">
        <v>4565</v>
      </c>
      <c r="B4531" s="7" t="s">
        <v>6398</v>
      </c>
      <c r="C4531" s="8">
        <f>QS.CONTEXT.CREATE("market.4529",A4531,"USD","SOFR")</f>
        <v/>
      </c>
      <c r="D4531" s="8">
        <f>QS.CONTEXT.ADD.CURVE(C4531,"SOFR",$K$2:$K$7,$L$2:$L$7,,,"Actual360","LogLinear",TRUE)</f>
        <v/>
      </c>
      <c r="E4531" s="8">
        <f>QS.INSTRUMENT.SWAP("swap.4529",C4531,H4531,B4531,"USD","SOFR",I4531,J4531,0,"Actual360","Simple","Annual","Annual","Annual")</f>
        <v/>
      </c>
      <c r="F4531" s="8">
        <f>QS.TRADE.CREATE("trade.4529",C4531,E4531,A4531,"Receive")</f>
        <v/>
      </c>
      <c r="G4531" s="5"/>
      <c r="H4531" s="7" t="s">
        <v>4572</v>
      </c>
      <c r="I4531" s="9">
        <v>1452900</v>
      </c>
      <c r="J4531" s="10">
        <v>0.0379</v>
      </c>
    </row>
    <row r="4532" spans="1:10">
      <c r="A4532" s="7" t="s">
        <v>4566</v>
      </c>
      <c r="B4532" s="7" t="s">
        <v>6399</v>
      </c>
      <c r="C4532" s="8">
        <f>QS.CONTEXT.CREATE("market.4530",A4532,"USD","SOFR")</f>
        <v/>
      </c>
      <c r="D4532" s="8">
        <f>QS.CONTEXT.ADD.CURVE(C4532,"SOFR",$K$2:$K$7,$L$2:$L$7,,,"Actual360","LogLinear",TRUE)</f>
        <v/>
      </c>
      <c r="E4532" s="8">
        <f>QS.INSTRUMENT.SWAP("swap.4530",C4532,H4532,B4532,"USD","SOFR",I4532,J4532,0,"Actual360","Simple","Annual","Annual","Annual")</f>
        <v/>
      </c>
      <c r="F4532" s="8">
        <f>QS.TRADE.CREATE("trade.4530",C4532,E4532,A4532,"Receive")</f>
        <v/>
      </c>
      <c r="G4532" s="5"/>
      <c r="H4532" s="7" t="s">
        <v>4573</v>
      </c>
      <c r="I4532" s="9">
        <v>1453000</v>
      </c>
      <c r="J4532" s="10">
        <v>0.03800000000000001</v>
      </c>
    </row>
    <row r="4533" spans="1:10">
      <c r="A4533" s="7" t="s">
        <v>4567</v>
      </c>
      <c r="B4533" s="7" t="s">
        <v>6400</v>
      </c>
      <c r="C4533" s="8">
        <f>QS.CONTEXT.CREATE("market.4531",A4533,"USD","SOFR")</f>
        <v/>
      </c>
      <c r="D4533" s="8">
        <f>QS.CONTEXT.ADD.CURVE(C4533,"SOFR",$K$2:$K$7,$L$2:$L$7,,,"Actual360","LogLinear",TRUE)</f>
        <v/>
      </c>
      <c r="E4533" s="8">
        <f>QS.INSTRUMENT.SWAP("swap.4531",C4533,H4533,B4533,"USD","SOFR",I4533,J4533,0,"Actual360","Simple","Annual","Annual","Annual")</f>
        <v/>
      </c>
      <c r="F4533" s="8">
        <f>QS.TRADE.CREATE("trade.4531",C4533,E4533,A4533,"Receive")</f>
        <v/>
      </c>
      <c r="G4533" s="5"/>
      <c r="H4533" s="7" t="s">
        <v>4574</v>
      </c>
      <c r="I4533" s="9">
        <v>1453100</v>
      </c>
      <c r="J4533" s="10">
        <v>0.0381</v>
      </c>
    </row>
    <row r="4534" spans="1:10">
      <c r="A4534" s="7" t="s">
        <v>4568</v>
      </c>
      <c r="B4534" s="7" t="s">
        <v>6401</v>
      </c>
      <c r="C4534" s="8">
        <f>QS.CONTEXT.CREATE("market.4532",A4534,"USD","SOFR")</f>
        <v/>
      </c>
      <c r="D4534" s="8">
        <f>QS.CONTEXT.ADD.CURVE(C4534,"SOFR",$K$2:$K$7,$L$2:$L$7,,,"Actual360","LogLinear",TRUE)</f>
        <v/>
      </c>
      <c r="E4534" s="8">
        <f>QS.INSTRUMENT.SWAP("swap.4532",C4534,H4534,B4534,"USD","SOFR",I4534,J4534,0,"Actual360","Simple","Annual","Annual","Annual")</f>
        <v/>
      </c>
      <c r="F4534" s="8">
        <f>QS.TRADE.CREATE("trade.4532",C4534,E4534,A4534,"Receive")</f>
        <v/>
      </c>
      <c r="G4534" s="5"/>
      <c r="H4534" s="7" t="s">
        <v>4575</v>
      </c>
      <c r="I4534" s="9">
        <v>1453200</v>
      </c>
      <c r="J4534" s="10">
        <v>0.0382</v>
      </c>
    </row>
    <row r="4535" spans="1:10">
      <c r="A4535" s="7" t="s">
        <v>4569</v>
      </c>
      <c r="B4535" s="7" t="s">
        <v>6402</v>
      </c>
      <c r="C4535" s="8">
        <f>QS.CONTEXT.CREATE("market.4533",A4535,"USD","SOFR")</f>
        <v/>
      </c>
      <c r="D4535" s="8">
        <f>QS.CONTEXT.ADD.CURVE(C4535,"SOFR",$K$2:$K$7,$L$2:$L$7,,,"Actual360","LogLinear",TRUE)</f>
        <v/>
      </c>
      <c r="E4535" s="8">
        <f>QS.INSTRUMENT.SWAP("swap.4533",C4535,H4535,B4535,"USD","SOFR",I4535,J4535,0,"Actual360","Simple","Annual","Annual","Annual")</f>
        <v/>
      </c>
      <c r="F4535" s="8">
        <f>QS.TRADE.CREATE("trade.4533",C4535,E4535,A4535,"Receive")</f>
        <v/>
      </c>
      <c r="G4535" s="5"/>
      <c r="H4535" s="7" t="s">
        <v>4576</v>
      </c>
      <c r="I4535" s="9">
        <v>1453300</v>
      </c>
      <c r="J4535" s="10">
        <v>0.0383</v>
      </c>
    </row>
    <row r="4536" spans="1:10">
      <c r="A4536" s="7" t="s">
        <v>4570</v>
      </c>
      <c r="B4536" s="7" t="s">
        <v>6403</v>
      </c>
      <c r="C4536" s="8">
        <f>QS.CONTEXT.CREATE("market.4534",A4536,"USD","SOFR")</f>
        <v/>
      </c>
      <c r="D4536" s="8">
        <f>QS.CONTEXT.ADD.CURVE(C4536,"SOFR",$K$2:$K$7,$L$2:$L$7,,,"Actual360","LogLinear",TRUE)</f>
        <v/>
      </c>
      <c r="E4536" s="8">
        <f>QS.INSTRUMENT.SWAP("swap.4534",C4536,H4536,B4536,"USD","SOFR",I4536,J4536,0,"Actual360","Simple","Annual","Annual","Annual")</f>
        <v/>
      </c>
      <c r="F4536" s="8">
        <f>QS.TRADE.CREATE("trade.4534",C4536,E4536,A4536,"Receive")</f>
        <v/>
      </c>
      <c r="G4536" s="5"/>
      <c r="H4536" s="7" t="s">
        <v>4577</v>
      </c>
      <c r="I4536" s="9">
        <v>1453400</v>
      </c>
      <c r="J4536" s="10">
        <v>0.0384</v>
      </c>
    </row>
    <row r="4537" spans="1:10">
      <c r="A4537" s="7" t="s">
        <v>4571</v>
      </c>
      <c r="B4537" s="7" t="s">
        <v>6404</v>
      </c>
      <c r="C4537" s="8">
        <f>QS.CONTEXT.CREATE("market.4535",A4537,"USD","SOFR")</f>
        <v/>
      </c>
      <c r="D4537" s="8">
        <f>QS.CONTEXT.ADD.CURVE(C4537,"SOFR",$K$2:$K$7,$L$2:$L$7,,,"Actual360","LogLinear",TRUE)</f>
        <v/>
      </c>
      <c r="E4537" s="8">
        <f>QS.INSTRUMENT.SWAP("swap.4535",C4537,H4537,B4537,"USD","SOFR",I4537,J4537,0,"Actual360","Simple","Annual","Annual","Annual")</f>
        <v/>
      </c>
      <c r="F4537" s="8">
        <f>QS.TRADE.CREATE("trade.4535",C4537,E4537,A4537,"Receive")</f>
        <v/>
      </c>
      <c r="G4537" s="5"/>
      <c r="H4537" s="7" t="s">
        <v>4578</v>
      </c>
      <c r="I4537" s="9">
        <v>1453500</v>
      </c>
      <c r="J4537" s="10">
        <v>0.03850000000000001</v>
      </c>
    </row>
    <row r="4538" spans="1:10">
      <c r="A4538" s="7" t="s">
        <v>4572</v>
      </c>
      <c r="B4538" s="7" t="s">
        <v>6405</v>
      </c>
      <c r="C4538" s="8">
        <f>QS.CONTEXT.CREATE("market.4536",A4538,"USD","SOFR")</f>
        <v/>
      </c>
      <c r="D4538" s="8">
        <f>QS.CONTEXT.ADD.CURVE(C4538,"SOFR",$K$2:$K$7,$L$2:$L$7,,,"Actual360","LogLinear",TRUE)</f>
        <v/>
      </c>
      <c r="E4538" s="8">
        <f>QS.INSTRUMENT.SWAP("swap.4536",C4538,H4538,B4538,"USD","SOFR",I4538,J4538,0,"Actual360","Simple","Annual","Annual","Annual")</f>
        <v/>
      </c>
      <c r="F4538" s="8">
        <f>QS.TRADE.CREATE("trade.4536",C4538,E4538,A4538,"Receive")</f>
        <v/>
      </c>
      <c r="G4538" s="5"/>
      <c r="H4538" s="7" t="s">
        <v>4579</v>
      </c>
      <c r="I4538" s="9">
        <v>1453600</v>
      </c>
      <c r="J4538" s="10">
        <v>0.0386</v>
      </c>
    </row>
    <row r="4539" spans="1:10">
      <c r="A4539" s="7" t="s">
        <v>4573</v>
      </c>
      <c r="B4539" s="7" t="s">
        <v>6406</v>
      </c>
      <c r="C4539" s="8">
        <f>QS.CONTEXT.CREATE("market.4537",A4539,"USD","SOFR")</f>
        <v/>
      </c>
      <c r="D4539" s="8">
        <f>QS.CONTEXT.ADD.CURVE(C4539,"SOFR",$K$2:$K$7,$L$2:$L$7,,,"Actual360","LogLinear",TRUE)</f>
        <v/>
      </c>
      <c r="E4539" s="8">
        <f>QS.INSTRUMENT.SWAP("swap.4537",C4539,H4539,B4539,"USD","SOFR",I4539,J4539,0,"Actual360","Simple","Annual","Annual","Annual")</f>
        <v/>
      </c>
      <c r="F4539" s="8">
        <f>QS.TRADE.CREATE("trade.4537",C4539,E4539,A4539,"Receive")</f>
        <v/>
      </c>
      <c r="G4539" s="5"/>
      <c r="H4539" s="7" t="s">
        <v>4580</v>
      </c>
      <c r="I4539" s="9">
        <v>1453700</v>
      </c>
      <c r="J4539" s="10">
        <v>0.03870000000000001</v>
      </c>
    </row>
    <row r="4540" spans="1:10">
      <c r="A4540" s="7" t="s">
        <v>4574</v>
      </c>
      <c r="B4540" s="7" t="s">
        <v>6407</v>
      </c>
      <c r="C4540" s="8">
        <f>QS.CONTEXT.CREATE("market.4538",A4540,"USD","SOFR")</f>
        <v/>
      </c>
      <c r="D4540" s="8">
        <f>QS.CONTEXT.ADD.CURVE(C4540,"SOFR",$K$2:$K$7,$L$2:$L$7,,,"Actual360","LogLinear",TRUE)</f>
        <v/>
      </c>
      <c r="E4540" s="8">
        <f>QS.INSTRUMENT.SWAP("swap.4538",C4540,H4540,B4540,"USD","SOFR",I4540,J4540,0,"Actual360","Simple","Annual","Annual","Annual")</f>
        <v/>
      </c>
      <c r="F4540" s="8">
        <f>QS.TRADE.CREATE("trade.4538",C4540,E4540,A4540,"Receive")</f>
        <v/>
      </c>
      <c r="G4540" s="5"/>
      <c r="H4540" s="7" t="s">
        <v>4581</v>
      </c>
      <c r="I4540" s="9">
        <v>1453800</v>
      </c>
      <c r="J4540" s="10">
        <v>0.0388</v>
      </c>
    </row>
    <row r="4541" spans="1:10">
      <c r="A4541" s="7" t="s">
        <v>4575</v>
      </c>
      <c r="B4541" s="7" t="s">
        <v>6408</v>
      </c>
      <c r="C4541" s="8">
        <f>QS.CONTEXT.CREATE("market.4539",A4541,"USD","SOFR")</f>
        <v/>
      </c>
      <c r="D4541" s="8">
        <f>QS.CONTEXT.ADD.CURVE(C4541,"SOFR",$K$2:$K$7,$L$2:$L$7,,,"Actual360","LogLinear",TRUE)</f>
        <v/>
      </c>
      <c r="E4541" s="8">
        <f>QS.INSTRUMENT.SWAP("swap.4539",C4541,H4541,B4541,"USD","SOFR",I4541,J4541,0,"Actual360","Simple","Annual","Annual","Annual")</f>
        <v/>
      </c>
      <c r="F4541" s="8">
        <f>QS.TRADE.CREATE("trade.4539",C4541,E4541,A4541,"Receive")</f>
        <v/>
      </c>
      <c r="G4541" s="5"/>
      <c r="H4541" s="7" t="s">
        <v>4582</v>
      </c>
      <c r="I4541" s="9">
        <v>1453900</v>
      </c>
      <c r="J4541" s="10">
        <v>0.0389</v>
      </c>
    </row>
    <row r="4542" spans="1:10">
      <c r="A4542" s="7" t="s">
        <v>4576</v>
      </c>
      <c r="B4542" s="7" t="s">
        <v>6409</v>
      </c>
      <c r="C4542" s="8">
        <f>QS.CONTEXT.CREATE("market.4540",A4542,"USD","SOFR")</f>
        <v/>
      </c>
      <c r="D4542" s="8">
        <f>QS.CONTEXT.ADD.CURVE(C4542,"SOFR",$K$2:$K$7,$L$2:$L$7,,,"Actual360","LogLinear",TRUE)</f>
        <v/>
      </c>
      <c r="E4542" s="8">
        <f>QS.INSTRUMENT.SWAP("swap.4540",C4542,H4542,B4542,"USD","SOFR",I4542,J4542,0,"Actual360","Simple","Annual","Annual","Annual")</f>
        <v/>
      </c>
      <c r="F4542" s="8">
        <f>QS.TRADE.CREATE("trade.4540",C4542,E4542,A4542,"Receive")</f>
        <v/>
      </c>
      <c r="G4542" s="5"/>
      <c r="H4542" s="7" t="s">
        <v>4583</v>
      </c>
      <c r="I4542" s="9">
        <v>1454000</v>
      </c>
      <c r="J4542" s="10">
        <v>0.03900000000000001</v>
      </c>
    </row>
    <row r="4543" spans="1:10">
      <c r="A4543" s="7" t="s">
        <v>4577</v>
      </c>
      <c r="B4543" s="7" t="s">
        <v>6410</v>
      </c>
      <c r="C4543" s="8">
        <f>QS.CONTEXT.CREATE("market.4541",A4543,"USD","SOFR")</f>
        <v/>
      </c>
      <c r="D4543" s="8">
        <f>QS.CONTEXT.ADD.CURVE(C4543,"SOFR",$K$2:$K$7,$L$2:$L$7,,,"Actual360","LogLinear",TRUE)</f>
        <v/>
      </c>
      <c r="E4543" s="8">
        <f>QS.INSTRUMENT.SWAP("swap.4541",C4543,H4543,B4543,"USD","SOFR",I4543,J4543,0,"Actual360","Simple","Annual","Annual","Annual")</f>
        <v/>
      </c>
      <c r="F4543" s="8">
        <f>QS.TRADE.CREATE("trade.4541",C4543,E4543,A4543,"Receive")</f>
        <v/>
      </c>
      <c r="G4543" s="5"/>
      <c r="H4543" s="7" t="s">
        <v>4584</v>
      </c>
      <c r="I4543" s="9">
        <v>1454100</v>
      </c>
      <c r="J4543" s="10">
        <v>0.0391</v>
      </c>
    </row>
    <row r="4544" spans="1:10">
      <c r="A4544" s="7" t="s">
        <v>4578</v>
      </c>
      <c r="B4544" s="7" t="s">
        <v>6411</v>
      </c>
      <c r="C4544" s="8">
        <f>QS.CONTEXT.CREATE("market.4542",A4544,"USD","SOFR")</f>
        <v/>
      </c>
      <c r="D4544" s="8">
        <f>QS.CONTEXT.ADD.CURVE(C4544,"SOFR",$K$2:$K$7,$L$2:$L$7,,,"Actual360","LogLinear",TRUE)</f>
        <v/>
      </c>
      <c r="E4544" s="8">
        <f>QS.INSTRUMENT.SWAP("swap.4542",C4544,H4544,B4544,"USD","SOFR",I4544,J4544,0,"Actual360","Simple","Annual","Annual","Annual")</f>
        <v/>
      </c>
      <c r="F4544" s="8">
        <f>QS.TRADE.CREATE("trade.4542",C4544,E4544,A4544,"Receive")</f>
        <v/>
      </c>
      <c r="G4544" s="5"/>
      <c r="H4544" s="7" t="s">
        <v>4585</v>
      </c>
      <c r="I4544" s="9">
        <v>1454200</v>
      </c>
      <c r="J4544" s="10">
        <v>0.03920000000000001</v>
      </c>
    </row>
    <row r="4545" spans="1:10">
      <c r="A4545" s="7" t="s">
        <v>4579</v>
      </c>
      <c r="B4545" s="7" t="s">
        <v>6412</v>
      </c>
      <c r="C4545" s="8">
        <f>QS.CONTEXT.CREATE("market.4543",A4545,"USD","SOFR")</f>
        <v/>
      </c>
      <c r="D4545" s="8">
        <f>QS.CONTEXT.ADD.CURVE(C4545,"SOFR",$K$2:$K$7,$L$2:$L$7,,,"Actual360","LogLinear",TRUE)</f>
        <v/>
      </c>
      <c r="E4545" s="8">
        <f>QS.INSTRUMENT.SWAP("swap.4543",C4545,H4545,B4545,"USD","SOFR",I4545,J4545,0,"Actual360","Simple","Annual","Annual","Annual")</f>
        <v/>
      </c>
      <c r="F4545" s="8">
        <f>QS.TRADE.CREATE("trade.4543",C4545,E4545,A4545,"Receive")</f>
        <v/>
      </c>
      <c r="G4545" s="5"/>
      <c r="H4545" s="7" t="s">
        <v>4586</v>
      </c>
      <c r="I4545" s="9">
        <v>1454300</v>
      </c>
      <c r="J4545" s="10">
        <v>0.0393</v>
      </c>
    </row>
    <row r="4546" spans="1:10">
      <c r="A4546" s="7" t="s">
        <v>4580</v>
      </c>
      <c r="B4546" s="7" t="s">
        <v>6413</v>
      </c>
      <c r="C4546" s="8">
        <f>QS.CONTEXT.CREATE("market.4544",A4546,"USD","SOFR")</f>
        <v/>
      </c>
      <c r="D4546" s="8">
        <f>QS.CONTEXT.ADD.CURVE(C4546,"SOFR",$K$2:$K$7,$L$2:$L$7,,,"Actual360","LogLinear",TRUE)</f>
        <v/>
      </c>
      <c r="E4546" s="8">
        <f>QS.INSTRUMENT.SWAP("swap.4544",C4546,H4546,B4546,"USD","SOFR",I4546,J4546,0,"Actual360","Simple","Annual","Annual","Annual")</f>
        <v/>
      </c>
      <c r="F4546" s="8">
        <f>QS.TRADE.CREATE("trade.4544",C4546,E4546,A4546,"Receive")</f>
        <v/>
      </c>
      <c r="G4546" s="5"/>
      <c r="H4546" s="7" t="s">
        <v>4587</v>
      </c>
      <c r="I4546" s="9">
        <v>1454400</v>
      </c>
      <c r="J4546" s="10">
        <v>0.0394</v>
      </c>
    </row>
    <row r="4547" spans="1:10">
      <c r="A4547" s="7" t="s">
        <v>4581</v>
      </c>
      <c r="B4547" s="7" t="s">
        <v>6414</v>
      </c>
      <c r="C4547" s="8">
        <f>QS.CONTEXT.CREATE("market.4545",A4547,"USD","SOFR")</f>
        <v/>
      </c>
      <c r="D4547" s="8">
        <f>QS.CONTEXT.ADD.CURVE(C4547,"SOFR",$K$2:$K$7,$L$2:$L$7,,,"Actual360","LogLinear",TRUE)</f>
        <v/>
      </c>
      <c r="E4547" s="8">
        <f>QS.INSTRUMENT.SWAP("swap.4545",C4547,H4547,B4547,"USD","SOFR",I4547,J4547,0,"Actual360","Simple","Annual","Annual","Annual")</f>
        <v/>
      </c>
      <c r="F4547" s="8">
        <f>QS.TRADE.CREATE("trade.4545",C4547,E4547,A4547,"Receive")</f>
        <v/>
      </c>
      <c r="G4547" s="5"/>
      <c r="H4547" s="7" t="s">
        <v>4588</v>
      </c>
      <c r="I4547" s="9">
        <v>1454500</v>
      </c>
      <c r="J4547" s="10">
        <v>0.03950000000000001</v>
      </c>
    </row>
    <row r="4548" spans="1:10">
      <c r="A4548" s="7" t="s">
        <v>4582</v>
      </c>
      <c r="B4548" s="7" t="s">
        <v>6415</v>
      </c>
      <c r="C4548" s="8">
        <f>QS.CONTEXT.CREATE("market.4546",A4548,"USD","SOFR")</f>
        <v/>
      </c>
      <c r="D4548" s="8">
        <f>QS.CONTEXT.ADD.CURVE(C4548,"SOFR",$K$2:$K$7,$L$2:$L$7,,,"Actual360","LogLinear",TRUE)</f>
        <v/>
      </c>
      <c r="E4548" s="8">
        <f>QS.INSTRUMENT.SWAP("swap.4546",C4548,H4548,B4548,"USD","SOFR",I4548,J4548,0,"Actual360","Simple","Annual","Annual","Annual")</f>
        <v/>
      </c>
      <c r="F4548" s="8">
        <f>QS.TRADE.CREATE("trade.4546",C4548,E4548,A4548,"Receive")</f>
        <v/>
      </c>
      <c r="G4548" s="5"/>
      <c r="H4548" s="7" t="s">
        <v>4589</v>
      </c>
      <c r="I4548" s="9">
        <v>1454600</v>
      </c>
      <c r="J4548" s="10">
        <v>0.0396</v>
      </c>
    </row>
    <row r="4549" spans="1:10">
      <c r="A4549" s="7" t="s">
        <v>4583</v>
      </c>
      <c r="B4549" s="7" t="s">
        <v>6416</v>
      </c>
      <c r="C4549" s="8">
        <f>QS.CONTEXT.CREATE("market.4547",A4549,"USD","SOFR")</f>
        <v/>
      </c>
      <c r="D4549" s="8">
        <f>QS.CONTEXT.ADD.CURVE(C4549,"SOFR",$K$2:$K$7,$L$2:$L$7,,,"Actual360","LogLinear",TRUE)</f>
        <v/>
      </c>
      <c r="E4549" s="8">
        <f>QS.INSTRUMENT.SWAP("swap.4547",C4549,H4549,B4549,"USD","SOFR",I4549,J4549,0,"Actual360","Simple","Annual","Annual","Annual")</f>
        <v/>
      </c>
      <c r="F4549" s="8">
        <f>QS.TRADE.CREATE("trade.4547",C4549,E4549,A4549,"Receive")</f>
        <v/>
      </c>
      <c r="G4549" s="5"/>
      <c r="H4549" s="7" t="s">
        <v>4590</v>
      </c>
      <c r="I4549" s="9">
        <v>1454700</v>
      </c>
      <c r="J4549" s="10">
        <v>0.03970000000000001</v>
      </c>
    </row>
    <row r="4550" spans="1:10">
      <c r="A4550" s="7" t="s">
        <v>4584</v>
      </c>
      <c r="B4550" s="7" t="s">
        <v>6417</v>
      </c>
      <c r="C4550" s="8">
        <f>QS.CONTEXT.CREATE("market.4548",A4550,"USD","SOFR")</f>
        <v/>
      </c>
      <c r="D4550" s="8">
        <f>QS.CONTEXT.ADD.CURVE(C4550,"SOFR",$K$2:$K$7,$L$2:$L$7,,,"Actual360","LogLinear",TRUE)</f>
        <v/>
      </c>
      <c r="E4550" s="8">
        <f>QS.INSTRUMENT.SWAP("swap.4548",C4550,H4550,B4550,"USD","SOFR",I4550,J4550,0,"Actual360","Simple","Annual","Annual","Annual")</f>
        <v/>
      </c>
      <c r="F4550" s="8">
        <f>QS.TRADE.CREATE("trade.4548",C4550,E4550,A4550,"Receive")</f>
        <v/>
      </c>
      <c r="G4550" s="5"/>
      <c r="H4550" s="7" t="s">
        <v>4591</v>
      </c>
      <c r="I4550" s="9">
        <v>1454800</v>
      </c>
      <c r="J4550" s="10">
        <v>0.0398</v>
      </c>
    </row>
    <row r="4551" spans="1:10">
      <c r="A4551" s="7" t="s">
        <v>4585</v>
      </c>
      <c r="B4551" s="7" t="s">
        <v>6418</v>
      </c>
      <c r="C4551" s="8">
        <f>QS.CONTEXT.CREATE("market.4549",A4551,"USD","SOFR")</f>
        <v/>
      </c>
      <c r="D4551" s="8">
        <f>QS.CONTEXT.ADD.CURVE(C4551,"SOFR",$K$2:$K$7,$L$2:$L$7,,,"Actual360","LogLinear",TRUE)</f>
        <v/>
      </c>
      <c r="E4551" s="8">
        <f>QS.INSTRUMENT.SWAP("swap.4549",C4551,H4551,B4551,"USD","SOFR",I4551,J4551,0,"Actual360","Simple","Annual","Annual","Annual")</f>
        <v/>
      </c>
      <c r="F4551" s="8">
        <f>QS.TRADE.CREATE("trade.4549",C4551,E4551,A4551,"Receive")</f>
        <v/>
      </c>
      <c r="G4551" s="5"/>
      <c r="H4551" s="7" t="s">
        <v>4592</v>
      </c>
      <c r="I4551" s="9">
        <v>1454900</v>
      </c>
      <c r="J4551" s="10">
        <v>0.0399</v>
      </c>
    </row>
    <row r="4552" spans="1:10">
      <c r="A4552" s="7" t="s">
        <v>4586</v>
      </c>
      <c r="B4552" s="7" t="s">
        <v>6419</v>
      </c>
      <c r="C4552" s="8">
        <f>QS.CONTEXT.CREATE("market.4550",A4552,"USD","SOFR")</f>
        <v/>
      </c>
      <c r="D4552" s="8">
        <f>QS.CONTEXT.ADD.CURVE(C4552,"SOFR",$K$2:$K$7,$L$2:$L$7,,,"Actual360","LogLinear",TRUE)</f>
        <v/>
      </c>
      <c r="E4552" s="8">
        <f>QS.INSTRUMENT.SWAP("swap.4550",C4552,H4552,B4552,"USD","SOFR",I4552,J4552,0,"Actual360","Simple","Annual","Annual","Annual")</f>
        <v/>
      </c>
      <c r="F4552" s="8">
        <f>QS.TRADE.CREATE("trade.4550",C4552,E4552,A4552,"Receive")</f>
        <v/>
      </c>
      <c r="G4552" s="5"/>
      <c r="H4552" s="7" t="s">
        <v>4593</v>
      </c>
      <c r="I4552" s="9">
        <v>1455000</v>
      </c>
      <c r="J4552" s="10">
        <v>0.035</v>
      </c>
    </row>
    <row r="4553" spans="1:10">
      <c r="A4553" s="7" t="s">
        <v>4587</v>
      </c>
      <c r="B4553" s="7" t="s">
        <v>6420</v>
      </c>
      <c r="C4553" s="8">
        <f>QS.CONTEXT.CREATE("market.4551",A4553,"USD","SOFR")</f>
        <v/>
      </c>
      <c r="D4553" s="8">
        <f>QS.CONTEXT.ADD.CURVE(C4553,"SOFR",$K$2:$K$7,$L$2:$L$7,,,"Actual360","LogLinear",TRUE)</f>
        <v/>
      </c>
      <c r="E4553" s="8">
        <f>QS.INSTRUMENT.SWAP("swap.4551",C4553,H4553,B4553,"USD","SOFR",I4553,J4553,0,"Actual360","Simple","Annual","Annual","Annual")</f>
        <v/>
      </c>
      <c r="F4553" s="8">
        <f>QS.TRADE.CREATE("trade.4551",C4553,E4553,A4553,"Receive")</f>
        <v/>
      </c>
      <c r="G4553" s="5"/>
      <c r="H4553" s="7" t="s">
        <v>4594</v>
      </c>
      <c r="I4553" s="9">
        <v>1455100</v>
      </c>
      <c r="J4553" s="10">
        <v>0.03510000000000001</v>
      </c>
    </row>
    <row r="4554" spans="1:10">
      <c r="A4554" s="7" t="s">
        <v>4588</v>
      </c>
      <c r="B4554" s="7" t="s">
        <v>6421</v>
      </c>
      <c r="C4554" s="8">
        <f>QS.CONTEXT.CREATE("market.4552",A4554,"USD","SOFR")</f>
        <v/>
      </c>
      <c r="D4554" s="8">
        <f>QS.CONTEXT.ADD.CURVE(C4554,"SOFR",$K$2:$K$7,$L$2:$L$7,,,"Actual360","LogLinear",TRUE)</f>
        <v/>
      </c>
      <c r="E4554" s="8">
        <f>QS.INSTRUMENT.SWAP("swap.4552",C4554,H4554,B4554,"USD","SOFR",I4554,J4554,0,"Actual360","Simple","Annual","Annual","Annual")</f>
        <v/>
      </c>
      <c r="F4554" s="8">
        <f>QS.TRADE.CREATE("trade.4552",C4554,E4554,A4554,"Receive")</f>
        <v/>
      </c>
      <c r="G4554" s="5"/>
      <c r="H4554" s="7" t="s">
        <v>4595</v>
      </c>
      <c r="I4554" s="9">
        <v>1455200</v>
      </c>
      <c r="J4554" s="10">
        <v>0.0352</v>
      </c>
    </row>
    <row r="4555" spans="1:10">
      <c r="A4555" s="7" t="s">
        <v>4589</v>
      </c>
      <c r="B4555" s="7" t="s">
        <v>6422</v>
      </c>
      <c r="C4555" s="8">
        <f>QS.CONTEXT.CREATE("market.4553",A4555,"USD","SOFR")</f>
        <v/>
      </c>
      <c r="D4555" s="8">
        <f>QS.CONTEXT.ADD.CURVE(C4555,"SOFR",$K$2:$K$7,$L$2:$L$7,,,"Actual360","LogLinear",TRUE)</f>
        <v/>
      </c>
      <c r="E4555" s="8">
        <f>QS.INSTRUMENT.SWAP("swap.4553",C4555,H4555,B4555,"USD","SOFR",I4555,J4555,0,"Actual360","Simple","Annual","Annual","Annual")</f>
        <v/>
      </c>
      <c r="F4555" s="8">
        <f>QS.TRADE.CREATE("trade.4553",C4555,E4555,A4555,"Receive")</f>
        <v/>
      </c>
      <c r="G4555" s="5"/>
      <c r="H4555" s="7" t="s">
        <v>4596</v>
      </c>
      <c r="I4555" s="9">
        <v>1455300</v>
      </c>
      <c r="J4555" s="10">
        <v>0.0353</v>
      </c>
    </row>
    <row r="4556" spans="1:10">
      <c r="A4556" s="7" t="s">
        <v>4590</v>
      </c>
      <c r="B4556" s="7" t="s">
        <v>6423</v>
      </c>
      <c r="C4556" s="8">
        <f>QS.CONTEXT.CREATE("market.4554",A4556,"USD","SOFR")</f>
        <v/>
      </c>
      <c r="D4556" s="8">
        <f>QS.CONTEXT.ADD.CURVE(C4556,"SOFR",$K$2:$K$7,$L$2:$L$7,,,"Actual360","LogLinear",TRUE)</f>
        <v/>
      </c>
      <c r="E4556" s="8">
        <f>QS.INSTRUMENT.SWAP("swap.4554",C4556,H4556,B4556,"USD","SOFR",I4556,J4556,0,"Actual360","Simple","Annual","Annual","Annual")</f>
        <v/>
      </c>
      <c r="F4556" s="8">
        <f>QS.TRADE.CREATE("trade.4554",C4556,E4556,A4556,"Receive")</f>
        <v/>
      </c>
      <c r="G4556" s="5"/>
      <c r="H4556" s="7" t="s">
        <v>4597</v>
      </c>
      <c r="I4556" s="9">
        <v>1455400</v>
      </c>
      <c r="J4556" s="10">
        <v>0.0354</v>
      </c>
    </row>
    <row r="4557" spans="1:10">
      <c r="A4557" s="7" t="s">
        <v>4591</v>
      </c>
      <c r="B4557" s="7" t="s">
        <v>6424</v>
      </c>
      <c r="C4557" s="8">
        <f>QS.CONTEXT.CREATE("market.4555",A4557,"USD","SOFR")</f>
        <v/>
      </c>
      <c r="D4557" s="8">
        <f>QS.CONTEXT.ADD.CURVE(C4557,"SOFR",$K$2:$K$7,$L$2:$L$7,,,"Actual360","LogLinear",TRUE)</f>
        <v/>
      </c>
      <c r="E4557" s="8">
        <f>QS.INSTRUMENT.SWAP("swap.4555",C4557,H4557,B4557,"USD","SOFR",I4557,J4557,0,"Actual360","Simple","Annual","Annual","Annual")</f>
        <v/>
      </c>
      <c r="F4557" s="8">
        <f>QS.TRADE.CREATE("trade.4555",C4557,E4557,A4557,"Receive")</f>
        <v/>
      </c>
      <c r="G4557" s="5"/>
      <c r="H4557" s="7" t="s">
        <v>4598</v>
      </c>
      <c r="I4557" s="9">
        <v>1455500</v>
      </c>
      <c r="J4557" s="10">
        <v>0.0355</v>
      </c>
    </row>
    <row r="4558" spans="1:10">
      <c r="A4558" s="7" t="s">
        <v>4592</v>
      </c>
      <c r="B4558" s="7" t="s">
        <v>6425</v>
      </c>
      <c r="C4558" s="8">
        <f>QS.CONTEXT.CREATE("market.4556",A4558,"USD","SOFR")</f>
        <v/>
      </c>
      <c r="D4558" s="8">
        <f>QS.CONTEXT.ADD.CURVE(C4558,"SOFR",$K$2:$K$7,$L$2:$L$7,,,"Actual360","LogLinear",TRUE)</f>
        <v/>
      </c>
      <c r="E4558" s="8">
        <f>QS.INSTRUMENT.SWAP("swap.4556",C4558,H4558,B4558,"USD","SOFR",I4558,J4558,0,"Actual360","Simple","Annual","Annual","Annual")</f>
        <v/>
      </c>
      <c r="F4558" s="8">
        <f>QS.TRADE.CREATE("trade.4556",C4558,E4558,A4558,"Receive")</f>
        <v/>
      </c>
      <c r="G4558" s="5"/>
      <c r="H4558" s="7" t="s">
        <v>4599</v>
      </c>
      <c r="I4558" s="9">
        <v>1455600</v>
      </c>
      <c r="J4558" s="10">
        <v>0.03560000000000001</v>
      </c>
    </row>
    <row r="4559" spans="1:10">
      <c r="A4559" s="7" t="s">
        <v>4593</v>
      </c>
      <c r="B4559" s="7" t="s">
        <v>6426</v>
      </c>
      <c r="C4559" s="8">
        <f>QS.CONTEXT.CREATE("market.4557",A4559,"USD","SOFR")</f>
        <v/>
      </c>
      <c r="D4559" s="8">
        <f>QS.CONTEXT.ADD.CURVE(C4559,"SOFR",$K$2:$K$7,$L$2:$L$7,,,"Actual360","LogLinear",TRUE)</f>
        <v/>
      </c>
      <c r="E4559" s="8">
        <f>QS.INSTRUMENT.SWAP("swap.4557",C4559,H4559,B4559,"USD","SOFR",I4559,J4559,0,"Actual360","Simple","Annual","Annual","Annual")</f>
        <v/>
      </c>
      <c r="F4559" s="8">
        <f>QS.TRADE.CREATE("trade.4557",C4559,E4559,A4559,"Receive")</f>
        <v/>
      </c>
      <c r="G4559" s="5"/>
      <c r="H4559" s="7" t="s">
        <v>4600</v>
      </c>
      <c r="I4559" s="9">
        <v>1455700</v>
      </c>
      <c r="J4559" s="10">
        <v>0.0357</v>
      </c>
    </row>
    <row r="4560" spans="1:10">
      <c r="A4560" s="7" t="s">
        <v>4594</v>
      </c>
      <c r="B4560" s="7" t="s">
        <v>6427</v>
      </c>
      <c r="C4560" s="8">
        <f>QS.CONTEXT.CREATE("market.4558",A4560,"USD","SOFR")</f>
        <v/>
      </c>
      <c r="D4560" s="8">
        <f>QS.CONTEXT.ADD.CURVE(C4560,"SOFR",$K$2:$K$7,$L$2:$L$7,,,"Actual360","LogLinear",TRUE)</f>
        <v/>
      </c>
      <c r="E4560" s="8">
        <f>QS.INSTRUMENT.SWAP("swap.4558",C4560,H4560,B4560,"USD","SOFR",I4560,J4560,0,"Actual360","Simple","Annual","Annual","Annual")</f>
        <v/>
      </c>
      <c r="F4560" s="8">
        <f>QS.TRADE.CREATE("trade.4558",C4560,E4560,A4560,"Receive")</f>
        <v/>
      </c>
      <c r="G4560" s="5"/>
      <c r="H4560" s="7" t="s">
        <v>4601</v>
      </c>
      <c r="I4560" s="9">
        <v>1455800</v>
      </c>
      <c r="J4560" s="10">
        <v>0.03580000000000001</v>
      </c>
    </row>
    <row r="4561" spans="1:10">
      <c r="A4561" s="7" t="s">
        <v>4595</v>
      </c>
      <c r="B4561" s="7" t="s">
        <v>6428</v>
      </c>
      <c r="C4561" s="8">
        <f>QS.CONTEXT.CREATE("market.4559",A4561,"USD","SOFR")</f>
        <v/>
      </c>
      <c r="D4561" s="8">
        <f>QS.CONTEXT.ADD.CURVE(C4561,"SOFR",$K$2:$K$7,$L$2:$L$7,,,"Actual360","LogLinear",TRUE)</f>
        <v/>
      </c>
      <c r="E4561" s="8">
        <f>QS.INSTRUMENT.SWAP("swap.4559",C4561,H4561,B4561,"USD","SOFR",I4561,J4561,0,"Actual360","Simple","Annual","Annual","Annual")</f>
        <v/>
      </c>
      <c r="F4561" s="8">
        <f>QS.TRADE.CREATE("trade.4559",C4561,E4561,A4561,"Receive")</f>
        <v/>
      </c>
      <c r="G4561" s="5"/>
      <c r="H4561" s="7" t="s">
        <v>4602</v>
      </c>
      <c r="I4561" s="9">
        <v>1455900</v>
      </c>
      <c r="J4561" s="10">
        <v>0.0359</v>
      </c>
    </row>
    <row r="4562" spans="1:10">
      <c r="A4562" s="7" t="s">
        <v>4596</v>
      </c>
      <c r="B4562" s="7" t="s">
        <v>6429</v>
      </c>
      <c r="C4562" s="8">
        <f>QS.CONTEXT.CREATE("market.4560",A4562,"USD","SOFR")</f>
        <v/>
      </c>
      <c r="D4562" s="8">
        <f>QS.CONTEXT.ADD.CURVE(C4562,"SOFR",$K$2:$K$7,$L$2:$L$7,,,"Actual360","LogLinear",TRUE)</f>
        <v/>
      </c>
      <c r="E4562" s="8">
        <f>QS.INSTRUMENT.SWAP("swap.4560",C4562,H4562,B4562,"USD","SOFR",I4562,J4562,0,"Actual360","Simple","Annual","Annual","Annual")</f>
        <v/>
      </c>
      <c r="F4562" s="8">
        <f>QS.TRADE.CREATE("trade.4560",C4562,E4562,A4562,"Receive")</f>
        <v/>
      </c>
      <c r="G4562" s="5"/>
      <c r="H4562" s="7" t="s">
        <v>4603</v>
      </c>
      <c r="I4562" s="9">
        <v>1456000</v>
      </c>
      <c r="J4562" s="10">
        <v>0.036</v>
      </c>
    </row>
    <row r="4563" spans="1:10">
      <c r="A4563" s="7" t="s">
        <v>4597</v>
      </c>
      <c r="B4563" s="7" t="s">
        <v>6430</v>
      </c>
      <c r="C4563" s="8">
        <f>QS.CONTEXT.CREATE("market.4561",A4563,"USD","SOFR")</f>
        <v/>
      </c>
      <c r="D4563" s="8">
        <f>QS.CONTEXT.ADD.CURVE(C4563,"SOFR",$K$2:$K$7,$L$2:$L$7,,,"Actual360","LogLinear",TRUE)</f>
        <v/>
      </c>
      <c r="E4563" s="8">
        <f>QS.INSTRUMENT.SWAP("swap.4561",C4563,H4563,B4563,"USD","SOFR",I4563,J4563,0,"Actual360","Simple","Annual","Annual","Annual")</f>
        <v/>
      </c>
      <c r="F4563" s="8">
        <f>QS.TRADE.CREATE("trade.4561",C4563,E4563,A4563,"Receive")</f>
        <v/>
      </c>
      <c r="G4563" s="5"/>
      <c r="H4563" s="7" t="s">
        <v>4604</v>
      </c>
      <c r="I4563" s="9">
        <v>1456100</v>
      </c>
      <c r="J4563" s="10">
        <v>0.0361</v>
      </c>
    </row>
    <row r="4564" spans="1:10">
      <c r="A4564" s="7" t="s">
        <v>4598</v>
      </c>
      <c r="B4564" s="7" t="s">
        <v>6431</v>
      </c>
      <c r="C4564" s="8">
        <f>QS.CONTEXT.CREATE("market.4562",A4564,"USD","SOFR")</f>
        <v/>
      </c>
      <c r="D4564" s="8">
        <f>QS.CONTEXT.ADD.CURVE(C4564,"SOFR",$K$2:$K$7,$L$2:$L$7,,,"Actual360","LogLinear",TRUE)</f>
        <v/>
      </c>
      <c r="E4564" s="8">
        <f>QS.INSTRUMENT.SWAP("swap.4562",C4564,H4564,B4564,"USD","SOFR",I4564,J4564,0,"Actual360","Simple","Annual","Annual","Annual")</f>
        <v/>
      </c>
      <c r="F4564" s="8">
        <f>QS.TRADE.CREATE("trade.4562",C4564,E4564,A4564,"Receive")</f>
        <v/>
      </c>
      <c r="G4564" s="5"/>
      <c r="H4564" s="7" t="s">
        <v>4605</v>
      </c>
      <c r="I4564" s="9">
        <v>1456200</v>
      </c>
      <c r="J4564" s="10">
        <v>0.0362</v>
      </c>
    </row>
    <row r="4565" spans="1:10">
      <c r="A4565" s="7" t="s">
        <v>4599</v>
      </c>
      <c r="B4565" s="7" t="s">
        <v>6432</v>
      </c>
      <c r="C4565" s="8">
        <f>QS.CONTEXT.CREATE("market.4563",A4565,"USD","SOFR")</f>
        <v/>
      </c>
      <c r="D4565" s="8">
        <f>QS.CONTEXT.ADD.CURVE(C4565,"SOFR",$K$2:$K$7,$L$2:$L$7,,,"Actual360","LogLinear",TRUE)</f>
        <v/>
      </c>
      <c r="E4565" s="8">
        <f>QS.INSTRUMENT.SWAP("swap.4563",C4565,H4565,B4565,"USD","SOFR",I4565,J4565,0,"Actual360","Simple","Annual","Annual","Annual")</f>
        <v/>
      </c>
      <c r="F4565" s="8">
        <f>QS.TRADE.CREATE("trade.4563",C4565,E4565,A4565,"Receive")</f>
        <v/>
      </c>
      <c r="G4565" s="5"/>
      <c r="H4565" s="7" t="s">
        <v>4606</v>
      </c>
      <c r="I4565" s="9">
        <v>1456300</v>
      </c>
      <c r="J4565" s="10">
        <v>0.03630000000000001</v>
      </c>
    </row>
    <row r="4566" spans="1:10">
      <c r="A4566" s="7" t="s">
        <v>4600</v>
      </c>
      <c r="B4566" s="7" t="s">
        <v>6433</v>
      </c>
      <c r="C4566" s="8">
        <f>QS.CONTEXT.CREATE("market.4564",A4566,"USD","SOFR")</f>
        <v/>
      </c>
      <c r="D4566" s="8">
        <f>QS.CONTEXT.ADD.CURVE(C4566,"SOFR",$K$2:$K$7,$L$2:$L$7,,,"Actual360","LogLinear",TRUE)</f>
        <v/>
      </c>
      <c r="E4566" s="8">
        <f>QS.INSTRUMENT.SWAP("swap.4564",C4566,H4566,B4566,"USD","SOFR",I4566,J4566,0,"Actual360","Simple","Annual","Annual","Annual")</f>
        <v/>
      </c>
      <c r="F4566" s="8">
        <f>QS.TRADE.CREATE("trade.4564",C4566,E4566,A4566,"Receive")</f>
        <v/>
      </c>
      <c r="G4566" s="5"/>
      <c r="H4566" s="7" t="s">
        <v>4607</v>
      </c>
      <c r="I4566" s="9">
        <v>1456400</v>
      </c>
      <c r="J4566" s="10">
        <v>0.0364</v>
      </c>
    </row>
    <row r="4567" spans="1:10">
      <c r="A4567" s="7" t="s">
        <v>4601</v>
      </c>
      <c r="B4567" s="7" t="s">
        <v>6434</v>
      </c>
      <c r="C4567" s="8">
        <f>QS.CONTEXT.CREATE("market.4565",A4567,"USD","SOFR")</f>
        <v/>
      </c>
      <c r="D4567" s="8">
        <f>QS.CONTEXT.ADD.CURVE(C4567,"SOFR",$K$2:$K$7,$L$2:$L$7,,,"Actual360","LogLinear",TRUE)</f>
        <v/>
      </c>
      <c r="E4567" s="8">
        <f>QS.INSTRUMENT.SWAP("swap.4565",C4567,H4567,B4567,"USD","SOFR",I4567,J4567,0,"Actual360","Simple","Annual","Annual","Annual")</f>
        <v/>
      </c>
      <c r="F4567" s="8">
        <f>QS.TRADE.CREATE("trade.4565",C4567,E4567,A4567,"Receive")</f>
        <v/>
      </c>
      <c r="G4567" s="5"/>
      <c r="H4567" s="7" t="s">
        <v>4608</v>
      </c>
      <c r="I4567" s="9">
        <v>1456500</v>
      </c>
      <c r="J4567" s="10">
        <v>0.0365</v>
      </c>
    </row>
    <row r="4568" spans="1:10">
      <c r="A4568" s="7" t="s">
        <v>4602</v>
      </c>
      <c r="B4568" s="7" t="s">
        <v>6435</v>
      </c>
      <c r="C4568" s="8">
        <f>QS.CONTEXT.CREATE("market.4566",A4568,"USD","SOFR")</f>
        <v/>
      </c>
      <c r="D4568" s="8">
        <f>QS.CONTEXT.ADD.CURVE(C4568,"SOFR",$K$2:$K$7,$L$2:$L$7,,,"Actual360","LogLinear",TRUE)</f>
        <v/>
      </c>
      <c r="E4568" s="8">
        <f>QS.INSTRUMENT.SWAP("swap.4566",C4568,H4568,B4568,"USD","SOFR",I4568,J4568,0,"Actual360","Simple","Annual","Annual","Annual")</f>
        <v/>
      </c>
      <c r="F4568" s="8">
        <f>QS.TRADE.CREATE("trade.4566",C4568,E4568,A4568,"Receive")</f>
        <v/>
      </c>
      <c r="G4568" s="5"/>
      <c r="H4568" s="7" t="s">
        <v>4609</v>
      </c>
      <c r="I4568" s="9">
        <v>1456600</v>
      </c>
      <c r="J4568" s="10">
        <v>0.0366</v>
      </c>
    </row>
    <row r="4569" spans="1:10">
      <c r="A4569" s="7" t="s">
        <v>4603</v>
      </c>
      <c r="B4569" s="7" t="s">
        <v>6436</v>
      </c>
      <c r="C4569" s="8">
        <f>QS.CONTEXT.CREATE("market.4567",A4569,"USD","SOFR")</f>
        <v/>
      </c>
      <c r="D4569" s="8">
        <f>QS.CONTEXT.ADD.CURVE(C4569,"SOFR",$K$2:$K$7,$L$2:$L$7,,,"Actual360","LogLinear",TRUE)</f>
        <v/>
      </c>
      <c r="E4569" s="8">
        <f>QS.INSTRUMENT.SWAP("swap.4567",C4569,H4569,B4569,"USD","SOFR",I4569,J4569,0,"Actual360","Simple","Annual","Annual","Annual")</f>
        <v/>
      </c>
      <c r="F4569" s="8">
        <f>QS.TRADE.CREATE("trade.4567",C4569,E4569,A4569,"Receive")</f>
        <v/>
      </c>
      <c r="G4569" s="5"/>
      <c r="H4569" s="7" t="s">
        <v>4610</v>
      </c>
      <c r="I4569" s="9">
        <v>1456700</v>
      </c>
      <c r="J4569" s="10">
        <v>0.0367</v>
      </c>
    </row>
    <row r="4570" spans="1:10">
      <c r="A4570" s="7" t="s">
        <v>4604</v>
      </c>
      <c r="B4570" s="7" t="s">
        <v>6437</v>
      </c>
      <c r="C4570" s="8">
        <f>QS.CONTEXT.CREATE("market.4568",A4570,"USD","SOFR")</f>
        <v/>
      </c>
      <c r="D4570" s="8">
        <f>QS.CONTEXT.ADD.CURVE(C4570,"SOFR",$K$2:$K$7,$L$2:$L$7,,,"Actual360","LogLinear",TRUE)</f>
        <v/>
      </c>
      <c r="E4570" s="8">
        <f>QS.INSTRUMENT.SWAP("swap.4568",C4570,H4570,B4570,"USD","SOFR",I4570,J4570,0,"Actual360","Simple","Annual","Annual","Annual")</f>
        <v/>
      </c>
      <c r="F4570" s="8">
        <f>QS.TRADE.CREATE("trade.4568",C4570,E4570,A4570,"Receive")</f>
        <v/>
      </c>
      <c r="G4570" s="5"/>
      <c r="H4570" s="7" t="s">
        <v>4611</v>
      </c>
      <c r="I4570" s="9">
        <v>1456800</v>
      </c>
      <c r="J4570" s="10">
        <v>0.03680000000000001</v>
      </c>
    </row>
    <row r="4571" spans="1:10">
      <c r="A4571" s="7" t="s">
        <v>4605</v>
      </c>
      <c r="B4571" s="7" t="s">
        <v>6438</v>
      </c>
      <c r="C4571" s="8">
        <f>QS.CONTEXT.CREATE("market.4569",A4571,"USD","SOFR")</f>
        <v/>
      </c>
      <c r="D4571" s="8">
        <f>QS.CONTEXT.ADD.CURVE(C4571,"SOFR",$K$2:$K$7,$L$2:$L$7,,,"Actual360","LogLinear",TRUE)</f>
        <v/>
      </c>
      <c r="E4571" s="8">
        <f>QS.INSTRUMENT.SWAP("swap.4569",C4571,H4571,B4571,"USD","SOFR",I4571,J4571,0,"Actual360","Simple","Annual","Annual","Annual")</f>
        <v/>
      </c>
      <c r="F4571" s="8">
        <f>QS.TRADE.CREATE("trade.4569",C4571,E4571,A4571,"Receive")</f>
        <v/>
      </c>
      <c r="G4571" s="5"/>
      <c r="H4571" s="7" t="s">
        <v>4612</v>
      </c>
      <c r="I4571" s="9">
        <v>1456900</v>
      </c>
      <c r="J4571" s="10">
        <v>0.0369</v>
      </c>
    </row>
    <row r="4572" spans="1:10">
      <c r="A4572" s="7" t="s">
        <v>4606</v>
      </c>
      <c r="B4572" s="7" t="s">
        <v>6439</v>
      </c>
      <c r="C4572" s="8">
        <f>QS.CONTEXT.CREATE("market.4570",A4572,"USD","SOFR")</f>
        <v/>
      </c>
      <c r="D4572" s="8">
        <f>QS.CONTEXT.ADD.CURVE(C4572,"SOFR",$K$2:$K$7,$L$2:$L$7,,,"Actual360","LogLinear",TRUE)</f>
        <v/>
      </c>
      <c r="E4572" s="8">
        <f>QS.INSTRUMENT.SWAP("swap.4570",C4572,H4572,B4572,"USD","SOFR",I4572,J4572,0,"Actual360","Simple","Annual","Annual","Annual")</f>
        <v/>
      </c>
      <c r="F4572" s="8">
        <f>QS.TRADE.CREATE("trade.4570",C4572,E4572,A4572,"Receive")</f>
        <v/>
      </c>
      <c r="G4572" s="5"/>
      <c r="H4572" s="7" t="s">
        <v>4613</v>
      </c>
      <c r="I4572" s="9">
        <v>1457000</v>
      </c>
      <c r="J4572" s="10">
        <v>0.03700000000000001</v>
      </c>
    </row>
    <row r="4573" spans="1:10">
      <c r="A4573" s="7" t="s">
        <v>4607</v>
      </c>
      <c r="B4573" s="7" t="s">
        <v>6440</v>
      </c>
      <c r="C4573" s="8">
        <f>QS.CONTEXT.CREATE("market.4571",A4573,"USD","SOFR")</f>
        <v/>
      </c>
      <c r="D4573" s="8">
        <f>QS.CONTEXT.ADD.CURVE(C4573,"SOFR",$K$2:$K$7,$L$2:$L$7,,,"Actual360","LogLinear",TRUE)</f>
        <v/>
      </c>
      <c r="E4573" s="8">
        <f>QS.INSTRUMENT.SWAP("swap.4571",C4573,H4573,B4573,"USD","SOFR",I4573,J4573,0,"Actual360","Simple","Annual","Annual","Annual")</f>
        <v/>
      </c>
      <c r="F4573" s="8">
        <f>QS.TRADE.CREATE("trade.4571",C4573,E4573,A4573,"Receive")</f>
        <v/>
      </c>
      <c r="G4573" s="5"/>
      <c r="H4573" s="7" t="s">
        <v>4614</v>
      </c>
      <c r="I4573" s="9">
        <v>1457100</v>
      </c>
      <c r="J4573" s="10">
        <v>0.0371</v>
      </c>
    </row>
    <row r="4574" spans="1:10">
      <c r="A4574" s="7" t="s">
        <v>4608</v>
      </c>
      <c r="B4574" s="7" t="s">
        <v>6441</v>
      </c>
      <c r="C4574" s="8">
        <f>QS.CONTEXT.CREATE("market.4572",A4574,"USD","SOFR")</f>
        <v/>
      </c>
      <c r="D4574" s="8">
        <f>QS.CONTEXT.ADD.CURVE(C4574,"SOFR",$K$2:$K$7,$L$2:$L$7,,,"Actual360","LogLinear",TRUE)</f>
        <v/>
      </c>
      <c r="E4574" s="8">
        <f>QS.INSTRUMENT.SWAP("swap.4572",C4574,H4574,B4574,"USD","SOFR",I4574,J4574,0,"Actual360","Simple","Annual","Annual","Annual")</f>
        <v/>
      </c>
      <c r="F4574" s="8">
        <f>QS.TRADE.CREATE("trade.4572",C4574,E4574,A4574,"Receive")</f>
        <v/>
      </c>
      <c r="G4574" s="5"/>
      <c r="H4574" s="7" t="s">
        <v>4615</v>
      </c>
      <c r="I4574" s="9">
        <v>1457200</v>
      </c>
      <c r="J4574" s="10">
        <v>0.0372</v>
      </c>
    </row>
    <row r="4575" spans="1:10">
      <c r="A4575" s="7" t="s">
        <v>4609</v>
      </c>
      <c r="B4575" s="7" t="s">
        <v>6442</v>
      </c>
      <c r="C4575" s="8">
        <f>QS.CONTEXT.CREATE("market.4573",A4575,"USD","SOFR")</f>
        <v/>
      </c>
      <c r="D4575" s="8">
        <f>QS.CONTEXT.ADD.CURVE(C4575,"SOFR",$K$2:$K$7,$L$2:$L$7,,,"Actual360","LogLinear",TRUE)</f>
        <v/>
      </c>
      <c r="E4575" s="8">
        <f>QS.INSTRUMENT.SWAP("swap.4573",C4575,H4575,B4575,"USD","SOFR",I4575,J4575,0,"Actual360","Simple","Annual","Annual","Annual")</f>
        <v/>
      </c>
      <c r="F4575" s="8">
        <f>QS.TRADE.CREATE("trade.4573",C4575,E4575,A4575,"Receive")</f>
        <v/>
      </c>
      <c r="G4575" s="5"/>
      <c r="H4575" s="7" t="s">
        <v>4616</v>
      </c>
      <c r="I4575" s="9">
        <v>1457300</v>
      </c>
      <c r="J4575" s="10">
        <v>0.0373</v>
      </c>
    </row>
    <row r="4576" spans="1:10">
      <c r="A4576" s="7" t="s">
        <v>4610</v>
      </c>
      <c r="B4576" s="7" t="s">
        <v>6443</v>
      </c>
      <c r="C4576" s="8">
        <f>QS.CONTEXT.CREATE("market.4574",A4576,"USD","SOFR")</f>
        <v/>
      </c>
      <c r="D4576" s="8">
        <f>QS.CONTEXT.ADD.CURVE(C4576,"SOFR",$K$2:$K$7,$L$2:$L$7,,,"Actual360","LogLinear",TRUE)</f>
        <v/>
      </c>
      <c r="E4576" s="8">
        <f>QS.INSTRUMENT.SWAP("swap.4574",C4576,H4576,B4576,"USD","SOFR",I4576,J4576,0,"Actual360","Simple","Annual","Annual","Annual")</f>
        <v/>
      </c>
      <c r="F4576" s="8">
        <f>QS.TRADE.CREATE("trade.4574",C4576,E4576,A4576,"Receive")</f>
        <v/>
      </c>
      <c r="G4576" s="5"/>
      <c r="H4576" s="7" t="s">
        <v>4617</v>
      </c>
      <c r="I4576" s="9">
        <v>1457400</v>
      </c>
      <c r="J4576" s="10">
        <v>0.0374</v>
      </c>
    </row>
    <row r="4577" spans="1:10">
      <c r="A4577" s="7" t="s">
        <v>4611</v>
      </c>
      <c r="B4577" s="7" t="s">
        <v>6444</v>
      </c>
      <c r="C4577" s="8">
        <f>QS.CONTEXT.CREATE("market.4575",A4577,"USD","SOFR")</f>
        <v/>
      </c>
      <c r="D4577" s="8">
        <f>QS.CONTEXT.ADD.CURVE(C4577,"SOFR",$K$2:$K$7,$L$2:$L$7,,,"Actual360","LogLinear",TRUE)</f>
        <v/>
      </c>
      <c r="E4577" s="8">
        <f>QS.INSTRUMENT.SWAP("swap.4575",C4577,H4577,B4577,"USD","SOFR",I4577,J4577,0,"Actual360","Simple","Annual","Annual","Annual")</f>
        <v/>
      </c>
      <c r="F4577" s="8">
        <f>QS.TRADE.CREATE("trade.4575",C4577,E4577,A4577,"Receive")</f>
        <v/>
      </c>
      <c r="G4577" s="5"/>
      <c r="H4577" s="7" t="s">
        <v>4618</v>
      </c>
      <c r="I4577" s="9">
        <v>1457500</v>
      </c>
      <c r="J4577" s="10">
        <v>0.03750000000000001</v>
      </c>
    </row>
    <row r="4578" spans="1:10">
      <c r="A4578" s="7" t="s">
        <v>4612</v>
      </c>
      <c r="B4578" s="7" t="s">
        <v>6445</v>
      </c>
      <c r="C4578" s="8">
        <f>QS.CONTEXT.CREATE("market.4576",A4578,"USD","SOFR")</f>
        <v/>
      </c>
      <c r="D4578" s="8">
        <f>QS.CONTEXT.ADD.CURVE(C4578,"SOFR",$K$2:$K$7,$L$2:$L$7,,,"Actual360","LogLinear",TRUE)</f>
        <v/>
      </c>
      <c r="E4578" s="8">
        <f>QS.INSTRUMENT.SWAP("swap.4576",C4578,H4578,B4578,"USD","SOFR",I4578,J4578,0,"Actual360","Simple","Annual","Annual","Annual")</f>
        <v/>
      </c>
      <c r="F4578" s="8">
        <f>QS.TRADE.CREATE("trade.4576",C4578,E4578,A4578,"Receive")</f>
        <v/>
      </c>
      <c r="G4578" s="5"/>
      <c r="H4578" s="7" t="s">
        <v>4619</v>
      </c>
      <c r="I4578" s="9">
        <v>1457600</v>
      </c>
      <c r="J4578" s="10">
        <v>0.0376</v>
      </c>
    </row>
    <row r="4579" spans="1:10">
      <c r="A4579" s="7" t="s">
        <v>4613</v>
      </c>
      <c r="B4579" s="7" t="s">
        <v>6446</v>
      </c>
      <c r="C4579" s="8">
        <f>QS.CONTEXT.CREATE("market.4577",A4579,"USD","SOFR")</f>
        <v/>
      </c>
      <c r="D4579" s="8">
        <f>QS.CONTEXT.ADD.CURVE(C4579,"SOFR",$K$2:$K$7,$L$2:$L$7,,,"Actual360","LogLinear",TRUE)</f>
        <v/>
      </c>
      <c r="E4579" s="8">
        <f>QS.INSTRUMENT.SWAP("swap.4577",C4579,H4579,B4579,"USD","SOFR",I4579,J4579,0,"Actual360","Simple","Annual","Annual","Annual")</f>
        <v/>
      </c>
      <c r="F4579" s="8">
        <f>QS.TRADE.CREATE("trade.4577",C4579,E4579,A4579,"Receive")</f>
        <v/>
      </c>
      <c r="G4579" s="5"/>
      <c r="H4579" s="7" t="s">
        <v>4620</v>
      </c>
      <c r="I4579" s="9">
        <v>1457700</v>
      </c>
      <c r="J4579" s="10">
        <v>0.0377</v>
      </c>
    </row>
    <row r="4580" spans="1:10">
      <c r="A4580" s="7" t="s">
        <v>4614</v>
      </c>
      <c r="B4580" s="7" t="s">
        <v>6447</v>
      </c>
      <c r="C4580" s="8">
        <f>QS.CONTEXT.CREATE("market.4578",A4580,"USD","SOFR")</f>
        <v/>
      </c>
      <c r="D4580" s="8">
        <f>QS.CONTEXT.ADD.CURVE(C4580,"SOFR",$K$2:$K$7,$L$2:$L$7,,,"Actual360","LogLinear",TRUE)</f>
        <v/>
      </c>
      <c r="E4580" s="8">
        <f>QS.INSTRUMENT.SWAP("swap.4578",C4580,H4580,B4580,"USD","SOFR",I4580,J4580,0,"Actual360","Simple","Annual","Annual","Annual")</f>
        <v/>
      </c>
      <c r="F4580" s="8">
        <f>QS.TRADE.CREATE("trade.4578",C4580,E4580,A4580,"Receive")</f>
        <v/>
      </c>
      <c r="G4580" s="5"/>
      <c r="H4580" s="7" t="s">
        <v>4621</v>
      </c>
      <c r="I4580" s="9">
        <v>1457800</v>
      </c>
      <c r="J4580" s="10">
        <v>0.0378</v>
      </c>
    </row>
    <row r="4581" spans="1:10">
      <c r="A4581" s="7" t="s">
        <v>4615</v>
      </c>
      <c r="B4581" s="7" t="s">
        <v>6448</v>
      </c>
      <c r="C4581" s="8">
        <f>QS.CONTEXT.CREATE("market.4579",A4581,"USD","SOFR")</f>
        <v/>
      </c>
      <c r="D4581" s="8">
        <f>QS.CONTEXT.ADD.CURVE(C4581,"SOFR",$K$2:$K$7,$L$2:$L$7,,,"Actual360","LogLinear",TRUE)</f>
        <v/>
      </c>
      <c r="E4581" s="8">
        <f>QS.INSTRUMENT.SWAP("swap.4579",C4581,H4581,B4581,"USD","SOFR",I4581,J4581,0,"Actual360","Simple","Annual","Annual","Annual")</f>
        <v/>
      </c>
      <c r="F4581" s="8">
        <f>QS.TRADE.CREATE("trade.4579",C4581,E4581,A4581,"Receive")</f>
        <v/>
      </c>
      <c r="G4581" s="5"/>
      <c r="H4581" s="7" t="s">
        <v>4622</v>
      </c>
      <c r="I4581" s="9">
        <v>1457900</v>
      </c>
      <c r="J4581" s="10">
        <v>0.0379</v>
      </c>
    </row>
    <row r="4582" spans="1:10">
      <c r="A4582" s="7" t="s">
        <v>4616</v>
      </c>
      <c r="B4582" s="7" t="s">
        <v>6449</v>
      </c>
      <c r="C4582" s="8">
        <f>QS.CONTEXT.CREATE("market.4580",A4582,"USD","SOFR")</f>
        <v/>
      </c>
      <c r="D4582" s="8">
        <f>QS.CONTEXT.ADD.CURVE(C4582,"SOFR",$K$2:$K$7,$L$2:$L$7,,,"Actual360","LogLinear",TRUE)</f>
        <v/>
      </c>
      <c r="E4582" s="8">
        <f>QS.INSTRUMENT.SWAP("swap.4580",C4582,H4582,B4582,"USD","SOFR",I4582,J4582,0,"Actual360","Simple","Annual","Annual","Annual")</f>
        <v/>
      </c>
      <c r="F4582" s="8">
        <f>QS.TRADE.CREATE("trade.4580",C4582,E4582,A4582,"Receive")</f>
        <v/>
      </c>
      <c r="G4582" s="5"/>
      <c r="H4582" s="7" t="s">
        <v>4623</v>
      </c>
      <c r="I4582" s="9">
        <v>1458000</v>
      </c>
      <c r="J4582" s="10">
        <v>0.03800000000000001</v>
      </c>
    </row>
    <row r="4583" spans="1:10">
      <c r="A4583" s="7" t="s">
        <v>4617</v>
      </c>
      <c r="B4583" s="7" t="s">
        <v>6450</v>
      </c>
      <c r="C4583" s="8">
        <f>QS.CONTEXT.CREATE("market.4581",A4583,"USD","SOFR")</f>
        <v/>
      </c>
      <c r="D4583" s="8">
        <f>QS.CONTEXT.ADD.CURVE(C4583,"SOFR",$K$2:$K$7,$L$2:$L$7,,,"Actual360","LogLinear",TRUE)</f>
        <v/>
      </c>
      <c r="E4583" s="8">
        <f>QS.INSTRUMENT.SWAP("swap.4581",C4583,H4583,B4583,"USD","SOFR",I4583,J4583,0,"Actual360","Simple","Annual","Annual","Annual")</f>
        <v/>
      </c>
      <c r="F4583" s="8">
        <f>QS.TRADE.CREATE("trade.4581",C4583,E4583,A4583,"Receive")</f>
        <v/>
      </c>
      <c r="G4583" s="5"/>
      <c r="H4583" s="7" t="s">
        <v>4624</v>
      </c>
      <c r="I4583" s="9">
        <v>1458100</v>
      </c>
      <c r="J4583" s="10">
        <v>0.0381</v>
      </c>
    </row>
    <row r="4584" spans="1:10">
      <c r="A4584" s="7" t="s">
        <v>4618</v>
      </c>
      <c r="B4584" s="7" t="s">
        <v>6451</v>
      </c>
      <c r="C4584" s="8">
        <f>QS.CONTEXT.CREATE("market.4582",A4584,"USD","SOFR")</f>
        <v/>
      </c>
      <c r="D4584" s="8">
        <f>QS.CONTEXT.ADD.CURVE(C4584,"SOFR",$K$2:$K$7,$L$2:$L$7,,,"Actual360","LogLinear",TRUE)</f>
        <v/>
      </c>
      <c r="E4584" s="8">
        <f>QS.INSTRUMENT.SWAP("swap.4582",C4584,H4584,B4584,"USD","SOFR",I4584,J4584,0,"Actual360","Simple","Annual","Annual","Annual")</f>
        <v/>
      </c>
      <c r="F4584" s="8">
        <f>QS.TRADE.CREATE("trade.4582",C4584,E4584,A4584,"Receive")</f>
        <v/>
      </c>
      <c r="G4584" s="5"/>
      <c r="H4584" s="7" t="s">
        <v>4625</v>
      </c>
      <c r="I4584" s="9">
        <v>1458200</v>
      </c>
      <c r="J4584" s="10">
        <v>0.0382</v>
      </c>
    </row>
    <row r="4585" spans="1:10">
      <c r="A4585" s="7" t="s">
        <v>4619</v>
      </c>
      <c r="B4585" s="7" t="s">
        <v>6452</v>
      </c>
      <c r="C4585" s="8">
        <f>QS.CONTEXT.CREATE("market.4583",A4585,"USD","SOFR")</f>
        <v/>
      </c>
      <c r="D4585" s="8">
        <f>QS.CONTEXT.ADD.CURVE(C4585,"SOFR",$K$2:$K$7,$L$2:$L$7,,,"Actual360","LogLinear",TRUE)</f>
        <v/>
      </c>
      <c r="E4585" s="8">
        <f>QS.INSTRUMENT.SWAP("swap.4583",C4585,H4585,B4585,"USD","SOFR",I4585,J4585,0,"Actual360","Simple","Annual","Annual","Annual")</f>
        <v/>
      </c>
      <c r="F4585" s="8">
        <f>QS.TRADE.CREATE("trade.4583",C4585,E4585,A4585,"Receive")</f>
        <v/>
      </c>
      <c r="G4585" s="5"/>
      <c r="H4585" s="7" t="s">
        <v>4626</v>
      </c>
      <c r="I4585" s="9">
        <v>1458300</v>
      </c>
      <c r="J4585" s="10">
        <v>0.0383</v>
      </c>
    </row>
    <row r="4586" spans="1:10">
      <c r="A4586" s="7" t="s">
        <v>4620</v>
      </c>
      <c r="B4586" s="7" t="s">
        <v>6453</v>
      </c>
      <c r="C4586" s="8">
        <f>QS.CONTEXT.CREATE("market.4584",A4586,"USD","SOFR")</f>
        <v/>
      </c>
      <c r="D4586" s="8">
        <f>QS.CONTEXT.ADD.CURVE(C4586,"SOFR",$K$2:$K$7,$L$2:$L$7,,,"Actual360","LogLinear",TRUE)</f>
        <v/>
      </c>
      <c r="E4586" s="8">
        <f>QS.INSTRUMENT.SWAP("swap.4584",C4586,H4586,B4586,"USD","SOFR",I4586,J4586,0,"Actual360","Simple","Annual","Annual","Annual")</f>
        <v/>
      </c>
      <c r="F4586" s="8">
        <f>QS.TRADE.CREATE("trade.4584",C4586,E4586,A4586,"Receive")</f>
        <v/>
      </c>
      <c r="G4586" s="5"/>
      <c r="H4586" s="7" t="s">
        <v>4627</v>
      </c>
      <c r="I4586" s="9">
        <v>1458400</v>
      </c>
      <c r="J4586" s="10">
        <v>0.0384</v>
      </c>
    </row>
    <row r="4587" spans="1:10">
      <c r="A4587" s="7" t="s">
        <v>4621</v>
      </c>
      <c r="B4587" s="7" t="s">
        <v>6454</v>
      </c>
      <c r="C4587" s="8">
        <f>QS.CONTEXT.CREATE("market.4585",A4587,"USD","SOFR")</f>
        <v/>
      </c>
      <c r="D4587" s="8">
        <f>QS.CONTEXT.ADD.CURVE(C4587,"SOFR",$K$2:$K$7,$L$2:$L$7,,,"Actual360","LogLinear",TRUE)</f>
        <v/>
      </c>
      <c r="E4587" s="8">
        <f>QS.INSTRUMENT.SWAP("swap.4585",C4587,H4587,B4587,"USD","SOFR",I4587,J4587,0,"Actual360","Simple","Annual","Annual","Annual")</f>
        <v/>
      </c>
      <c r="F4587" s="8">
        <f>QS.TRADE.CREATE("trade.4585",C4587,E4587,A4587,"Receive")</f>
        <v/>
      </c>
      <c r="G4587" s="5"/>
      <c r="H4587" s="7" t="s">
        <v>4628</v>
      </c>
      <c r="I4587" s="9">
        <v>1458500</v>
      </c>
      <c r="J4587" s="10">
        <v>0.03850000000000001</v>
      </c>
    </row>
    <row r="4588" spans="1:10">
      <c r="A4588" s="7" t="s">
        <v>4622</v>
      </c>
      <c r="B4588" s="7" t="s">
        <v>6455</v>
      </c>
      <c r="C4588" s="8">
        <f>QS.CONTEXT.CREATE("market.4586",A4588,"USD","SOFR")</f>
        <v/>
      </c>
      <c r="D4588" s="8">
        <f>QS.CONTEXT.ADD.CURVE(C4588,"SOFR",$K$2:$K$7,$L$2:$L$7,,,"Actual360","LogLinear",TRUE)</f>
        <v/>
      </c>
      <c r="E4588" s="8">
        <f>QS.INSTRUMENT.SWAP("swap.4586",C4588,H4588,B4588,"USD","SOFR",I4588,J4588,0,"Actual360","Simple","Annual","Annual","Annual")</f>
        <v/>
      </c>
      <c r="F4588" s="8">
        <f>QS.TRADE.CREATE("trade.4586",C4588,E4588,A4588,"Receive")</f>
        <v/>
      </c>
      <c r="G4588" s="5"/>
      <c r="H4588" s="7" t="s">
        <v>4629</v>
      </c>
      <c r="I4588" s="9">
        <v>1458600</v>
      </c>
      <c r="J4588" s="10">
        <v>0.0386</v>
      </c>
    </row>
    <row r="4589" spans="1:10">
      <c r="A4589" s="7" t="s">
        <v>4623</v>
      </c>
      <c r="B4589" s="7" t="s">
        <v>6456</v>
      </c>
      <c r="C4589" s="8">
        <f>QS.CONTEXT.CREATE("market.4587",A4589,"USD","SOFR")</f>
        <v/>
      </c>
      <c r="D4589" s="8">
        <f>QS.CONTEXT.ADD.CURVE(C4589,"SOFR",$K$2:$K$7,$L$2:$L$7,,,"Actual360","LogLinear",TRUE)</f>
        <v/>
      </c>
      <c r="E4589" s="8">
        <f>QS.INSTRUMENT.SWAP("swap.4587",C4589,H4589,B4589,"USD","SOFR",I4589,J4589,0,"Actual360","Simple","Annual","Annual","Annual")</f>
        <v/>
      </c>
      <c r="F4589" s="8">
        <f>QS.TRADE.CREATE("trade.4587",C4589,E4589,A4589,"Receive")</f>
        <v/>
      </c>
      <c r="G4589" s="5"/>
      <c r="H4589" s="7" t="s">
        <v>4630</v>
      </c>
      <c r="I4589" s="9">
        <v>1458700</v>
      </c>
      <c r="J4589" s="10">
        <v>0.03870000000000001</v>
      </c>
    </row>
    <row r="4590" spans="1:10">
      <c r="A4590" s="7" t="s">
        <v>4624</v>
      </c>
      <c r="B4590" s="7" t="s">
        <v>6457</v>
      </c>
      <c r="C4590" s="8">
        <f>QS.CONTEXT.CREATE("market.4588",A4590,"USD","SOFR")</f>
        <v/>
      </c>
      <c r="D4590" s="8">
        <f>QS.CONTEXT.ADD.CURVE(C4590,"SOFR",$K$2:$K$7,$L$2:$L$7,,,"Actual360","LogLinear",TRUE)</f>
        <v/>
      </c>
      <c r="E4590" s="8">
        <f>QS.INSTRUMENT.SWAP("swap.4588",C4590,H4590,B4590,"USD","SOFR",I4590,J4590,0,"Actual360","Simple","Annual","Annual","Annual")</f>
        <v/>
      </c>
      <c r="F4590" s="8">
        <f>QS.TRADE.CREATE("trade.4588",C4590,E4590,A4590,"Receive")</f>
        <v/>
      </c>
      <c r="G4590" s="5"/>
      <c r="H4590" s="7" t="s">
        <v>4631</v>
      </c>
      <c r="I4590" s="9">
        <v>1458800</v>
      </c>
      <c r="J4590" s="10">
        <v>0.0388</v>
      </c>
    </row>
    <row r="4591" spans="1:10">
      <c r="A4591" s="7" t="s">
        <v>4625</v>
      </c>
      <c r="B4591" s="7" t="s">
        <v>6458</v>
      </c>
      <c r="C4591" s="8">
        <f>QS.CONTEXT.CREATE("market.4589",A4591,"USD","SOFR")</f>
        <v/>
      </c>
      <c r="D4591" s="8">
        <f>QS.CONTEXT.ADD.CURVE(C4591,"SOFR",$K$2:$K$7,$L$2:$L$7,,,"Actual360","LogLinear",TRUE)</f>
        <v/>
      </c>
      <c r="E4591" s="8">
        <f>QS.INSTRUMENT.SWAP("swap.4589",C4591,H4591,B4591,"USD","SOFR",I4591,J4591,0,"Actual360","Simple","Annual","Annual","Annual")</f>
        <v/>
      </c>
      <c r="F4591" s="8">
        <f>QS.TRADE.CREATE("trade.4589",C4591,E4591,A4591,"Receive")</f>
        <v/>
      </c>
      <c r="G4591" s="5"/>
      <c r="H4591" s="7" t="s">
        <v>4632</v>
      </c>
      <c r="I4591" s="9">
        <v>1458900</v>
      </c>
      <c r="J4591" s="10">
        <v>0.0389</v>
      </c>
    </row>
    <row r="4592" spans="1:10">
      <c r="A4592" s="7" t="s">
        <v>4626</v>
      </c>
      <c r="B4592" s="7" t="s">
        <v>6459</v>
      </c>
      <c r="C4592" s="8">
        <f>QS.CONTEXT.CREATE("market.4590",A4592,"USD","SOFR")</f>
        <v/>
      </c>
      <c r="D4592" s="8">
        <f>QS.CONTEXT.ADD.CURVE(C4592,"SOFR",$K$2:$K$7,$L$2:$L$7,,,"Actual360","LogLinear",TRUE)</f>
        <v/>
      </c>
      <c r="E4592" s="8">
        <f>QS.INSTRUMENT.SWAP("swap.4590",C4592,H4592,B4592,"USD","SOFR",I4592,J4592,0,"Actual360","Simple","Annual","Annual","Annual")</f>
        <v/>
      </c>
      <c r="F4592" s="8">
        <f>QS.TRADE.CREATE("trade.4590",C4592,E4592,A4592,"Receive")</f>
        <v/>
      </c>
      <c r="G4592" s="5"/>
      <c r="H4592" s="7" t="s">
        <v>4633</v>
      </c>
      <c r="I4592" s="9">
        <v>1459000</v>
      </c>
      <c r="J4592" s="10">
        <v>0.03900000000000001</v>
      </c>
    </row>
    <row r="4593" spans="1:10">
      <c r="A4593" s="7" t="s">
        <v>4627</v>
      </c>
      <c r="B4593" s="7" t="s">
        <v>6460</v>
      </c>
      <c r="C4593" s="8">
        <f>QS.CONTEXT.CREATE("market.4591",A4593,"USD","SOFR")</f>
        <v/>
      </c>
      <c r="D4593" s="8">
        <f>QS.CONTEXT.ADD.CURVE(C4593,"SOFR",$K$2:$K$7,$L$2:$L$7,,,"Actual360","LogLinear",TRUE)</f>
        <v/>
      </c>
      <c r="E4593" s="8">
        <f>QS.INSTRUMENT.SWAP("swap.4591",C4593,H4593,B4593,"USD","SOFR",I4593,J4593,0,"Actual360","Simple","Annual","Annual","Annual")</f>
        <v/>
      </c>
      <c r="F4593" s="8">
        <f>QS.TRADE.CREATE("trade.4591",C4593,E4593,A4593,"Receive")</f>
        <v/>
      </c>
      <c r="G4593" s="5"/>
      <c r="H4593" s="7" t="s">
        <v>4634</v>
      </c>
      <c r="I4593" s="9">
        <v>1459100</v>
      </c>
      <c r="J4593" s="10">
        <v>0.0391</v>
      </c>
    </row>
    <row r="4594" spans="1:10">
      <c r="A4594" s="7" t="s">
        <v>4628</v>
      </c>
      <c r="B4594" s="7" t="s">
        <v>6461</v>
      </c>
      <c r="C4594" s="8">
        <f>QS.CONTEXT.CREATE("market.4592",A4594,"USD","SOFR")</f>
        <v/>
      </c>
      <c r="D4594" s="8">
        <f>QS.CONTEXT.ADD.CURVE(C4594,"SOFR",$K$2:$K$7,$L$2:$L$7,,,"Actual360","LogLinear",TRUE)</f>
        <v/>
      </c>
      <c r="E4594" s="8">
        <f>QS.INSTRUMENT.SWAP("swap.4592",C4594,H4594,B4594,"USD","SOFR",I4594,J4594,0,"Actual360","Simple","Annual","Annual","Annual")</f>
        <v/>
      </c>
      <c r="F4594" s="8">
        <f>QS.TRADE.CREATE("trade.4592",C4594,E4594,A4594,"Receive")</f>
        <v/>
      </c>
      <c r="G4594" s="5"/>
      <c r="H4594" s="7" t="s">
        <v>4635</v>
      </c>
      <c r="I4594" s="9">
        <v>1459200</v>
      </c>
      <c r="J4594" s="10">
        <v>0.03920000000000001</v>
      </c>
    </row>
    <row r="4595" spans="1:10">
      <c r="A4595" s="7" t="s">
        <v>4629</v>
      </c>
      <c r="B4595" s="7" t="s">
        <v>6462</v>
      </c>
      <c r="C4595" s="8">
        <f>QS.CONTEXT.CREATE("market.4593",A4595,"USD","SOFR")</f>
        <v/>
      </c>
      <c r="D4595" s="8">
        <f>QS.CONTEXT.ADD.CURVE(C4595,"SOFR",$K$2:$K$7,$L$2:$L$7,,,"Actual360","LogLinear",TRUE)</f>
        <v/>
      </c>
      <c r="E4595" s="8">
        <f>QS.INSTRUMENT.SWAP("swap.4593",C4595,H4595,B4595,"USD","SOFR",I4595,J4595,0,"Actual360","Simple","Annual","Annual","Annual")</f>
        <v/>
      </c>
      <c r="F4595" s="8">
        <f>QS.TRADE.CREATE("trade.4593",C4595,E4595,A4595,"Receive")</f>
        <v/>
      </c>
      <c r="G4595" s="5"/>
      <c r="H4595" s="7" t="s">
        <v>4636</v>
      </c>
      <c r="I4595" s="9">
        <v>1459300</v>
      </c>
      <c r="J4595" s="10">
        <v>0.0393</v>
      </c>
    </row>
    <row r="4596" spans="1:10">
      <c r="A4596" s="7" t="s">
        <v>4630</v>
      </c>
      <c r="B4596" s="7" t="s">
        <v>6463</v>
      </c>
      <c r="C4596" s="8">
        <f>QS.CONTEXT.CREATE("market.4594",A4596,"USD","SOFR")</f>
        <v/>
      </c>
      <c r="D4596" s="8">
        <f>QS.CONTEXT.ADD.CURVE(C4596,"SOFR",$K$2:$K$7,$L$2:$L$7,,,"Actual360","LogLinear",TRUE)</f>
        <v/>
      </c>
      <c r="E4596" s="8">
        <f>QS.INSTRUMENT.SWAP("swap.4594",C4596,H4596,B4596,"USD","SOFR",I4596,J4596,0,"Actual360","Simple","Annual","Annual","Annual")</f>
        <v/>
      </c>
      <c r="F4596" s="8">
        <f>QS.TRADE.CREATE("trade.4594",C4596,E4596,A4596,"Receive")</f>
        <v/>
      </c>
      <c r="G4596" s="5"/>
      <c r="H4596" s="7" t="s">
        <v>4637</v>
      </c>
      <c r="I4596" s="9">
        <v>1459400</v>
      </c>
      <c r="J4596" s="10">
        <v>0.0394</v>
      </c>
    </row>
    <row r="4597" spans="1:10">
      <c r="A4597" s="7" t="s">
        <v>4631</v>
      </c>
      <c r="B4597" s="7" t="s">
        <v>6464</v>
      </c>
      <c r="C4597" s="8">
        <f>QS.CONTEXT.CREATE("market.4595",A4597,"USD","SOFR")</f>
        <v/>
      </c>
      <c r="D4597" s="8">
        <f>QS.CONTEXT.ADD.CURVE(C4597,"SOFR",$K$2:$K$7,$L$2:$L$7,,,"Actual360","LogLinear",TRUE)</f>
        <v/>
      </c>
      <c r="E4597" s="8">
        <f>QS.INSTRUMENT.SWAP("swap.4595",C4597,H4597,B4597,"USD","SOFR",I4597,J4597,0,"Actual360","Simple","Annual","Annual","Annual")</f>
        <v/>
      </c>
      <c r="F4597" s="8">
        <f>QS.TRADE.CREATE("trade.4595",C4597,E4597,A4597,"Receive")</f>
        <v/>
      </c>
      <c r="G4597" s="5"/>
      <c r="H4597" s="7" t="s">
        <v>4638</v>
      </c>
      <c r="I4597" s="9">
        <v>1459500</v>
      </c>
      <c r="J4597" s="10">
        <v>0.03950000000000001</v>
      </c>
    </row>
    <row r="4598" spans="1:10">
      <c r="A4598" s="7" t="s">
        <v>4632</v>
      </c>
      <c r="B4598" s="7" t="s">
        <v>6465</v>
      </c>
      <c r="C4598" s="8">
        <f>QS.CONTEXT.CREATE("market.4596",A4598,"USD","SOFR")</f>
        <v/>
      </c>
      <c r="D4598" s="8">
        <f>QS.CONTEXT.ADD.CURVE(C4598,"SOFR",$K$2:$K$7,$L$2:$L$7,,,"Actual360","LogLinear",TRUE)</f>
        <v/>
      </c>
      <c r="E4598" s="8">
        <f>QS.INSTRUMENT.SWAP("swap.4596",C4598,H4598,B4598,"USD","SOFR",I4598,J4598,0,"Actual360","Simple","Annual","Annual","Annual")</f>
        <v/>
      </c>
      <c r="F4598" s="8">
        <f>QS.TRADE.CREATE("trade.4596",C4598,E4598,A4598,"Receive")</f>
        <v/>
      </c>
      <c r="G4598" s="5"/>
      <c r="H4598" s="7" t="s">
        <v>4639</v>
      </c>
      <c r="I4598" s="9">
        <v>1459600</v>
      </c>
      <c r="J4598" s="10">
        <v>0.0396</v>
      </c>
    </row>
    <row r="4599" spans="1:10">
      <c r="A4599" s="7" t="s">
        <v>4633</v>
      </c>
      <c r="B4599" s="7" t="s">
        <v>6466</v>
      </c>
      <c r="C4599" s="8">
        <f>QS.CONTEXT.CREATE("market.4597",A4599,"USD","SOFR")</f>
        <v/>
      </c>
      <c r="D4599" s="8">
        <f>QS.CONTEXT.ADD.CURVE(C4599,"SOFR",$K$2:$K$7,$L$2:$L$7,,,"Actual360","LogLinear",TRUE)</f>
        <v/>
      </c>
      <c r="E4599" s="8">
        <f>QS.INSTRUMENT.SWAP("swap.4597",C4599,H4599,B4599,"USD","SOFR",I4599,J4599,0,"Actual360","Simple","Annual","Annual","Annual")</f>
        <v/>
      </c>
      <c r="F4599" s="8">
        <f>QS.TRADE.CREATE("trade.4597",C4599,E4599,A4599,"Receive")</f>
        <v/>
      </c>
      <c r="G4599" s="5"/>
      <c r="H4599" s="7" t="s">
        <v>4640</v>
      </c>
      <c r="I4599" s="9">
        <v>1459700</v>
      </c>
      <c r="J4599" s="10">
        <v>0.03970000000000001</v>
      </c>
    </row>
    <row r="4600" spans="1:10">
      <c r="A4600" s="7" t="s">
        <v>4634</v>
      </c>
      <c r="B4600" s="7" t="s">
        <v>6467</v>
      </c>
      <c r="C4600" s="8">
        <f>QS.CONTEXT.CREATE("market.4598",A4600,"USD","SOFR")</f>
        <v/>
      </c>
      <c r="D4600" s="8">
        <f>QS.CONTEXT.ADD.CURVE(C4600,"SOFR",$K$2:$K$7,$L$2:$L$7,,,"Actual360","LogLinear",TRUE)</f>
        <v/>
      </c>
      <c r="E4600" s="8">
        <f>QS.INSTRUMENT.SWAP("swap.4598",C4600,H4600,B4600,"USD","SOFR",I4600,J4600,0,"Actual360","Simple","Annual","Annual","Annual")</f>
        <v/>
      </c>
      <c r="F4600" s="8">
        <f>QS.TRADE.CREATE("trade.4598",C4600,E4600,A4600,"Receive")</f>
        <v/>
      </c>
      <c r="G4600" s="5"/>
      <c r="H4600" s="7" t="s">
        <v>4641</v>
      </c>
      <c r="I4600" s="9">
        <v>1459800</v>
      </c>
      <c r="J4600" s="10">
        <v>0.0398</v>
      </c>
    </row>
    <row r="4601" spans="1:10">
      <c r="A4601" s="7" t="s">
        <v>4635</v>
      </c>
      <c r="B4601" s="7" t="s">
        <v>6468</v>
      </c>
      <c r="C4601" s="8">
        <f>QS.CONTEXT.CREATE("market.4599",A4601,"USD","SOFR")</f>
        <v/>
      </c>
      <c r="D4601" s="8">
        <f>QS.CONTEXT.ADD.CURVE(C4601,"SOFR",$K$2:$K$7,$L$2:$L$7,,,"Actual360","LogLinear",TRUE)</f>
        <v/>
      </c>
      <c r="E4601" s="8">
        <f>QS.INSTRUMENT.SWAP("swap.4599",C4601,H4601,B4601,"USD","SOFR",I4601,J4601,0,"Actual360","Simple","Annual","Annual","Annual")</f>
        <v/>
      </c>
      <c r="F4601" s="8">
        <f>QS.TRADE.CREATE("trade.4599",C4601,E4601,A4601,"Receive")</f>
        <v/>
      </c>
      <c r="G4601" s="5"/>
      <c r="H4601" s="7" t="s">
        <v>4642</v>
      </c>
      <c r="I4601" s="9">
        <v>1459900</v>
      </c>
      <c r="J4601" s="10">
        <v>0.0399</v>
      </c>
    </row>
    <row r="4602" spans="1:10">
      <c r="A4602" s="7" t="s">
        <v>4636</v>
      </c>
      <c r="B4602" s="7" t="s">
        <v>6469</v>
      </c>
      <c r="C4602" s="8">
        <f>QS.CONTEXT.CREATE("market.4600",A4602,"USD","SOFR")</f>
        <v/>
      </c>
      <c r="D4602" s="8">
        <f>QS.CONTEXT.ADD.CURVE(C4602,"SOFR",$K$2:$K$7,$L$2:$L$7,,,"Actual360","LogLinear",TRUE)</f>
        <v/>
      </c>
      <c r="E4602" s="8">
        <f>QS.INSTRUMENT.SWAP("swap.4600",C4602,H4602,B4602,"USD","SOFR",I4602,J4602,0,"Actual360","Simple","Annual","Annual","Annual")</f>
        <v/>
      </c>
      <c r="F4602" s="8">
        <f>QS.TRADE.CREATE("trade.4600",C4602,E4602,A4602,"Receive")</f>
        <v/>
      </c>
      <c r="G4602" s="5"/>
      <c r="H4602" s="7" t="s">
        <v>4643</v>
      </c>
      <c r="I4602" s="9">
        <v>1460000</v>
      </c>
      <c r="J4602" s="10">
        <v>0.035</v>
      </c>
    </row>
    <row r="4603" spans="1:10">
      <c r="A4603" s="7" t="s">
        <v>4637</v>
      </c>
      <c r="B4603" s="7" t="s">
        <v>6470</v>
      </c>
      <c r="C4603" s="8">
        <f>QS.CONTEXT.CREATE("market.4601",A4603,"USD","SOFR")</f>
        <v/>
      </c>
      <c r="D4603" s="8">
        <f>QS.CONTEXT.ADD.CURVE(C4603,"SOFR",$K$2:$K$7,$L$2:$L$7,,,"Actual360","LogLinear",TRUE)</f>
        <v/>
      </c>
      <c r="E4603" s="8">
        <f>QS.INSTRUMENT.SWAP("swap.4601",C4603,H4603,B4603,"USD","SOFR",I4603,J4603,0,"Actual360","Simple","Annual","Annual","Annual")</f>
        <v/>
      </c>
      <c r="F4603" s="8">
        <f>QS.TRADE.CREATE("trade.4601",C4603,E4603,A4603,"Receive")</f>
        <v/>
      </c>
      <c r="G4603" s="5"/>
      <c r="H4603" s="7" t="s">
        <v>4644</v>
      </c>
      <c r="I4603" s="9">
        <v>1460100</v>
      </c>
      <c r="J4603" s="10">
        <v>0.03510000000000001</v>
      </c>
    </row>
    <row r="4604" spans="1:10">
      <c r="A4604" s="7" t="s">
        <v>4638</v>
      </c>
      <c r="B4604" s="7" t="s">
        <v>6471</v>
      </c>
      <c r="C4604" s="8">
        <f>QS.CONTEXT.CREATE("market.4602",A4604,"USD","SOFR")</f>
        <v/>
      </c>
      <c r="D4604" s="8">
        <f>QS.CONTEXT.ADD.CURVE(C4604,"SOFR",$K$2:$K$7,$L$2:$L$7,,,"Actual360","LogLinear",TRUE)</f>
        <v/>
      </c>
      <c r="E4604" s="8">
        <f>QS.INSTRUMENT.SWAP("swap.4602",C4604,H4604,B4604,"USD","SOFR",I4604,J4604,0,"Actual360","Simple","Annual","Annual","Annual")</f>
        <v/>
      </c>
      <c r="F4604" s="8">
        <f>QS.TRADE.CREATE("trade.4602",C4604,E4604,A4604,"Receive")</f>
        <v/>
      </c>
      <c r="G4604" s="5"/>
      <c r="H4604" s="7" t="s">
        <v>4645</v>
      </c>
      <c r="I4604" s="9">
        <v>1460200</v>
      </c>
      <c r="J4604" s="10">
        <v>0.0352</v>
      </c>
    </row>
    <row r="4605" spans="1:10">
      <c r="A4605" s="7" t="s">
        <v>4639</v>
      </c>
      <c r="B4605" s="7" t="s">
        <v>6472</v>
      </c>
      <c r="C4605" s="8">
        <f>QS.CONTEXT.CREATE("market.4603",A4605,"USD","SOFR")</f>
        <v/>
      </c>
      <c r="D4605" s="8">
        <f>QS.CONTEXT.ADD.CURVE(C4605,"SOFR",$K$2:$K$7,$L$2:$L$7,,,"Actual360","LogLinear",TRUE)</f>
        <v/>
      </c>
      <c r="E4605" s="8">
        <f>QS.INSTRUMENT.SWAP("swap.4603",C4605,H4605,B4605,"USD","SOFR",I4605,J4605,0,"Actual360","Simple","Annual","Annual","Annual")</f>
        <v/>
      </c>
      <c r="F4605" s="8">
        <f>QS.TRADE.CREATE("trade.4603",C4605,E4605,A4605,"Receive")</f>
        <v/>
      </c>
      <c r="G4605" s="5"/>
      <c r="H4605" s="7" t="s">
        <v>4646</v>
      </c>
      <c r="I4605" s="9">
        <v>1460300</v>
      </c>
      <c r="J4605" s="10">
        <v>0.0353</v>
      </c>
    </row>
    <row r="4606" spans="1:10">
      <c r="A4606" s="7" t="s">
        <v>4640</v>
      </c>
      <c r="B4606" s="7" t="s">
        <v>6473</v>
      </c>
      <c r="C4606" s="8">
        <f>QS.CONTEXT.CREATE("market.4604",A4606,"USD","SOFR")</f>
        <v/>
      </c>
      <c r="D4606" s="8">
        <f>QS.CONTEXT.ADD.CURVE(C4606,"SOFR",$K$2:$K$7,$L$2:$L$7,,,"Actual360","LogLinear",TRUE)</f>
        <v/>
      </c>
      <c r="E4606" s="8">
        <f>QS.INSTRUMENT.SWAP("swap.4604",C4606,H4606,B4606,"USD","SOFR",I4606,J4606,0,"Actual360","Simple","Annual","Annual","Annual")</f>
        <v/>
      </c>
      <c r="F4606" s="8">
        <f>QS.TRADE.CREATE("trade.4604",C4606,E4606,A4606,"Receive")</f>
        <v/>
      </c>
      <c r="G4606" s="5"/>
      <c r="H4606" s="7" t="s">
        <v>4647</v>
      </c>
      <c r="I4606" s="9">
        <v>1460400</v>
      </c>
      <c r="J4606" s="10">
        <v>0.0354</v>
      </c>
    </row>
    <row r="4607" spans="1:10">
      <c r="A4607" s="7" t="s">
        <v>4641</v>
      </c>
      <c r="B4607" s="7" t="s">
        <v>6474</v>
      </c>
      <c r="C4607" s="8">
        <f>QS.CONTEXT.CREATE("market.4605",A4607,"USD","SOFR")</f>
        <v/>
      </c>
      <c r="D4607" s="8">
        <f>QS.CONTEXT.ADD.CURVE(C4607,"SOFR",$K$2:$K$7,$L$2:$L$7,,,"Actual360","LogLinear",TRUE)</f>
        <v/>
      </c>
      <c r="E4607" s="8">
        <f>QS.INSTRUMENT.SWAP("swap.4605",C4607,H4607,B4607,"USD","SOFR",I4607,J4607,0,"Actual360","Simple","Annual","Annual","Annual")</f>
        <v/>
      </c>
      <c r="F4607" s="8">
        <f>QS.TRADE.CREATE("trade.4605",C4607,E4607,A4607,"Receive")</f>
        <v/>
      </c>
      <c r="G4607" s="5"/>
      <c r="H4607" s="7" t="s">
        <v>4648</v>
      </c>
      <c r="I4607" s="9">
        <v>1460500</v>
      </c>
      <c r="J4607" s="10">
        <v>0.0355</v>
      </c>
    </row>
    <row r="4608" spans="1:10">
      <c r="A4608" s="7" t="s">
        <v>4642</v>
      </c>
      <c r="B4608" s="7" t="s">
        <v>6475</v>
      </c>
      <c r="C4608" s="8">
        <f>QS.CONTEXT.CREATE("market.4606",A4608,"USD","SOFR")</f>
        <v/>
      </c>
      <c r="D4608" s="8">
        <f>QS.CONTEXT.ADD.CURVE(C4608,"SOFR",$K$2:$K$7,$L$2:$L$7,,,"Actual360","LogLinear",TRUE)</f>
        <v/>
      </c>
      <c r="E4608" s="8">
        <f>QS.INSTRUMENT.SWAP("swap.4606",C4608,H4608,B4608,"USD","SOFR",I4608,J4608,0,"Actual360","Simple","Annual","Annual","Annual")</f>
        <v/>
      </c>
      <c r="F4608" s="8">
        <f>QS.TRADE.CREATE("trade.4606",C4608,E4608,A4608,"Receive")</f>
        <v/>
      </c>
      <c r="G4608" s="5"/>
      <c r="H4608" s="7" t="s">
        <v>4649</v>
      </c>
      <c r="I4608" s="9">
        <v>1460600</v>
      </c>
      <c r="J4608" s="10">
        <v>0.03560000000000001</v>
      </c>
    </row>
    <row r="4609" spans="1:10">
      <c r="A4609" s="7" t="s">
        <v>4643</v>
      </c>
      <c r="B4609" s="7" t="s">
        <v>6476</v>
      </c>
      <c r="C4609" s="8">
        <f>QS.CONTEXT.CREATE("market.4607",A4609,"USD","SOFR")</f>
        <v/>
      </c>
      <c r="D4609" s="8">
        <f>QS.CONTEXT.ADD.CURVE(C4609,"SOFR",$K$2:$K$7,$L$2:$L$7,,,"Actual360","LogLinear",TRUE)</f>
        <v/>
      </c>
      <c r="E4609" s="8">
        <f>QS.INSTRUMENT.SWAP("swap.4607",C4609,H4609,B4609,"USD","SOFR",I4609,J4609,0,"Actual360","Simple","Annual","Annual","Annual")</f>
        <v/>
      </c>
      <c r="F4609" s="8">
        <f>QS.TRADE.CREATE("trade.4607",C4609,E4609,A4609,"Receive")</f>
        <v/>
      </c>
      <c r="G4609" s="5"/>
      <c r="H4609" s="7" t="s">
        <v>4650</v>
      </c>
      <c r="I4609" s="9">
        <v>1460700</v>
      </c>
      <c r="J4609" s="10">
        <v>0.0357</v>
      </c>
    </row>
    <row r="4610" spans="1:10">
      <c r="A4610" s="7" t="s">
        <v>4644</v>
      </c>
      <c r="B4610" s="7" t="s">
        <v>6477</v>
      </c>
      <c r="C4610" s="8">
        <f>QS.CONTEXT.CREATE("market.4608",A4610,"USD","SOFR")</f>
        <v/>
      </c>
      <c r="D4610" s="8">
        <f>QS.CONTEXT.ADD.CURVE(C4610,"SOFR",$K$2:$K$7,$L$2:$L$7,,,"Actual360","LogLinear",TRUE)</f>
        <v/>
      </c>
      <c r="E4610" s="8">
        <f>QS.INSTRUMENT.SWAP("swap.4608",C4610,H4610,B4610,"USD","SOFR",I4610,J4610,0,"Actual360","Simple","Annual","Annual","Annual")</f>
        <v/>
      </c>
      <c r="F4610" s="8">
        <f>QS.TRADE.CREATE("trade.4608",C4610,E4610,A4610,"Receive")</f>
        <v/>
      </c>
      <c r="G4610" s="5"/>
      <c r="H4610" s="7" t="s">
        <v>4651</v>
      </c>
      <c r="I4610" s="9">
        <v>1460800</v>
      </c>
      <c r="J4610" s="10">
        <v>0.03580000000000001</v>
      </c>
    </row>
    <row r="4611" spans="1:10">
      <c r="A4611" s="7" t="s">
        <v>4645</v>
      </c>
      <c r="B4611" s="7" t="s">
        <v>6478</v>
      </c>
      <c r="C4611" s="8">
        <f>QS.CONTEXT.CREATE("market.4609",A4611,"USD","SOFR")</f>
        <v/>
      </c>
      <c r="D4611" s="8">
        <f>QS.CONTEXT.ADD.CURVE(C4611,"SOFR",$K$2:$K$7,$L$2:$L$7,,,"Actual360","LogLinear",TRUE)</f>
        <v/>
      </c>
      <c r="E4611" s="8">
        <f>QS.INSTRUMENT.SWAP("swap.4609",C4611,H4611,B4611,"USD","SOFR",I4611,J4611,0,"Actual360","Simple","Annual","Annual","Annual")</f>
        <v/>
      </c>
      <c r="F4611" s="8">
        <f>QS.TRADE.CREATE("trade.4609",C4611,E4611,A4611,"Receive")</f>
        <v/>
      </c>
      <c r="G4611" s="5"/>
      <c r="H4611" s="7" t="s">
        <v>4652</v>
      </c>
      <c r="I4611" s="9">
        <v>1460900</v>
      </c>
      <c r="J4611" s="10">
        <v>0.0359</v>
      </c>
    </row>
    <row r="4612" spans="1:10">
      <c r="A4612" s="7" t="s">
        <v>4646</v>
      </c>
      <c r="B4612" s="7" t="s">
        <v>6479</v>
      </c>
      <c r="C4612" s="8">
        <f>QS.CONTEXT.CREATE("market.4610",A4612,"USD","SOFR")</f>
        <v/>
      </c>
      <c r="D4612" s="8">
        <f>QS.CONTEXT.ADD.CURVE(C4612,"SOFR",$K$2:$K$7,$L$2:$L$7,,,"Actual360","LogLinear",TRUE)</f>
        <v/>
      </c>
      <c r="E4612" s="8">
        <f>QS.INSTRUMENT.SWAP("swap.4610",C4612,H4612,B4612,"USD","SOFR",I4612,J4612,0,"Actual360","Simple","Annual","Annual","Annual")</f>
        <v/>
      </c>
      <c r="F4612" s="8">
        <f>QS.TRADE.CREATE("trade.4610",C4612,E4612,A4612,"Receive")</f>
        <v/>
      </c>
      <c r="G4612" s="5"/>
      <c r="H4612" s="7" t="s">
        <v>4653</v>
      </c>
      <c r="I4612" s="9">
        <v>1461000</v>
      </c>
      <c r="J4612" s="10">
        <v>0.036</v>
      </c>
    </row>
    <row r="4613" spans="1:10">
      <c r="A4613" s="7" t="s">
        <v>4647</v>
      </c>
      <c r="B4613" s="7" t="s">
        <v>6480</v>
      </c>
      <c r="C4613" s="8">
        <f>QS.CONTEXT.CREATE("market.4611",A4613,"USD","SOFR")</f>
        <v/>
      </c>
      <c r="D4613" s="8">
        <f>QS.CONTEXT.ADD.CURVE(C4613,"SOFR",$K$2:$K$7,$L$2:$L$7,,,"Actual360","LogLinear",TRUE)</f>
        <v/>
      </c>
      <c r="E4613" s="8">
        <f>QS.INSTRUMENT.SWAP("swap.4611",C4613,H4613,B4613,"USD","SOFR",I4613,J4613,0,"Actual360","Simple","Annual","Annual","Annual")</f>
        <v/>
      </c>
      <c r="F4613" s="8">
        <f>QS.TRADE.CREATE("trade.4611",C4613,E4613,A4613,"Receive")</f>
        <v/>
      </c>
      <c r="G4613" s="5"/>
      <c r="H4613" s="7" t="s">
        <v>4654</v>
      </c>
      <c r="I4613" s="9">
        <v>1461100</v>
      </c>
      <c r="J4613" s="10">
        <v>0.0361</v>
      </c>
    </row>
    <row r="4614" spans="1:10">
      <c r="A4614" s="7" t="s">
        <v>4648</v>
      </c>
      <c r="B4614" s="7" t="s">
        <v>6481</v>
      </c>
      <c r="C4614" s="8">
        <f>QS.CONTEXT.CREATE("market.4612",A4614,"USD","SOFR")</f>
        <v/>
      </c>
      <c r="D4614" s="8">
        <f>QS.CONTEXT.ADD.CURVE(C4614,"SOFR",$K$2:$K$7,$L$2:$L$7,,,"Actual360","LogLinear",TRUE)</f>
        <v/>
      </c>
      <c r="E4614" s="8">
        <f>QS.INSTRUMENT.SWAP("swap.4612",C4614,H4614,B4614,"USD","SOFR",I4614,J4614,0,"Actual360","Simple","Annual","Annual","Annual")</f>
        <v/>
      </c>
      <c r="F4614" s="8">
        <f>QS.TRADE.CREATE("trade.4612",C4614,E4614,A4614,"Receive")</f>
        <v/>
      </c>
      <c r="G4614" s="5"/>
      <c r="H4614" s="7" t="s">
        <v>4655</v>
      </c>
      <c r="I4614" s="9">
        <v>1461200</v>
      </c>
      <c r="J4614" s="10">
        <v>0.0362</v>
      </c>
    </row>
    <row r="4615" spans="1:10">
      <c r="A4615" s="7" t="s">
        <v>4649</v>
      </c>
      <c r="B4615" s="7" t="s">
        <v>6482</v>
      </c>
      <c r="C4615" s="8">
        <f>QS.CONTEXT.CREATE("market.4613",A4615,"USD","SOFR")</f>
        <v/>
      </c>
      <c r="D4615" s="8">
        <f>QS.CONTEXT.ADD.CURVE(C4615,"SOFR",$K$2:$K$7,$L$2:$L$7,,,"Actual360","LogLinear",TRUE)</f>
        <v/>
      </c>
      <c r="E4615" s="8">
        <f>QS.INSTRUMENT.SWAP("swap.4613",C4615,H4615,B4615,"USD","SOFR",I4615,J4615,0,"Actual360","Simple","Annual","Annual","Annual")</f>
        <v/>
      </c>
      <c r="F4615" s="8">
        <f>QS.TRADE.CREATE("trade.4613",C4615,E4615,A4615,"Receive")</f>
        <v/>
      </c>
      <c r="G4615" s="5"/>
      <c r="H4615" s="7" t="s">
        <v>4656</v>
      </c>
      <c r="I4615" s="9">
        <v>1461300</v>
      </c>
      <c r="J4615" s="10">
        <v>0.03630000000000001</v>
      </c>
    </row>
    <row r="4616" spans="1:10">
      <c r="A4616" s="7" t="s">
        <v>4650</v>
      </c>
      <c r="B4616" s="7" t="s">
        <v>6483</v>
      </c>
      <c r="C4616" s="8">
        <f>QS.CONTEXT.CREATE("market.4614",A4616,"USD","SOFR")</f>
        <v/>
      </c>
      <c r="D4616" s="8">
        <f>QS.CONTEXT.ADD.CURVE(C4616,"SOFR",$K$2:$K$7,$L$2:$L$7,,,"Actual360","LogLinear",TRUE)</f>
        <v/>
      </c>
      <c r="E4616" s="8">
        <f>QS.INSTRUMENT.SWAP("swap.4614",C4616,H4616,B4616,"USD","SOFR",I4616,J4616,0,"Actual360","Simple","Annual","Annual","Annual")</f>
        <v/>
      </c>
      <c r="F4616" s="8">
        <f>QS.TRADE.CREATE("trade.4614",C4616,E4616,A4616,"Receive")</f>
        <v/>
      </c>
      <c r="G4616" s="5"/>
      <c r="H4616" s="7" t="s">
        <v>4657</v>
      </c>
      <c r="I4616" s="9">
        <v>1461400</v>
      </c>
      <c r="J4616" s="10">
        <v>0.0364</v>
      </c>
    </row>
    <row r="4617" spans="1:10">
      <c r="A4617" s="7" t="s">
        <v>4651</v>
      </c>
      <c r="B4617" s="7" t="s">
        <v>6484</v>
      </c>
      <c r="C4617" s="8">
        <f>QS.CONTEXT.CREATE("market.4615",A4617,"USD","SOFR")</f>
        <v/>
      </c>
      <c r="D4617" s="8">
        <f>QS.CONTEXT.ADD.CURVE(C4617,"SOFR",$K$2:$K$7,$L$2:$L$7,,,"Actual360","LogLinear",TRUE)</f>
        <v/>
      </c>
      <c r="E4617" s="8">
        <f>QS.INSTRUMENT.SWAP("swap.4615",C4617,H4617,B4617,"USD","SOFR",I4617,J4617,0,"Actual360","Simple","Annual","Annual","Annual")</f>
        <v/>
      </c>
      <c r="F4617" s="8">
        <f>QS.TRADE.CREATE("trade.4615",C4617,E4617,A4617,"Receive")</f>
        <v/>
      </c>
      <c r="G4617" s="5"/>
      <c r="H4617" s="7" t="s">
        <v>4658</v>
      </c>
      <c r="I4617" s="9">
        <v>1461500</v>
      </c>
      <c r="J4617" s="10">
        <v>0.0365</v>
      </c>
    </row>
    <row r="4618" spans="1:10">
      <c r="A4618" s="7" t="s">
        <v>4652</v>
      </c>
      <c r="B4618" s="7" t="s">
        <v>6485</v>
      </c>
      <c r="C4618" s="8">
        <f>QS.CONTEXT.CREATE("market.4616",A4618,"USD","SOFR")</f>
        <v/>
      </c>
      <c r="D4618" s="8">
        <f>QS.CONTEXT.ADD.CURVE(C4618,"SOFR",$K$2:$K$7,$L$2:$L$7,,,"Actual360","LogLinear",TRUE)</f>
        <v/>
      </c>
      <c r="E4618" s="8">
        <f>QS.INSTRUMENT.SWAP("swap.4616",C4618,H4618,B4618,"USD","SOFR",I4618,J4618,0,"Actual360","Simple","Annual","Annual","Annual")</f>
        <v/>
      </c>
      <c r="F4618" s="8">
        <f>QS.TRADE.CREATE("trade.4616",C4618,E4618,A4618,"Receive")</f>
        <v/>
      </c>
      <c r="G4618" s="5"/>
      <c r="H4618" s="7" t="s">
        <v>4659</v>
      </c>
      <c r="I4618" s="9">
        <v>1461600</v>
      </c>
      <c r="J4618" s="10">
        <v>0.0366</v>
      </c>
    </row>
    <row r="4619" spans="1:10">
      <c r="A4619" s="7" t="s">
        <v>4653</v>
      </c>
      <c r="B4619" s="7" t="s">
        <v>6486</v>
      </c>
      <c r="C4619" s="8">
        <f>QS.CONTEXT.CREATE("market.4617",A4619,"USD","SOFR")</f>
        <v/>
      </c>
      <c r="D4619" s="8">
        <f>QS.CONTEXT.ADD.CURVE(C4619,"SOFR",$K$2:$K$7,$L$2:$L$7,,,"Actual360","LogLinear",TRUE)</f>
        <v/>
      </c>
      <c r="E4619" s="8">
        <f>QS.INSTRUMENT.SWAP("swap.4617",C4619,H4619,B4619,"USD","SOFR",I4619,J4619,0,"Actual360","Simple","Annual","Annual","Annual")</f>
        <v/>
      </c>
      <c r="F4619" s="8">
        <f>QS.TRADE.CREATE("trade.4617",C4619,E4619,A4619,"Receive")</f>
        <v/>
      </c>
      <c r="G4619" s="5"/>
      <c r="H4619" s="7" t="s">
        <v>4660</v>
      </c>
      <c r="I4619" s="9">
        <v>1461700</v>
      </c>
      <c r="J4619" s="10">
        <v>0.0367</v>
      </c>
    </row>
    <row r="4620" spans="1:10">
      <c r="A4620" s="7" t="s">
        <v>4654</v>
      </c>
      <c r="B4620" s="7" t="s">
        <v>6487</v>
      </c>
      <c r="C4620" s="8">
        <f>QS.CONTEXT.CREATE("market.4618",A4620,"USD","SOFR")</f>
        <v/>
      </c>
      <c r="D4620" s="8">
        <f>QS.CONTEXT.ADD.CURVE(C4620,"SOFR",$K$2:$K$7,$L$2:$L$7,,,"Actual360","LogLinear",TRUE)</f>
        <v/>
      </c>
      <c r="E4620" s="8">
        <f>QS.INSTRUMENT.SWAP("swap.4618",C4620,H4620,B4620,"USD","SOFR",I4620,J4620,0,"Actual360","Simple","Annual","Annual","Annual")</f>
        <v/>
      </c>
      <c r="F4620" s="8">
        <f>QS.TRADE.CREATE("trade.4618",C4620,E4620,A4620,"Receive")</f>
        <v/>
      </c>
      <c r="G4620" s="5"/>
      <c r="H4620" s="7" t="s">
        <v>4661</v>
      </c>
      <c r="I4620" s="9">
        <v>1461800</v>
      </c>
      <c r="J4620" s="10">
        <v>0.03680000000000001</v>
      </c>
    </row>
    <row r="4621" spans="1:10">
      <c r="A4621" s="7" t="s">
        <v>4655</v>
      </c>
      <c r="B4621" s="7" t="s">
        <v>6488</v>
      </c>
      <c r="C4621" s="8">
        <f>QS.CONTEXT.CREATE("market.4619",A4621,"USD","SOFR")</f>
        <v/>
      </c>
      <c r="D4621" s="8">
        <f>QS.CONTEXT.ADD.CURVE(C4621,"SOFR",$K$2:$K$7,$L$2:$L$7,,,"Actual360","LogLinear",TRUE)</f>
        <v/>
      </c>
      <c r="E4621" s="8">
        <f>QS.INSTRUMENT.SWAP("swap.4619",C4621,H4621,B4621,"USD","SOFR",I4621,J4621,0,"Actual360","Simple","Annual","Annual","Annual")</f>
        <v/>
      </c>
      <c r="F4621" s="8">
        <f>QS.TRADE.CREATE("trade.4619",C4621,E4621,A4621,"Receive")</f>
        <v/>
      </c>
      <c r="G4621" s="5"/>
      <c r="H4621" s="7" t="s">
        <v>4662</v>
      </c>
      <c r="I4621" s="9">
        <v>1461900</v>
      </c>
      <c r="J4621" s="10">
        <v>0.0369</v>
      </c>
    </row>
    <row r="4622" spans="1:10">
      <c r="A4622" s="7" t="s">
        <v>4656</v>
      </c>
      <c r="B4622" s="7" t="s">
        <v>6489</v>
      </c>
      <c r="C4622" s="8">
        <f>QS.CONTEXT.CREATE("market.4620",A4622,"USD","SOFR")</f>
        <v/>
      </c>
      <c r="D4622" s="8">
        <f>QS.CONTEXT.ADD.CURVE(C4622,"SOFR",$K$2:$K$7,$L$2:$L$7,,,"Actual360","LogLinear",TRUE)</f>
        <v/>
      </c>
      <c r="E4622" s="8">
        <f>QS.INSTRUMENT.SWAP("swap.4620",C4622,H4622,B4622,"USD","SOFR",I4622,J4622,0,"Actual360","Simple","Annual","Annual","Annual")</f>
        <v/>
      </c>
      <c r="F4622" s="8">
        <f>QS.TRADE.CREATE("trade.4620",C4622,E4622,A4622,"Receive")</f>
        <v/>
      </c>
      <c r="G4622" s="5"/>
      <c r="H4622" s="7" t="s">
        <v>4663</v>
      </c>
      <c r="I4622" s="9">
        <v>1462000</v>
      </c>
      <c r="J4622" s="10">
        <v>0.03700000000000001</v>
      </c>
    </row>
    <row r="4623" spans="1:10">
      <c r="A4623" s="7" t="s">
        <v>4657</v>
      </c>
      <c r="B4623" s="7" t="s">
        <v>6490</v>
      </c>
      <c r="C4623" s="8">
        <f>QS.CONTEXT.CREATE("market.4621",A4623,"USD","SOFR")</f>
        <v/>
      </c>
      <c r="D4623" s="8">
        <f>QS.CONTEXT.ADD.CURVE(C4623,"SOFR",$K$2:$K$7,$L$2:$L$7,,,"Actual360","LogLinear",TRUE)</f>
        <v/>
      </c>
      <c r="E4623" s="8">
        <f>QS.INSTRUMENT.SWAP("swap.4621",C4623,H4623,B4623,"USD","SOFR",I4623,J4623,0,"Actual360","Simple","Annual","Annual","Annual")</f>
        <v/>
      </c>
      <c r="F4623" s="8">
        <f>QS.TRADE.CREATE("trade.4621",C4623,E4623,A4623,"Receive")</f>
        <v/>
      </c>
      <c r="G4623" s="5"/>
      <c r="H4623" s="7" t="s">
        <v>4664</v>
      </c>
      <c r="I4623" s="9">
        <v>1462100</v>
      </c>
      <c r="J4623" s="10">
        <v>0.0371</v>
      </c>
    </row>
    <row r="4624" spans="1:10">
      <c r="A4624" s="7" t="s">
        <v>4658</v>
      </c>
      <c r="B4624" s="7" t="s">
        <v>6491</v>
      </c>
      <c r="C4624" s="8">
        <f>QS.CONTEXT.CREATE("market.4622",A4624,"USD","SOFR")</f>
        <v/>
      </c>
      <c r="D4624" s="8">
        <f>QS.CONTEXT.ADD.CURVE(C4624,"SOFR",$K$2:$K$7,$L$2:$L$7,,,"Actual360","LogLinear",TRUE)</f>
        <v/>
      </c>
      <c r="E4624" s="8">
        <f>QS.INSTRUMENT.SWAP("swap.4622",C4624,H4624,B4624,"USD","SOFR",I4624,J4624,0,"Actual360","Simple","Annual","Annual","Annual")</f>
        <v/>
      </c>
      <c r="F4624" s="8">
        <f>QS.TRADE.CREATE("trade.4622",C4624,E4624,A4624,"Receive")</f>
        <v/>
      </c>
      <c r="G4624" s="5"/>
      <c r="H4624" s="7" t="s">
        <v>4665</v>
      </c>
      <c r="I4624" s="9">
        <v>1462200</v>
      </c>
      <c r="J4624" s="10">
        <v>0.0372</v>
      </c>
    </row>
    <row r="4625" spans="1:10">
      <c r="A4625" s="7" t="s">
        <v>4659</v>
      </c>
      <c r="B4625" s="7" t="s">
        <v>6492</v>
      </c>
      <c r="C4625" s="8">
        <f>QS.CONTEXT.CREATE("market.4623",A4625,"USD","SOFR")</f>
        <v/>
      </c>
      <c r="D4625" s="8">
        <f>QS.CONTEXT.ADD.CURVE(C4625,"SOFR",$K$2:$K$7,$L$2:$L$7,,,"Actual360","LogLinear",TRUE)</f>
        <v/>
      </c>
      <c r="E4625" s="8">
        <f>QS.INSTRUMENT.SWAP("swap.4623",C4625,H4625,B4625,"USD","SOFR",I4625,J4625,0,"Actual360","Simple","Annual","Annual","Annual")</f>
        <v/>
      </c>
      <c r="F4625" s="8">
        <f>QS.TRADE.CREATE("trade.4623",C4625,E4625,A4625,"Receive")</f>
        <v/>
      </c>
      <c r="G4625" s="5"/>
      <c r="H4625" s="7" t="s">
        <v>4666</v>
      </c>
      <c r="I4625" s="9">
        <v>1462300</v>
      </c>
      <c r="J4625" s="10">
        <v>0.0373</v>
      </c>
    </row>
    <row r="4626" spans="1:10">
      <c r="A4626" s="7" t="s">
        <v>4660</v>
      </c>
      <c r="B4626" s="7" t="s">
        <v>6493</v>
      </c>
      <c r="C4626" s="8">
        <f>QS.CONTEXT.CREATE("market.4624",A4626,"USD","SOFR")</f>
        <v/>
      </c>
      <c r="D4626" s="8">
        <f>QS.CONTEXT.ADD.CURVE(C4626,"SOFR",$K$2:$K$7,$L$2:$L$7,,,"Actual360","LogLinear",TRUE)</f>
        <v/>
      </c>
      <c r="E4626" s="8">
        <f>QS.INSTRUMENT.SWAP("swap.4624",C4626,H4626,B4626,"USD","SOFR",I4626,J4626,0,"Actual360","Simple","Annual","Annual","Annual")</f>
        <v/>
      </c>
      <c r="F4626" s="8">
        <f>QS.TRADE.CREATE("trade.4624",C4626,E4626,A4626,"Receive")</f>
        <v/>
      </c>
      <c r="G4626" s="5"/>
      <c r="H4626" s="7" t="s">
        <v>4667</v>
      </c>
      <c r="I4626" s="9">
        <v>1462400</v>
      </c>
      <c r="J4626" s="10">
        <v>0.0374</v>
      </c>
    </row>
    <row r="4627" spans="1:10">
      <c r="A4627" s="7" t="s">
        <v>4661</v>
      </c>
      <c r="B4627" s="7" t="s">
        <v>6494</v>
      </c>
      <c r="C4627" s="8">
        <f>QS.CONTEXT.CREATE("market.4625",A4627,"USD","SOFR")</f>
        <v/>
      </c>
      <c r="D4627" s="8">
        <f>QS.CONTEXT.ADD.CURVE(C4627,"SOFR",$K$2:$K$7,$L$2:$L$7,,,"Actual360","LogLinear",TRUE)</f>
        <v/>
      </c>
      <c r="E4627" s="8">
        <f>QS.INSTRUMENT.SWAP("swap.4625",C4627,H4627,B4627,"USD","SOFR",I4627,J4627,0,"Actual360","Simple","Annual","Annual","Annual")</f>
        <v/>
      </c>
      <c r="F4627" s="8">
        <f>QS.TRADE.CREATE("trade.4625",C4627,E4627,A4627,"Receive")</f>
        <v/>
      </c>
      <c r="G4627" s="5"/>
      <c r="H4627" s="7" t="s">
        <v>4668</v>
      </c>
      <c r="I4627" s="9">
        <v>1462500</v>
      </c>
      <c r="J4627" s="10">
        <v>0.03750000000000001</v>
      </c>
    </row>
    <row r="4628" spans="1:10">
      <c r="A4628" s="7" t="s">
        <v>4662</v>
      </c>
      <c r="B4628" s="7" t="s">
        <v>6495</v>
      </c>
      <c r="C4628" s="8">
        <f>QS.CONTEXT.CREATE("market.4626",A4628,"USD","SOFR")</f>
        <v/>
      </c>
      <c r="D4628" s="8">
        <f>QS.CONTEXT.ADD.CURVE(C4628,"SOFR",$K$2:$K$7,$L$2:$L$7,,,"Actual360","LogLinear",TRUE)</f>
        <v/>
      </c>
      <c r="E4628" s="8">
        <f>QS.INSTRUMENT.SWAP("swap.4626",C4628,H4628,B4628,"USD","SOFR",I4628,J4628,0,"Actual360","Simple","Annual","Annual","Annual")</f>
        <v/>
      </c>
      <c r="F4628" s="8">
        <f>QS.TRADE.CREATE("trade.4626",C4628,E4628,A4628,"Receive")</f>
        <v/>
      </c>
      <c r="G4628" s="5"/>
      <c r="H4628" s="7" t="s">
        <v>4669</v>
      </c>
      <c r="I4628" s="9">
        <v>1462600</v>
      </c>
      <c r="J4628" s="10">
        <v>0.0376</v>
      </c>
    </row>
    <row r="4629" spans="1:10">
      <c r="A4629" s="7" t="s">
        <v>4663</v>
      </c>
      <c r="B4629" s="7" t="s">
        <v>6496</v>
      </c>
      <c r="C4629" s="8">
        <f>QS.CONTEXT.CREATE("market.4627",A4629,"USD","SOFR")</f>
        <v/>
      </c>
      <c r="D4629" s="8">
        <f>QS.CONTEXT.ADD.CURVE(C4629,"SOFR",$K$2:$K$7,$L$2:$L$7,,,"Actual360","LogLinear",TRUE)</f>
        <v/>
      </c>
      <c r="E4629" s="8">
        <f>QS.INSTRUMENT.SWAP("swap.4627",C4629,H4629,B4629,"USD","SOFR",I4629,J4629,0,"Actual360","Simple","Annual","Annual","Annual")</f>
        <v/>
      </c>
      <c r="F4629" s="8">
        <f>QS.TRADE.CREATE("trade.4627",C4629,E4629,A4629,"Receive")</f>
        <v/>
      </c>
      <c r="G4629" s="5"/>
      <c r="H4629" s="7" t="s">
        <v>4670</v>
      </c>
      <c r="I4629" s="9">
        <v>1462700</v>
      </c>
      <c r="J4629" s="10">
        <v>0.0377</v>
      </c>
    </row>
    <row r="4630" spans="1:10">
      <c r="A4630" s="7" t="s">
        <v>4664</v>
      </c>
      <c r="B4630" s="7" t="s">
        <v>6497</v>
      </c>
      <c r="C4630" s="8">
        <f>QS.CONTEXT.CREATE("market.4628",A4630,"USD","SOFR")</f>
        <v/>
      </c>
      <c r="D4630" s="8">
        <f>QS.CONTEXT.ADD.CURVE(C4630,"SOFR",$K$2:$K$7,$L$2:$L$7,,,"Actual360","LogLinear",TRUE)</f>
        <v/>
      </c>
      <c r="E4630" s="8">
        <f>QS.INSTRUMENT.SWAP("swap.4628",C4630,H4630,B4630,"USD","SOFR",I4630,J4630,0,"Actual360","Simple","Annual","Annual","Annual")</f>
        <v/>
      </c>
      <c r="F4630" s="8">
        <f>QS.TRADE.CREATE("trade.4628",C4630,E4630,A4630,"Receive")</f>
        <v/>
      </c>
      <c r="G4630" s="5"/>
      <c r="H4630" s="7" t="s">
        <v>4671</v>
      </c>
      <c r="I4630" s="9">
        <v>1462800</v>
      </c>
      <c r="J4630" s="10">
        <v>0.0378</v>
      </c>
    </row>
    <row r="4631" spans="1:10">
      <c r="A4631" s="7" t="s">
        <v>4665</v>
      </c>
      <c r="B4631" s="7" t="s">
        <v>6498</v>
      </c>
      <c r="C4631" s="8">
        <f>QS.CONTEXT.CREATE("market.4629",A4631,"USD","SOFR")</f>
        <v/>
      </c>
      <c r="D4631" s="8">
        <f>QS.CONTEXT.ADD.CURVE(C4631,"SOFR",$K$2:$K$7,$L$2:$L$7,,,"Actual360","LogLinear",TRUE)</f>
        <v/>
      </c>
      <c r="E4631" s="8">
        <f>QS.INSTRUMENT.SWAP("swap.4629",C4631,H4631,B4631,"USD","SOFR",I4631,J4631,0,"Actual360","Simple","Annual","Annual","Annual")</f>
        <v/>
      </c>
      <c r="F4631" s="8">
        <f>QS.TRADE.CREATE("trade.4629",C4631,E4631,A4631,"Receive")</f>
        <v/>
      </c>
      <c r="G4631" s="5"/>
      <c r="H4631" s="7" t="s">
        <v>4672</v>
      </c>
      <c r="I4631" s="9">
        <v>1462900</v>
      </c>
      <c r="J4631" s="10">
        <v>0.0379</v>
      </c>
    </row>
    <row r="4632" spans="1:10">
      <c r="A4632" s="7" t="s">
        <v>4666</v>
      </c>
      <c r="B4632" s="7" t="s">
        <v>6499</v>
      </c>
      <c r="C4632" s="8">
        <f>QS.CONTEXT.CREATE("market.4630",A4632,"USD","SOFR")</f>
        <v/>
      </c>
      <c r="D4632" s="8">
        <f>QS.CONTEXT.ADD.CURVE(C4632,"SOFR",$K$2:$K$7,$L$2:$L$7,,,"Actual360","LogLinear",TRUE)</f>
        <v/>
      </c>
      <c r="E4632" s="8">
        <f>QS.INSTRUMENT.SWAP("swap.4630",C4632,H4632,B4632,"USD","SOFR",I4632,J4632,0,"Actual360","Simple","Annual","Annual","Annual")</f>
        <v/>
      </c>
      <c r="F4632" s="8">
        <f>QS.TRADE.CREATE("trade.4630",C4632,E4632,A4632,"Receive")</f>
        <v/>
      </c>
      <c r="G4632" s="5"/>
      <c r="H4632" s="7" t="s">
        <v>4673</v>
      </c>
      <c r="I4632" s="9">
        <v>1463000</v>
      </c>
      <c r="J4632" s="10">
        <v>0.03800000000000001</v>
      </c>
    </row>
    <row r="4633" spans="1:10">
      <c r="A4633" s="7" t="s">
        <v>4667</v>
      </c>
      <c r="B4633" s="7" t="s">
        <v>6500</v>
      </c>
      <c r="C4633" s="8">
        <f>QS.CONTEXT.CREATE("market.4631",A4633,"USD","SOFR")</f>
        <v/>
      </c>
      <c r="D4633" s="8">
        <f>QS.CONTEXT.ADD.CURVE(C4633,"SOFR",$K$2:$K$7,$L$2:$L$7,,,"Actual360","LogLinear",TRUE)</f>
        <v/>
      </c>
      <c r="E4633" s="8">
        <f>QS.INSTRUMENT.SWAP("swap.4631",C4633,H4633,B4633,"USD","SOFR",I4633,J4633,0,"Actual360","Simple","Annual","Annual","Annual")</f>
        <v/>
      </c>
      <c r="F4633" s="8">
        <f>QS.TRADE.CREATE("trade.4631",C4633,E4633,A4633,"Receive")</f>
        <v/>
      </c>
      <c r="G4633" s="5"/>
      <c r="H4633" s="7" t="s">
        <v>4674</v>
      </c>
      <c r="I4633" s="9">
        <v>1463100</v>
      </c>
      <c r="J4633" s="10">
        <v>0.0381</v>
      </c>
    </row>
    <row r="4634" spans="1:10">
      <c r="A4634" s="7" t="s">
        <v>4668</v>
      </c>
      <c r="B4634" s="7" t="s">
        <v>6501</v>
      </c>
      <c r="C4634" s="8">
        <f>QS.CONTEXT.CREATE("market.4632",A4634,"USD","SOFR")</f>
        <v/>
      </c>
      <c r="D4634" s="8">
        <f>QS.CONTEXT.ADD.CURVE(C4634,"SOFR",$K$2:$K$7,$L$2:$L$7,,,"Actual360","LogLinear",TRUE)</f>
        <v/>
      </c>
      <c r="E4634" s="8">
        <f>QS.INSTRUMENT.SWAP("swap.4632",C4634,H4634,B4634,"USD","SOFR",I4634,J4634,0,"Actual360","Simple","Annual","Annual","Annual")</f>
        <v/>
      </c>
      <c r="F4634" s="8">
        <f>QS.TRADE.CREATE("trade.4632",C4634,E4634,A4634,"Receive")</f>
        <v/>
      </c>
      <c r="G4634" s="5"/>
      <c r="H4634" s="7" t="s">
        <v>4675</v>
      </c>
      <c r="I4634" s="9">
        <v>1463200</v>
      </c>
      <c r="J4634" s="10">
        <v>0.0382</v>
      </c>
    </row>
    <row r="4635" spans="1:10">
      <c r="A4635" s="7" t="s">
        <v>4669</v>
      </c>
      <c r="B4635" s="7" t="s">
        <v>6502</v>
      </c>
      <c r="C4635" s="8">
        <f>QS.CONTEXT.CREATE("market.4633",A4635,"USD","SOFR")</f>
        <v/>
      </c>
      <c r="D4635" s="8">
        <f>QS.CONTEXT.ADD.CURVE(C4635,"SOFR",$K$2:$K$7,$L$2:$L$7,,,"Actual360","LogLinear",TRUE)</f>
        <v/>
      </c>
      <c r="E4635" s="8">
        <f>QS.INSTRUMENT.SWAP("swap.4633",C4635,H4635,B4635,"USD","SOFR",I4635,J4635,0,"Actual360","Simple","Annual","Annual","Annual")</f>
        <v/>
      </c>
      <c r="F4635" s="8">
        <f>QS.TRADE.CREATE("trade.4633",C4635,E4635,A4635,"Receive")</f>
        <v/>
      </c>
      <c r="G4635" s="5"/>
      <c r="H4635" s="7" t="s">
        <v>4676</v>
      </c>
      <c r="I4635" s="9">
        <v>1463300</v>
      </c>
      <c r="J4635" s="10">
        <v>0.0383</v>
      </c>
    </row>
    <row r="4636" spans="1:10">
      <c r="A4636" s="7" t="s">
        <v>4670</v>
      </c>
      <c r="B4636" s="7" t="s">
        <v>6503</v>
      </c>
      <c r="C4636" s="8">
        <f>QS.CONTEXT.CREATE("market.4634",A4636,"USD","SOFR")</f>
        <v/>
      </c>
      <c r="D4636" s="8">
        <f>QS.CONTEXT.ADD.CURVE(C4636,"SOFR",$K$2:$K$7,$L$2:$L$7,,,"Actual360","LogLinear",TRUE)</f>
        <v/>
      </c>
      <c r="E4636" s="8">
        <f>QS.INSTRUMENT.SWAP("swap.4634",C4636,H4636,B4636,"USD","SOFR",I4636,J4636,0,"Actual360","Simple","Annual","Annual","Annual")</f>
        <v/>
      </c>
      <c r="F4636" s="8">
        <f>QS.TRADE.CREATE("trade.4634",C4636,E4636,A4636,"Receive")</f>
        <v/>
      </c>
      <c r="G4636" s="5"/>
      <c r="H4636" s="7" t="s">
        <v>4677</v>
      </c>
      <c r="I4636" s="9">
        <v>1463400</v>
      </c>
      <c r="J4636" s="10">
        <v>0.0384</v>
      </c>
    </row>
    <row r="4637" spans="1:10">
      <c r="A4637" s="7" t="s">
        <v>4671</v>
      </c>
      <c r="B4637" s="7" t="s">
        <v>6504</v>
      </c>
      <c r="C4637" s="8">
        <f>QS.CONTEXT.CREATE("market.4635",A4637,"USD","SOFR")</f>
        <v/>
      </c>
      <c r="D4637" s="8">
        <f>QS.CONTEXT.ADD.CURVE(C4637,"SOFR",$K$2:$K$7,$L$2:$L$7,,,"Actual360","LogLinear",TRUE)</f>
        <v/>
      </c>
      <c r="E4637" s="8">
        <f>QS.INSTRUMENT.SWAP("swap.4635",C4637,H4637,B4637,"USD","SOFR",I4637,J4637,0,"Actual360","Simple","Annual","Annual","Annual")</f>
        <v/>
      </c>
      <c r="F4637" s="8">
        <f>QS.TRADE.CREATE("trade.4635",C4637,E4637,A4637,"Receive")</f>
        <v/>
      </c>
      <c r="G4637" s="5"/>
      <c r="H4637" s="7" t="s">
        <v>4678</v>
      </c>
      <c r="I4637" s="9">
        <v>1463500</v>
      </c>
      <c r="J4637" s="10">
        <v>0.03850000000000001</v>
      </c>
    </row>
    <row r="4638" spans="1:10">
      <c r="A4638" s="7" t="s">
        <v>4672</v>
      </c>
      <c r="B4638" s="7" t="s">
        <v>6505</v>
      </c>
      <c r="C4638" s="8">
        <f>QS.CONTEXT.CREATE("market.4636",A4638,"USD","SOFR")</f>
        <v/>
      </c>
      <c r="D4638" s="8">
        <f>QS.CONTEXT.ADD.CURVE(C4638,"SOFR",$K$2:$K$7,$L$2:$L$7,,,"Actual360","LogLinear",TRUE)</f>
        <v/>
      </c>
      <c r="E4638" s="8">
        <f>QS.INSTRUMENT.SWAP("swap.4636",C4638,H4638,B4638,"USD","SOFR",I4638,J4638,0,"Actual360","Simple","Annual","Annual","Annual")</f>
        <v/>
      </c>
      <c r="F4638" s="8">
        <f>QS.TRADE.CREATE("trade.4636",C4638,E4638,A4638,"Receive")</f>
        <v/>
      </c>
      <c r="G4638" s="5"/>
      <c r="H4638" s="7" t="s">
        <v>4679</v>
      </c>
      <c r="I4638" s="9">
        <v>1463600</v>
      </c>
      <c r="J4638" s="10">
        <v>0.0386</v>
      </c>
    </row>
    <row r="4639" spans="1:10">
      <c r="A4639" s="7" t="s">
        <v>4673</v>
      </c>
      <c r="B4639" s="7" t="s">
        <v>6506</v>
      </c>
      <c r="C4639" s="8">
        <f>QS.CONTEXT.CREATE("market.4637",A4639,"USD","SOFR")</f>
        <v/>
      </c>
      <c r="D4639" s="8">
        <f>QS.CONTEXT.ADD.CURVE(C4639,"SOFR",$K$2:$K$7,$L$2:$L$7,,,"Actual360","LogLinear",TRUE)</f>
        <v/>
      </c>
      <c r="E4639" s="8">
        <f>QS.INSTRUMENT.SWAP("swap.4637",C4639,H4639,B4639,"USD","SOFR",I4639,J4639,0,"Actual360","Simple","Annual","Annual","Annual")</f>
        <v/>
      </c>
      <c r="F4639" s="8">
        <f>QS.TRADE.CREATE("trade.4637",C4639,E4639,A4639,"Receive")</f>
        <v/>
      </c>
      <c r="G4639" s="5"/>
      <c r="H4639" s="7" t="s">
        <v>4680</v>
      </c>
      <c r="I4639" s="9">
        <v>1463700</v>
      </c>
      <c r="J4639" s="10">
        <v>0.03870000000000001</v>
      </c>
    </row>
    <row r="4640" spans="1:10">
      <c r="A4640" s="7" t="s">
        <v>4674</v>
      </c>
      <c r="B4640" s="7" t="s">
        <v>6507</v>
      </c>
      <c r="C4640" s="8">
        <f>QS.CONTEXT.CREATE("market.4638",A4640,"USD","SOFR")</f>
        <v/>
      </c>
      <c r="D4640" s="8">
        <f>QS.CONTEXT.ADD.CURVE(C4640,"SOFR",$K$2:$K$7,$L$2:$L$7,,,"Actual360","LogLinear",TRUE)</f>
        <v/>
      </c>
      <c r="E4640" s="8">
        <f>QS.INSTRUMENT.SWAP("swap.4638",C4640,H4640,B4640,"USD","SOFR",I4640,J4640,0,"Actual360","Simple","Annual","Annual","Annual")</f>
        <v/>
      </c>
      <c r="F4640" s="8">
        <f>QS.TRADE.CREATE("trade.4638",C4640,E4640,A4640,"Receive")</f>
        <v/>
      </c>
      <c r="G4640" s="5"/>
      <c r="H4640" s="7" t="s">
        <v>4681</v>
      </c>
      <c r="I4640" s="9">
        <v>1463800</v>
      </c>
      <c r="J4640" s="10">
        <v>0.0388</v>
      </c>
    </row>
    <row r="4641" spans="1:10">
      <c r="A4641" s="7" t="s">
        <v>4675</v>
      </c>
      <c r="B4641" s="7" t="s">
        <v>6508</v>
      </c>
      <c r="C4641" s="8">
        <f>QS.CONTEXT.CREATE("market.4639",A4641,"USD","SOFR")</f>
        <v/>
      </c>
      <c r="D4641" s="8">
        <f>QS.CONTEXT.ADD.CURVE(C4641,"SOFR",$K$2:$K$7,$L$2:$L$7,,,"Actual360","LogLinear",TRUE)</f>
        <v/>
      </c>
      <c r="E4641" s="8">
        <f>QS.INSTRUMENT.SWAP("swap.4639",C4641,H4641,B4641,"USD","SOFR",I4641,J4641,0,"Actual360","Simple","Annual","Annual","Annual")</f>
        <v/>
      </c>
      <c r="F4641" s="8">
        <f>QS.TRADE.CREATE("trade.4639",C4641,E4641,A4641,"Receive")</f>
        <v/>
      </c>
      <c r="G4641" s="5"/>
      <c r="H4641" s="7" t="s">
        <v>4682</v>
      </c>
      <c r="I4641" s="9">
        <v>1463900</v>
      </c>
      <c r="J4641" s="10">
        <v>0.0389</v>
      </c>
    </row>
    <row r="4642" spans="1:10">
      <c r="A4642" s="7" t="s">
        <v>4676</v>
      </c>
      <c r="B4642" s="7" t="s">
        <v>6509</v>
      </c>
      <c r="C4642" s="8">
        <f>QS.CONTEXT.CREATE("market.4640",A4642,"USD","SOFR")</f>
        <v/>
      </c>
      <c r="D4642" s="8">
        <f>QS.CONTEXT.ADD.CURVE(C4642,"SOFR",$K$2:$K$7,$L$2:$L$7,,,"Actual360","LogLinear",TRUE)</f>
        <v/>
      </c>
      <c r="E4642" s="8">
        <f>QS.INSTRUMENT.SWAP("swap.4640",C4642,H4642,B4642,"USD","SOFR",I4642,J4642,0,"Actual360","Simple","Annual","Annual","Annual")</f>
        <v/>
      </c>
      <c r="F4642" s="8">
        <f>QS.TRADE.CREATE("trade.4640",C4642,E4642,A4642,"Receive")</f>
        <v/>
      </c>
      <c r="G4642" s="5"/>
      <c r="H4642" s="7" t="s">
        <v>4683</v>
      </c>
      <c r="I4642" s="9">
        <v>1464000</v>
      </c>
      <c r="J4642" s="10">
        <v>0.03900000000000001</v>
      </c>
    </row>
    <row r="4643" spans="1:10">
      <c r="A4643" s="7" t="s">
        <v>4677</v>
      </c>
      <c r="B4643" s="7" t="s">
        <v>6510</v>
      </c>
      <c r="C4643" s="8">
        <f>QS.CONTEXT.CREATE("market.4641",A4643,"USD","SOFR")</f>
        <v/>
      </c>
      <c r="D4643" s="8">
        <f>QS.CONTEXT.ADD.CURVE(C4643,"SOFR",$K$2:$K$7,$L$2:$L$7,,,"Actual360","LogLinear",TRUE)</f>
        <v/>
      </c>
      <c r="E4643" s="8">
        <f>QS.INSTRUMENT.SWAP("swap.4641",C4643,H4643,B4643,"USD","SOFR",I4643,J4643,0,"Actual360","Simple","Annual","Annual","Annual")</f>
        <v/>
      </c>
      <c r="F4643" s="8">
        <f>QS.TRADE.CREATE("trade.4641",C4643,E4643,A4643,"Receive")</f>
        <v/>
      </c>
      <c r="G4643" s="5"/>
      <c r="H4643" s="7" t="s">
        <v>4684</v>
      </c>
      <c r="I4643" s="9">
        <v>1464100</v>
      </c>
      <c r="J4643" s="10">
        <v>0.0391</v>
      </c>
    </row>
    <row r="4644" spans="1:10">
      <c r="A4644" s="7" t="s">
        <v>4678</v>
      </c>
      <c r="B4644" s="7" t="s">
        <v>6511</v>
      </c>
      <c r="C4644" s="8">
        <f>QS.CONTEXT.CREATE("market.4642",A4644,"USD","SOFR")</f>
        <v/>
      </c>
      <c r="D4644" s="8">
        <f>QS.CONTEXT.ADD.CURVE(C4644,"SOFR",$K$2:$K$7,$L$2:$L$7,,,"Actual360","LogLinear",TRUE)</f>
        <v/>
      </c>
      <c r="E4644" s="8">
        <f>QS.INSTRUMENT.SWAP("swap.4642",C4644,H4644,B4644,"USD","SOFR",I4644,J4644,0,"Actual360","Simple","Annual","Annual","Annual")</f>
        <v/>
      </c>
      <c r="F4644" s="8">
        <f>QS.TRADE.CREATE("trade.4642",C4644,E4644,A4644,"Receive")</f>
        <v/>
      </c>
      <c r="G4644" s="5"/>
      <c r="H4644" s="7" t="s">
        <v>4685</v>
      </c>
      <c r="I4644" s="9">
        <v>1464200</v>
      </c>
      <c r="J4644" s="10">
        <v>0.03920000000000001</v>
      </c>
    </row>
    <row r="4645" spans="1:10">
      <c r="A4645" s="7" t="s">
        <v>4679</v>
      </c>
      <c r="B4645" s="7" t="s">
        <v>6512</v>
      </c>
      <c r="C4645" s="8">
        <f>QS.CONTEXT.CREATE("market.4643",A4645,"USD","SOFR")</f>
        <v/>
      </c>
      <c r="D4645" s="8">
        <f>QS.CONTEXT.ADD.CURVE(C4645,"SOFR",$K$2:$K$7,$L$2:$L$7,,,"Actual360","LogLinear",TRUE)</f>
        <v/>
      </c>
      <c r="E4645" s="8">
        <f>QS.INSTRUMENT.SWAP("swap.4643",C4645,H4645,B4645,"USD","SOFR",I4645,J4645,0,"Actual360","Simple","Annual","Annual","Annual")</f>
        <v/>
      </c>
      <c r="F4645" s="8">
        <f>QS.TRADE.CREATE("trade.4643",C4645,E4645,A4645,"Receive")</f>
        <v/>
      </c>
      <c r="G4645" s="5"/>
      <c r="H4645" s="7" t="s">
        <v>4686</v>
      </c>
      <c r="I4645" s="9">
        <v>1464300</v>
      </c>
      <c r="J4645" s="10">
        <v>0.0393</v>
      </c>
    </row>
    <row r="4646" spans="1:10">
      <c r="A4646" s="7" t="s">
        <v>4680</v>
      </c>
      <c r="B4646" s="7" t="s">
        <v>6513</v>
      </c>
      <c r="C4646" s="8">
        <f>QS.CONTEXT.CREATE("market.4644",A4646,"USD","SOFR")</f>
        <v/>
      </c>
      <c r="D4646" s="8">
        <f>QS.CONTEXT.ADD.CURVE(C4646,"SOFR",$K$2:$K$7,$L$2:$L$7,,,"Actual360","LogLinear",TRUE)</f>
        <v/>
      </c>
      <c r="E4646" s="8">
        <f>QS.INSTRUMENT.SWAP("swap.4644",C4646,H4646,B4646,"USD","SOFR",I4646,J4646,0,"Actual360","Simple","Annual","Annual","Annual")</f>
        <v/>
      </c>
      <c r="F4646" s="8">
        <f>QS.TRADE.CREATE("trade.4644",C4646,E4646,A4646,"Receive")</f>
        <v/>
      </c>
      <c r="G4646" s="5"/>
      <c r="H4646" s="7" t="s">
        <v>4687</v>
      </c>
      <c r="I4646" s="9">
        <v>1464400</v>
      </c>
      <c r="J4646" s="10">
        <v>0.0394</v>
      </c>
    </row>
    <row r="4647" spans="1:10">
      <c r="A4647" s="7" t="s">
        <v>4681</v>
      </c>
      <c r="B4647" s="7" t="s">
        <v>6514</v>
      </c>
      <c r="C4647" s="8">
        <f>QS.CONTEXT.CREATE("market.4645",A4647,"USD","SOFR")</f>
        <v/>
      </c>
      <c r="D4647" s="8">
        <f>QS.CONTEXT.ADD.CURVE(C4647,"SOFR",$K$2:$K$7,$L$2:$L$7,,,"Actual360","LogLinear",TRUE)</f>
        <v/>
      </c>
      <c r="E4647" s="8">
        <f>QS.INSTRUMENT.SWAP("swap.4645",C4647,H4647,B4647,"USD","SOFR",I4647,J4647,0,"Actual360","Simple","Annual","Annual","Annual")</f>
        <v/>
      </c>
      <c r="F4647" s="8">
        <f>QS.TRADE.CREATE("trade.4645",C4647,E4647,A4647,"Receive")</f>
        <v/>
      </c>
      <c r="G4647" s="5"/>
      <c r="H4647" s="7" t="s">
        <v>4688</v>
      </c>
      <c r="I4647" s="9">
        <v>1464500</v>
      </c>
      <c r="J4647" s="10">
        <v>0.03950000000000001</v>
      </c>
    </row>
    <row r="4648" spans="1:10">
      <c r="A4648" s="7" t="s">
        <v>4682</v>
      </c>
      <c r="B4648" s="7" t="s">
        <v>6515</v>
      </c>
      <c r="C4648" s="8">
        <f>QS.CONTEXT.CREATE("market.4646",A4648,"USD","SOFR")</f>
        <v/>
      </c>
      <c r="D4648" s="8">
        <f>QS.CONTEXT.ADD.CURVE(C4648,"SOFR",$K$2:$K$7,$L$2:$L$7,,,"Actual360","LogLinear",TRUE)</f>
        <v/>
      </c>
      <c r="E4648" s="8">
        <f>QS.INSTRUMENT.SWAP("swap.4646",C4648,H4648,B4648,"USD","SOFR",I4648,J4648,0,"Actual360","Simple","Annual","Annual","Annual")</f>
        <v/>
      </c>
      <c r="F4648" s="8">
        <f>QS.TRADE.CREATE("trade.4646",C4648,E4648,A4648,"Receive")</f>
        <v/>
      </c>
      <c r="G4648" s="5"/>
      <c r="H4648" s="7" t="s">
        <v>4689</v>
      </c>
      <c r="I4648" s="9">
        <v>1464600</v>
      </c>
      <c r="J4648" s="10">
        <v>0.0396</v>
      </c>
    </row>
    <row r="4649" spans="1:10">
      <c r="A4649" s="7" t="s">
        <v>4683</v>
      </c>
      <c r="B4649" s="7" t="s">
        <v>6516</v>
      </c>
      <c r="C4649" s="8">
        <f>QS.CONTEXT.CREATE("market.4647",A4649,"USD","SOFR")</f>
        <v/>
      </c>
      <c r="D4649" s="8">
        <f>QS.CONTEXT.ADD.CURVE(C4649,"SOFR",$K$2:$K$7,$L$2:$L$7,,,"Actual360","LogLinear",TRUE)</f>
        <v/>
      </c>
      <c r="E4649" s="8">
        <f>QS.INSTRUMENT.SWAP("swap.4647",C4649,H4649,B4649,"USD","SOFR",I4649,J4649,0,"Actual360","Simple","Annual","Annual","Annual")</f>
        <v/>
      </c>
      <c r="F4649" s="8">
        <f>QS.TRADE.CREATE("trade.4647",C4649,E4649,A4649,"Receive")</f>
        <v/>
      </c>
      <c r="G4649" s="5"/>
      <c r="H4649" s="7" t="s">
        <v>4690</v>
      </c>
      <c r="I4649" s="9">
        <v>1464700</v>
      </c>
      <c r="J4649" s="10">
        <v>0.03970000000000001</v>
      </c>
    </row>
    <row r="4650" spans="1:10">
      <c r="A4650" s="7" t="s">
        <v>4684</v>
      </c>
      <c r="B4650" s="7" t="s">
        <v>6517</v>
      </c>
      <c r="C4650" s="8">
        <f>QS.CONTEXT.CREATE("market.4648",A4650,"USD","SOFR")</f>
        <v/>
      </c>
      <c r="D4650" s="8">
        <f>QS.CONTEXT.ADD.CURVE(C4650,"SOFR",$K$2:$K$7,$L$2:$L$7,,,"Actual360","LogLinear",TRUE)</f>
        <v/>
      </c>
      <c r="E4650" s="8">
        <f>QS.INSTRUMENT.SWAP("swap.4648",C4650,H4650,B4650,"USD","SOFR",I4650,J4650,0,"Actual360","Simple","Annual","Annual","Annual")</f>
        <v/>
      </c>
      <c r="F4650" s="8">
        <f>QS.TRADE.CREATE("trade.4648",C4650,E4650,A4650,"Receive")</f>
        <v/>
      </c>
      <c r="G4650" s="5"/>
      <c r="H4650" s="7" t="s">
        <v>4691</v>
      </c>
      <c r="I4650" s="9">
        <v>1464800</v>
      </c>
      <c r="J4650" s="10">
        <v>0.0398</v>
      </c>
    </row>
    <row r="4651" spans="1:10">
      <c r="A4651" s="7" t="s">
        <v>4685</v>
      </c>
      <c r="B4651" s="7" t="s">
        <v>6518</v>
      </c>
      <c r="C4651" s="8">
        <f>QS.CONTEXT.CREATE("market.4649",A4651,"USD","SOFR")</f>
        <v/>
      </c>
      <c r="D4651" s="8">
        <f>QS.CONTEXT.ADD.CURVE(C4651,"SOFR",$K$2:$K$7,$L$2:$L$7,,,"Actual360","LogLinear",TRUE)</f>
        <v/>
      </c>
      <c r="E4651" s="8">
        <f>QS.INSTRUMENT.SWAP("swap.4649",C4651,H4651,B4651,"USD","SOFR",I4651,J4651,0,"Actual360","Simple","Annual","Annual","Annual")</f>
        <v/>
      </c>
      <c r="F4651" s="8">
        <f>QS.TRADE.CREATE("trade.4649",C4651,E4651,A4651,"Receive")</f>
        <v/>
      </c>
      <c r="G4651" s="5"/>
      <c r="H4651" s="7" t="s">
        <v>4692</v>
      </c>
      <c r="I4651" s="9">
        <v>1464900</v>
      </c>
      <c r="J4651" s="10">
        <v>0.0399</v>
      </c>
    </row>
    <row r="4652" spans="1:10">
      <c r="A4652" s="7" t="s">
        <v>4686</v>
      </c>
      <c r="B4652" s="7" t="s">
        <v>6519</v>
      </c>
      <c r="C4652" s="8">
        <f>QS.CONTEXT.CREATE("market.4650",A4652,"USD","SOFR")</f>
        <v/>
      </c>
      <c r="D4652" s="8">
        <f>QS.CONTEXT.ADD.CURVE(C4652,"SOFR",$K$2:$K$7,$L$2:$L$7,,,"Actual360","LogLinear",TRUE)</f>
        <v/>
      </c>
      <c r="E4652" s="8">
        <f>QS.INSTRUMENT.SWAP("swap.4650",C4652,H4652,B4652,"USD","SOFR",I4652,J4652,0,"Actual360","Simple","Annual","Annual","Annual")</f>
        <v/>
      </c>
      <c r="F4652" s="8">
        <f>QS.TRADE.CREATE("trade.4650",C4652,E4652,A4652,"Receive")</f>
        <v/>
      </c>
      <c r="G4652" s="5"/>
      <c r="H4652" s="7" t="s">
        <v>4693</v>
      </c>
      <c r="I4652" s="9">
        <v>1465000</v>
      </c>
      <c r="J4652" s="10">
        <v>0.035</v>
      </c>
    </row>
    <row r="4653" spans="1:10">
      <c r="A4653" s="7" t="s">
        <v>4687</v>
      </c>
      <c r="B4653" s="7" t="s">
        <v>6520</v>
      </c>
      <c r="C4653" s="8">
        <f>QS.CONTEXT.CREATE("market.4651",A4653,"USD","SOFR")</f>
        <v/>
      </c>
      <c r="D4653" s="8">
        <f>QS.CONTEXT.ADD.CURVE(C4653,"SOFR",$K$2:$K$7,$L$2:$L$7,,,"Actual360","LogLinear",TRUE)</f>
        <v/>
      </c>
      <c r="E4653" s="8">
        <f>QS.INSTRUMENT.SWAP("swap.4651",C4653,H4653,B4653,"USD","SOFR",I4653,J4653,0,"Actual360","Simple","Annual","Annual","Annual")</f>
        <v/>
      </c>
      <c r="F4653" s="8">
        <f>QS.TRADE.CREATE("trade.4651",C4653,E4653,A4653,"Receive")</f>
        <v/>
      </c>
      <c r="G4653" s="5"/>
      <c r="H4653" s="7" t="s">
        <v>4694</v>
      </c>
      <c r="I4653" s="9">
        <v>1465100</v>
      </c>
      <c r="J4653" s="10">
        <v>0.03510000000000001</v>
      </c>
    </row>
    <row r="4654" spans="1:10">
      <c r="A4654" s="7" t="s">
        <v>4688</v>
      </c>
      <c r="B4654" s="7" t="s">
        <v>6521</v>
      </c>
      <c r="C4654" s="8">
        <f>QS.CONTEXT.CREATE("market.4652",A4654,"USD","SOFR")</f>
        <v/>
      </c>
      <c r="D4654" s="8">
        <f>QS.CONTEXT.ADD.CURVE(C4654,"SOFR",$K$2:$K$7,$L$2:$L$7,,,"Actual360","LogLinear",TRUE)</f>
        <v/>
      </c>
      <c r="E4654" s="8">
        <f>QS.INSTRUMENT.SWAP("swap.4652",C4654,H4654,B4654,"USD","SOFR",I4654,J4654,0,"Actual360","Simple","Annual","Annual","Annual")</f>
        <v/>
      </c>
      <c r="F4654" s="8">
        <f>QS.TRADE.CREATE("trade.4652",C4654,E4654,A4654,"Receive")</f>
        <v/>
      </c>
      <c r="G4654" s="5"/>
      <c r="H4654" s="7" t="s">
        <v>4695</v>
      </c>
      <c r="I4654" s="9">
        <v>1465200</v>
      </c>
      <c r="J4654" s="10">
        <v>0.0352</v>
      </c>
    </row>
    <row r="4655" spans="1:10">
      <c r="A4655" s="7" t="s">
        <v>4689</v>
      </c>
      <c r="B4655" s="7" t="s">
        <v>6522</v>
      </c>
      <c r="C4655" s="8">
        <f>QS.CONTEXT.CREATE("market.4653",A4655,"USD","SOFR")</f>
        <v/>
      </c>
      <c r="D4655" s="8">
        <f>QS.CONTEXT.ADD.CURVE(C4655,"SOFR",$K$2:$K$7,$L$2:$L$7,,,"Actual360","LogLinear",TRUE)</f>
        <v/>
      </c>
      <c r="E4655" s="8">
        <f>QS.INSTRUMENT.SWAP("swap.4653",C4655,H4655,B4655,"USD","SOFR",I4655,J4655,0,"Actual360","Simple","Annual","Annual","Annual")</f>
        <v/>
      </c>
      <c r="F4655" s="8">
        <f>QS.TRADE.CREATE("trade.4653",C4655,E4655,A4655,"Receive")</f>
        <v/>
      </c>
      <c r="G4655" s="5"/>
      <c r="H4655" s="7" t="s">
        <v>4696</v>
      </c>
      <c r="I4655" s="9">
        <v>1465300</v>
      </c>
      <c r="J4655" s="10">
        <v>0.0353</v>
      </c>
    </row>
    <row r="4656" spans="1:10">
      <c r="A4656" s="7" t="s">
        <v>4690</v>
      </c>
      <c r="B4656" s="7" t="s">
        <v>6523</v>
      </c>
      <c r="C4656" s="8">
        <f>QS.CONTEXT.CREATE("market.4654",A4656,"USD","SOFR")</f>
        <v/>
      </c>
      <c r="D4656" s="8">
        <f>QS.CONTEXT.ADD.CURVE(C4656,"SOFR",$K$2:$K$7,$L$2:$L$7,,,"Actual360","LogLinear",TRUE)</f>
        <v/>
      </c>
      <c r="E4656" s="8">
        <f>QS.INSTRUMENT.SWAP("swap.4654",C4656,H4656,B4656,"USD","SOFR",I4656,J4656,0,"Actual360","Simple","Annual","Annual","Annual")</f>
        <v/>
      </c>
      <c r="F4656" s="8">
        <f>QS.TRADE.CREATE("trade.4654",C4656,E4656,A4656,"Receive")</f>
        <v/>
      </c>
      <c r="G4656" s="5"/>
      <c r="H4656" s="7" t="s">
        <v>4697</v>
      </c>
      <c r="I4656" s="9">
        <v>1465400</v>
      </c>
      <c r="J4656" s="10">
        <v>0.0354</v>
      </c>
    </row>
    <row r="4657" spans="1:10">
      <c r="A4657" s="7" t="s">
        <v>4691</v>
      </c>
      <c r="B4657" s="7" t="s">
        <v>6524</v>
      </c>
      <c r="C4657" s="8">
        <f>QS.CONTEXT.CREATE("market.4655",A4657,"USD","SOFR")</f>
        <v/>
      </c>
      <c r="D4657" s="8">
        <f>QS.CONTEXT.ADD.CURVE(C4657,"SOFR",$K$2:$K$7,$L$2:$L$7,,,"Actual360","LogLinear",TRUE)</f>
        <v/>
      </c>
      <c r="E4657" s="8">
        <f>QS.INSTRUMENT.SWAP("swap.4655",C4657,H4657,B4657,"USD","SOFR",I4657,J4657,0,"Actual360","Simple","Annual","Annual","Annual")</f>
        <v/>
      </c>
      <c r="F4657" s="8">
        <f>QS.TRADE.CREATE("trade.4655",C4657,E4657,A4657,"Receive")</f>
        <v/>
      </c>
      <c r="G4657" s="5"/>
      <c r="H4657" s="7" t="s">
        <v>4698</v>
      </c>
      <c r="I4657" s="9">
        <v>1465500</v>
      </c>
      <c r="J4657" s="10">
        <v>0.0355</v>
      </c>
    </row>
    <row r="4658" spans="1:10">
      <c r="A4658" s="7" t="s">
        <v>4692</v>
      </c>
      <c r="B4658" s="7" t="s">
        <v>6525</v>
      </c>
      <c r="C4658" s="8">
        <f>QS.CONTEXT.CREATE("market.4656",A4658,"USD","SOFR")</f>
        <v/>
      </c>
      <c r="D4658" s="8">
        <f>QS.CONTEXT.ADD.CURVE(C4658,"SOFR",$K$2:$K$7,$L$2:$L$7,,,"Actual360","LogLinear",TRUE)</f>
        <v/>
      </c>
      <c r="E4658" s="8">
        <f>QS.INSTRUMENT.SWAP("swap.4656",C4658,H4658,B4658,"USD","SOFR",I4658,J4658,0,"Actual360","Simple","Annual","Annual","Annual")</f>
        <v/>
      </c>
      <c r="F4658" s="8">
        <f>QS.TRADE.CREATE("trade.4656",C4658,E4658,A4658,"Receive")</f>
        <v/>
      </c>
      <c r="G4658" s="5"/>
      <c r="H4658" s="7" t="s">
        <v>4699</v>
      </c>
      <c r="I4658" s="9">
        <v>1465600</v>
      </c>
      <c r="J4658" s="10">
        <v>0.03560000000000001</v>
      </c>
    </row>
    <row r="4659" spans="1:10">
      <c r="A4659" s="7" t="s">
        <v>4693</v>
      </c>
      <c r="B4659" s="7" t="s">
        <v>6526</v>
      </c>
      <c r="C4659" s="8">
        <f>QS.CONTEXT.CREATE("market.4657",A4659,"USD","SOFR")</f>
        <v/>
      </c>
      <c r="D4659" s="8">
        <f>QS.CONTEXT.ADD.CURVE(C4659,"SOFR",$K$2:$K$7,$L$2:$L$7,,,"Actual360","LogLinear",TRUE)</f>
        <v/>
      </c>
      <c r="E4659" s="8">
        <f>QS.INSTRUMENT.SWAP("swap.4657",C4659,H4659,B4659,"USD","SOFR",I4659,J4659,0,"Actual360","Simple","Annual","Annual","Annual")</f>
        <v/>
      </c>
      <c r="F4659" s="8">
        <f>QS.TRADE.CREATE("trade.4657",C4659,E4659,A4659,"Receive")</f>
        <v/>
      </c>
      <c r="G4659" s="5"/>
      <c r="H4659" s="7" t="s">
        <v>4700</v>
      </c>
      <c r="I4659" s="9">
        <v>1465700</v>
      </c>
      <c r="J4659" s="10">
        <v>0.0357</v>
      </c>
    </row>
    <row r="4660" spans="1:10">
      <c r="A4660" s="7" t="s">
        <v>4694</v>
      </c>
      <c r="B4660" s="7" t="s">
        <v>6527</v>
      </c>
      <c r="C4660" s="8">
        <f>QS.CONTEXT.CREATE("market.4658",A4660,"USD","SOFR")</f>
        <v/>
      </c>
      <c r="D4660" s="8">
        <f>QS.CONTEXT.ADD.CURVE(C4660,"SOFR",$K$2:$K$7,$L$2:$L$7,,,"Actual360","LogLinear",TRUE)</f>
        <v/>
      </c>
      <c r="E4660" s="8">
        <f>QS.INSTRUMENT.SWAP("swap.4658",C4660,H4660,B4660,"USD","SOFR",I4660,J4660,0,"Actual360","Simple","Annual","Annual","Annual")</f>
        <v/>
      </c>
      <c r="F4660" s="8">
        <f>QS.TRADE.CREATE("trade.4658",C4660,E4660,A4660,"Receive")</f>
        <v/>
      </c>
      <c r="G4660" s="5"/>
      <c r="H4660" s="7" t="s">
        <v>4701</v>
      </c>
      <c r="I4660" s="9">
        <v>1465800</v>
      </c>
      <c r="J4660" s="10">
        <v>0.03580000000000001</v>
      </c>
    </row>
    <row r="4661" spans="1:10">
      <c r="A4661" s="7" t="s">
        <v>4695</v>
      </c>
      <c r="B4661" s="7" t="s">
        <v>6528</v>
      </c>
      <c r="C4661" s="8">
        <f>QS.CONTEXT.CREATE("market.4659",A4661,"USD","SOFR")</f>
        <v/>
      </c>
      <c r="D4661" s="8">
        <f>QS.CONTEXT.ADD.CURVE(C4661,"SOFR",$K$2:$K$7,$L$2:$L$7,,,"Actual360","LogLinear",TRUE)</f>
        <v/>
      </c>
      <c r="E4661" s="8">
        <f>QS.INSTRUMENT.SWAP("swap.4659",C4661,H4661,B4661,"USD","SOFR",I4661,J4661,0,"Actual360","Simple","Annual","Annual","Annual")</f>
        <v/>
      </c>
      <c r="F4661" s="8">
        <f>QS.TRADE.CREATE("trade.4659",C4661,E4661,A4661,"Receive")</f>
        <v/>
      </c>
      <c r="G4661" s="5"/>
      <c r="H4661" s="7" t="s">
        <v>4702</v>
      </c>
      <c r="I4661" s="9">
        <v>1465900</v>
      </c>
      <c r="J4661" s="10">
        <v>0.0359</v>
      </c>
    </row>
    <row r="4662" spans="1:10">
      <c r="A4662" s="7" t="s">
        <v>4696</v>
      </c>
      <c r="B4662" s="7" t="s">
        <v>6529</v>
      </c>
      <c r="C4662" s="8">
        <f>QS.CONTEXT.CREATE("market.4660",A4662,"USD","SOFR")</f>
        <v/>
      </c>
      <c r="D4662" s="8">
        <f>QS.CONTEXT.ADD.CURVE(C4662,"SOFR",$K$2:$K$7,$L$2:$L$7,,,"Actual360","LogLinear",TRUE)</f>
        <v/>
      </c>
      <c r="E4662" s="8">
        <f>QS.INSTRUMENT.SWAP("swap.4660",C4662,H4662,B4662,"USD","SOFR",I4662,J4662,0,"Actual360","Simple","Annual","Annual","Annual")</f>
        <v/>
      </c>
      <c r="F4662" s="8">
        <f>QS.TRADE.CREATE("trade.4660",C4662,E4662,A4662,"Receive")</f>
        <v/>
      </c>
      <c r="G4662" s="5"/>
      <c r="H4662" s="7" t="s">
        <v>4703</v>
      </c>
      <c r="I4662" s="9">
        <v>1466000</v>
      </c>
      <c r="J4662" s="10">
        <v>0.036</v>
      </c>
    </row>
    <row r="4663" spans="1:10">
      <c r="A4663" s="7" t="s">
        <v>4697</v>
      </c>
      <c r="B4663" s="7" t="s">
        <v>6530</v>
      </c>
      <c r="C4663" s="8">
        <f>QS.CONTEXT.CREATE("market.4661",A4663,"USD","SOFR")</f>
        <v/>
      </c>
      <c r="D4663" s="8">
        <f>QS.CONTEXT.ADD.CURVE(C4663,"SOFR",$K$2:$K$7,$L$2:$L$7,,,"Actual360","LogLinear",TRUE)</f>
        <v/>
      </c>
      <c r="E4663" s="8">
        <f>QS.INSTRUMENT.SWAP("swap.4661",C4663,H4663,B4663,"USD","SOFR",I4663,J4663,0,"Actual360","Simple","Annual","Annual","Annual")</f>
        <v/>
      </c>
      <c r="F4663" s="8">
        <f>QS.TRADE.CREATE("trade.4661",C4663,E4663,A4663,"Receive")</f>
        <v/>
      </c>
      <c r="G4663" s="5"/>
      <c r="H4663" s="7" t="s">
        <v>4704</v>
      </c>
      <c r="I4663" s="9">
        <v>1466100</v>
      </c>
      <c r="J4663" s="10">
        <v>0.0361</v>
      </c>
    </row>
    <row r="4664" spans="1:10">
      <c r="A4664" s="7" t="s">
        <v>4698</v>
      </c>
      <c r="B4664" s="7" t="s">
        <v>6531</v>
      </c>
      <c r="C4664" s="8">
        <f>QS.CONTEXT.CREATE("market.4662",A4664,"USD","SOFR")</f>
        <v/>
      </c>
      <c r="D4664" s="8">
        <f>QS.CONTEXT.ADD.CURVE(C4664,"SOFR",$K$2:$K$7,$L$2:$L$7,,,"Actual360","LogLinear",TRUE)</f>
        <v/>
      </c>
      <c r="E4664" s="8">
        <f>QS.INSTRUMENT.SWAP("swap.4662",C4664,H4664,B4664,"USD","SOFR",I4664,J4664,0,"Actual360","Simple","Annual","Annual","Annual")</f>
        <v/>
      </c>
      <c r="F4664" s="8">
        <f>QS.TRADE.CREATE("trade.4662",C4664,E4664,A4664,"Receive")</f>
        <v/>
      </c>
      <c r="G4664" s="5"/>
      <c r="H4664" s="7" t="s">
        <v>4705</v>
      </c>
      <c r="I4664" s="9">
        <v>1466200</v>
      </c>
      <c r="J4664" s="10">
        <v>0.0362</v>
      </c>
    </row>
    <row r="4665" spans="1:10">
      <c r="A4665" s="7" t="s">
        <v>4699</v>
      </c>
      <c r="B4665" s="7" t="s">
        <v>6532</v>
      </c>
      <c r="C4665" s="8">
        <f>QS.CONTEXT.CREATE("market.4663",A4665,"USD","SOFR")</f>
        <v/>
      </c>
      <c r="D4665" s="8">
        <f>QS.CONTEXT.ADD.CURVE(C4665,"SOFR",$K$2:$K$7,$L$2:$L$7,,,"Actual360","LogLinear",TRUE)</f>
        <v/>
      </c>
      <c r="E4665" s="8">
        <f>QS.INSTRUMENT.SWAP("swap.4663",C4665,H4665,B4665,"USD","SOFR",I4665,J4665,0,"Actual360","Simple","Annual","Annual","Annual")</f>
        <v/>
      </c>
      <c r="F4665" s="8">
        <f>QS.TRADE.CREATE("trade.4663",C4665,E4665,A4665,"Receive")</f>
        <v/>
      </c>
      <c r="G4665" s="5"/>
      <c r="H4665" s="7" t="s">
        <v>4706</v>
      </c>
      <c r="I4665" s="9">
        <v>1466300</v>
      </c>
      <c r="J4665" s="10">
        <v>0.03630000000000001</v>
      </c>
    </row>
    <row r="4666" spans="1:10">
      <c r="A4666" s="7" t="s">
        <v>4700</v>
      </c>
      <c r="B4666" s="7" t="s">
        <v>6533</v>
      </c>
      <c r="C4666" s="8">
        <f>QS.CONTEXT.CREATE("market.4664",A4666,"USD","SOFR")</f>
        <v/>
      </c>
      <c r="D4666" s="8">
        <f>QS.CONTEXT.ADD.CURVE(C4666,"SOFR",$K$2:$K$7,$L$2:$L$7,,,"Actual360","LogLinear",TRUE)</f>
        <v/>
      </c>
      <c r="E4666" s="8">
        <f>QS.INSTRUMENT.SWAP("swap.4664",C4666,H4666,B4666,"USD","SOFR",I4666,J4666,0,"Actual360","Simple","Annual","Annual","Annual")</f>
        <v/>
      </c>
      <c r="F4666" s="8">
        <f>QS.TRADE.CREATE("trade.4664",C4666,E4666,A4666,"Receive")</f>
        <v/>
      </c>
      <c r="G4666" s="5"/>
      <c r="H4666" s="7" t="s">
        <v>4707</v>
      </c>
      <c r="I4666" s="9">
        <v>1466400</v>
      </c>
      <c r="J4666" s="10">
        <v>0.0364</v>
      </c>
    </row>
    <row r="4667" spans="1:10">
      <c r="A4667" s="7" t="s">
        <v>4701</v>
      </c>
      <c r="B4667" s="7" t="s">
        <v>6534</v>
      </c>
      <c r="C4667" s="8">
        <f>QS.CONTEXT.CREATE("market.4665",A4667,"USD","SOFR")</f>
        <v/>
      </c>
      <c r="D4667" s="8">
        <f>QS.CONTEXT.ADD.CURVE(C4667,"SOFR",$K$2:$K$7,$L$2:$L$7,,,"Actual360","LogLinear",TRUE)</f>
        <v/>
      </c>
      <c r="E4667" s="8">
        <f>QS.INSTRUMENT.SWAP("swap.4665",C4667,H4667,B4667,"USD","SOFR",I4667,J4667,0,"Actual360","Simple","Annual","Annual","Annual")</f>
        <v/>
      </c>
      <c r="F4667" s="8">
        <f>QS.TRADE.CREATE("trade.4665",C4667,E4667,A4667,"Receive")</f>
        <v/>
      </c>
      <c r="G4667" s="5"/>
      <c r="H4667" s="7" t="s">
        <v>4708</v>
      </c>
      <c r="I4667" s="9">
        <v>1466500</v>
      </c>
      <c r="J4667" s="10">
        <v>0.0365</v>
      </c>
    </row>
    <row r="4668" spans="1:10">
      <c r="A4668" s="7" t="s">
        <v>4702</v>
      </c>
      <c r="B4668" s="7" t="s">
        <v>6535</v>
      </c>
      <c r="C4668" s="8">
        <f>QS.CONTEXT.CREATE("market.4666",A4668,"USD","SOFR")</f>
        <v/>
      </c>
      <c r="D4668" s="8">
        <f>QS.CONTEXT.ADD.CURVE(C4668,"SOFR",$K$2:$K$7,$L$2:$L$7,,,"Actual360","LogLinear",TRUE)</f>
        <v/>
      </c>
      <c r="E4668" s="8">
        <f>QS.INSTRUMENT.SWAP("swap.4666",C4668,H4668,B4668,"USD","SOFR",I4668,J4668,0,"Actual360","Simple","Annual","Annual","Annual")</f>
        <v/>
      </c>
      <c r="F4668" s="8">
        <f>QS.TRADE.CREATE("trade.4666",C4668,E4668,A4668,"Receive")</f>
        <v/>
      </c>
      <c r="G4668" s="5"/>
      <c r="H4668" s="7" t="s">
        <v>4709</v>
      </c>
      <c r="I4668" s="9">
        <v>1466600</v>
      </c>
      <c r="J4668" s="10">
        <v>0.0366</v>
      </c>
    </row>
    <row r="4669" spans="1:10">
      <c r="A4669" s="7" t="s">
        <v>4703</v>
      </c>
      <c r="B4669" s="7" t="s">
        <v>6536</v>
      </c>
      <c r="C4669" s="8">
        <f>QS.CONTEXT.CREATE("market.4667",A4669,"USD","SOFR")</f>
        <v/>
      </c>
      <c r="D4669" s="8">
        <f>QS.CONTEXT.ADD.CURVE(C4669,"SOFR",$K$2:$K$7,$L$2:$L$7,,,"Actual360","LogLinear",TRUE)</f>
        <v/>
      </c>
      <c r="E4669" s="8">
        <f>QS.INSTRUMENT.SWAP("swap.4667",C4669,H4669,B4669,"USD","SOFR",I4669,J4669,0,"Actual360","Simple","Annual","Annual","Annual")</f>
        <v/>
      </c>
      <c r="F4669" s="8">
        <f>QS.TRADE.CREATE("trade.4667",C4669,E4669,A4669,"Receive")</f>
        <v/>
      </c>
      <c r="G4669" s="5"/>
      <c r="H4669" s="7" t="s">
        <v>4710</v>
      </c>
      <c r="I4669" s="9">
        <v>1466700</v>
      </c>
      <c r="J4669" s="10">
        <v>0.0367</v>
      </c>
    </row>
    <row r="4670" spans="1:10">
      <c r="A4670" s="7" t="s">
        <v>4704</v>
      </c>
      <c r="B4670" s="7" t="s">
        <v>6537</v>
      </c>
      <c r="C4670" s="8">
        <f>QS.CONTEXT.CREATE("market.4668",A4670,"USD","SOFR")</f>
        <v/>
      </c>
      <c r="D4670" s="8">
        <f>QS.CONTEXT.ADD.CURVE(C4670,"SOFR",$K$2:$K$7,$L$2:$L$7,,,"Actual360","LogLinear",TRUE)</f>
        <v/>
      </c>
      <c r="E4670" s="8">
        <f>QS.INSTRUMENT.SWAP("swap.4668",C4670,H4670,B4670,"USD","SOFR",I4670,J4670,0,"Actual360","Simple","Annual","Annual","Annual")</f>
        <v/>
      </c>
      <c r="F4670" s="8">
        <f>QS.TRADE.CREATE("trade.4668",C4670,E4670,A4670,"Receive")</f>
        <v/>
      </c>
      <c r="G4670" s="5"/>
      <c r="H4670" s="7" t="s">
        <v>4711</v>
      </c>
      <c r="I4670" s="9">
        <v>1466800</v>
      </c>
      <c r="J4670" s="10">
        <v>0.03680000000000001</v>
      </c>
    </row>
    <row r="4671" spans="1:10">
      <c r="A4671" s="7" t="s">
        <v>4705</v>
      </c>
      <c r="B4671" s="7" t="s">
        <v>6538</v>
      </c>
      <c r="C4671" s="8">
        <f>QS.CONTEXT.CREATE("market.4669",A4671,"USD","SOFR")</f>
        <v/>
      </c>
      <c r="D4671" s="8">
        <f>QS.CONTEXT.ADD.CURVE(C4671,"SOFR",$K$2:$K$7,$L$2:$L$7,,,"Actual360","LogLinear",TRUE)</f>
        <v/>
      </c>
      <c r="E4671" s="8">
        <f>QS.INSTRUMENT.SWAP("swap.4669",C4671,H4671,B4671,"USD","SOFR",I4671,J4671,0,"Actual360","Simple","Annual","Annual","Annual")</f>
        <v/>
      </c>
      <c r="F4671" s="8">
        <f>QS.TRADE.CREATE("trade.4669",C4671,E4671,A4671,"Receive")</f>
        <v/>
      </c>
      <c r="G4671" s="5"/>
      <c r="H4671" s="7" t="s">
        <v>4712</v>
      </c>
      <c r="I4671" s="9">
        <v>1466900</v>
      </c>
      <c r="J4671" s="10">
        <v>0.0369</v>
      </c>
    </row>
    <row r="4672" spans="1:10">
      <c r="A4672" s="7" t="s">
        <v>4706</v>
      </c>
      <c r="B4672" s="7" t="s">
        <v>6539</v>
      </c>
      <c r="C4672" s="8">
        <f>QS.CONTEXT.CREATE("market.4670",A4672,"USD","SOFR")</f>
        <v/>
      </c>
      <c r="D4672" s="8">
        <f>QS.CONTEXT.ADD.CURVE(C4672,"SOFR",$K$2:$K$7,$L$2:$L$7,,,"Actual360","LogLinear",TRUE)</f>
        <v/>
      </c>
      <c r="E4672" s="8">
        <f>QS.INSTRUMENT.SWAP("swap.4670",C4672,H4672,B4672,"USD","SOFR",I4672,J4672,0,"Actual360","Simple","Annual","Annual","Annual")</f>
        <v/>
      </c>
      <c r="F4672" s="8">
        <f>QS.TRADE.CREATE("trade.4670",C4672,E4672,A4672,"Receive")</f>
        <v/>
      </c>
      <c r="G4672" s="5"/>
      <c r="H4672" s="7" t="s">
        <v>4713</v>
      </c>
      <c r="I4672" s="9">
        <v>1467000</v>
      </c>
      <c r="J4672" s="10">
        <v>0.03700000000000001</v>
      </c>
    </row>
    <row r="4673" spans="1:10">
      <c r="A4673" s="7" t="s">
        <v>4707</v>
      </c>
      <c r="B4673" s="7" t="s">
        <v>6540</v>
      </c>
      <c r="C4673" s="8">
        <f>QS.CONTEXT.CREATE("market.4671",A4673,"USD","SOFR")</f>
        <v/>
      </c>
      <c r="D4673" s="8">
        <f>QS.CONTEXT.ADD.CURVE(C4673,"SOFR",$K$2:$K$7,$L$2:$L$7,,,"Actual360","LogLinear",TRUE)</f>
        <v/>
      </c>
      <c r="E4673" s="8">
        <f>QS.INSTRUMENT.SWAP("swap.4671",C4673,H4673,B4673,"USD","SOFR",I4673,J4673,0,"Actual360","Simple","Annual","Annual","Annual")</f>
        <v/>
      </c>
      <c r="F4673" s="8">
        <f>QS.TRADE.CREATE("trade.4671",C4673,E4673,A4673,"Receive")</f>
        <v/>
      </c>
      <c r="G4673" s="5"/>
      <c r="H4673" s="7" t="s">
        <v>4714</v>
      </c>
      <c r="I4673" s="9">
        <v>1467100</v>
      </c>
      <c r="J4673" s="10">
        <v>0.0371</v>
      </c>
    </row>
    <row r="4674" spans="1:10">
      <c r="A4674" s="7" t="s">
        <v>4708</v>
      </c>
      <c r="B4674" s="7" t="s">
        <v>6541</v>
      </c>
      <c r="C4674" s="8">
        <f>QS.CONTEXT.CREATE("market.4672",A4674,"USD","SOFR")</f>
        <v/>
      </c>
      <c r="D4674" s="8">
        <f>QS.CONTEXT.ADD.CURVE(C4674,"SOFR",$K$2:$K$7,$L$2:$L$7,,,"Actual360","LogLinear",TRUE)</f>
        <v/>
      </c>
      <c r="E4674" s="8">
        <f>QS.INSTRUMENT.SWAP("swap.4672",C4674,H4674,B4674,"USD","SOFR",I4674,J4674,0,"Actual360","Simple","Annual","Annual","Annual")</f>
        <v/>
      </c>
      <c r="F4674" s="8">
        <f>QS.TRADE.CREATE("trade.4672",C4674,E4674,A4674,"Receive")</f>
        <v/>
      </c>
      <c r="G4674" s="5"/>
      <c r="H4674" s="7" t="s">
        <v>4715</v>
      </c>
      <c r="I4674" s="9">
        <v>1467200</v>
      </c>
      <c r="J4674" s="10">
        <v>0.0372</v>
      </c>
    </row>
    <row r="4675" spans="1:10">
      <c r="A4675" s="7" t="s">
        <v>4709</v>
      </c>
      <c r="B4675" s="7" t="s">
        <v>6542</v>
      </c>
      <c r="C4675" s="8">
        <f>QS.CONTEXT.CREATE("market.4673",A4675,"USD","SOFR")</f>
        <v/>
      </c>
      <c r="D4675" s="8">
        <f>QS.CONTEXT.ADD.CURVE(C4675,"SOFR",$K$2:$K$7,$L$2:$L$7,,,"Actual360","LogLinear",TRUE)</f>
        <v/>
      </c>
      <c r="E4675" s="8">
        <f>QS.INSTRUMENT.SWAP("swap.4673",C4675,H4675,B4675,"USD","SOFR",I4675,J4675,0,"Actual360","Simple","Annual","Annual","Annual")</f>
        <v/>
      </c>
      <c r="F4675" s="8">
        <f>QS.TRADE.CREATE("trade.4673",C4675,E4675,A4675,"Receive")</f>
        <v/>
      </c>
      <c r="G4675" s="5"/>
      <c r="H4675" s="7" t="s">
        <v>4716</v>
      </c>
      <c r="I4675" s="9">
        <v>1467300</v>
      </c>
      <c r="J4675" s="10">
        <v>0.0373</v>
      </c>
    </row>
    <row r="4676" spans="1:10">
      <c r="A4676" s="7" t="s">
        <v>4710</v>
      </c>
      <c r="B4676" s="7" t="s">
        <v>6543</v>
      </c>
      <c r="C4676" s="8">
        <f>QS.CONTEXT.CREATE("market.4674",A4676,"USD","SOFR")</f>
        <v/>
      </c>
      <c r="D4676" s="8">
        <f>QS.CONTEXT.ADD.CURVE(C4676,"SOFR",$K$2:$K$7,$L$2:$L$7,,,"Actual360","LogLinear",TRUE)</f>
        <v/>
      </c>
      <c r="E4676" s="8">
        <f>QS.INSTRUMENT.SWAP("swap.4674",C4676,H4676,B4676,"USD","SOFR",I4676,J4676,0,"Actual360","Simple","Annual","Annual","Annual")</f>
        <v/>
      </c>
      <c r="F4676" s="8">
        <f>QS.TRADE.CREATE("trade.4674",C4676,E4676,A4676,"Receive")</f>
        <v/>
      </c>
      <c r="G4676" s="5"/>
      <c r="H4676" s="7" t="s">
        <v>4717</v>
      </c>
      <c r="I4676" s="9">
        <v>1467400</v>
      </c>
      <c r="J4676" s="10">
        <v>0.0374</v>
      </c>
    </row>
    <row r="4677" spans="1:10">
      <c r="A4677" s="7" t="s">
        <v>4711</v>
      </c>
      <c r="B4677" s="7" t="s">
        <v>6544</v>
      </c>
      <c r="C4677" s="8">
        <f>QS.CONTEXT.CREATE("market.4675",A4677,"USD","SOFR")</f>
        <v/>
      </c>
      <c r="D4677" s="8">
        <f>QS.CONTEXT.ADD.CURVE(C4677,"SOFR",$K$2:$K$7,$L$2:$L$7,,,"Actual360","LogLinear",TRUE)</f>
        <v/>
      </c>
      <c r="E4677" s="8">
        <f>QS.INSTRUMENT.SWAP("swap.4675",C4677,H4677,B4677,"USD","SOFR",I4677,J4677,0,"Actual360","Simple","Annual","Annual","Annual")</f>
        <v/>
      </c>
      <c r="F4677" s="8">
        <f>QS.TRADE.CREATE("trade.4675",C4677,E4677,A4677,"Receive")</f>
        <v/>
      </c>
      <c r="G4677" s="5"/>
      <c r="H4677" s="7" t="s">
        <v>4718</v>
      </c>
      <c r="I4677" s="9">
        <v>1467500</v>
      </c>
      <c r="J4677" s="10">
        <v>0.03750000000000001</v>
      </c>
    </row>
    <row r="4678" spans="1:10">
      <c r="A4678" s="7" t="s">
        <v>4712</v>
      </c>
      <c r="B4678" s="7" t="s">
        <v>6545</v>
      </c>
      <c r="C4678" s="8">
        <f>QS.CONTEXT.CREATE("market.4676",A4678,"USD","SOFR")</f>
        <v/>
      </c>
      <c r="D4678" s="8">
        <f>QS.CONTEXT.ADD.CURVE(C4678,"SOFR",$K$2:$K$7,$L$2:$L$7,,,"Actual360","LogLinear",TRUE)</f>
        <v/>
      </c>
      <c r="E4678" s="8">
        <f>QS.INSTRUMENT.SWAP("swap.4676",C4678,H4678,B4678,"USD","SOFR",I4678,J4678,0,"Actual360","Simple","Annual","Annual","Annual")</f>
        <v/>
      </c>
      <c r="F4678" s="8">
        <f>QS.TRADE.CREATE("trade.4676",C4678,E4678,A4678,"Receive")</f>
        <v/>
      </c>
      <c r="G4678" s="5"/>
      <c r="H4678" s="7" t="s">
        <v>4719</v>
      </c>
      <c r="I4678" s="9">
        <v>1467600</v>
      </c>
      <c r="J4678" s="10">
        <v>0.0376</v>
      </c>
    </row>
    <row r="4679" spans="1:10">
      <c r="A4679" s="7" t="s">
        <v>4713</v>
      </c>
      <c r="B4679" s="7" t="s">
        <v>6546</v>
      </c>
      <c r="C4679" s="8">
        <f>QS.CONTEXT.CREATE("market.4677",A4679,"USD","SOFR")</f>
        <v/>
      </c>
      <c r="D4679" s="8">
        <f>QS.CONTEXT.ADD.CURVE(C4679,"SOFR",$K$2:$K$7,$L$2:$L$7,,,"Actual360","LogLinear",TRUE)</f>
        <v/>
      </c>
      <c r="E4679" s="8">
        <f>QS.INSTRUMENT.SWAP("swap.4677",C4679,H4679,B4679,"USD","SOFR",I4679,J4679,0,"Actual360","Simple","Annual","Annual","Annual")</f>
        <v/>
      </c>
      <c r="F4679" s="8">
        <f>QS.TRADE.CREATE("trade.4677",C4679,E4679,A4679,"Receive")</f>
        <v/>
      </c>
      <c r="G4679" s="5"/>
      <c r="H4679" s="7" t="s">
        <v>4720</v>
      </c>
      <c r="I4679" s="9">
        <v>1467700</v>
      </c>
      <c r="J4679" s="10">
        <v>0.0377</v>
      </c>
    </row>
    <row r="4680" spans="1:10">
      <c r="A4680" s="7" t="s">
        <v>4714</v>
      </c>
      <c r="B4680" s="7" t="s">
        <v>6547</v>
      </c>
      <c r="C4680" s="8">
        <f>QS.CONTEXT.CREATE("market.4678",A4680,"USD","SOFR")</f>
        <v/>
      </c>
      <c r="D4680" s="8">
        <f>QS.CONTEXT.ADD.CURVE(C4680,"SOFR",$K$2:$K$7,$L$2:$L$7,,,"Actual360","LogLinear",TRUE)</f>
        <v/>
      </c>
      <c r="E4680" s="8">
        <f>QS.INSTRUMENT.SWAP("swap.4678",C4680,H4680,B4680,"USD","SOFR",I4680,J4680,0,"Actual360","Simple","Annual","Annual","Annual")</f>
        <v/>
      </c>
      <c r="F4680" s="8">
        <f>QS.TRADE.CREATE("trade.4678",C4680,E4680,A4680,"Receive")</f>
        <v/>
      </c>
      <c r="G4680" s="5"/>
      <c r="H4680" s="7" t="s">
        <v>4721</v>
      </c>
      <c r="I4680" s="9">
        <v>1467800</v>
      </c>
      <c r="J4680" s="10">
        <v>0.0378</v>
      </c>
    </row>
    <row r="4681" spans="1:10">
      <c r="A4681" s="7" t="s">
        <v>4715</v>
      </c>
      <c r="B4681" s="7" t="s">
        <v>6548</v>
      </c>
      <c r="C4681" s="8">
        <f>QS.CONTEXT.CREATE("market.4679",A4681,"USD","SOFR")</f>
        <v/>
      </c>
      <c r="D4681" s="8">
        <f>QS.CONTEXT.ADD.CURVE(C4681,"SOFR",$K$2:$K$7,$L$2:$L$7,,,"Actual360","LogLinear",TRUE)</f>
        <v/>
      </c>
      <c r="E4681" s="8">
        <f>QS.INSTRUMENT.SWAP("swap.4679",C4681,H4681,B4681,"USD","SOFR",I4681,J4681,0,"Actual360","Simple","Annual","Annual","Annual")</f>
        <v/>
      </c>
      <c r="F4681" s="8">
        <f>QS.TRADE.CREATE("trade.4679",C4681,E4681,A4681,"Receive")</f>
        <v/>
      </c>
      <c r="G4681" s="5"/>
      <c r="H4681" s="7" t="s">
        <v>4722</v>
      </c>
      <c r="I4681" s="9">
        <v>1467900</v>
      </c>
      <c r="J4681" s="10">
        <v>0.0379</v>
      </c>
    </row>
    <row r="4682" spans="1:10">
      <c r="A4682" s="7" t="s">
        <v>4716</v>
      </c>
      <c r="B4682" s="7" t="s">
        <v>6549</v>
      </c>
      <c r="C4682" s="8">
        <f>QS.CONTEXT.CREATE("market.4680",A4682,"USD","SOFR")</f>
        <v/>
      </c>
      <c r="D4682" s="8">
        <f>QS.CONTEXT.ADD.CURVE(C4682,"SOFR",$K$2:$K$7,$L$2:$L$7,,,"Actual360","LogLinear",TRUE)</f>
        <v/>
      </c>
      <c r="E4682" s="8">
        <f>QS.INSTRUMENT.SWAP("swap.4680",C4682,H4682,B4682,"USD","SOFR",I4682,J4682,0,"Actual360","Simple","Annual","Annual","Annual")</f>
        <v/>
      </c>
      <c r="F4682" s="8">
        <f>QS.TRADE.CREATE("trade.4680",C4682,E4682,A4682,"Receive")</f>
        <v/>
      </c>
      <c r="G4682" s="5"/>
      <c r="H4682" s="7" t="s">
        <v>4723</v>
      </c>
      <c r="I4682" s="9">
        <v>1468000</v>
      </c>
      <c r="J4682" s="10">
        <v>0.03800000000000001</v>
      </c>
    </row>
    <row r="4683" spans="1:10">
      <c r="A4683" s="7" t="s">
        <v>4717</v>
      </c>
      <c r="B4683" s="7" t="s">
        <v>6550</v>
      </c>
      <c r="C4683" s="8">
        <f>QS.CONTEXT.CREATE("market.4681",A4683,"USD","SOFR")</f>
        <v/>
      </c>
      <c r="D4683" s="8">
        <f>QS.CONTEXT.ADD.CURVE(C4683,"SOFR",$K$2:$K$7,$L$2:$L$7,,,"Actual360","LogLinear",TRUE)</f>
        <v/>
      </c>
      <c r="E4683" s="8">
        <f>QS.INSTRUMENT.SWAP("swap.4681",C4683,H4683,B4683,"USD","SOFR",I4683,J4683,0,"Actual360","Simple","Annual","Annual","Annual")</f>
        <v/>
      </c>
      <c r="F4683" s="8">
        <f>QS.TRADE.CREATE("trade.4681",C4683,E4683,A4683,"Receive")</f>
        <v/>
      </c>
      <c r="G4683" s="5"/>
      <c r="H4683" s="7" t="s">
        <v>4724</v>
      </c>
      <c r="I4683" s="9">
        <v>1468100</v>
      </c>
      <c r="J4683" s="10">
        <v>0.0381</v>
      </c>
    </row>
    <row r="4684" spans="1:10">
      <c r="A4684" s="7" t="s">
        <v>4718</v>
      </c>
      <c r="B4684" s="7" t="s">
        <v>6551</v>
      </c>
      <c r="C4684" s="8">
        <f>QS.CONTEXT.CREATE("market.4682",A4684,"USD","SOFR")</f>
        <v/>
      </c>
      <c r="D4684" s="8">
        <f>QS.CONTEXT.ADD.CURVE(C4684,"SOFR",$K$2:$K$7,$L$2:$L$7,,,"Actual360","LogLinear",TRUE)</f>
        <v/>
      </c>
      <c r="E4684" s="8">
        <f>QS.INSTRUMENT.SWAP("swap.4682",C4684,H4684,B4684,"USD","SOFR",I4684,J4684,0,"Actual360","Simple","Annual","Annual","Annual")</f>
        <v/>
      </c>
      <c r="F4684" s="8">
        <f>QS.TRADE.CREATE("trade.4682",C4684,E4684,A4684,"Receive")</f>
        <v/>
      </c>
      <c r="G4684" s="5"/>
      <c r="H4684" s="7" t="s">
        <v>4725</v>
      </c>
      <c r="I4684" s="9">
        <v>1468200</v>
      </c>
      <c r="J4684" s="10">
        <v>0.0382</v>
      </c>
    </row>
    <row r="4685" spans="1:10">
      <c r="A4685" s="7" t="s">
        <v>4719</v>
      </c>
      <c r="B4685" s="7" t="s">
        <v>6552</v>
      </c>
      <c r="C4685" s="8">
        <f>QS.CONTEXT.CREATE("market.4683",A4685,"USD","SOFR")</f>
        <v/>
      </c>
      <c r="D4685" s="8">
        <f>QS.CONTEXT.ADD.CURVE(C4685,"SOFR",$K$2:$K$7,$L$2:$L$7,,,"Actual360","LogLinear",TRUE)</f>
        <v/>
      </c>
      <c r="E4685" s="8">
        <f>QS.INSTRUMENT.SWAP("swap.4683",C4685,H4685,B4685,"USD","SOFR",I4685,J4685,0,"Actual360","Simple","Annual","Annual","Annual")</f>
        <v/>
      </c>
      <c r="F4685" s="8">
        <f>QS.TRADE.CREATE("trade.4683",C4685,E4685,A4685,"Receive")</f>
        <v/>
      </c>
      <c r="G4685" s="5"/>
      <c r="H4685" s="7" t="s">
        <v>4726</v>
      </c>
      <c r="I4685" s="9">
        <v>1468300</v>
      </c>
      <c r="J4685" s="10">
        <v>0.0383</v>
      </c>
    </row>
    <row r="4686" spans="1:10">
      <c r="A4686" s="7" t="s">
        <v>4720</v>
      </c>
      <c r="B4686" s="7" t="s">
        <v>6553</v>
      </c>
      <c r="C4686" s="8">
        <f>QS.CONTEXT.CREATE("market.4684",A4686,"USD","SOFR")</f>
        <v/>
      </c>
      <c r="D4686" s="8">
        <f>QS.CONTEXT.ADD.CURVE(C4686,"SOFR",$K$2:$K$7,$L$2:$L$7,,,"Actual360","LogLinear",TRUE)</f>
        <v/>
      </c>
      <c r="E4686" s="8">
        <f>QS.INSTRUMENT.SWAP("swap.4684",C4686,H4686,B4686,"USD","SOFR",I4686,J4686,0,"Actual360","Simple","Annual","Annual","Annual")</f>
        <v/>
      </c>
      <c r="F4686" s="8">
        <f>QS.TRADE.CREATE("trade.4684",C4686,E4686,A4686,"Receive")</f>
        <v/>
      </c>
      <c r="G4686" s="5"/>
      <c r="H4686" s="7" t="s">
        <v>4727</v>
      </c>
      <c r="I4686" s="9">
        <v>1468400</v>
      </c>
      <c r="J4686" s="10">
        <v>0.0384</v>
      </c>
    </row>
    <row r="4687" spans="1:10">
      <c r="A4687" s="7" t="s">
        <v>4721</v>
      </c>
      <c r="B4687" s="7" t="s">
        <v>6554</v>
      </c>
      <c r="C4687" s="8">
        <f>QS.CONTEXT.CREATE("market.4685",A4687,"USD","SOFR")</f>
        <v/>
      </c>
      <c r="D4687" s="8">
        <f>QS.CONTEXT.ADD.CURVE(C4687,"SOFR",$K$2:$K$7,$L$2:$L$7,,,"Actual360","LogLinear",TRUE)</f>
        <v/>
      </c>
      <c r="E4687" s="8">
        <f>QS.INSTRUMENT.SWAP("swap.4685",C4687,H4687,B4687,"USD","SOFR",I4687,J4687,0,"Actual360","Simple","Annual","Annual","Annual")</f>
        <v/>
      </c>
      <c r="F4687" s="8">
        <f>QS.TRADE.CREATE("trade.4685",C4687,E4687,A4687,"Receive")</f>
        <v/>
      </c>
      <c r="G4687" s="5"/>
      <c r="H4687" s="7" t="s">
        <v>4728</v>
      </c>
      <c r="I4687" s="9">
        <v>1468500</v>
      </c>
      <c r="J4687" s="10">
        <v>0.03850000000000001</v>
      </c>
    </row>
    <row r="4688" spans="1:10">
      <c r="A4688" s="7" t="s">
        <v>4722</v>
      </c>
      <c r="B4688" s="7" t="s">
        <v>6555</v>
      </c>
      <c r="C4688" s="8">
        <f>QS.CONTEXT.CREATE("market.4686",A4688,"USD","SOFR")</f>
        <v/>
      </c>
      <c r="D4688" s="8">
        <f>QS.CONTEXT.ADD.CURVE(C4688,"SOFR",$K$2:$K$7,$L$2:$L$7,,,"Actual360","LogLinear",TRUE)</f>
        <v/>
      </c>
      <c r="E4688" s="8">
        <f>QS.INSTRUMENT.SWAP("swap.4686",C4688,H4688,B4688,"USD","SOFR",I4688,J4688,0,"Actual360","Simple","Annual","Annual","Annual")</f>
        <v/>
      </c>
      <c r="F4688" s="8">
        <f>QS.TRADE.CREATE("trade.4686",C4688,E4688,A4688,"Receive")</f>
        <v/>
      </c>
      <c r="G4688" s="5"/>
      <c r="H4688" s="7" t="s">
        <v>4729</v>
      </c>
      <c r="I4688" s="9">
        <v>1468600</v>
      </c>
      <c r="J4688" s="10">
        <v>0.0386</v>
      </c>
    </row>
    <row r="4689" spans="1:10">
      <c r="A4689" s="7" t="s">
        <v>4723</v>
      </c>
      <c r="B4689" s="7" t="s">
        <v>6556</v>
      </c>
      <c r="C4689" s="8">
        <f>QS.CONTEXT.CREATE("market.4687",A4689,"USD","SOFR")</f>
        <v/>
      </c>
      <c r="D4689" s="8">
        <f>QS.CONTEXT.ADD.CURVE(C4689,"SOFR",$K$2:$K$7,$L$2:$L$7,,,"Actual360","LogLinear",TRUE)</f>
        <v/>
      </c>
      <c r="E4689" s="8">
        <f>QS.INSTRUMENT.SWAP("swap.4687",C4689,H4689,B4689,"USD","SOFR",I4689,J4689,0,"Actual360","Simple","Annual","Annual","Annual")</f>
        <v/>
      </c>
      <c r="F4689" s="8">
        <f>QS.TRADE.CREATE("trade.4687",C4689,E4689,A4689,"Receive")</f>
        <v/>
      </c>
      <c r="G4689" s="5"/>
      <c r="H4689" s="7" t="s">
        <v>4730</v>
      </c>
      <c r="I4689" s="9">
        <v>1468700</v>
      </c>
      <c r="J4689" s="10">
        <v>0.03870000000000001</v>
      </c>
    </row>
    <row r="4690" spans="1:10">
      <c r="A4690" s="7" t="s">
        <v>4724</v>
      </c>
      <c r="B4690" s="7" t="s">
        <v>6557</v>
      </c>
      <c r="C4690" s="8">
        <f>QS.CONTEXT.CREATE("market.4688",A4690,"USD","SOFR")</f>
        <v/>
      </c>
      <c r="D4690" s="8">
        <f>QS.CONTEXT.ADD.CURVE(C4690,"SOFR",$K$2:$K$7,$L$2:$L$7,,,"Actual360","LogLinear",TRUE)</f>
        <v/>
      </c>
      <c r="E4690" s="8">
        <f>QS.INSTRUMENT.SWAP("swap.4688",C4690,H4690,B4690,"USD","SOFR",I4690,J4690,0,"Actual360","Simple","Annual","Annual","Annual")</f>
        <v/>
      </c>
      <c r="F4690" s="8">
        <f>QS.TRADE.CREATE("trade.4688",C4690,E4690,A4690,"Receive")</f>
        <v/>
      </c>
      <c r="G4690" s="5"/>
      <c r="H4690" s="7" t="s">
        <v>4731</v>
      </c>
      <c r="I4690" s="9">
        <v>1468800</v>
      </c>
      <c r="J4690" s="10">
        <v>0.0388</v>
      </c>
    </row>
    <row r="4691" spans="1:10">
      <c r="A4691" s="7" t="s">
        <v>4725</v>
      </c>
      <c r="B4691" s="7" t="s">
        <v>6558</v>
      </c>
      <c r="C4691" s="8">
        <f>QS.CONTEXT.CREATE("market.4689",A4691,"USD","SOFR")</f>
        <v/>
      </c>
      <c r="D4691" s="8">
        <f>QS.CONTEXT.ADD.CURVE(C4691,"SOFR",$K$2:$K$7,$L$2:$L$7,,,"Actual360","LogLinear",TRUE)</f>
        <v/>
      </c>
      <c r="E4691" s="8">
        <f>QS.INSTRUMENT.SWAP("swap.4689",C4691,H4691,B4691,"USD","SOFR",I4691,J4691,0,"Actual360","Simple","Annual","Annual","Annual")</f>
        <v/>
      </c>
      <c r="F4691" s="8">
        <f>QS.TRADE.CREATE("trade.4689",C4691,E4691,A4691,"Receive")</f>
        <v/>
      </c>
      <c r="G4691" s="5"/>
      <c r="H4691" s="7" t="s">
        <v>4732</v>
      </c>
      <c r="I4691" s="9">
        <v>1468900</v>
      </c>
      <c r="J4691" s="10">
        <v>0.0389</v>
      </c>
    </row>
    <row r="4692" spans="1:10">
      <c r="A4692" s="7" t="s">
        <v>4726</v>
      </c>
      <c r="B4692" s="7" t="s">
        <v>6559</v>
      </c>
      <c r="C4692" s="8">
        <f>QS.CONTEXT.CREATE("market.4690",A4692,"USD","SOFR")</f>
        <v/>
      </c>
      <c r="D4692" s="8">
        <f>QS.CONTEXT.ADD.CURVE(C4692,"SOFR",$K$2:$K$7,$L$2:$L$7,,,"Actual360","LogLinear",TRUE)</f>
        <v/>
      </c>
      <c r="E4692" s="8">
        <f>QS.INSTRUMENT.SWAP("swap.4690",C4692,H4692,B4692,"USD","SOFR",I4692,J4692,0,"Actual360","Simple","Annual","Annual","Annual")</f>
        <v/>
      </c>
      <c r="F4692" s="8">
        <f>QS.TRADE.CREATE("trade.4690",C4692,E4692,A4692,"Receive")</f>
        <v/>
      </c>
      <c r="G4692" s="5"/>
      <c r="H4692" s="7" t="s">
        <v>4733</v>
      </c>
      <c r="I4692" s="9">
        <v>1469000</v>
      </c>
      <c r="J4692" s="10">
        <v>0.03900000000000001</v>
      </c>
    </row>
    <row r="4693" spans="1:10">
      <c r="A4693" s="7" t="s">
        <v>4727</v>
      </c>
      <c r="B4693" s="7" t="s">
        <v>6560</v>
      </c>
      <c r="C4693" s="8">
        <f>QS.CONTEXT.CREATE("market.4691",A4693,"USD","SOFR")</f>
        <v/>
      </c>
      <c r="D4693" s="8">
        <f>QS.CONTEXT.ADD.CURVE(C4693,"SOFR",$K$2:$K$7,$L$2:$L$7,,,"Actual360","LogLinear",TRUE)</f>
        <v/>
      </c>
      <c r="E4693" s="8">
        <f>QS.INSTRUMENT.SWAP("swap.4691",C4693,H4693,B4693,"USD","SOFR",I4693,J4693,0,"Actual360","Simple","Annual","Annual","Annual")</f>
        <v/>
      </c>
      <c r="F4693" s="8">
        <f>QS.TRADE.CREATE("trade.4691",C4693,E4693,A4693,"Receive")</f>
        <v/>
      </c>
      <c r="G4693" s="5"/>
      <c r="H4693" s="7" t="s">
        <v>4734</v>
      </c>
      <c r="I4693" s="9">
        <v>1469100</v>
      </c>
      <c r="J4693" s="10">
        <v>0.0391</v>
      </c>
    </row>
    <row r="4694" spans="1:10">
      <c r="A4694" s="7" t="s">
        <v>4728</v>
      </c>
      <c r="B4694" s="7" t="s">
        <v>6561</v>
      </c>
      <c r="C4694" s="8">
        <f>QS.CONTEXT.CREATE("market.4692",A4694,"USD","SOFR")</f>
        <v/>
      </c>
      <c r="D4694" s="8">
        <f>QS.CONTEXT.ADD.CURVE(C4694,"SOFR",$K$2:$K$7,$L$2:$L$7,,,"Actual360","LogLinear",TRUE)</f>
        <v/>
      </c>
      <c r="E4694" s="8">
        <f>QS.INSTRUMENT.SWAP("swap.4692",C4694,H4694,B4694,"USD","SOFR",I4694,J4694,0,"Actual360","Simple","Annual","Annual","Annual")</f>
        <v/>
      </c>
      <c r="F4694" s="8">
        <f>QS.TRADE.CREATE("trade.4692",C4694,E4694,A4694,"Receive")</f>
        <v/>
      </c>
      <c r="G4694" s="5"/>
      <c r="H4694" s="7" t="s">
        <v>4735</v>
      </c>
      <c r="I4694" s="9">
        <v>1469200</v>
      </c>
      <c r="J4694" s="10">
        <v>0.03920000000000001</v>
      </c>
    </row>
    <row r="4695" spans="1:10">
      <c r="A4695" s="7" t="s">
        <v>4729</v>
      </c>
      <c r="B4695" s="7" t="s">
        <v>6562</v>
      </c>
      <c r="C4695" s="8">
        <f>QS.CONTEXT.CREATE("market.4693",A4695,"USD","SOFR")</f>
        <v/>
      </c>
      <c r="D4695" s="8">
        <f>QS.CONTEXT.ADD.CURVE(C4695,"SOFR",$K$2:$K$7,$L$2:$L$7,,,"Actual360","LogLinear",TRUE)</f>
        <v/>
      </c>
      <c r="E4695" s="8">
        <f>QS.INSTRUMENT.SWAP("swap.4693",C4695,H4695,B4695,"USD","SOFR",I4695,J4695,0,"Actual360","Simple","Annual","Annual","Annual")</f>
        <v/>
      </c>
      <c r="F4695" s="8">
        <f>QS.TRADE.CREATE("trade.4693",C4695,E4695,A4695,"Receive")</f>
        <v/>
      </c>
      <c r="G4695" s="5"/>
      <c r="H4695" s="7" t="s">
        <v>4736</v>
      </c>
      <c r="I4695" s="9">
        <v>1469300</v>
      </c>
      <c r="J4695" s="10">
        <v>0.0393</v>
      </c>
    </row>
    <row r="4696" spans="1:10">
      <c r="A4696" s="7" t="s">
        <v>4730</v>
      </c>
      <c r="B4696" s="7" t="s">
        <v>6563</v>
      </c>
      <c r="C4696" s="8">
        <f>QS.CONTEXT.CREATE("market.4694",A4696,"USD","SOFR")</f>
        <v/>
      </c>
      <c r="D4696" s="8">
        <f>QS.CONTEXT.ADD.CURVE(C4696,"SOFR",$K$2:$K$7,$L$2:$L$7,,,"Actual360","LogLinear",TRUE)</f>
        <v/>
      </c>
      <c r="E4696" s="8">
        <f>QS.INSTRUMENT.SWAP("swap.4694",C4696,H4696,B4696,"USD","SOFR",I4696,J4696,0,"Actual360","Simple","Annual","Annual","Annual")</f>
        <v/>
      </c>
      <c r="F4696" s="8">
        <f>QS.TRADE.CREATE("trade.4694",C4696,E4696,A4696,"Receive")</f>
        <v/>
      </c>
      <c r="G4696" s="5"/>
      <c r="H4696" s="7" t="s">
        <v>4737</v>
      </c>
      <c r="I4696" s="9">
        <v>1469400</v>
      </c>
      <c r="J4696" s="10">
        <v>0.0394</v>
      </c>
    </row>
    <row r="4697" spans="1:10">
      <c r="A4697" s="7" t="s">
        <v>4731</v>
      </c>
      <c r="B4697" s="7" t="s">
        <v>6564</v>
      </c>
      <c r="C4697" s="8">
        <f>QS.CONTEXT.CREATE("market.4695",A4697,"USD","SOFR")</f>
        <v/>
      </c>
      <c r="D4697" s="8">
        <f>QS.CONTEXT.ADD.CURVE(C4697,"SOFR",$K$2:$K$7,$L$2:$L$7,,,"Actual360","LogLinear",TRUE)</f>
        <v/>
      </c>
      <c r="E4697" s="8">
        <f>QS.INSTRUMENT.SWAP("swap.4695",C4697,H4697,B4697,"USD","SOFR",I4697,J4697,0,"Actual360","Simple","Annual","Annual","Annual")</f>
        <v/>
      </c>
      <c r="F4697" s="8">
        <f>QS.TRADE.CREATE("trade.4695",C4697,E4697,A4697,"Receive")</f>
        <v/>
      </c>
      <c r="G4697" s="5"/>
      <c r="H4697" s="7" t="s">
        <v>4738</v>
      </c>
      <c r="I4697" s="9">
        <v>1469500</v>
      </c>
      <c r="J4697" s="10">
        <v>0.03950000000000001</v>
      </c>
    </row>
    <row r="4698" spans="1:10">
      <c r="A4698" s="7" t="s">
        <v>4732</v>
      </c>
      <c r="B4698" s="7" t="s">
        <v>6565</v>
      </c>
      <c r="C4698" s="8">
        <f>QS.CONTEXT.CREATE("market.4696",A4698,"USD","SOFR")</f>
        <v/>
      </c>
      <c r="D4698" s="8">
        <f>QS.CONTEXT.ADD.CURVE(C4698,"SOFR",$K$2:$K$7,$L$2:$L$7,,,"Actual360","LogLinear",TRUE)</f>
        <v/>
      </c>
      <c r="E4698" s="8">
        <f>QS.INSTRUMENT.SWAP("swap.4696",C4698,H4698,B4698,"USD","SOFR",I4698,J4698,0,"Actual360","Simple","Annual","Annual","Annual")</f>
        <v/>
      </c>
      <c r="F4698" s="8">
        <f>QS.TRADE.CREATE("trade.4696",C4698,E4698,A4698,"Receive")</f>
        <v/>
      </c>
      <c r="G4698" s="5"/>
      <c r="H4698" s="7" t="s">
        <v>4739</v>
      </c>
      <c r="I4698" s="9">
        <v>1469600</v>
      </c>
      <c r="J4698" s="10">
        <v>0.0396</v>
      </c>
    </row>
    <row r="4699" spans="1:10">
      <c r="A4699" s="7" t="s">
        <v>4733</v>
      </c>
      <c r="B4699" s="7" t="s">
        <v>6566</v>
      </c>
      <c r="C4699" s="8">
        <f>QS.CONTEXT.CREATE("market.4697",A4699,"USD","SOFR")</f>
        <v/>
      </c>
      <c r="D4699" s="8">
        <f>QS.CONTEXT.ADD.CURVE(C4699,"SOFR",$K$2:$K$7,$L$2:$L$7,,,"Actual360","LogLinear",TRUE)</f>
        <v/>
      </c>
      <c r="E4699" s="8">
        <f>QS.INSTRUMENT.SWAP("swap.4697",C4699,H4699,B4699,"USD","SOFR",I4699,J4699,0,"Actual360","Simple","Annual","Annual","Annual")</f>
        <v/>
      </c>
      <c r="F4699" s="8">
        <f>QS.TRADE.CREATE("trade.4697",C4699,E4699,A4699,"Receive")</f>
        <v/>
      </c>
      <c r="G4699" s="5"/>
      <c r="H4699" s="7" t="s">
        <v>4740</v>
      </c>
      <c r="I4699" s="9">
        <v>1469700</v>
      </c>
      <c r="J4699" s="10">
        <v>0.03970000000000001</v>
      </c>
    </row>
    <row r="4700" spans="1:10">
      <c r="A4700" s="7" t="s">
        <v>4734</v>
      </c>
      <c r="B4700" s="7" t="s">
        <v>6567</v>
      </c>
      <c r="C4700" s="8">
        <f>QS.CONTEXT.CREATE("market.4698",A4700,"USD","SOFR")</f>
        <v/>
      </c>
      <c r="D4700" s="8">
        <f>QS.CONTEXT.ADD.CURVE(C4700,"SOFR",$K$2:$K$7,$L$2:$L$7,,,"Actual360","LogLinear",TRUE)</f>
        <v/>
      </c>
      <c r="E4700" s="8">
        <f>QS.INSTRUMENT.SWAP("swap.4698",C4700,H4700,B4700,"USD","SOFR",I4700,J4700,0,"Actual360","Simple","Annual","Annual","Annual")</f>
        <v/>
      </c>
      <c r="F4700" s="8">
        <f>QS.TRADE.CREATE("trade.4698",C4700,E4700,A4700,"Receive")</f>
        <v/>
      </c>
      <c r="G4700" s="5"/>
      <c r="H4700" s="7" t="s">
        <v>4741</v>
      </c>
      <c r="I4700" s="9">
        <v>1469800</v>
      </c>
      <c r="J4700" s="10">
        <v>0.0398</v>
      </c>
    </row>
    <row r="4701" spans="1:10">
      <c r="A4701" s="7" t="s">
        <v>4735</v>
      </c>
      <c r="B4701" s="7" t="s">
        <v>6568</v>
      </c>
      <c r="C4701" s="8">
        <f>QS.CONTEXT.CREATE("market.4699",A4701,"USD","SOFR")</f>
        <v/>
      </c>
      <c r="D4701" s="8">
        <f>QS.CONTEXT.ADD.CURVE(C4701,"SOFR",$K$2:$K$7,$L$2:$L$7,,,"Actual360","LogLinear",TRUE)</f>
        <v/>
      </c>
      <c r="E4701" s="8">
        <f>QS.INSTRUMENT.SWAP("swap.4699",C4701,H4701,B4701,"USD","SOFR",I4701,J4701,0,"Actual360","Simple","Annual","Annual","Annual")</f>
        <v/>
      </c>
      <c r="F4701" s="8">
        <f>QS.TRADE.CREATE("trade.4699",C4701,E4701,A4701,"Receive")</f>
        <v/>
      </c>
      <c r="G4701" s="5"/>
      <c r="H4701" s="7" t="s">
        <v>4742</v>
      </c>
      <c r="I4701" s="9">
        <v>1469900</v>
      </c>
      <c r="J4701" s="10">
        <v>0.0399</v>
      </c>
    </row>
    <row r="4702" spans="1:10">
      <c r="A4702" s="7" t="s">
        <v>4736</v>
      </c>
      <c r="B4702" s="7" t="s">
        <v>6569</v>
      </c>
      <c r="C4702" s="8">
        <f>QS.CONTEXT.CREATE("market.4700",A4702,"USD","SOFR")</f>
        <v/>
      </c>
      <c r="D4702" s="8">
        <f>QS.CONTEXT.ADD.CURVE(C4702,"SOFR",$K$2:$K$7,$L$2:$L$7,,,"Actual360","LogLinear",TRUE)</f>
        <v/>
      </c>
      <c r="E4702" s="8">
        <f>QS.INSTRUMENT.SWAP("swap.4700",C4702,H4702,B4702,"USD","SOFR",I4702,J4702,0,"Actual360","Simple","Annual","Annual","Annual")</f>
        <v/>
      </c>
      <c r="F4702" s="8">
        <f>QS.TRADE.CREATE("trade.4700",C4702,E4702,A4702,"Receive")</f>
        <v/>
      </c>
      <c r="G4702" s="5"/>
      <c r="H4702" s="7" t="s">
        <v>4743</v>
      </c>
      <c r="I4702" s="9">
        <v>1470000</v>
      </c>
      <c r="J4702" s="10">
        <v>0.035</v>
      </c>
    </row>
    <row r="4703" spans="1:10">
      <c r="A4703" s="7" t="s">
        <v>4737</v>
      </c>
      <c r="B4703" s="7" t="s">
        <v>6570</v>
      </c>
      <c r="C4703" s="8">
        <f>QS.CONTEXT.CREATE("market.4701",A4703,"USD","SOFR")</f>
        <v/>
      </c>
      <c r="D4703" s="8">
        <f>QS.CONTEXT.ADD.CURVE(C4703,"SOFR",$K$2:$K$7,$L$2:$L$7,,,"Actual360","LogLinear",TRUE)</f>
        <v/>
      </c>
      <c r="E4703" s="8">
        <f>QS.INSTRUMENT.SWAP("swap.4701",C4703,H4703,B4703,"USD","SOFR",I4703,J4703,0,"Actual360","Simple","Annual","Annual","Annual")</f>
        <v/>
      </c>
      <c r="F4703" s="8">
        <f>QS.TRADE.CREATE("trade.4701",C4703,E4703,A4703,"Receive")</f>
        <v/>
      </c>
      <c r="G4703" s="5"/>
      <c r="H4703" s="7" t="s">
        <v>4744</v>
      </c>
      <c r="I4703" s="9">
        <v>1470100</v>
      </c>
      <c r="J4703" s="10">
        <v>0.03510000000000001</v>
      </c>
    </row>
    <row r="4704" spans="1:10">
      <c r="A4704" s="7" t="s">
        <v>4738</v>
      </c>
      <c r="B4704" s="7" t="s">
        <v>6571</v>
      </c>
      <c r="C4704" s="8">
        <f>QS.CONTEXT.CREATE("market.4702",A4704,"USD","SOFR")</f>
        <v/>
      </c>
      <c r="D4704" s="8">
        <f>QS.CONTEXT.ADD.CURVE(C4704,"SOFR",$K$2:$K$7,$L$2:$L$7,,,"Actual360","LogLinear",TRUE)</f>
        <v/>
      </c>
      <c r="E4704" s="8">
        <f>QS.INSTRUMENT.SWAP("swap.4702",C4704,H4704,B4704,"USD","SOFR",I4704,J4704,0,"Actual360","Simple","Annual","Annual","Annual")</f>
        <v/>
      </c>
      <c r="F4704" s="8">
        <f>QS.TRADE.CREATE("trade.4702",C4704,E4704,A4704,"Receive")</f>
        <v/>
      </c>
      <c r="G4704" s="5"/>
      <c r="H4704" s="7" t="s">
        <v>4745</v>
      </c>
      <c r="I4704" s="9">
        <v>1470200</v>
      </c>
      <c r="J4704" s="10">
        <v>0.0352</v>
      </c>
    </row>
    <row r="4705" spans="1:10">
      <c r="A4705" s="7" t="s">
        <v>4739</v>
      </c>
      <c r="B4705" s="7" t="s">
        <v>6572</v>
      </c>
      <c r="C4705" s="8">
        <f>QS.CONTEXT.CREATE("market.4703",A4705,"USD","SOFR")</f>
        <v/>
      </c>
      <c r="D4705" s="8">
        <f>QS.CONTEXT.ADD.CURVE(C4705,"SOFR",$K$2:$K$7,$L$2:$L$7,,,"Actual360","LogLinear",TRUE)</f>
        <v/>
      </c>
      <c r="E4705" s="8">
        <f>QS.INSTRUMENT.SWAP("swap.4703",C4705,H4705,B4705,"USD","SOFR",I4705,J4705,0,"Actual360","Simple","Annual","Annual","Annual")</f>
        <v/>
      </c>
      <c r="F4705" s="8">
        <f>QS.TRADE.CREATE("trade.4703",C4705,E4705,A4705,"Receive")</f>
        <v/>
      </c>
      <c r="G4705" s="5"/>
      <c r="H4705" s="7" t="s">
        <v>4746</v>
      </c>
      <c r="I4705" s="9">
        <v>1470300</v>
      </c>
      <c r="J4705" s="10">
        <v>0.0353</v>
      </c>
    </row>
    <row r="4706" spans="1:10">
      <c r="A4706" s="7" t="s">
        <v>4740</v>
      </c>
      <c r="B4706" s="7" t="s">
        <v>6573</v>
      </c>
      <c r="C4706" s="8">
        <f>QS.CONTEXT.CREATE("market.4704",A4706,"USD","SOFR")</f>
        <v/>
      </c>
      <c r="D4706" s="8">
        <f>QS.CONTEXT.ADD.CURVE(C4706,"SOFR",$K$2:$K$7,$L$2:$L$7,,,"Actual360","LogLinear",TRUE)</f>
        <v/>
      </c>
      <c r="E4706" s="8">
        <f>QS.INSTRUMENT.SWAP("swap.4704",C4706,H4706,B4706,"USD","SOFR",I4706,J4706,0,"Actual360","Simple","Annual","Annual","Annual")</f>
        <v/>
      </c>
      <c r="F4706" s="8">
        <f>QS.TRADE.CREATE("trade.4704",C4706,E4706,A4706,"Receive")</f>
        <v/>
      </c>
      <c r="G4706" s="5"/>
      <c r="H4706" s="7" t="s">
        <v>4747</v>
      </c>
      <c r="I4706" s="9">
        <v>1470400</v>
      </c>
      <c r="J4706" s="10">
        <v>0.0354</v>
      </c>
    </row>
    <row r="4707" spans="1:10">
      <c r="A4707" s="7" t="s">
        <v>4741</v>
      </c>
      <c r="B4707" s="7" t="s">
        <v>6574</v>
      </c>
      <c r="C4707" s="8">
        <f>QS.CONTEXT.CREATE("market.4705",A4707,"USD","SOFR")</f>
        <v/>
      </c>
      <c r="D4707" s="8">
        <f>QS.CONTEXT.ADD.CURVE(C4707,"SOFR",$K$2:$K$7,$L$2:$L$7,,,"Actual360","LogLinear",TRUE)</f>
        <v/>
      </c>
      <c r="E4707" s="8">
        <f>QS.INSTRUMENT.SWAP("swap.4705",C4707,H4707,B4707,"USD","SOFR",I4707,J4707,0,"Actual360","Simple","Annual","Annual","Annual")</f>
        <v/>
      </c>
      <c r="F4707" s="8">
        <f>QS.TRADE.CREATE("trade.4705",C4707,E4707,A4707,"Receive")</f>
        <v/>
      </c>
      <c r="G4707" s="5"/>
      <c r="H4707" s="7" t="s">
        <v>4748</v>
      </c>
      <c r="I4707" s="9">
        <v>1470500</v>
      </c>
      <c r="J4707" s="10">
        <v>0.0355</v>
      </c>
    </row>
    <row r="4708" spans="1:10">
      <c r="A4708" s="7" t="s">
        <v>4742</v>
      </c>
      <c r="B4708" s="7" t="s">
        <v>6575</v>
      </c>
      <c r="C4708" s="8">
        <f>QS.CONTEXT.CREATE("market.4706",A4708,"USD","SOFR")</f>
        <v/>
      </c>
      <c r="D4708" s="8">
        <f>QS.CONTEXT.ADD.CURVE(C4708,"SOFR",$K$2:$K$7,$L$2:$L$7,,,"Actual360","LogLinear",TRUE)</f>
        <v/>
      </c>
      <c r="E4708" s="8">
        <f>QS.INSTRUMENT.SWAP("swap.4706",C4708,H4708,B4708,"USD","SOFR",I4708,J4708,0,"Actual360","Simple","Annual","Annual","Annual")</f>
        <v/>
      </c>
      <c r="F4708" s="8">
        <f>QS.TRADE.CREATE("trade.4706",C4708,E4708,A4708,"Receive")</f>
        <v/>
      </c>
      <c r="G4708" s="5"/>
      <c r="H4708" s="7" t="s">
        <v>4749</v>
      </c>
      <c r="I4708" s="9">
        <v>1470600</v>
      </c>
      <c r="J4708" s="10">
        <v>0.03560000000000001</v>
      </c>
    </row>
    <row r="4709" spans="1:10">
      <c r="A4709" s="7" t="s">
        <v>4743</v>
      </c>
      <c r="B4709" s="7" t="s">
        <v>6576</v>
      </c>
      <c r="C4709" s="8">
        <f>QS.CONTEXT.CREATE("market.4707",A4709,"USD","SOFR")</f>
        <v/>
      </c>
      <c r="D4709" s="8">
        <f>QS.CONTEXT.ADD.CURVE(C4709,"SOFR",$K$2:$K$7,$L$2:$L$7,,,"Actual360","LogLinear",TRUE)</f>
        <v/>
      </c>
      <c r="E4709" s="8">
        <f>QS.INSTRUMENT.SWAP("swap.4707",C4709,H4709,B4709,"USD","SOFR",I4709,J4709,0,"Actual360","Simple","Annual","Annual","Annual")</f>
        <v/>
      </c>
      <c r="F4709" s="8">
        <f>QS.TRADE.CREATE("trade.4707",C4709,E4709,A4709,"Receive")</f>
        <v/>
      </c>
      <c r="G4709" s="5"/>
      <c r="H4709" s="7" t="s">
        <v>4750</v>
      </c>
      <c r="I4709" s="9">
        <v>1470700</v>
      </c>
      <c r="J4709" s="10">
        <v>0.0357</v>
      </c>
    </row>
    <row r="4710" spans="1:10">
      <c r="A4710" s="7" t="s">
        <v>4744</v>
      </c>
      <c r="B4710" s="7" t="s">
        <v>6577</v>
      </c>
      <c r="C4710" s="8">
        <f>QS.CONTEXT.CREATE("market.4708",A4710,"USD","SOFR")</f>
        <v/>
      </c>
      <c r="D4710" s="8">
        <f>QS.CONTEXT.ADD.CURVE(C4710,"SOFR",$K$2:$K$7,$L$2:$L$7,,,"Actual360","LogLinear",TRUE)</f>
        <v/>
      </c>
      <c r="E4710" s="8">
        <f>QS.INSTRUMENT.SWAP("swap.4708",C4710,H4710,B4710,"USD","SOFR",I4710,J4710,0,"Actual360","Simple","Annual","Annual","Annual")</f>
        <v/>
      </c>
      <c r="F4710" s="8">
        <f>QS.TRADE.CREATE("trade.4708",C4710,E4710,A4710,"Receive")</f>
        <v/>
      </c>
      <c r="G4710" s="5"/>
      <c r="H4710" s="7" t="s">
        <v>4751</v>
      </c>
      <c r="I4710" s="9">
        <v>1470800</v>
      </c>
      <c r="J4710" s="10">
        <v>0.03580000000000001</v>
      </c>
    </row>
    <row r="4711" spans="1:10">
      <c r="A4711" s="7" t="s">
        <v>4745</v>
      </c>
      <c r="B4711" s="7" t="s">
        <v>6578</v>
      </c>
      <c r="C4711" s="8">
        <f>QS.CONTEXT.CREATE("market.4709",A4711,"USD","SOFR")</f>
        <v/>
      </c>
      <c r="D4711" s="8">
        <f>QS.CONTEXT.ADD.CURVE(C4711,"SOFR",$K$2:$K$7,$L$2:$L$7,,,"Actual360","LogLinear",TRUE)</f>
        <v/>
      </c>
      <c r="E4711" s="8">
        <f>QS.INSTRUMENT.SWAP("swap.4709",C4711,H4711,B4711,"USD","SOFR",I4711,J4711,0,"Actual360","Simple","Annual","Annual","Annual")</f>
        <v/>
      </c>
      <c r="F4711" s="8">
        <f>QS.TRADE.CREATE("trade.4709",C4711,E4711,A4711,"Receive")</f>
        <v/>
      </c>
      <c r="G4711" s="5"/>
      <c r="H4711" s="7" t="s">
        <v>4752</v>
      </c>
      <c r="I4711" s="9">
        <v>1470900</v>
      </c>
      <c r="J4711" s="10">
        <v>0.0359</v>
      </c>
    </row>
    <row r="4712" spans="1:10">
      <c r="A4712" s="7" t="s">
        <v>4746</v>
      </c>
      <c r="B4712" s="7" t="s">
        <v>6579</v>
      </c>
      <c r="C4712" s="8">
        <f>QS.CONTEXT.CREATE("market.4710",A4712,"USD","SOFR")</f>
        <v/>
      </c>
      <c r="D4712" s="8">
        <f>QS.CONTEXT.ADD.CURVE(C4712,"SOFR",$K$2:$K$7,$L$2:$L$7,,,"Actual360","LogLinear",TRUE)</f>
        <v/>
      </c>
      <c r="E4712" s="8">
        <f>QS.INSTRUMENT.SWAP("swap.4710",C4712,H4712,B4712,"USD","SOFR",I4712,J4712,0,"Actual360","Simple","Annual","Annual","Annual")</f>
        <v/>
      </c>
      <c r="F4712" s="8">
        <f>QS.TRADE.CREATE("trade.4710",C4712,E4712,A4712,"Receive")</f>
        <v/>
      </c>
      <c r="G4712" s="5"/>
      <c r="H4712" s="7" t="s">
        <v>4753</v>
      </c>
      <c r="I4712" s="9">
        <v>1471000</v>
      </c>
      <c r="J4712" s="10">
        <v>0.036</v>
      </c>
    </row>
    <row r="4713" spans="1:10">
      <c r="A4713" s="7" t="s">
        <v>4747</v>
      </c>
      <c r="B4713" s="7" t="s">
        <v>6580</v>
      </c>
      <c r="C4713" s="8">
        <f>QS.CONTEXT.CREATE("market.4711",A4713,"USD","SOFR")</f>
        <v/>
      </c>
      <c r="D4713" s="8">
        <f>QS.CONTEXT.ADD.CURVE(C4713,"SOFR",$K$2:$K$7,$L$2:$L$7,,,"Actual360","LogLinear",TRUE)</f>
        <v/>
      </c>
      <c r="E4713" s="8">
        <f>QS.INSTRUMENT.SWAP("swap.4711",C4713,H4713,B4713,"USD","SOFR",I4713,J4713,0,"Actual360","Simple","Annual","Annual","Annual")</f>
        <v/>
      </c>
      <c r="F4713" s="8">
        <f>QS.TRADE.CREATE("trade.4711",C4713,E4713,A4713,"Receive")</f>
        <v/>
      </c>
      <c r="G4713" s="5"/>
      <c r="H4713" s="7" t="s">
        <v>4754</v>
      </c>
      <c r="I4713" s="9">
        <v>1471100</v>
      </c>
      <c r="J4713" s="10">
        <v>0.0361</v>
      </c>
    </row>
    <row r="4714" spans="1:10">
      <c r="A4714" s="7" t="s">
        <v>4748</v>
      </c>
      <c r="B4714" s="7" t="s">
        <v>6581</v>
      </c>
      <c r="C4714" s="8">
        <f>QS.CONTEXT.CREATE("market.4712",A4714,"USD","SOFR")</f>
        <v/>
      </c>
      <c r="D4714" s="8">
        <f>QS.CONTEXT.ADD.CURVE(C4714,"SOFR",$K$2:$K$7,$L$2:$L$7,,,"Actual360","LogLinear",TRUE)</f>
        <v/>
      </c>
      <c r="E4714" s="8">
        <f>QS.INSTRUMENT.SWAP("swap.4712",C4714,H4714,B4714,"USD","SOFR",I4714,J4714,0,"Actual360","Simple","Annual","Annual","Annual")</f>
        <v/>
      </c>
      <c r="F4714" s="8">
        <f>QS.TRADE.CREATE("trade.4712",C4714,E4714,A4714,"Receive")</f>
        <v/>
      </c>
      <c r="G4714" s="5"/>
      <c r="H4714" s="7" t="s">
        <v>4755</v>
      </c>
      <c r="I4714" s="9">
        <v>1471200</v>
      </c>
      <c r="J4714" s="10">
        <v>0.0362</v>
      </c>
    </row>
    <row r="4715" spans="1:10">
      <c r="A4715" s="7" t="s">
        <v>4749</v>
      </c>
      <c r="B4715" s="7" t="s">
        <v>6582</v>
      </c>
      <c r="C4715" s="8">
        <f>QS.CONTEXT.CREATE("market.4713",A4715,"USD","SOFR")</f>
        <v/>
      </c>
      <c r="D4715" s="8">
        <f>QS.CONTEXT.ADD.CURVE(C4715,"SOFR",$K$2:$K$7,$L$2:$L$7,,,"Actual360","LogLinear",TRUE)</f>
        <v/>
      </c>
      <c r="E4715" s="8">
        <f>QS.INSTRUMENT.SWAP("swap.4713",C4715,H4715,B4715,"USD","SOFR",I4715,J4715,0,"Actual360","Simple","Annual","Annual","Annual")</f>
        <v/>
      </c>
      <c r="F4715" s="8">
        <f>QS.TRADE.CREATE("trade.4713",C4715,E4715,A4715,"Receive")</f>
        <v/>
      </c>
      <c r="G4715" s="5"/>
      <c r="H4715" s="7" t="s">
        <v>4756</v>
      </c>
      <c r="I4715" s="9">
        <v>1471300</v>
      </c>
      <c r="J4715" s="10">
        <v>0.03630000000000001</v>
      </c>
    </row>
    <row r="4716" spans="1:10">
      <c r="A4716" s="7" t="s">
        <v>4750</v>
      </c>
      <c r="B4716" s="7" t="s">
        <v>6583</v>
      </c>
      <c r="C4716" s="8">
        <f>QS.CONTEXT.CREATE("market.4714",A4716,"USD","SOFR")</f>
        <v/>
      </c>
      <c r="D4716" s="8">
        <f>QS.CONTEXT.ADD.CURVE(C4716,"SOFR",$K$2:$K$7,$L$2:$L$7,,,"Actual360","LogLinear",TRUE)</f>
        <v/>
      </c>
      <c r="E4716" s="8">
        <f>QS.INSTRUMENT.SWAP("swap.4714",C4716,H4716,B4716,"USD","SOFR",I4716,J4716,0,"Actual360","Simple","Annual","Annual","Annual")</f>
        <v/>
      </c>
      <c r="F4716" s="8">
        <f>QS.TRADE.CREATE("trade.4714",C4716,E4716,A4716,"Receive")</f>
        <v/>
      </c>
      <c r="G4716" s="5"/>
      <c r="H4716" s="7" t="s">
        <v>4757</v>
      </c>
      <c r="I4716" s="9">
        <v>1471400</v>
      </c>
      <c r="J4716" s="10">
        <v>0.0364</v>
      </c>
    </row>
    <row r="4717" spans="1:10">
      <c r="A4717" s="7" t="s">
        <v>4751</v>
      </c>
      <c r="B4717" s="7" t="s">
        <v>6584</v>
      </c>
      <c r="C4717" s="8">
        <f>QS.CONTEXT.CREATE("market.4715",A4717,"USD","SOFR")</f>
        <v/>
      </c>
      <c r="D4717" s="8">
        <f>QS.CONTEXT.ADD.CURVE(C4717,"SOFR",$K$2:$K$7,$L$2:$L$7,,,"Actual360","LogLinear",TRUE)</f>
        <v/>
      </c>
      <c r="E4717" s="8">
        <f>QS.INSTRUMENT.SWAP("swap.4715",C4717,H4717,B4717,"USD","SOFR",I4717,J4717,0,"Actual360","Simple","Annual","Annual","Annual")</f>
        <v/>
      </c>
      <c r="F4717" s="8">
        <f>QS.TRADE.CREATE("trade.4715",C4717,E4717,A4717,"Receive")</f>
        <v/>
      </c>
      <c r="G4717" s="5"/>
      <c r="H4717" s="7" t="s">
        <v>4758</v>
      </c>
      <c r="I4717" s="9">
        <v>1471500</v>
      </c>
      <c r="J4717" s="10">
        <v>0.0365</v>
      </c>
    </row>
    <row r="4718" spans="1:10">
      <c r="A4718" s="7" t="s">
        <v>4752</v>
      </c>
      <c r="B4718" s="7" t="s">
        <v>6585</v>
      </c>
      <c r="C4718" s="8">
        <f>QS.CONTEXT.CREATE("market.4716",A4718,"USD","SOFR")</f>
        <v/>
      </c>
      <c r="D4718" s="8">
        <f>QS.CONTEXT.ADD.CURVE(C4718,"SOFR",$K$2:$K$7,$L$2:$L$7,,,"Actual360","LogLinear",TRUE)</f>
        <v/>
      </c>
      <c r="E4718" s="8">
        <f>QS.INSTRUMENT.SWAP("swap.4716",C4718,H4718,B4718,"USD","SOFR",I4718,J4718,0,"Actual360","Simple","Annual","Annual","Annual")</f>
        <v/>
      </c>
      <c r="F4718" s="8">
        <f>QS.TRADE.CREATE("trade.4716",C4718,E4718,A4718,"Receive")</f>
        <v/>
      </c>
      <c r="G4718" s="5"/>
      <c r="H4718" s="7" t="s">
        <v>4759</v>
      </c>
      <c r="I4718" s="9">
        <v>1471600</v>
      </c>
      <c r="J4718" s="10">
        <v>0.0366</v>
      </c>
    </row>
    <row r="4719" spans="1:10">
      <c r="A4719" s="7" t="s">
        <v>4753</v>
      </c>
      <c r="B4719" s="7" t="s">
        <v>6586</v>
      </c>
      <c r="C4719" s="8">
        <f>QS.CONTEXT.CREATE("market.4717",A4719,"USD","SOFR")</f>
        <v/>
      </c>
      <c r="D4719" s="8">
        <f>QS.CONTEXT.ADD.CURVE(C4719,"SOFR",$K$2:$K$7,$L$2:$L$7,,,"Actual360","LogLinear",TRUE)</f>
        <v/>
      </c>
      <c r="E4719" s="8">
        <f>QS.INSTRUMENT.SWAP("swap.4717",C4719,H4719,B4719,"USD","SOFR",I4719,J4719,0,"Actual360","Simple","Annual","Annual","Annual")</f>
        <v/>
      </c>
      <c r="F4719" s="8">
        <f>QS.TRADE.CREATE("trade.4717",C4719,E4719,A4719,"Receive")</f>
        <v/>
      </c>
      <c r="G4719" s="5"/>
      <c r="H4719" s="7" t="s">
        <v>4760</v>
      </c>
      <c r="I4719" s="9">
        <v>1471700</v>
      </c>
      <c r="J4719" s="10">
        <v>0.0367</v>
      </c>
    </row>
    <row r="4720" spans="1:10">
      <c r="A4720" s="7" t="s">
        <v>4754</v>
      </c>
      <c r="B4720" s="7" t="s">
        <v>6587</v>
      </c>
      <c r="C4720" s="8">
        <f>QS.CONTEXT.CREATE("market.4718",A4720,"USD","SOFR")</f>
        <v/>
      </c>
      <c r="D4720" s="8">
        <f>QS.CONTEXT.ADD.CURVE(C4720,"SOFR",$K$2:$K$7,$L$2:$L$7,,,"Actual360","LogLinear",TRUE)</f>
        <v/>
      </c>
      <c r="E4720" s="8">
        <f>QS.INSTRUMENT.SWAP("swap.4718",C4720,H4720,B4720,"USD","SOFR",I4720,J4720,0,"Actual360","Simple","Annual","Annual","Annual")</f>
        <v/>
      </c>
      <c r="F4720" s="8">
        <f>QS.TRADE.CREATE("trade.4718",C4720,E4720,A4720,"Receive")</f>
        <v/>
      </c>
      <c r="G4720" s="5"/>
      <c r="H4720" s="7" t="s">
        <v>4761</v>
      </c>
      <c r="I4720" s="9">
        <v>1471800</v>
      </c>
      <c r="J4720" s="10">
        <v>0.03680000000000001</v>
      </c>
    </row>
    <row r="4721" spans="1:10">
      <c r="A4721" s="7" t="s">
        <v>4755</v>
      </c>
      <c r="B4721" s="7" t="s">
        <v>6588</v>
      </c>
      <c r="C4721" s="8">
        <f>QS.CONTEXT.CREATE("market.4719",A4721,"USD","SOFR")</f>
        <v/>
      </c>
      <c r="D4721" s="8">
        <f>QS.CONTEXT.ADD.CURVE(C4721,"SOFR",$K$2:$K$7,$L$2:$L$7,,,"Actual360","LogLinear",TRUE)</f>
        <v/>
      </c>
      <c r="E4721" s="8">
        <f>QS.INSTRUMENT.SWAP("swap.4719",C4721,H4721,B4721,"USD","SOFR",I4721,J4721,0,"Actual360","Simple","Annual","Annual","Annual")</f>
        <v/>
      </c>
      <c r="F4721" s="8">
        <f>QS.TRADE.CREATE("trade.4719",C4721,E4721,A4721,"Receive")</f>
        <v/>
      </c>
      <c r="G4721" s="5"/>
      <c r="H4721" s="7" t="s">
        <v>4762</v>
      </c>
      <c r="I4721" s="9">
        <v>1471900</v>
      </c>
      <c r="J4721" s="10">
        <v>0.0369</v>
      </c>
    </row>
    <row r="4722" spans="1:10">
      <c r="A4722" s="7" t="s">
        <v>4756</v>
      </c>
      <c r="B4722" s="7" t="s">
        <v>6589</v>
      </c>
      <c r="C4722" s="8">
        <f>QS.CONTEXT.CREATE("market.4720",A4722,"USD","SOFR")</f>
        <v/>
      </c>
      <c r="D4722" s="8">
        <f>QS.CONTEXT.ADD.CURVE(C4722,"SOFR",$K$2:$K$7,$L$2:$L$7,,,"Actual360","LogLinear",TRUE)</f>
        <v/>
      </c>
      <c r="E4722" s="8">
        <f>QS.INSTRUMENT.SWAP("swap.4720",C4722,H4722,B4722,"USD","SOFR",I4722,J4722,0,"Actual360","Simple","Annual","Annual","Annual")</f>
        <v/>
      </c>
      <c r="F4722" s="8">
        <f>QS.TRADE.CREATE("trade.4720",C4722,E4722,A4722,"Receive")</f>
        <v/>
      </c>
      <c r="G4722" s="5"/>
      <c r="H4722" s="7" t="s">
        <v>4763</v>
      </c>
      <c r="I4722" s="9">
        <v>1472000</v>
      </c>
      <c r="J4722" s="10">
        <v>0.03700000000000001</v>
      </c>
    </row>
    <row r="4723" spans="1:10">
      <c r="A4723" s="7" t="s">
        <v>4757</v>
      </c>
      <c r="B4723" s="7" t="s">
        <v>6590</v>
      </c>
      <c r="C4723" s="8">
        <f>QS.CONTEXT.CREATE("market.4721",A4723,"USD","SOFR")</f>
        <v/>
      </c>
      <c r="D4723" s="8">
        <f>QS.CONTEXT.ADD.CURVE(C4723,"SOFR",$K$2:$K$7,$L$2:$L$7,,,"Actual360","LogLinear",TRUE)</f>
        <v/>
      </c>
      <c r="E4723" s="8">
        <f>QS.INSTRUMENT.SWAP("swap.4721",C4723,H4723,B4723,"USD","SOFR",I4723,J4723,0,"Actual360","Simple","Annual","Annual","Annual")</f>
        <v/>
      </c>
      <c r="F4723" s="8">
        <f>QS.TRADE.CREATE("trade.4721",C4723,E4723,A4723,"Receive")</f>
        <v/>
      </c>
      <c r="G4723" s="5"/>
      <c r="H4723" s="7" t="s">
        <v>4764</v>
      </c>
      <c r="I4723" s="9">
        <v>1472100</v>
      </c>
      <c r="J4723" s="10">
        <v>0.0371</v>
      </c>
    </row>
    <row r="4724" spans="1:10">
      <c r="A4724" s="7" t="s">
        <v>4758</v>
      </c>
      <c r="B4724" s="7" t="s">
        <v>6591</v>
      </c>
      <c r="C4724" s="8">
        <f>QS.CONTEXT.CREATE("market.4722",A4724,"USD","SOFR")</f>
        <v/>
      </c>
      <c r="D4724" s="8">
        <f>QS.CONTEXT.ADD.CURVE(C4724,"SOFR",$K$2:$K$7,$L$2:$L$7,,,"Actual360","LogLinear",TRUE)</f>
        <v/>
      </c>
      <c r="E4724" s="8">
        <f>QS.INSTRUMENT.SWAP("swap.4722",C4724,H4724,B4724,"USD","SOFR",I4724,J4724,0,"Actual360","Simple","Annual","Annual","Annual")</f>
        <v/>
      </c>
      <c r="F4724" s="8">
        <f>QS.TRADE.CREATE("trade.4722",C4724,E4724,A4724,"Receive")</f>
        <v/>
      </c>
      <c r="G4724" s="5"/>
      <c r="H4724" s="7" t="s">
        <v>4765</v>
      </c>
      <c r="I4724" s="9">
        <v>1472200</v>
      </c>
      <c r="J4724" s="10">
        <v>0.0372</v>
      </c>
    </row>
    <row r="4725" spans="1:10">
      <c r="A4725" s="7" t="s">
        <v>4759</v>
      </c>
      <c r="B4725" s="7" t="s">
        <v>6592</v>
      </c>
      <c r="C4725" s="8">
        <f>QS.CONTEXT.CREATE("market.4723",A4725,"USD","SOFR")</f>
        <v/>
      </c>
      <c r="D4725" s="8">
        <f>QS.CONTEXT.ADD.CURVE(C4725,"SOFR",$K$2:$K$7,$L$2:$L$7,,,"Actual360","LogLinear",TRUE)</f>
        <v/>
      </c>
      <c r="E4725" s="8">
        <f>QS.INSTRUMENT.SWAP("swap.4723",C4725,H4725,B4725,"USD","SOFR",I4725,J4725,0,"Actual360","Simple","Annual","Annual","Annual")</f>
        <v/>
      </c>
      <c r="F4725" s="8">
        <f>QS.TRADE.CREATE("trade.4723",C4725,E4725,A4725,"Receive")</f>
        <v/>
      </c>
      <c r="G4725" s="5"/>
      <c r="H4725" s="7" t="s">
        <v>4766</v>
      </c>
      <c r="I4725" s="9">
        <v>1472300</v>
      </c>
      <c r="J4725" s="10">
        <v>0.0373</v>
      </c>
    </row>
    <row r="4726" spans="1:10">
      <c r="A4726" s="7" t="s">
        <v>4760</v>
      </c>
      <c r="B4726" s="7" t="s">
        <v>6593</v>
      </c>
      <c r="C4726" s="8">
        <f>QS.CONTEXT.CREATE("market.4724",A4726,"USD","SOFR")</f>
        <v/>
      </c>
      <c r="D4726" s="8">
        <f>QS.CONTEXT.ADD.CURVE(C4726,"SOFR",$K$2:$K$7,$L$2:$L$7,,,"Actual360","LogLinear",TRUE)</f>
        <v/>
      </c>
      <c r="E4726" s="8">
        <f>QS.INSTRUMENT.SWAP("swap.4724",C4726,H4726,B4726,"USD","SOFR",I4726,J4726,0,"Actual360","Simple","Annual","Annual","Annual")</f>
        <v/>
      </c>
      <c r="F4726" s="8">
        <f>QS.TRADE.CREATE("trade.4724",C4726,E4726,A4726,"Receive")</f>
        <v/>
      </c>
      <c r="G4726" s="5"/>
      <c r="H4726" s="7" t="s">
        <v>4767</v>
      </c>
      <c r="I4726" s="9">
        <v>1472400</v>
      </c>
      <c r="J4726" s="10">
        <v>0.0374</v>
      </c>
    </row>
    <row r="4727" spans="1:10">
      <c r="A4727" s="7" t="s">
        <v>4761</v>
      </c>
      <c r="B4727" s="7" t="s">
        <v>6594</v>
      </c>
      <c r="C4727" s="8">
        <f>QS.CONTEXT.CREATE("market.4725",A4727,"USD","SOFR")</f>
        <v/>
      </c>
      <c r="D4727" s="8">
        <f>QS.CONTEXT.ADD.CURVE(C4727,"SOFR",$K$2:$K$7,$L$2:$L$7,,,"Actual360","LogLinear",TRUE)</f>
        <v/>
      </c>
      <c r="E4727" s="8">
        <f>QS.INSTRUMENT.SWAP("swap.4725",C4727,H4727,B4727,"USD","SOFR",I4727,J4727,0,"Actual360","Simple","Annual","Annual","Annual")</f>
        <v/>
      </c>
      <c r="F4727" s="8">
        <f>QS.TRADE.CREATE("trade.4725",C4727,E4727,A4727,"Receive")</f>
        <v/>
      </c>
      <c r="G4727" s="5"/>
      <c r="H4727" s="7" t="s">
        <v>4768</v>
      </c>
      <c r="I4727" s="9">
        <v>1472500</v>
      </c>
      <c r="J4727" s="10">
        <v>0.03750000000000001</v>
      </c>
    </row>
    <row r="4728" spans="1:10">
      <c r="A4728" s="7" t="s">
        <v>4762</v>
      </c>
      <c r="B4728" s="7" t="s">
        <v>6595</v>
      </c>
      <c r="C4728" s="8">
        <f>QS.CONTEXT.CREATE("market.4726",A4728,"USD","SOFR")</f>
        <v/>
      </c>
      <c r="D4728" s="8">
        <f>QS.CONTEXT.ADD.CURVE(C4728,"SOFR",$K$2:$K$7,$L$2:$L$7,,,"Actual360","LogLinear",TRUE)</f>
        <v/>
      </c>
      <c r="E4728" s="8">
        <f>QS.INSTRUMENT.SWAP("swap.4726",C4728,H4728,B4728,"USD","SOFR",I4728,J4728,0,"Actual360","Simple","Annual","Annual","Annual")</f>
        <v/>
      </c>
      <c r="F4728" s="8">
        <f>QS.TRADE.CREATE("trade.4726",C4728,E4728,A4728,"Receive")</f>
        <v/>
      </c>
      <c r="G4728" s="5"/>
      <c r="H4728" s="7" t="s">
        <v>4769</v>
      </c>
      <c r="I4728" s="9">
        <v>1472600</v>
      </c>
      <c r="J4728" s="10">
        <v>0.0376</v>
      </c>
    </row>
    <row r="4729" spans="1:10">
      <c r="A4729" s="7" t="s">
        <v>4763</v>
      </c>
      <c r="B4729" s="7" t="s">
        <v>6596</v>
      </c>
      <c r="C4729" s="8">
        <f>QS.CONTEXT.CREATE("market.4727",A4729,"USD","SOFR")</f>
        <v/>
      </c>
      <c r="D4729" s="8">
        <f>QS.CONTEXT.ADD.CURVE(C4729,"SOFR",$K$2:$K$7,$L$2:$L$7,,,"Actual360","LogLinear",TRUE)</f>
        <v/>
      </c>
      <c r="E4729" s="8">
        <f>QS.INSTRUMENT.SWAP("swap.4727",C4729,H4729,B4729,"USD","SOFR",I4729,J4729,0,"Actual360","Simple","Annual","Annual","Annual")</f>
        <v/>
      </c>
      <c r="F4729" s="8">
        <f>QS.TRADE.CREATE("trade.4727",C4729,E4729,A4729,"Receive")</f>
        <v/>
      </c>
      <c r="G4729" s="5"/>
      <c r="H4729" s="7" t="s">
        <v>4770</v>
      </c>
      <c r="I4729" s="9">
        <v>1472700</v>
      </c>
      <c r="J4729" s="10">
        <v>0.0377</v>
      </c>
    </row>
    <row r="4730" spans="1:10">
      <c r="A4730" s="7" t="s">
        <v>4764</v>
      </c>
      <c r="B4730" s="7" t="s">
        <v>6597</v>
      </c>
      <c r="C4730" s="8">
        <f>QS.CONTEXT.CREATE("market.4728",A4730,"USD","SOFR")</f>
        <v/>
      </c>
      <c r="D4730" s="8">
        <f>QS.CONTEXT.ADD.CURVE(C4730,"SOFR",$K$2:$K$7,$L$2:$L$7,,,"Actual360","LogLinear",TRUE)</f>
        <v/>
      </c>
      <c r="E4730" s="8">
        <f>QS.INSTRUMENT.SWAP("swap.4728",C4730,H4730,B4730,"USD","SOFR",I4730,J4730,0,"Actual360","Simple","Annual","Annual","Annual")</f>
        <v/>
      </c>
      <c r="F4730" s="8">
        <f>QS.TRADE.CREATE("trade.4728",C4730,E4730,A4730,"Receive")</f>
        <v/>
      </c>
      <c r="G4730" s="5"/>
      <c r="H4730" s="7" t="s">
        <v>4771</v>
      </c>
      <c r="I4730" s="9">
        <v>1472800</v>
      </c>
      <c r="J4730" s="10">
        <v>0.0378</v>
      </c>
    </row>
    <row r="4731" spans="1:10">
      <c r="A4731" s="7" t="s">
        <v>4765</v>
      </c>
      <c r="B4731" s="7" t="s">
        <v>6598</v>
      </c>
      <c r="C4731" s="8">
        <f>QS.CONTEXT.CREATE("market.4729",A4731,"USD","SOFR")</f>
        <v/>
      </c>
      <c r="D4731" s="8">
        <f>QS.CONTEXT.ADD.CURVE(C4731,"SOFR",$K$2:$K$7,$L$2:$L$7,,,"Actual360","LogLinear",TRUE)</f>
        <v/>
      </c>
      <c r="E4731" s="8">
        <f>QS.INSTRUMENT.SWAP("swap.4729",C4731,H4731,B4731,"USD","SOFR",I4731,J4731,0,"Actual360","Simple","Annual","Annual","Annual")</f>
        <v/>
      </c>
      <c r="F4731" s="8">
        <f>QS.TRADE.CREATE("trade.4729",C4731,E4731,A4731,"Receive")</f>
        <v/>
      </c>
      <c r="G4731" s="5"/>
      <c r="H4731" s="7" t="s">
        <v>4772</v>
      </c>
      <c r="I4731" s="9">
        <v>1472900</v>
      </c>
      <c r="J4731" s="10">
        <v>0.0379</v>
      </c>
    </row>
    <row r="4732" spans="1:10">
      <c r="A4732" s="7" t="s">
        <v>4766</v>
      </c>
      <c r="B4732" s="7" t="s">
        <v>6599</v>
      </c>
      <c r="C4732" s="8">
        <f>QS.CONTEXT.CREATE("market.4730",A4732,"USD","SOFR")</f>
        <v/>
      </c>
      <c r="D4732" s="8">
        <f>QS.CONTEXT.ADD.CURVE(C4732,"SOFR",$K$2:$K$7,$L$2:$L$7,,,"Actual360","LogLinear",TRUE)</f>
        <v/>
      </c>
      <c r="E4732" s="8">
        <f>QS.INSTRUMENT.SWAP("swap.4730",C4732,H4732,B4732,"USD","SOFR",I4732,J4732,0,"Actual360","Simple","Annual","Annual","Annual")</f>
        <v/>
      </c>
      <c r="F4732" s="8">
        <f>QS.TRADE.CREATE("trade.4730",C4732,E4732,A4732,"Receive")</f>
        <v/>
      </c>
      <c r="G4732" s="5"/>
      <c r="H4732" s="7" t="s">
        <v>4773</v>
      </c>
      <c r="I4732" s="9">
        <v>1473000</v>
      </c>
      <c r="J4732" s="10">
        <v>0.03800000000000001</v>
      </c>
    </row>
    <row r="4733" spans="1:10">
      <c r="A4733" s="7" t="s">
        <v>4767</v>
      </c>
      <c r="B4733" s="7" t="s">
        <v>6600</v>
      </c>
      <c r="C4733" s="8">
        <f>QS.CONTEXT.CREATE("market.4731",A4733,"USD","SOFR")</f>
        <v/>
      </c>
      <c r="D4733" s="8">
        <f>QS.CONTEXT.ADD.CURVE(C4733,"SOFR",$K$2:$K$7,$L$2:$L$7,,,"Actual360","LogLinear",TRUE)</f>
        <v/>
      </c>
      <c r="E4733" s="8">
        <f>QS.INSTRUMENT.SWAP("swap.4731",C4733,H4733,B4733,"USD","SOFR",I4733,J4733,0,"Actual360","Simple","Annual","Annual","Annual")</f>
        <v/>
      </c>
      <c r="F4733" s="8">
        <f>QS.TRADE.CREATE("trade.4731",C4733,E4733,A4733,"Receive")</f>
        <v/>
      </c>
      <c r="G4733" s="5"/>
      <c r="H4733" s="7" t="s">
        <v>4774</v>
      </c>
      <c r="I4733" s="9">
        <v>1473100</v>
      </c>
      <c r="J4733" s="10">
        <v>0.0381</v>
      </c>
    </row>
    <row r="4734" spans="1:10">
      <c r="A4734" s="7" t="s">
        <v>4768</v>
      </c>
      <c r="B4734" s="7" t="s">
        <v>6601</v>
      </c>
      <c r="C4734" s="8">
        <f>QS.CONTEXT.CREATE("market.4732",A4734,"USD","SOFR")</f>
        <v/>
      </c>
      <c r="D4734" s="8">
        <f>QS.CONTEXT.ADD.CURVE(C4734,"SOFR",$K$2:$K$7,$L$2:$L$7,,,"Actual360","LogLinear",TRUE)</f>
        <v/>
      </c>
      <c r="E4734" s="8">
        <f>QS.INSTRUMENT.SWAP("swap.4732",C4734,H4734,B4734,"USD","SOFR",I4734,J4734,0,"Actual360","Simple","Annual","Annual","Annual")</f>
        <v/>
      </c>
      <c r="F4734" s="8">
        <f>QS.TRADE.CREATE("trade.4732",C4734,E4734,A4734,"Receive")</f>
        <v/>
      </c>
      <c r="G4734" s="5"/>
      <c r="H4734" s="7" t="s">
        <v>4775</v>
      </c>
      <c r="I4734" s="9">
        <v>1473200</v>
      </c>
      <c r="J4734" s="10">
        <v>0.0382</v>
      </c>
    </row>
    <row r="4735" spans="1:10">
      <c r="A4735" s="7" t="s">
        <v>4769</v>
      </c>
      <c r="B4735" s="7" t="s">
        <v>6602</v>
      </c>
      <c r="C4735" s="8">
        <f>QS.CONTEXT.CREATE("market.4733",A4735,"USD","SOFR")</f>
        <v/>
      </c>
      <c r="D4735" s="8">
        <f>QS.CONTEXT.ADD.CURVE(C4735,"SOFR",$K$2:$K$7,$L$2:$L$7,,,"Actual360","LogLinear",TRUE)</f>
        <v/>
      </c>
      <c r="E4735" s="8">
        <f>QS.INSTRUMENT.SWAP("swap.4733",C4735,H4735,B4735,"USD","SOFR",I4735,J4735,0,"Actual360","Simple","Annual","Annual","Annual")</f>
        <v/>
      </c>
      <c r="F4735" s="8">
        <f>QS.TRADE.CREATE("trade.4733",C4735,E4735,A4735,"Receive")</f>
        <v/>
      </c>
      <c r="G4735" s="5"/>
      <c r="H4735" s="7" t="s">
        <v>4776</v>
      </c>
      <c r="I4735" s="9">
        <v>1473300</v>
      </c>
      <c r="J4735" s="10">
        <v>0.0383</v>
      </c>
    </row>
    <row r="4736" spans="1:10">
      <c r="A4736" s="7" t="s">
        <v>4770</v>
      </c>
      <c r="B4736" s="7" t="s">
        <v>6603</v>
      </c>
      <c r="C4736" s="8">
        <f>QS.CONTEXT.CREATE("market.4734",A4736,"USD","SOFR")</f>
        <v/>
      </c>
      <c r="D4736" s="8">
        <f>QS.CONTEXT.ADD.CURVE(C4736,"SOFR",$K$2:$K$7,$L$2:$L$7,,,"Actual360","LogLinear",TRUE)</f>
        <v/>
      </c>
      <c r="E4736" s="8">
        <f>QS.INSTRUMENT.SWAP("swap.4734",C4736,H4736,B4736,"USD","SOFR",I4736,J4736,0,"Actual360","Simple","Annual","Annual","Annual")</f>
        <v/>
      </c>
      <c r="F4736" s="8">
        <f>QS.TRADE.CREATE("trade.4734",C4736,E4736,A4736,"Receive")</f>
        <v/>
      </c>
      <c r="G4736" s="5"/>
      <c r="H4736" s="7" t="s">
        <v>4777</v>
      </c>
      <c r="I4736" s="9">
        <v>1473400</v>
      </c>
      <c r="J4736" s="10">
        <v>0.0384</v>
      </c>
    </row>
    <row r="4737" spans="1:10">
      <c r="A4737" s="7" t="s">
        <v>4771</v>
      </c>
      <c r="B4737" s="7" t="s">
        <v>6604</v>
      </c>
      <c r="C4737" s="8">
        <f>QS.CONTEXT.CREATE("market.4735",A4737,"USD","SOFR")</f>
        <v/>
      </c>
      <c r="D4737" s="8">
        <f>QS.CONTEXT.ADD.CURVE(C4737,"SOFR",$K$2:$K$7,$L$2:$L$7,,,"Actual360","LogLinear",TRUE)</f>
        <v/>
      </c>
      <c r="E4737" s="8">
        <f>QS.INSTRUMENT.SWAP("swap.4735",C4737,H4737,B4737,"USD","SOFR",I4737,J4737,0,"Actual360","Simple","Annual","Annual","Annual")</f>
        <v/>
      </c>
      <c r="F4737" s="8">
        <f>QS.TRADE.CREATE("trade.4735",C4737,E4737,A4737,"Receive")</f>
        <v/>
      </c>
      <c r="G4737" s="5"/>
      <c r="H4737" s="7" t="s">
        <v>4778</v>
      </c>
      <c r="I4737" s="9">
        <v>1473500</v>
      </c>
      <c r="J4737" s="10">
        <v>0.03850000000000001</v>
      </c>
    </row>
    <row r="4738" spans="1:10">
      <c r="A4738" s="7" t="s">
        <v>4772</v>
      </c>
      <c r="B4738" s="7" t="s">
        <v>6605</v>
      </c>
      <c r="C4738" s="8">
        <f>QS.CONTEXT.CREATE("market.4736",A4738,"USD","SOFR")</f>
        <v/>
      </c>
      <c r="D4738" s="8">
        <f>QS.CONTEXT.ADD.CURVE(C4738,"SOFR",$K$2:$K$7,$L$2:$L$7,,,"Actual360","LogLinear",TRUE)</f>
        <v/>
      </c>
      <c r="E4738" s="8">
        <f>QS.INSTRUMENT.SWAP("swap.4736",C4738,H4738,B4738,"USD","SOFR",I4738,J4738,0,"Actual360","Simple","Annual","Annual","Annual")</f>
        <v/>
      </c>
      <c r="F4738" s="8">
        <f>QS.TRADE.CREATE("trade.4736",C4738,E4738,A4738,"Receive")</f>
        <v/>
      </c>
      <c r="G4738" s="5"/>
      <c r="H4738" s="7" t="s">
        <v>4779</v>
      </c>
      <c r="I4738" s="9">
        <v>1473600</v>
      </c>
      <c r="J4738" s="10">
        <v>0.0386</v>
      </c>
    </row>
    <row r="4739" spans="1:10">
      <c r="A4739" s="7" t="s">
        <v>4773</v>
      </c>
      <c r="B4739" s="7" t="s">
        <v>6606</v>
      </c>
      <c r="C4739" s="8">
        <f>QS.CONTEXT.CREATE("market.4737",A4739,"USD","SOFR")</f>
        <v/>
      </c>
      <c r="D4739" s="8">
        <f>QS.CONTEXT.ADD.CURVE(C4739,"SOFR",$K$2:$K$7,$L$2:$L$7,,,"Actual360","LogLinear",TRUE)</f>
        <v/>
      </c>
      <c r="E4739" s="8">
        <f>QS.INSTRUMENT.SWAP("swap.4737",C4739,H4739,B4739,"USD","SOFR",I4739,J4739,0,"Actual360","Simple","Annual","Annual","Annual")</f>
        <v/>
      </c>
      <c r="F4739" s="8">
        <f>QS.TRADE.CREATE("trade.4737",C4739,E4739,A4739,"Receive")</f>
        <v/>
      </c>
      <c r="G4739" s="5"/>
      <c r="H4739" s="7" t="s">
        <v>4780</v>
      </c>
      <c r="I4739" s="9">
        <v>1473700</v>
      </c>
      <c r="J4739" s="10">
        <v>0.03870000000000001</v>
      </c>
    </row>
    <row r="4740" spans="1:10">
      <c r="A4740" s="7" t="s">
        <v>4774</v>
      </c>
      <c r="B4740" s="7" t="s">
        <v>6607</v>
      </c>
      <c r="C4740" s="8">
        <f>QS.CONTEXT.CREATE("market.4738",A4740,"USD","SOFR")</f>
        <v/>
      </c>
      <c r="D4740" s="8">
        <f>QS.CONTEXT.ADD.CURVE(C4740,"SOFR",$K$2:$K$7,$L$2:$L$7,,,"Actual360","LogLinear",TRUE)</f>
        <v/>
      </c>
      <c r="E4740" s="8">
        <f>QS.INSTRUMENT.SWAP("swap.4738",C4740,H4740,B4740,"USD","SOFR",I4740,J4740,0,"Actual360","Simple","Annual","Annual","Annual")</f>
        <v/>
      </c>
      <c r="F4740" s="8">
        <f>QS.TRADE.CREATE("trade.4738",C4740,E4740,A4740,"Receive")</f>
        <v/>
      </c>
      <c r="G4740" s="5"/>
      <c r="H4740" s="7" t="s">
        <v>4781</v>
      </c>
      <c r="I4740" s="9">
        <v>1473800</v>
      </c>
      <c r="J4740" s="10">
        <v>0.0388</v>
      </c>
    </row>
    <row r="4741" spans="1:10">
      <c r="A4741" s="7" t="s">
        <v>4775</v>
      </c>
      <c r="B4741" s="7" t="s">
        <v>6608</v>
      </c>
      <c r="C4741" s="8">
        <f>QS.CONTEXT.CREATE("market.4739",A4741,"USD","SOFR")</f>
        <v/>
      </c>
      <c r="D4741" s="8">
        <f>QS.CONTEXT.ADD.CURVE(C4741,"SOFR",$K$2:$K$7,$L$2:$L$7,,,"Actual360","LogLinear",TRUE)</f>
        <v/>
      </c>
      <c r="E4741" s="8">
        <f>QS.INSTRUMENT.SWAP("swap.4739",C4741,H4741,B4741,"USD","SOFR",I4741,J4741,0,"Actual360","Simple","Annual","Annual","Annual")</f>
        <v/>
      </c>
      <c r="F4741" s="8">
        <f>QS.TRADE.CREATE("trade.4739",C4741,E4741,A4741,"Receive")</f>
        <v/>
      </c>
      <c r="G4741" s="5"/>
      <c r="H4741" s="7" t="s">
        <v>4782</v>
      </c>
      <c r="I4741" s="9">
        <v>1473900</v>
      </c>
      <c r="J4741" s="10">
        <v>0.0389</v>
      </c>
    </row>
    <row r="4742" spans="1:10">
      <c r="A4742" s="7" t="s">
        <v>4776</v>
      </c>
      <c r="B4742" s="7" t="s">
        <v>6609</v>
      </c>
      <c r="C4742" s="8">
        <f>QS.CONTEXT.CREATE("market.4740",A4742,"USD","SOFR")</f>
        <v/>
      </c>
      <c r="D4742" s="8">
        <f>QS.CONTEXT.ADD.CURVE(C4742,"SOFR",$K$2:$K$7,$L$2:$L$7,,,"Actual360","LogLinear",TRUE)</f>
        <v/>
      </c>
      <c r="E4742" s="8">
        <f>QS.INSTRUMENT.SWAP("swap.4740",C4742,H4742,B4742,"USD","SOFR",I4742,J4742,0,"Actual360","Simple","Annual","Annual","Annual")</f>
        <v/>
      </c>
      <c r="F4742" s="8">
        <f>QS.TRADE.CREATE("trade.4740",C4742,E4742,A4742,"Receive")</f>
        <v/>
      </c>
      <c r="G4742" s="5"/>
      <c r="H4742" s="7" t="s">
        <v>4783</v>
      </c>
      <c r="I4742" s="9">
        <v>1474000</v>
      </c>
      <c r="J4742" s="10">
        <v>0.03900000000000001</v>
      </c>
    </row>
    <row r="4743" spans="1:10">
      <c r="A4743" s="7" t="s">
        <v>4777</v>
      </c>
      <c r="B4743" s="7" t="s">
        <v>6610</v>
      </c>
      <c r="C4743" s="8">
        <f>QS.CONTEXT.CREATE("market.4741",A4743,"USD","SOFR")</f>
        <v/>
      </c>
      <c r="D4743" s="8">
        <f>QS.CONTEXT.ADD.CURVE(C4743,"SOFR",$K$2:$K$7,$L$2:$L$7,,,"Actual360","LogLinear",TRUE)</f>
        <v/>
      </c>
      <c r="E4743" s="8">
        <f>QS.INSTRUMENT.SWAP("swap.4741",C4743,H4743,B4743,"USD","SOFR",I4743,J4743,0,"Actual360","Simple","Annual","Annual","Annual")</f>
        <v/>
      </c>
      <c r="F4743" s="8">
        <f>QS.TRADE.CREATE("trade.4741",C4743,E4743,A4743,"Receive")</f>
        <v/>
      </c>
      <c r="G4743" s="5"/>
      <c r="H4743" s="7" t="s">
        <v>4784</v>
      </c>
      <c r="I4743" s="9">
        <v>1474100</v>
      </c>
      <c r="J4743" s="10">
        <v>0.0391</v>
      </c>
    </row>
    <row r="4744" spans="1:10">
      <c r="A4744" s="7" t="s">
        <v>4778</v>
      </c>
      <c r="B4744" s="7" t="s">
        <v>6611</v>
      </c>
      <c r="C4744" s="8">
        <f>QS.CONTEXT.CREATE("market.4742",A4744,"USD","SOFR")</f>
        <v/>
      </c>
      <c r="D4744" s="8">
        <f>QS.CONTEXT.ADD.CURVE(C4744,"SOFR",$K$2:$K$7,$L$2:$L$7,,,"Actual360","LogLinear",TRUE)</f>
        <v/>
      </c>
      <c r="E4744" s="8">
        <f>QS.INSTRUMENT.SWAP("swap.4742",C4744,H4744,B4744,"USD","SOFR",I4744,J4744,0,"Actual360","Simple","Annual","Annual","Annual")</f>
        <v/>
      </c>
      <c r="F4744" s="8">
        <f>QS.TRADE.CREATE("trade.4742",C4744,E4744,A4744,"Receive")</f>
        <v/>
      </c>
      <c r="G4744" s="5"/>
      <c r="H4744" s="7" t="s">
        <v>4785</v>
      </c>
      <c r="I4744" s="9">
        <v>1474200</v>
      </c>
      <c r="J4744" s="10">
        <v>0.03920000000000001</v>
      </c>
    </row>
    <row r="4745" spans="1:10">
      <c r="A4745" s="7" t="s">
        <v>4779</v>
      </c>
      <c r="B4745" s="7" t="s">
        <v>6612</v>
      </c>
      <c r="C4745" s="8">
        <f>QS.CONTEXT.CREATE("market.4743",A4745,"USD","SOFR")</f>
        <v/>
      </c>
      <c r="D4745" s="8">
        <f>QS.CONTEXT.ADD.CURVE(C4745,"SOFR",$K$2:$K$7,$L$2:$L$7,,,"Actual360","LogLinear",TRUE)</f>
        <v/>
      </c>
      <c r="E4745" s="8">
        <f>QS.INSTRUMENT.SWAP("swap.4743",C4745,H4745,B4745,"USD","SOFR",I4745,J4745,0,"Actual360","Simple","Annual","Annual","Annual")</f>
        <v/>
      </c>
      <c r="F4745" s="8">
        <f>QS.TRADE.CREATE("trade.4743",C4745,E4745,A4745,"Receive")</f>
        <v/>
      </c>
      <c r="G4745" s="5"/>
      <c r="H4745" s="7" t="s">
        <v>4786</v>
      </c>
      <c r="I4745" s="9">
        <v>1474300</v>
      </c>
      <c r="J4745" s="10">
        <v>0.0393</v>
      </c>
    </row>
    <row r="4746" spans="1:10">
      <c r="A4746" s="7" t="s">
        <v>4780</v>
      </c>
      <c r="B4746" s="7" t="s">
        <v>6613</v>
      </c>
      <c r="C4746" s="8">
        <f>QS.CONTEXT.CREATE("market.4744",A4746,"USD","SOFR")</f>
        <v/>
      </c>
      <c r="D4746" s="8">
        <f>QS.CONTEXT.ADD.CURVE(C4746,"SOFR",$K$2:$K$7,$L$2:$L$7,,,"Actual360","LogLinear",TRUE)</f>
        <v/>
      </c>
      <c r="E4746" s="8">
        <f>QS.INSTRUMENT.SWAP("swap.4744",C4746,H4746,B4746,"USD","SOFR",I4746,J4746,0,"Actual360","Simple","Annual","Annual","Annual")</f>
        <v/>
      </c>
      <c r="F4746" s="8">
        <f>QS.TRADE.CREATE("trade.4744",C4746,E4746,A4746,"Receive")</f>
        <v/>
      </c>
      <c r="G4746" s="5"/>
      <c r="H4746" s="7" t="s">
        <v>4787</v>
      </c>
      <c r="I4746" s="9">
        <v>1474400</v>
      </c>
      <c r="J4746" s="10">
        <v>0.0394</v>
      </c>
    </row>
    <row r="4747" spans="1:10">
      <c r="A4747" s="7" t="s">
        <v>4781</v>
      </c>
      <c r="B4747" s="7" t="s">
        <v>6614</v>
      </c>
      <c r="C4747" s="8">
        <f>QS.CONTEXT.CREATE("market.4745",A4747,"USD","SOFR")</f>
        <v/>
      </c>
      <c r="D4747" s="8">
        <f>QS.CONTEXT.ADD.CURVE(C4747,"SOFR",$K$2:$K$7,$L$2:$L$7,,,"Actual360","LogLinear",TRUE)</f>
        <v/>
      </c>
      <c r="E4747" s="8">
        <f>QS.INSTRUMENT.SWAP("swap.4745",C4747,H4747,B4747,"USD","SOFR",I4747,J4747,0,"Actual360","Simple","Annual","Annual","Annual")</f>
        <v/>
      </c>
      <c r="F4747" s="8">
        <f>QS.TRADE.CREATE("trade.4745",C4747,E4747,A4747,"Receive")</f>
        <v/>
      </c>
      <c r="G4747" s="5"/>
      <c r="H4747" s="7" t="s">
        <v>4788</v>
      </c>
      <c r="I4747" s="9">
        <v>1474500</v>
      </c>
      <c r="J4747" s="10">
        <v>0.03950000000000001</v>
      </c>
    </row>
    <row r="4748" spans="1:10">
      <c r="A4748" s="7" t="s">
        <v>4782</v>
      </c>
      <c r="B4748" s="7" t="s">
        <v>6615</v>
      </c>
      <c r="C4748" s="8">
        <f>QS.CONTEXT.CREATE("market.4746",A4748,"USD","SOFR")</f>
        <v/>
      </c>
      <c r="D4748" s="8">
        <f>QS.CONTEXT.ADD.CURVE(C4748,"SOFR",$K$2:$K$7,$L$2:$L$7,,,"Actual360","LogLinear",TRUE)</f>
        <v/>
      </c>
      <c r="E4748" s="8">
        <f>QS.INSTRUMENT.SWAP("swap.4746",C4748,H4748,B4748,"USD","SOFR",I4748,J4748,0,"Actual360","Simple","Annual","Annual","Annual")</f>
        <v/>
      </c>
      <c r="F4748" s="8">
        <f>QS.TRADE.CREATE("trade.4746",C4748,E4748,A4748,"Receive")</f>
        <v/>
      </c>
      <c r="G4748" s="5"/>
      <c r="H4748" s="7" t="s">
        <v>4789</v>
      </c>
      <c r="I4748" s="9">
        <v>1474600</v>
      </c>
      <c r="J4748" s="10">
        <v>0.0396</v>
      </c>
    </row>
    <row r="4749" spans="1:10">
      <c r="A4749" s="7" t="s">
        <v>4783</v>
      </c>
      <c r="B4749" s="7" t="s">
        <v>6616</v>
      </c>
      <c r="C4749" s="8">
        <f>QS.CONTEXT.CREATE("market.4747",A4749,"USD","SOFR")</f>
        <v/>
      </c>
      <c r="D4749" s="8">
        <f>QS.CONTEXT.ADD.CURVE(C4749,"SOFR",$K$2:$K$7,$L$2:$L$7,,,"Actual360","LogLinear",TRUE)</f>
        <v/>
      </c>
      <c r="E4749" s="8">
        <f>QS.INSTRUMENT.SWAP("swap.4747",C4749,H4749,B4749,"USD","SOFR",I4749,J4749,0,"Actual360","Simple","Annual","Annual","Annual")</f>
        <v/>
      </c>
      <c r="F4749" s="8">
        <f>QS.TRADE.CREATE("trade.4747",C4749,E4749,A4749,"Receive")</f>
        <v/>
      </c>
      <c r="G4749" s="5"/>
      <c r="H4749" s="7" t="s">
        <v>4790</v>
      </c>
      <c r="I4749" s="9">
        <v>1474700</v>
      </c>
      <c r="J4749" s="10">
        <v>0.03970000000000001</v>
      </c>
    </row>
    <row r="4750" spans="1:10">
      <c r="A4750" s="7" t="s">
        <v>4784</v>
      </c>
      <c r="B4750" s="7" t="s">
        <v>6617</v>
      </c>
      <c r="C4750" s="8">
        <f>QS.CONTEXT.CREATE("market.4748",A4750,"USD","SOFR")</f>
        <v/>
      </c>
      <c r="D4750" s="8">
        <f>QS.CONTEXT.ADD.CURVE(C4750,"SOFR",$K$2:$K$7,$L$2:$L$7,,,"Actual360","LogLinear",TRUE)</f>
        <v/>
      </c>
      <c r="E4750" s="8">
        <f>QS.INSTRUMENT.SWAP("swap.4748",C4750,H4750,B4750,"USD","SOFR",I4750,J4750,0,"Actual360","Simple","Annual","Annual","Annual")</f>
        <v/>
      </c>
      <c r="F4750" s="8">
        <f>QS.TRADE.CREATE("trade.4748",C4750,E4750,A4750,"Receive")</f>
        <v/>
      </c>
      <c r="G4750" s="5"/>
      <c r="H4750" s="7" t="s">
        <v>4791</v>
      </c>
      <c r="I4750" s="9">
        <v>1474800</v>
      </c>
      <c r="J4750" s="10">
        <v>0.0398</v>
      </c>
    </row>
    <row r="4751" spans="1:10">
      <c r="A4751" s="7" t="s">
        <v>4785</v>
      </c>
      <c r="B4751" s="7" t="s">
        <v>6618</v>
      </c>
      <c r="C4751" s="8">
        <f>QS.CONTEXT.CREATE("market.4749",A4751,"USD","SOFR")</f>
        <v/>
      </c>
      <c r="D4751" s="8">
        <f>QS.CONTEXT.ADD.CURVE(C4751,"SOFR",$K$2:$K$7,$L$2:$L$7,,,"Actual360","LogLinear",TRUE)</f>
        <v/>
      </c>
      <c r="E4751" s="8">
        <f>QS.INSTRUMENT.SWAP("swap.4749",C4751,H4751,B4751,"USD","SOFR",I4751,J4751,0,"Actual360","Simple","Annual","Annual","Annual")</f>
        <v/>
      </c>
      <c r="F4751" s="8">
        <f>QS.TRADE.CREATE("trade.4749",C4751,E4751,A4751,"Receive")</f>
        <v/>
      </c>
      <c r="G4751" s="5"/>
      <c r="H4751" s="7" t="s">
        <v>4792</v>
      </c>
      <c r="I4751" s="9">
        <v>1474900</v>
      </c>
      <c r="J4751" s="10">
        <v>0.0399</v>
      </c>
    </row>
    <row r="4752" spans="1:10">
      <c r="A4752" s="7" t="s">
        <v>4786</v>
      </c>
      <c r="B4752" s="7" t="s">
        <v>6619</v>
      </c>
      <c r="C4752" s="8">
        <f>QS.CONTEXT.CREATE("market.4750",A4752,"USD","SOFR")</f>
        <v/>
      </c>
      <c r="D4752" s="8">
        <f>QS.CONTEXT.ADD.CURVE(C4752,"SOFR",$K$2:$K$7,$L$2:$L$7,,,"Actual360","LogLinear",TRUE)</f>
        <v/>
      </c>
      <c r="E4752" s="8">
        <f>QS.INSTRUMENT.SWAP("swap.4750",C4752,H4752,B4752,"USD","SOFR",I4752,J4752,0,"Actual360","Simple","Annual","Annual","Annual")</f>
        <v/>
      </c>
      <c r="F4752" s="8">
        <f>QS.TRADE.CREATE("trade.4750",C4752,E4752,A4752,"Receive")</f>
        <v/>
      </c>
      <c r="G4752" s="5"/>
      <c r="H4752" s="7" t="s">
        <v>4793</v>
      </c>
      <c r="I4752" s="9">
        <v>1475000</v>
      </c>
      <c r="J4752" s="10">
        <v>0.035</v>
      </c>
    </row>
    <row r="4753" spans="1:10">
      <c r="A4753" s="7" t="s">
        <v>4787</v>
      </c>
      <c r="B4753" s="7" t="s">
        <v>6620</v>
      </c>
      <c r="C4753" s="8">
        <f>QS.CONTEXT.CREATE("market.4751",A4753,"USD","SOFR")</f>
        <v/>
      </c>
      <c r="D4753" s="8">
        <f>QS.CONTEXT.ADD.CURVE(C4753,"SOFR",$K$2:$K$7,$L$2:$L$7,,,"Actual360","LogLinear",TRUE)</f>
        <v/>
      </c>
      <c r="E4753" s="8">
        <f>QS.INSTRUMENT.SWAP("swap.4751",C4753,H4753,B4753,"USD","SOFR",I4753,J4753,0,"Actual360","Simple","Annual","Annual","Annual")</f>
        <v/>
      </c>
      <c r="F4753" s="8">
        <f>QS.TRADE.CREATE("trade.4751",C4753,E4753,A4753,"Receive")</f>
        <v/>
      </c>
      <c r="G4753" s="5"/>
      <c r="H4753" s="7" t="s">
        <v>4794</v>
      </c>
      <c r="I4753" s="9">
        <v>1475100</v>
      </c>
      <c r="J4753" s="10">
        <v>0.03510000000000001</v>
      </c>
    </row>
    <row r="4754" spans="1:10">
      <c r="A4754" s="7" t="s">
        <v>4788</v>
      </c>
      <c r="B4754" s="7" t="s">
        <v>6621</v>
      </c>
      <c r="C4754" s="8">
        <f>QS.CONTEXT.CREATE("market.4752",A4754,"USD","SOFR")</f>
        <v/>
      </c>
      <c r="D4754" s="8">
        <f>QS.CONTEXT.ADD.CURVE(C4754,"SOFR",$K$2:$K$7,$L$2:$L$7,,,"Actual360","LogLinear",TRUE)</f>
        <v/>
      </c>
      <c r="E4754" s="8">
        <f>QS.INSTRUMENT.SWAP("swap.4752",C4754,H4754,B4754,"USD","SOFR",I4754,J4754,0,"Actual360","Simple","Annual","Annual","Annual")</f>
        <v/>
      </c>
      <c r="F4754" s="8">
        <f>QS.TRADE.CREATE("trade.4752",C4754,E4754,A4754,"Receive")</f>
        <v/>
      </c>
      <c r="G4754" s="5"/>
      <c r="H4754" s="7" t="s">
        <v>4795</v>
      </c>
      <c r="I4754" s="9">
        <v>1475200</v>
      </c>
      <c r="J4754" s="10">
        <v>0.0352</v>
      </c>
    </row>
    <row r="4755" spans="1:10">
      <c r="A4755" s="7" t="s">
        <v>4789</v>
      </c>
      <c r="B4755" s="7" t="s">
        <v>6622</v>
      </c>
      <c r="C4755" s="8">
        <f>QS.CONTEXT.CREATE("market.4753",A4755,"USD","SOFR")</f>
        <v/>
      </c>
      <c r="D4755" s="8">
        <f>QS.CONTEXT.ADD.CURVE(C4755,"SOFR",$K$2:$K$7,$L$2:$L$7,,,"Actual360","LogLinear",TRUE)</f>
        <v/>
      </c>
      <c r="E4755" s="8">
        <f>QS.INSTRUMENT.SWAP("swap.4753",C4755,H4755,B4755,"USD","SOFR",I4755,J4755,0,"Actual360","Simple","Annual","Annual","Annual")</f>
        <v/>
      </c>
      <c r="F4755" s="8">
        <f>QS.TRADE.CREATE("trade.4753",C4755,E4755,A4755,"Receive")</f>
        <v/>
      </c>
      <c r="G4755" s="5"/>
      <c r="H4755" s="7" t="s">
        <v>4796</v>
      </c>
      <c r="I4755" s="9">
        <v>1475300</v>
      </c>
      <c r="J4755" s="10">
        <v>0.0353</v>
      </c>
    </row>
    <row r="4756" spans="1:10">
      <c r="A4756" s="7" t="s">
        <v>4790</v>
      </c>
      <c r="B4756" s="7" t="s">
        <v>6623</v>
      </c>
      <c r="C4756" s="8">
        <f>QS.CONTEXT.CREATE("market.4754",A4756,"USD","SOFR")</f>
        <v/>
      </c>
      <c r="D4756" s="8">
        <f>QS.CONTEXT.ADD.CURVE(C4756,"SOFR",$K$2:$K$7,$L$2:$L$7,,,"Actual360","LogLinear",TRUE)</f>
        <v/>
      </c>
      <c r="E4756" s="8">
        <f>QS.INSTRUMENT.SWAP("swap.4754",C4756,H4756,B4756,"USD","SOFR",I4756,J4756,0,"Actual360","Simple","Annual","Annual","Annual")</f>
        <v/>
      </c>
      <c r="F4756" s="8">
        <f>QS.TRADE.CREATE("trade.4754",C4756,E4756,A4756,"Receive")</f>
        <v/>
      </c>
      <c r="G4756" s="5"/>
      <c r="H4756" s="7" t="s">
        <v>4797</v>
      </c>
      <c r="I4756" s="9">
        <v>1475400</v>
      </c>
      <c r="J4756" s="10">
        <v>0.0354</v>
      </c>
    </row>
    <row r="4757" spans="1:10">
      <c r="A4757" s="7" t="s">
        <v>4791</v>
      </c>
      <c r="B4757" s="7" t="s">
        <v>6624</v>
      </c>
      <c r="C4757" s="8">
        <f>QS.CONTEXT.CREATE("market.4755",A4757,"USD","SOFR")</f>
        <v/>
      </c>
      <c r="D4757" s="8">
        <f>QS.CONTEXT.ADD.CURVE(C4757,"SOFR",$K$2:$K$7,$L$2:$L$7,,,"Actual360","LogLinear",TRUE)</f>
        <v/>
      </c>
      <c r="E4757" s="8">
        <f>QS.INSTRUMENT.SWAP("swap.4755",C4757,H4757,B4757,"USD","SOFR",I4757,J4757,0,"Actual360","Simple","Annual","Annual","Annual")</f>
        <v/>
      </c>
      <c r="F4757" s="8">
        <f>QS.TRADE.CREATE("trade.4755",C4757,E4757,A4757,"Receive")</f>
        <v/>
      </c>
      <c r="G4757" s="5"/>
      <c r="H4757" s="7" t="s">
        <v>4798</v>
      </c>
      <c r="I4757" s="9">
        <v>1475500</v>
      </c>
      <c r="J4757" s="10">
        <v>0.0355</v>
      </c>
    </row>
    <row r="4758" spans="1:10">
      <c r="A4758" s="7" t="s">
        <v>4792</v>
      </c>
      <c r="B4758" s="7" t="s">
        <v>6625</v>
      </c>
      <c r="C4758" s="8">
        <f>QS.CONTEXT.CREATE("market.4756",A4758,"USD","SOFR")</f>
        <v/>
      </c>
      <c r="D4758" s="8">
        <f>QS.CONTEXT.ADD.CURVE(C4758,"SOFR",$K$2:$K$7,$L$2:$L$7,,,"Actual360","LogLinear",TRUE)</f>
        <v/>
      </c>
      <c r="E4758" s="8">
        <f>QS.INSTRUMENT.SWAP("swap.4756",C4758,H4758,B4758,"USD","SOFR",I4758,J4758,0,"Actual360","Simple","Annual","Annual","Annual")</f>
        <v/>
      </c>
      <c r="F4758" s="8">
        <f>QS.TRADE.CREATE("trade.4756",C4758,E4758,A4758,"Receive")</f>
        <v/>
      </c>
      <c r="G4758" s="5"/>
      <c r="H4758" s="7" t="s">
        <v>4799</v>
      </c>
      <c r="I4758" s="9">
        <v>1475600</v>
      </c>
      <c r="J4758" s="10">
        <v>0.03560000000000001</v>
      </c>
    </row>
    <row r="4759" spans="1:10">
      <c r="A4759" s="7" t="s">
        <v>4793</v>
      </c>
      <c r="B4759" s="7" t="s">
        <v>6626</v>
      </c>
      <c r="C4759" s="8">
        <f>QS.CONTEXT.CREATE("market.4757",A4759,"USD","SOFR")</f>
        <v/>
      </c>
      <c r="D4759" s="8">
        <f>QS.CONTEXT.ADD.CURVE(C4759,"SOFR",$K$2:$K$7,$L$2:$L$7,,,"Actual360","LogLinear",TRUE)</f>
        <v/>
      </c>
      <c r="E4759" s="8">
        <f>QS.INSTRUMENT.SWAP("swap.4757",C4759,H4759,B4759,"USD","SOFR",I4759,J4759,0,"Actual360","Simple","Annual","Annual","Annual")</f>
        <v/>
      </c>
      <c r="F4759" s="8">
        <f>QS.TRADE.CREATE("trade.4757",C4759,E4759,A4759,"Receive")</f>
        <v/>
      </c>
      <c r="G4759" s="5"/>
      <c r="H4759" s="7" t="s">
        <v>4800</v>
      </c>
      <c r="I4759" s="9">
        <v>1475700</v>
      </c>
      <c r="J4759" s="10">
        <v>0.0357</v>
      </c>
    </row>
    <row r="4760" spans="1:10">
      <c r="A4760" s="7" t="s">
        <v>4794</v>
      </c>
      <c r="B4760" s="7" t="s">
        <v>6627</v>
      </c>
      <c r="C4760" s="8">
        <f>QS.CONTEXT.CREATE("market.4758",A4760,"USD","SOFR")</f>
        <v/>
      </c>
      <c r="D4760" s="8">
        <f>QS.CONTEXT.ADD.CURVE(C4760,"SOFR",$K$2:$K$7,$L$2:$L$7,,,"Actual360","LogLinear",TRUE)</f>
        <v/>
      </c>
      <c r="E4760" s="8">
        <f>QS.INSTRUMENT.SWAP("swap.4758",C4760,H4760,B4760,"USD","SOFR",I4760,J4760,0,"Actual360","Simple","Annual","Annual","Annual")</f>
        <v/>
      </c>
      <c r="F4760" s="8">
        <f>QS.TRADE.CREATE("trade.4758",C4760,E4760,A4760,"Receive")</f>
        <v/>
      </c>
      <c r="G4760" s="5"/>
      <c r="H4760" s="7" t="s">
        <v>4801</v>
      </c>
      <c r="I4760" s="9">
        <v>1475800</v>
      </c>
      <c r="J4760" s="10">
        <v>0.03580000000000001</v>
      </c>
    </row>
    <row r="4761" spans="1:10">
      <c r="A4761" s="7" t="s">
        <v>4795</v>
      </c>
      <c r="B4761" s="7" t="s">
        <v>6628</v>
      </c>
      <c r="C4761" s="8">
        <f>QS.CONTEXT.CREATE("market.4759",A4761,"USD","SOFR")</f>
        <v/>
      </c>
      <c r="D4761" s="8">
        <f>QS.CONTEXT.ADD.CURVE(C4761,"SOFR",$K$2:$K$7,$L$2:$L$7,,,"Actual360","LogLinear",TRUE)</f>
        <v/>
      </c>
      <c r="E4761" s="8">
        <f>QS.INSTRUMENT.SWAP("swap.4759",C4761,H4761,B4761,"USD","SOFR",I4761,J4761,0,"Actual360","Simple","Annual","Annual","Annual")</f>
        <v/>
      </c>
      <c r="F4761" s="8">
        <f>QS.TRADE.CREATE("trade.4759",C4761,E4761,A4761,"Receive")</f>
        <v/>
      </c>
      <c r="G4761" s="5"/>
      <c r="H4761" s="7" t="s">
        <v>4802</v>
      </c>
      <c r="I4761" s="9">
        <v>1475900</v>
      </c>
      <c r="J4761" s="10">
        <v>0.0359</v>
      </c>
    </row>
    <row r="4762" spans="1:10">
      <c r="A4762" s="7" t="s">
        <v>4796</v>
      </c>
      <c r="B4762" s="7" t="s">
        <v>6629</v>
      </c>
      <c r="C4762" s="8">
        <f>QS.CONTEXT.CREATE("market.4760",A4762,"USD","SOFR")</f>
        <v/>
      </c>
      <c r="D4762" s="8">
        <f>QS.CONTEXT.ADD.CURVE(C4762,"SOFR",$K$2:$K$7,$L$2:$L$7,,,"Actual360","LogLinear",TRUE)</f>
        <v/>
      </c>
      <c r="E4762" s="8">
        <f>QS.INSTRUMENT.SWAP("swap.4760",C4762,H4762,B4762,"USD","SOFR",I4762,J4762,0,"Actual360","Simple","Annual","Annual","Annual")</f>
        <v/>
      </c>
      <c r="F4762" s="8">
        <f>QS.TRADE.CREATE("trade.4760",C4762,E4762,A4762,"Receive")</f>
        <v/>
      </c>
      <c r="G4762" s="5"/>
      <c r="H4762" s="7" t="s">
        <v>4803</v>
      </c>
      <c r="I4762" s="9">
        <v>1476000</v>
      </c>
      <c r="J4762" s="10">
        <v>0.036</v>
      </c>
    </row>
    <row r="4763" spans="1:10">
      <c r="A4763" s="7" t="s">
        <v>4797</v>
      </c>
      <c r="B4763" s="7" t="s">
        <v>6630</v>
      </c>
      <c r="C4763" s="8">
        <f>QS.CONTEXT.CREATE("market.4761",A4763,"USD","SOFR")</f>
        <v/>
      </c>
      <c r="D4763" s="8">
        <f>QS.CONTEXT.ADD.CURVE(C4763,"SOFR",$K$2:$K$7,$L$2:$L$7,,,"Actual360","LogLinear",TRUE)</f>
        <v/>
      </c>
      <c r="E4763" s="8">
        <f>QS.INSTRUMENT.SWAP("swap.4761",C4763,H4763,B4763,"USD","SOFR",I4763,J4763,0,"Actual360","Simple","Annual","Annual","Annual")</f>
        <v/>
      </c>
      <c r="F4763" s="8">
        <f>QS.TRADE.CREATE("trade.4761",C4763,E4763,A4763,"Receive")</f>
        <v/>
      </c>
      <c r="G4763" s="5"/>
      <c r="H4763" s="7" t="s">
        <v>4804</v>
      </c>
      <c r="I4763" s="9">
        <v>1476100</v>
      </c>
      <c r="J4763" s="10">
        <v>0.0361</v>
      </c>
    </row>
    <row r="4764" spans="1:10">
      <c r="A4764" s="7" t="s">
        <v>4798</v>
      </c>
      <c r="B4764" s="7" t="s">
        <v>6631</v>
      </c>
      <c r="C4764" s="8">
        <f>QS.CONTEXT.CREATE("market.4762",A4764,"USD","SOFR")</f>
        <v/>
      </c>
      <c r="D4764" s="8">
        <f>QS.CONTEXT.ADD.CURVE(C4764,"SOFR",$K$2:$K$7,$L$2:$L$7,,,"Actual360","LogLinear",TRUE)</f>
        <v/>
      </c>
      <c r="E4764" s="8">
        <f>QS.INSTRUMENT.SWAP("swap.4762",C4764,H4764,B4764,"USD","SOFR",I4764,J4764,0,"Actual360","Simple","Annual","Annual","Annual")</f>
        <v/>
      </c>
      <c r="F4764" s="8">
        <f>QS.TRADE.CREATE("trade.4762",C4764,E4764,A4764,"Receive")</f>
        <v/>
      </c>
      <c r="G4764" s="5"/>
      <c r="H4764" s="7" t="s">
        <v>4805</v>
      </c>
      <c r="I4764" s="9">
        <v>1476200</v>
      </c>
      <c r="J4764" s="10">
        <v>0.0362</v>
      </c>
    </row>
    <row r="4765" spans="1:10">
      <c r="A4765" s="7" t="s">
        <v>4799</v>
      </c>
      <c r="B4765" s="7" t="s">
        <v>6632</v>
      </c>
      <c r="C4765" s="8">
        <f>QS.CONTEXT.CREATE("market.4763",A4765,"USD","SOFR")</f>
        <v/>
      </c>
      <c r="D4765" s="8">
        <f>QS.CONTEXT.ADD.CURVE(C4765,"SOFR",$K$2:$K$7,$L$2:$L$7,,,"Actual360","LogLinear",TRUE)</f>
        <v/>
      </c>
      <c r="E4765" s="8">
        <f>QS.INSTRUMENT.SWAP("swap.4763",C4765,H4765,B4765,"USD","SOFR",I4765,J4765,0,"Actual360","Simple","Annual","Annual","Annual")</f>
        <v/>
      </c>
      <c r="F4765" s="8">
        <f>QS.TRADE.CREATE("trade.4763",C4765,E4765,A4765,"Receive")</f>
        <v/>
      </c>
      <c r="G4765" s="5"/>
      <c r="H4765" s="7" t="s">
        <v>4806</v>
      </c>
      <c r="I4765" s="9">
        <v>1476300</v>
      </c>
      <c r="J4765" s="10">
        <v>0.03630000000000001</v>
      </c>
    </row>
    <row r="4766" spans="1:10">
      <c r="A4766" s="7" t="s">
        <v>4800</v>
      </c>
      <c r="B4766" s="7" t="s">
        <v>6633</v>
      </c>
      <c r="C4766" s="8">
        <f>QS.CONTEXT.CREATE("market.4764",A4766,"USD","SOFR")</f>
        <v/>
      </c>
      <c r="D4766" s="8">
        <f>QS.CONTEXT.ADD.CURVE(C4766,"SOFR",$K$2:$K$7,$L$2:$L$7,,,"Actual360","LogLinear",TRUE)</f>
        <v/>
      </c>
      <c r="E4766" s="8">
        <f>QS.INSTRUMENT.SWAP("swap.4764",C4766,H4766,B4766,"USD","SOFR",I4766,J4766,0,"Actual360","Simple","Annual","Annual","Annual")</f>
        <v/>
      </c>
      <c r="F4766" s="8">
        <f>QS.TRADE.CREATE("trade.4764",C4766,E4766,A4766,"Receive")</f>
        <v/>
      </c>
      <c r="G4766" s="5"/>
      <c r="H4766" s="7" t="s">
        <v>4807</v>
      </c>
      <c r="I4766" s="9">
        <v>1476400</v>
      </c>
      <c r="J4766" s="10">
        <v>0.0364</v>
      </c>
    </row>
    <row r="4767" spans="1:10">
      <c r="A4767" s="7" t="s">
        <v>4801</v>
      </c>
      <c r="B4767" s="7" t="s">
        <v>6634</v>
      </c>
      <c r="C4767" s="8">
        <f>QS.CONTEXT.CREATE("market.4765",A4767,"USD","SOFR")</f>
        <v/>
      </c>
      <c r="D4767" s="8">
        <f>QS.CONTEXT.ADD.CURVE(C4767,"SOFR",$K$2:$K$7,$L$2:$L$7,,,"Actual360","LogLinear",TRUE)</f>
        <v/>
      </c>
      <c r="E4767" s="8">
        <f>QS.INSTRUMENT.SWAP("swap.4765",C4767,H4767,B4767,"USD","SOFR",I4767,J4767,0,"Actual360","Simple","Annual","Annual","Annual")</f>
        <v/>
      </c>
      <c r="F4767" s="8">
        <f>QS.TRADE.CREATE("trade.4765",C4767,E4767,A4767,"Receive")</f>
        <v/>
      </c>
      <c r="G4767" s="5"/>
      <c r="H4767" s="7" t="s">
        <v>4808</v>
      </c>
      <c r="I4767" s="9">
        <v>1476500</v>
      </c>
      <c r="J4767" s="10">
        <v>0.0365</v>
      </c>
    </row>
    <row r="4768" spans="1:10">
      <c r="A4768" s="7" t="s">
        <v>4802</v>
      </c>
      <c r="B4768" s="7" t="s">
        <v>6635</v>
      </c>
      <c r="C4768" s="8">
        <f>QS.CONTEXT.CREATE("market.4766",A4768,"USD","SOFR")</f>
        <v/>
      </c>
      <c r="D4768" s="8">
        <f>QS.CONTEXT.ADD.CURVE(C4768,"SOFR",$K$2:$K$7,$L$2:$L$7,,,"Actual360","LogLinear",TRUE)</f>
        <v/>
      </c>
      <c r="E4768" s="8">
        <f>QS.INSTRUMENT.SWAP("swap.4766",C4768,H4768,B4768,"USD","SOFR",I4768,J4768,0,"Actual360","Simple","Annual","Annual","Annual")</f>
        <v/>
      </c>
      <c r="F4768" s="8">
        <f>QS.TRADE.CREATE("trade.4766",C4768,E4768,A4768,"Receive")</f>
        <v/>
      </c>
      <c r="G4768" s="5"/>
      <c r="H4768" s="7" t="s">
        <v>4809</v>
      </c>
      <c r="I4768" s="9">
        <v>1476600</v>
      </c>
      <c r="J4768" s="10">
        <v>0.0366</v>
      </c>
    </row>
    <row r="4769" spans="1:10">
      <c r="A4769" s="7" t="s">
        <v>4803</v>
      </c>
      <c r="B4769" s="7" t="s">
        <v>6636</v>
      </c>
      <c r="C4769" s="8">
        <f>QS.CONTEXT.CREATE("market.4767",A4769,"USD","SOFR")</f>
        <v/>
      </c>
      <c r="D4769" s="8">
        <f>QS.CONTEXT.ADD.CURVE(C4769,"SOFR",$K$2:$K$7,$L$2:$L$7,,,"Actual360","LogLinear",TRUE)</f>
        <v/>
      </c>
      <c r="E4769" s="8">
        <f>QS.INSTRUMENT.SWAP("swap.4767",C4769,H4769,B4769,"USD","SOFR",I4769,J4769,0,"Actual360","Simple","Annual","Annual","Annual")</f>
        <v/>
      </c>
      <c r="F4769" s="8">
        <f>QS.TRADE.CREATE("trade.4767",C4769,E4769,A4769,"Receive")</f>
        <v/>
      </c>
      <c r="G4769" s="5"/>
      <c r="H4769" s="7" t="s">
        <v>4810</v>
      </c>
      <c r="I4769" s="9">
        <v>1476700</v>
      </c>
      <c r="J4769" s="10">
        <v>0.0367</v>
      </c>
    </row>
    <row r="4770" spans="1:10">
      <c r="A4770" s="7" t="s">
        <v>4804</v>
      </c>
      <c r="B4770" s="7" t="s">
        <v>6637</v>
      </c>
      <c r="C4770" s="8">
        <f>QS.CONTEXT.CREATE("market.4768",A4770,"USD","SOFR")</f>
        <v/>
      </c>
      <c r="D4770" s="8">
        <f>QS.CONTEXT.ADD.CURVE(C4770,"SOFR",$K$2:$K$7,$L$2:$L$7,,,"Actual360","LogLinear",TRUE)</f>
        <v/>
      </c>
      <c r="E4770" s="8">
        <f>QS.INSTRUMENT.SWAP("swap.4768",C4770,H4770,B4770,"USD","SOFR",I4770,J4770,0,"Actual360","Simple","Annual","Annual","Annual")</f>
        <v/>
      </c>
      <c r="F4770" s="8">
        <f>QS.TRADE.CREATE("trade.4768",C4770,E4770,A4770,"Receive")</f>
        <v/>
      </c>
      <c r="G4770" s="5"/>
      <c r="H4770" s="7" t="s">
        <v>4811</v>
      </c>
      <c r="I4770" s="9">
        <v>1476800</v>
      </c>
      <c r="J4770" s="10">
        <v>0.03680000000000001</v>
      </c>
    </row>
    <row r="4771" spans="1:10">
      <c r="A4771" s="7" t="s">
        <v>4805</v>
      </c>
      <c r="B4771" s="7" t="s">
        <v>6638</v>
      </c>
      <c r="C4771" s="8">
        <f>QS.CONTEXT.CREATE("market.4769",A4771,"USD","SOFR")</f>
        <v/>
      </c>
      <c r="D4771" s="8">
        <f>QS.CONTEXT.ADD.CURVE(C4771,"SOFR",$K$2:$K$7,$L$2:$L$7,,,"Actual360","LogLinear",TRUE)</f>
        <v/>
      </c>
      <c r="E4771" s="8">
        <f>QS.INSTRUMENT.SWAP("swap.4769",C4771,H4771,B4771,"USD","SOFR",I4771,J4771,0,"Actual360","Simple","Annual","Annual","Annual")</f>
        <v/>
      </c>
      <c r="F4771" s="8">
        <f>QS.TRADE.CREATE("trade.4769",C4771,E4771,A4771,"Receive")</f>
        <v/>
      </c>
      <c r="G4771" s="5"/>
      <c r="H4771" s="7" t="s">
        <v>4812</v>
      </c>
      <c r="I4771" s="9">
        <v>1476900</v>
      </c>
      <c r="J4771" s="10">
        <v>0.0369</v>
      </c>
    </row>
    <row r="4772" spans="1:10">
      <c r="A4772" s="7" t="s">
        <v>4806</v>
      </c>
      <c r="B4772" s="7" t="s">
        <v>6639</v>
      </c>
      <c r="C4772" s="8">
        <f>QS.CONTEXT.CREATE("market.4770",A4772,"USD","SOFR")</f>
        <v/>
      </c>
      <c r="D4772" s="8">
        <f>QS.CONTEXT.ADD.CURVE(C4772,"SOFR",$K$2:$K$7,$L$2:$L$7,,,"Actual360","LogLinear",TRUE)</f>
        <v/>
      </c>
      <c r="E4772" s="8">
        <f>QS.INSTRUMENT.SWAP("swap.4770",C4772,H4772,B4772,"USD","SOFR",I4772,J4772,0,"Actual360","Simple","Annual","Annual","Annual")</f>
        <v/>
      </c>
      <c r="F4772" s="8">
        <f>QS.TRADE.CREATE("trade.4770",C4772,E4772,A4772,"Receive")</f>
        <v/>
      </c>
      <c r="G4772" s="5"/>
      <c r="H4772" s="7" t="s">
        <v>4813</v>
      </c>
      <c r="I4772" s="9">
        <v>1477000</v>
      </c>
      <c r="J4772" s="10">
        <v>0.03700000000000001</v>
      </c>
    </row>
    <row r="4773" spans="1:10">
      <c r="A4773" s="7" t="s">
        <v>4807</v>
      </c>
      <c r="B4773" s="7" t="s">
        <v>6640</v>
      </c>
      <c r="C4773" s="8">
        <f>QS.CONTEXT.CREATE("market.4771",A4773,"USD","SOFR")</f>
        <v/>
      </c>
      <c r="D4773" s="8">
        <f>QS.CONTEXT.ADD.CURVE(C4773,"SOFR",$K$2:$K$7,$L$2:$L$7,,,"Actual360","LogLinear",TRUE)</f>
        <v/>
      </c>
      <c r="E4773" s="8">
        <f>QS.INSTRUMENT.SWAP("swap.4771",C4773,H4773,B4773,"USD","SOFR",I4773,J4773,0,"Actual360","Simple","Annual","Annual","Annual")</f>
        <v/>
      </c>
      <c r="F4773" s="8">
        <f>QS.TRADE.CREATE("trade.4771",C4773,E4773,A4773,"Receive")</f>
        <v/>
      </c>
      <c r="G4773" s="5"/>
      <c r="H4773" s="7" t="s">
        <v>4814</v>
      </c>
      <c r="I4773" s="9">
        <v>1477100</v>
      </c>
      <c r="J4773" s="10">
        <v>0.0371</v>
      </c>
    </row>
    <row r="4774" spans="1:10">
      <c r="A4774" s="7" t="s">
        <v>4808</v>
      </c>
      <c r="B4774" s="7" t="s">
        <v>6641</v>
      </c>
      <c r="C4774" s="8">
        <f>QS.CONTEXT.CREATE("market.4772",A4774,"USD","SOFR")</f>
        <v/>
      </c>
      <c r="D4774" s="8">
        <f>QS.CONTEXT.ADD.CURVE(C4774,"SOFR",$K$2:$K$7,$L$2:$L$7,,,"Actual360","LogLinear",TRUE)</f>
        <v/>
      </c>
      <c r="E4774" s="8">
        <f>QS.INSTRUMENT.SWAP("swap.4772",C4774,H4774,B4774,"USD","SOFR",I4774,J4774,0,"Actual360","Simple","Annual","Annual","Annual")</f>
        <v/>
      </c>
      <c r="F4774" s="8">
        <f>QS.TRADE.CREATE("trade.4772",C4774,E4774,A4774,"Receive")</f>
        <v/>
      </c>
      <c r="G4774" s="5"/>
      <c r="H4774" s="7" t="s">
        <v>4815</v>
      </c>
      <c r="I4774" s="9">
        <v>1477200</v>
      </c>
      <c r="J4774" s="10">
        <v>0.0372</v>
      </c>
    </row>
    <row r="4775" spans="1:10">
      <c r="A4775" s="7" t="s">
        <v>4809</v>
      </c>
      <c r="B4775" s="7" t="s">
        <v>6642</v>
      </c>
      <c r="C4775" s="8">
        <f>QS.CONTEXT.CREATE("market.4773",A4775,"USD","SOFR")</f>
        <v/>
      </c>
      <c r="D4775" s="8">
        <f>QS.CONTEXT.ADD.CURVE(C4775,"SOFR",$K$2:$K$7,$L$2:$L$7,,,"Actual360","LogLinear",TRUE)</f>
        <v/>
      </c>
      <c r="E4775" s="8">
        <f>QS.INSTRUMENT.SWAP("swap.4773",C4775,H4775,B4775,"USD","SOFR",I4775,J4775,0,"Actual360","Simple","Annual","Annual","Annual")</f>
        <v/>
      </c>
      <c r="F4775" s="8">
        <f>QS.TRADE.CREATE("trade.4773",C4775,E4775,A4775,"Receive")</f>
        <v/>
      </c>
      <c r="G4775" s="5"/>
      <c r="H4775" s="7" t="s">
        <v>4816</v>
      </c>
      <c r="I4775" s="9">
        <v>1477300</v>
      </c>
      <c r="J4775" s="10">
        <v>0.0373</v>
      </c>
    </row>
    <row r="4776" spans="1:10">
      <c r="A4776" s="7" t="s">
        <v>4810</v>
      </c>
      <c r="B4776" s="7" t="s">
        <v>6643</v>
      </c>
      <c r="C4776" s="8">
        <f>QS.CONTEXT.CREATE("market.4774",A4776,"USD","SOFR")</f>
        <v/>
      </c>
      <c r="D4776" s="8">
        <f>QS.CONTEXT.ADD.CURVE(C4776,"SOFR",$K$2:$K$7,$L$2:$L$7,,,"Actual360","LogLinear",TRUE)</f>
        <v/>
      </c>
      <c r="E4776" s="8">
        <f>QS.INSTRUMENT.SWAP("swap.4774",C4776,H4776,B4776,"USD","SOFR",I4776,J4776,0,"Actual360","Simple","Annual","Annual","Annual")</f>
        <v/>
      </c>
      <c r="F4776" s="8">
        <f>QS.TRADE.CREATE("trade.4774",C4776,E4776,A4776,"Receive")</f>
        <v/>
      </c>
      <c r="G4776" s="5"/>
      <c r="H4776" s="7" t="s">
        <v>4817</v>
      </c>
      <c r="I4776" s="9">
        <v>1477400</v>
      </c>
      <c r="J4776" s="10">
        <v>0.0374</v>
      </c>
    </row>
    <row r="4777" spans="1:10">
      <c r="A4777" s="7" t="s">
        <v>4811</v>
      </c>
      <c r="B4777" s="7" t="s">
        <v>6644</v>
      </c>
      <c r="C4777" s="8">
        <f>QS.CONTEXT.CREATE("market.4775",A4777,"USD","SOFR")</f>
        <v/>
      </c>
      <c r="D4777" s="8">
        <f>QS.CONTEXT.ADD.CURVE(C4777,"SOFR",$K$2:$K$7,$L$2:$L$7,,,"Actual360","LogLinear",TRUE)</f>
        <v/>
      </c>
      <c r="E4777" s="8">
        <f>QS.INSTRUMENT.SWAP("swap.4775",C4777,H4777,B4777,"USD","SOFR",I4777,J4777,0,"Actual360","Simple","Annual","Annual","Annual")</f>
        <v/>
      </c>
      <c r="F4777" s="8">
        <f>QS.TRADE.CREATE("trade.4775",C4777,E4777,A4777,"Receive")</f>
        <v/>
      </c>
      <c r="G4777" s="5"/>
      <c r="H4777" s="7" t="s">
        <v>4818</v>
      </c>
      <c r="I4777" s="9">
        <v>1477500</v>
      </c>
      <c r="J4777" s="10">
        <v>0.03750000000000001</v>
      </c>
    </row>
    <row r="4778" spans="1:10">
      <c r="A4778" s="7" t="s">
        <v>4812</v>
      </c>
      <c r="B4778" s="7" t="s">
        <v>6645</v>
      </c>
      <c r="C4778" s="8">
        <f>QS.CONTEXT.CREATE("market.4776",A4778,"USD","SOFR")</f>
        <v/>
      </c>
      <c r="D4778" s="8">
        <f>QS.CONTEXT.ADD.CURVE(C4778,"SOFR",$K$2:$K$7,$L$2:$L$7,,,"Actual360","LogLinear",TRUE)</f>
        <v/>
      </c>
      <c r="E4778" s="8">
        <f>QS.INSTRUMENT.SWAP("swap.4776",C4778,H4778,B4778,"USD","SOFR",I4778,J4778,0,"Actual360","Simple","Annual","Annual","Annual")</f>
        <v/>
      </c>
      <c r="F4778" s="8">
        <f>QS.TRADE.CREATE("trade.4776",C4778,E4778,A4778,"Receive")</f>
        <v/>
      </c>
      <c r="G4778" s="5"/>
      <c r="H4778" s="7" t="s">
        <v>4819</v>
      </c>
      <c r="I4778" s="9">
        <v>1477600</v>
      </c>
      <c r="J4778" s="10">
        <v>0.0376</v>
      </c>
    </row>
    <row r="4779" spans="1:10">
      <c r="A4779" s="7" t="s">
        <v>4813</v>
      </c>
      <c r="B4779" s="7" t="s">
        <v>6646</v>
      </c>
      <c r="C4779" s="8">
        <f>QS.CONTEXT.CREATE("market.4777",A4779,"USD","SOFR")</f>
        <v/>
      </c>
      <c r="D4779" s="8">
        <f>QS.CONTEXT.ADD.CURVE(C4779,"SOFR",$K$2:$K$7,$L$2:$L$7,,,"Actual360","LogLinear",TRUE)</f>
        <v/>
      </c>
      <c r="E4779" s="8">
        <f>QS.INSTRUMENT.SWAP("swap.4777",C4779,H4779,B4779,"USD","SOFR",I4779,J4779,0,"Actual360","Simple","Annual","Annual","Annual")</f>
        <v/>
      </c>
      <c r="F4779" s="8">
        <f>QS.TRADE.CREATE("trade.4777",C4779,E4779,A4779,"Receive")</f>
        <v/>
      </c>
      <c r="G4779" s="5"/>
      <c r="H4779" s="7" t="s">
        <v>4820</v>
      </c>
      <c r="I4779" s="9">
        <v>1477700</v>
      </c>
      <c r="J4779" s="10">
        <v>0.0377</v>
      </c>
    </row>
    <row r="4780" spans="1:10">
      <c r="A4780" s="7" t="s">
        <v>4814</v>
      </c>
      <c r="B4780" s="7" t="s">
        <v>6647</v>
      </c>
      <c r="C4780" s="8">
        <f>QS.CONTEXT.CREATE("market.4778",A4780,"USD","SOFR")</f>
        <v/>
      </c>
      <c r="D4780" s="8">
        <f>QS.CONTEXT.ADD.CURVE(C4780,"SOFR",$K$2:$K$7,$L$2:$L$7,,,"Actual360","LogLinear",TRUE)</f>
        <v/>
      </c>
      <c r="E4780" s="8">
        <f>QS.INSTRUMENT.SWAP("swap.4778",C4780,H4780,B4780,"USD","SOFR",I4780,J4780,0,"Actual360","Simple","Annual","Annual","Annual")</f>
        <v/>
      </c>
      <c r="F4780" s="8">
        <f>QS.TRADE.CREATE("trade.4778",C4780,E4780,A4780,"Receive")</f>
        <v/>
      </c>
      <c r="G4780" s="5"/>
      <c r="H4780" s="7" t="s">
        <v>4821</v>
      </c>
      <c r="I4780" s="9">
        <v>1477800</v>
      </c>
      <c r="J4780" s="10">
        <v>0.0378</v>
      </c>
    </row>
    <row r="4781" spans="1:10">
      <c r="A4781" s="7" t="s">
        <v>4815</v>
      </c>
      <c r="B4781" s="7" t="s">
        <v>6648</v>
      </c>
      <c r="C4781" s="8">
        <f>QS.CONTEXT.CREATE("market.4779",A4781,"USD","SOFR")</f>
        <v/>
      </c>
      <c r="D4781" s="8">
        <f>QS.CONTEXT.ADD.CURVE(C4781,"SOFR",$K$2:$K$7,$L$2:$L$7,,,"Actual360","LogLinear",TRUE)</f>
        <v/>
      </c>
      <c r="E4781" s="8">
        <f>QS.INSTRUMENT.SWAP("swap.4779",C4781,H4781,B4781,"USD","SOFR",I4781,J4781,0,"Actual360","Simple","Annual","Annual","Annual")</f>
        <v/>
      </c>
      <c r="F4781" s="8">
        <f>QS.TRADE.CREATE("trade.4779",C4781,E4781,A4781,"Receive")</f>
        <v/>
      </c>
      <c r="G4781" s="5"/>
      <c r="H4781" s="7" t="s">
        <v>4822</v>
      </c>
      <c r="I4781" s="9">
        <v>1477900</v>
      </c>
      <c r="J4781" s="10">
        <v>0.0379</v>
      </c>
    </row>
    <row r="4782" spans="1:10">
      <c r="A4782" s="7" t="s">
        <v>4816</v>
      </c>
      <c r="B4782" s="7" t="s">
        <v>6649</v>
      </c>
      <c r="C4782" s="8">
        <f>QS.CONTEXT.CREATE("market.4780",A4782,"USD","SOFR")</f>
        <v/>
      </c>
      <c r="D4782" s="8">
        <f>QS.CONTEXT.ADD.CURVE(C4782,"SOFR",$K$2:$K$7,$L$2:$L$7,,,"Actual360","LogLinear",TRUE)</f>
        <v/>
      </c>
      <c r="E4782" s="8">
        <f>QS.INSTRUMENT.SWAP("swap.4780",C4782,H4782,B4782,"USD","SOFR",I4782,J4782,0,"Actual360","Simple","Annual","Annual","Annual")</f>
        <v/>
      </c>
      <c r="F4782" s="8">
        <f>QS.TRADE.CREATE("trade.4780",C4782,E4782,A4782,"Receive")</f>
        <v/>
      </c>
      <c r="G4782" s="5"/>
      <c r="H4782" s="7" t="s">
        <v>4823</v>
      </c>
      <c r="I4782" s="9">
        <v>1478000</v>
      </c>
      <c r="J4782" s="10">
        <v>0.03800000000000001</v>
      </c>
    </row>
    <row r="4783" spans="1:10">
      <c r="A4783" s="7" t="s">
        <v>4817</v>
      </c>
      <c r="B4783" s="7" t="s">
        <v>6650</v>
      </c>
      <c r="C4783" s="8">
        <f>QS.CONTEXT.CREATE("market.4781",A4783,"USD","SOFR")</f>
        <v/>
      </c>
      <c r="D4783" s="8">
        <f>QS.CONTEXT.ADD.CURVE(C4783,"SOFR",$K$2:$K$7,$L$2:$L$7,,,"Actual360","LogLinear",TRUE)</f>
        <v/>
      </c>
      <c r="E4783" s="8">
        <f>QS.INSTRUMENT.SWAP("swap.4781",C4783,H4783,B4783,"USD","SOFR",I4783,J4783,0,"Actual360","Simple","Annual","Annual","Annual")</f>
        <v/>
      </c>
      <c r="F4783" s="8">
        <f>QS.TRADE.CREATE("trade.4781",C4783,E4783,A4783,"Receive")</f>
        <v/>
      </c>
      <c r="G4783" s="5"/>
      <c r="H4783" s="7" t="s">
        <v>4824</v>
      </c>
      <c r="I4783" s="9">
        <v>1478100</v>
      </c>
      <c r="J4783" s="10">
        <v>0.0381</v>
      </c>
    </row>
    <row r="4784" spans="1:10">
      <c r="A4784" s="7" t="s">
        <v>4818</v>
      </c>
      <c r="B4784" s="7" t="s">
        <v>6651</v>
      </c>
      <c r="C4784" s="8">
        <f>QS.CONTEXT.CREATE("market.4782",A4784,"USD","SOFR")</f>
        <v/>
      </c>
      <c r="D4784" s="8">
        <f>QS.CONTEXT.ADD.CURVE(C4784,"SOFR",$K$2:$K$7,$L$2:$L$7,,,"Actual360","LogLinear",TRUE)</f>
        <v/>
      </c>
      <c r="E4784" s="8">
        <f>QS.INSTRUMENT.SWAP("swap.4782",C4784,H4784,B4784,"USD","SOFR",I4784,J4784,0,"Actual360","Simple","Annual","Annual","Annual")</f>
        <v/>
      </c>
      <c r="F4784" s="8">
        <f>QS.TRADE.CREATE("trade.4782",C4784,E4784,A4784,"Receive")</f>
        <v/>
      </c>
      <c r="G4784" s="5"/>
      <c r="H4784" s="7" t="s">
        <v>4825</v>
      </c>
      <c r="I4784" s="9">
        <v>1478200</v>
      </c>
      <c r="J4784" s="10">
        <v>0.0382</v>
      </c>
    </row>
    <row r="4785" spans="1:10">
      <c r="A4785" s="7" t="s">
        <v>4819</v>
      </c>
      <c r="B4785" s="7" t="s">
        <v>6652</v>
      </c>
      <c r="C4785" s="8">
        <f>QS.CONTEXT.CREATE("market.4783",A4785,"USD","SOFR")</f>
        <v/>
      </c>
      <c r="D4785" s="8">
        <f>QS.CONTEXT.ADD.CURVE(C4785,"SOFR",$K$2:$K$7,$L$2:$L$7,,,"Actual360","LogLinear",TRUE)</f>
        <v/>
      </c>
      <c r="E4785" s="8">
        <f>QS.INSTRUMENT.SWAP("swap.4783",C4785,H4785,B4785,"USD","SOFR",I4785,J4785,0,"Actual360","Simple","Annual","Annual","Annual")</f>
        <v/>
      </c>
      <c r="F4785" s="8">
        <f>QS.TRADE.CREATE("trade.4783",C4785,E4785,A4785,"Receive")</f>
        <v/>
      </c>
      <c r="G4785" s="5"/>
      <c r="H4785" s="7" t="s">
        <v>4826</v>
      </c>
      <c r="I4785" s="9">
        <v>1478300</v>
      </c>
      <c r="J4785" s="10">
        <v>0.0383</v>
      </c>
    </row>
    <row r="4786" spans="1:10">
      <c r="A4786" s="7" t="s">
        <v>4820</v>
      </c>
      <c r="B4786" s="7" t="s">
        <v>6653</v>
      </c>
      <c r="C4786" s="8">
        <f>QS.CONTEXT.CREATE("market.4784",A4786,"USD","SOFR")</f>
        <v/>
      </c>
      <c r="D4786" s="8">
        <f>QS.CONTEXT.ADD.CURVE(C4786,"SOFR",$K$2:$K$7,$L$2:$L$7,,,"Actual360","LogLinear",TRUE)</f>
        <v/>
      </c>
      <c r="E4786" s="8">
        <f>QS.INSTRUMENT.SWAP("swap.4784",C4786,H4786,B4786,"USD","SOFR",I4786,J4786,0,"Actual360","Simple","Annual","Annual","Annual")</f>
        <v/>
      </c>
      <c r="F4786" s="8">
        <f>QS.TRADE.CREATE("trade.4784",C4786,E4786,A4786,"Receive")</f>
        <v/>
      </c>
      <c r="G4786" s="5"/>
      <c r="H4786" s="7" t="s">
        <v>4827</v>
      </c>
      <c r="I4786" s="9">
        <v>1478400</v>
      </c>
      <c r="J4786" s="10">
        <v>0.0384</v>
      </c>
    </row>
    <row r="4787" spans="1:10">
      <c r="A4787" s="7" t="s">
        <v>4821</v>
      </c>
      <c r="B4787" s="7" t="s">
        <v>6654</v>
      </c>
      <c r="C4787" s="8">
        <f>QS.CONTEXT.CREATE("market.4785",A4787,"USD","SOFR")</f>
        <v/>
      </c>
      <c r="D4787" s="8">
        <f>QS.CONTEXT.ADD.CURVE(C4787,"SOFR",$K$2:$K$7,$L$2:$L$7,,,"Actual360","LogLinear",TRUE)</f>
        <v/>
      </c>
      <c r="E4787" s="8">
        <f>QS.INSTRUMENT.SWAP("swap.4785",C4787,H4787,B4787,"USD","SOFR",I4787,J4787,0,"Actual360","Simple","Annual","Annual","Annual")</f>
        <v/>
      </c>
      <c r="F4787" s="8">
        <f>QS.TRADE.CREATE("trade.4785",C4787,E4787,A4787,"Receive")</f>
        <v/>
      </c>
      <c r="G4787" s="5"/>
      <c r="H4787" s="7" t="s">
        <v>4828</v>
      </c>
      <c r="I4787" s="9">
        <v>1478500</v>
      </c>
      <c r="J4787" s="10">
        <v>0.03850000000000001</v>
      </c>
    </row>
    <row r="4788" spans="1:10">
      <c r="A4788" s="7" t="s">
        <v>4822</v>
      </c>
      <c r="B4788" s="7" t="s">
        <v>6655</v>
      </c>
      <c r="C4788" s="8">
        <f>QS.CONTEXT.CREATE("market.4786",A4788,"USD","SOFR")</f>
        <v/>
      </c>
      <c r="D4788" s="8">
        <f>QS.CONTEXT.ADD.CURVE(C4788,"SOFR",$K$2:$K$7,$L$2:$L$7,,,"Actual360","LogLinear",TRUE)</f>
        <v/>
      </c>
      <c r="E4788" s="8">
        <f>QS.INSTRUMENT.SWAP("swap.4786",C4788,H4788,B4788,"USD","SOFR",I4788,J4788,0,"Actual360","Simple","Annual","Annual","Annual")</f>
        <v/>
      </c>
      <c r="F4788" s="8">
        <f>QS.TRADE.CREATE("trade.4786",C4788,E4788,A4788,"Receive")</f>
        <v/>
      </c>
      <c r="G4788" s="5"/>
      <c r="H4788" s="7" t="s">
        <v>4829</v>
      </c>
      <c r="I4788" s="9">
        <v>1478600</v>
      </c>
      <c r="J4788" s="10">
        <v>0.0386</v>
      </c>
    </row>
    <row r="4789" spans="1:10">
      <c r="A4789" s="7" t="s">
        <v>4823</v>
      </c>
      <c r="B4789" s="7" t="s">
        <v>6656</v>
      </c>
      <c r="C4789" s="8">
        <f>QS.CONTEXT.CREATE("market.4787",A4789,"USD","SOFR")</f>
        <v/>
      </c>
      <c r="D4789" s="8">
        <f>QS.CONTEXT.ADD.CURVE(C4789,"SOFR",$K$2:$K$7,$L$2:$L$7,,,"Actual360","LogLinear",TRUE)</f>
        <v/>
      </c>
      <c r="E4789" s="8">
        <f>QS.INSTRUMENT.SWAP("swap.4787",C4789,H4789,B4789,"USD","SOFR",I4789,J4789,0,"Actual360","Simple","Annual","Annual","Annual")</f>
        <v/>
      </c>
      <c r="F4789" s="8">
        <f>QS.TRADE.CREATE("trade.4787",C4789,E4789,A4789,"Receive")</f>
        <v/>
      </c>
      <c r="G4789" s="5"/>
      <c r="H4789" s="7" t="s">
        <v>4830</v>
      </c>
      <c r="I4789" s="9">
        <v>1478700</v>
      </c>
      <c r="J4789" s="10">
        <v>0.03870000000000001</v>
      </c>
    </row>
    <row r="4790" spans="1:10">
      <c r="A4790" s="7" t="s">
        <v>4824</v>
      </c>
      <c r="B4790" s="7" t="s">
        <v>6657</v>
      </c>
      <c r="C4790" s="8">
        <f>QS.CONTEXT.CREATE("market.4788",A4790,"USD","SOFR")</f>
        <v/>
      </c>
      <c r="D4790" s="8">
        <f>QS.CONTEXT.ADD.CURVE(C4790,"SOFR",$K$2:$K$7,$L$2:$L$7,,,"Actual360","LogLinear",TRUE)</f>
        <v/>
      </c>
      <c r="E4790" s="8">
        <f>QS.INSTRUMENT.SWAP("swap.4788",C4790,H4790,B4790,"USD","SOFR",I4790,J4790,0,"Actual360","Simple","Annual","Annual","Annual")</f>
        <v/>
      </c>
      <c r="F4790" s="8">
        <f>QS.TRADE.CREATE("trade.4788",C4790,E4790,A4790,"Receive")</f>
        <v/>
      </c>
      <c r="G4790" s="5"/>
      <c r="H4790" s="7" t="s">
        <v>4831</v>
      </c>
      <c r="I4790" s="9">
        <v>1478800</v>
      </c>
      <c r="J4790" s="10">
        <v>0.0388</v>
      </c>
    </row>
    <row r="4791" spans="1:10">
      <c r="A4791" s="7" t="s">
        <v>4825</v>
      </c>
      <c r="B4791" s="7" t="s">
        <v>6658</v>
      </c>
      <c r="C4791" s="8">
        <f>QS.CONTEXT.CREATE("market.4789",A4791,"USD","SOFR")</f>
        <v/>
      </c>
      <c r="D4791" s="8">
        <f>QS.CONTEXT.ADD.CURVE(C4791,"SOFR",$K$2:$K$7,$L$2:$L$7,,,"Actual360","LogLinear",TRUE)</f>
        <v/>
      </c>
      <c r="E4791" s="8">
        <f>QS.INSTRUMENT.SWAP("swap.4789",C4791,H4791,B4791,"USD","SOFR",I4791,J4791,0,"Actual360","Simple","Annual","Annual","Annual")</f>
        <v/>
      </c>
      <c r="F4791" s="8">
        <f>QS.TRADE.CREATE("trade.4789",C4791,E4791,A4791,"Receive")</f>
        <v/>
      </c>
      <c r="G4791" s="5"/>
      <c r="H4791" s="7" t="s">
        <v>4832</v>
      </c>
      <c r="I4791" s="9">
        <v>1478900</v>
      </c>
      <c r="J4791" s="10">
        <v>0.0389</v>
      </c>
    </row>
    <row r="4792" spans="1:10">
      <c r="A4792" s="7" t="s">
        <v>4826</v>
      </c>
      <c r="B4792" s="7" t="s">
        <v>6659</v>
      </c>
      <c r="C4792" s="8">
        <f>QS.CONTEXT.CREATE("market.4790",A4792,"USD","SOFR")</f>
        <v/>
      </c>
      <c r="D4792" s="8">
        <f>QS.CONTEXT.ADD.CURVE(C4792,"SOFR",$K$2:$K$7,$L$2:$L$7,,,"Actual360","LogLinear",TRUE)</f>
        <v/>
      </c>
      <c r="E4792" s="8">
        <f>QS.INSTRUMENT.SWAP("swap.4790",C4792,H4792,B4792,"USD","SOFR",I4792,J4792,0,"Actual360","Simple","Annual","Annual","Annual")</f>
        <v/>
      </c>
      <c r="F4792" s="8">
        <f>QS.TRADE.CREATE("trade.4790",C4792,E4792,A4792,"Receive")</f>
        <v/>
      </c>
      <c r="G4792" s="5"/>
      <c r="H4792" s="7" t="s">
        <v>4833</v>
      </c>
      <c r="I4792" s="9">
        <v>1479000</v>
      </c>
      <c r="J4792" s="10">
        <v>0.03900000000000001</v>
      </c>
    </row>
    <row r="4793" spans="1:10">
      <c r="A4793" s="7" t="s">
        <v>4827</v>
      </c>
      <c r="B4793" s="7" t="s">
        <v>6660</v>
      </c>
      <c r="C4793" s="8">
        <f>QS.CONTEXT.CREATE("market.4791",A4793,"USD","SOFR")</f>
        <v/>
      </c>
      <c r="D4793" s="8">
        <f>QS.CONTEXT.ADD.CURVE(C4793,"SOFR",$K$2:$K$7,$L$2:$L$7,,,"Actual360","LogLinear",TRUE)</f>
        <v/>
      </c>
      <c r="E4793" s="8">
        <f>QS.INSTRUMENT.SWAP("swap.4791",C4793,H4793,B4793,"USD","SOFR",I4793,J4793,0,"Actual360","Simple","Annual","Annual","Annual")</f>
        <v/>
      </c>
      <c r="F4793" s="8">
        <f>QS.TRADE.CREATE("trade.4791",C4793,E4793,A4793,"Receive")</f>
        <v/>
      </c>
      <c r="G4793" s="5"/>
      <c r="H4793" s="7" t="s">
        <v>4834</v>
      </c>
      <c r="I4793" s="9">
        <v>1479100</v>
      </c>
      <c r="J4793" s="10">
        <v>0.0391</v>
      </c>
    </row>
    <row r="4794" spans="1:10">
      <c r="A4794" s="7" t="s">
        <v>4828</v>
      </c>
      <c r="B4794" s="7" t="s">
        <v>6661</v>
      </c>
      <c r="C4794" s="8">
        <f>QS.CONTEXT.CREATE("market.4792",A4794,"USD","SOFR")</f>
        <v/>
      </c>
      <c r="D4794" s="8">
        <f>QS.CONTEXT.ADD.CURVE(C4794,"SOFR",$K$2:$K$7,$L$2:$L$7,,,"Actual360","LogLinear",TRUE)</f>
        <v/>
      </c>
      <c r="E4794" s="8">
        <f>QS.INSTRUMENT.SWAP("swap.4792",C4794,H4794,B4794,"USD","SOFR",I4794,J4794,0,"Actual360","Simple","Annual","Annual","Annual")</f>
        <v/>
      </c>
      <c r="F4794" s="8">
        <f>QS.TRADE.CREATE("trade.4792",C4794,E4794,A4794,"Receive")</f>
        <v/>
      </c>
      <c r="G4794" s="5"/>
      <c r="H4794" s="7" t="s">
        <v>4835</v>
      </c>
      <c r="I4794" s="9">
        <v>1479200</v>
      </c>
      <c r="J4794" s="10">
        <v>0.03920000000000001</v>
      </c>
    </row>
    <row r="4795" spans="1:10">
      <c r="A4795" s="7" t="s">
        <v>4829</v>
      </c>
      <c r="B4795" s="7" t="s">
        <v>6662</v>
      </c>
      <c r="C4795" s="8">
        <f>QS.CONTEXT.CREATE("market.4793",A4795,"USD","SOFR")</f>
        <v/>
      </c>
      <c r="D4795" s="8">
        <f>QS.CONTEXT.ADD.CURVE(C4795,"SOFR",$K$2:$K$7,$L$2:$L$7,,,"Actual360","LogLinear",TRUE)</f>
        <v/>
      </c>
      <c r="E4795" s="8">
        <f>QS.INSTRUMENT.SWAP("swap.4793",C4795,H4795,B4795,"USD","SOFR",I4795,J4795,0,"Actual360","Simple","Annual","Annual","Annual")</f>
        <v/>
      </c>
      <c r="F4795" s="8">
        <f>QS.TRADE.CREATE("trade.4793",C4795,E4795,A4795,"Receive")</f>
        <v/>
      </c>
      <c r="G4795" s="5"/>
      <c r="H4795" s="7" t="s">
        <v>4836</v>
      </c>
      <c r="I4795" s="9">
        <v>1479300</v>
      </c>
      <c r="J4795" s="10">
        <v>0.0393</v>
      </c>
    </row>
    <row r="4796" spans="1:10">
      <c r="A4796" s="7" t="s">
        <v>4830</v>
      </c>
      <c r="B4796" s="7" t="s">
        <v>6663</v>
      </c>
      <c r="C4796" s="8">
        <f>QS.CONTEXT.CREATE("market.4794",A4796,"USD","SOFR")</f>
        <v/>
      </c>
      <c r="D4796" s="8">
        <f>QS.CONTEXT.ADD.CURVE(C4796,"SOFR",$K$2:$K$7,$L$2:$L$7,,,"Actual360","LogLinear",TRUE)</f>
        <v/>
      </c>
      <c r="E4796" s="8">
        <f>QS.INSTRUMENT.SWAP("swap.4794",C4796,H4796,B4796,"USD","SOFR",I4796,J4796,0,"Actual360","Simple","Annual","Annual","Annual")</f>
        <v/>
      </c>
      <c r="F4796" s="8">
        <f>QS.TRADE.CREATE("trade.4794",C4796,E4796,A4796,"Receive")</f>
        <v/>
      </c>
      <c r="G4796" s="5"/>
      <c r="H4796" s="7" t="s">
        <v>4837</v>
      </c>
      <c r="I4796" s="9">
        <v>1479400</v>
      </c>
      <c r="J4796" s="10">
        <v>0.0394</v>
      </c>
    </row>
    <row r="4797" spans="1:10">
      <c r="A4797" s="7" t="s">
        <v>4831</v>
      </c>
      <c r="B4797" s="7" t="s">
        <v>6664</v>
      </c>
      <c r="C4797" s="8">
        <f>QS.CONTEXT.CREATE("market.4795",A4797,"USD","SOFR")</f>
        <v/>
      </c>
      <c r="D4797" s="8">
        <f>QS.CONTEXT.ADD.CURVE(C4797,"SOFR",$K$2:$K$7,$L$2:$L$7,,,"Actual360","LogLinear",TRUE)</f>
        <v/>
      </c>
      <c r="E4797" s="8">
        <f>QS.INSTRUMENT.SWAP("swap.4795",C4797,H4797,B4797,"USD","SOFR",I4797,J4797,0,"Actual360","Simple","Annual","Annual","Annual")</f>
        <v/>
      </c>
      <c r="F4797" s="8">
        <f>QS.TRADE.CREATE("trade.4795",C4797,E4797,A4797,"Receive")</f>
        <v/>
      </c>
      <c r="G4797" s="5"/>
      <c r="H4797" s="7" t="s">
        <v>4838</v>
      </c>
      <c r="I4797" s="9">
        <v>1479500</v>
      </c>
      <c r="J4797" s="10">
        <v>0.03950000000000001</v>
      </c>
    </row>
    <row r="4798" spans="1:10">
      <c r="A4798" s="7" t="s">
        <v>4832</v>
      </c>
      <c r="B4798" s="7" t="s">
        <v>6665</v>
      </c>
      <c r="C4798" s="8">
        <f>QS.CONTEXT.CREATE("market.4796",A4798,"USD","SOFR")</f>
        <v/>
      </c>
      <c r="D4798" s="8">
        <f>QS.CONTEXT.ADD.CURVE(C4798,"SOFR",$K$2:$K$7,$L$2:$L$7,,,"Actual360","LogLinear",TRUE)</f>
        <v/>
      </c>
      <c r="E4798" s="8">
        <f>QS.INSTRUMENT.SWAP("swap.4796",C4798,H4798,B4798,"USD","SOFR",I4798,J4798,0,"Actual360","Simple","Annual","Annual","Annual")</f>
        <v/>
      </c>
      <c r="F4798" s="8">
        <f>QS.TRADE.CREATE("trade.4796",C4798,E4798,A4798,"Receive")</f>
        <v/>
      </c>
      <c r="G4798" s="5"/>
      <c r="H4798" s="7" t="s">
        <v>4839</v>
      </c>
      <c r="I4798" s="9">
        <v>1479600</v>
      </c>
      <c r="J4798" s="10">
        <v>0.0396</v>
      </c>
    </row>
    <row r="4799" spans="1:10">
      <c r="A4799" s="7" t="s">
        <v>4833</v>
      </c>
      <c r="B4799" s="7" t="s">
        <v>6666</v>
      </c>
      <c r="C4799" s="8">
        <f>QS.CONTEXT.CREATE("market.4797",A4799,"USD","SOFR")</f>
        <v/>
      </c>
      <c r="D4799" s="8">
        <f>QS.CONTEXT.ADD.CURVE(C4799,"SOFR",$K$2:$K$7,$L$2:$L$7,,,"Actual360","LogLinear",TRUE)</f>
        <v/>
      </c>
      <c r="E4799" s="8">
        <f>QS.INSTRUMENT.SWAP("swap.4797",C4799,H4799,B4799,"USD","SOFR",I4799,J4799,0,"Actual360","Simple","Annual","Annual","Annual")</f>
        <v/>
      </c>
      <c r="F4799" s="8">
        <f>QS.TRADE.CREATE("trade.4797",C4799,E4799,A4799,"Receive")</f>
        <v/>
      </c>
      <c r="G4799" s="5"/>
      <c r="H4799" s="7" t="s">
        <v>4840</v>
      </c>
      <c r="I4799" s="9">
        <v>1479700</v>
      </c>
      <c r="J4799" s="10">
        <v>0.03970000000000001</v>
      </c>
    </row>
    <row r="4800" spans="1:10">
      <c r="A4800" s="7" t="s">
        <v>4834</v>
      </c>
      <c r="B4800" s="7" t="s">
        <v>6667</v>
      </c>
      <c r="C4800" s="8">
        <f>QS.CONTEXT.CREATE("market.4798",A4800,"USD","SOFR")</f>
        <v/>
      </c>
      <c r="D4800" s="8">
        <f>QS.CONTEXT.ADD.CURVE(C4800,"SOFR",$K$2:$K$7,$L$2:$L$7,,,"Actual360","LogLinear",TRUE)</f>
        <v/>
      </c>
      <c r="E4800" s="8">
        <f>QS.INSTRUMENT.SWAP("swap.4798",C4800,H4800,B4800,"USD","SOFR",I4800,J4800,0,"Actual360","Simple","Annual","Annual","Annual")</f>
        <v/>
      </c>
      <c r="F4800" s="8">
        <f>QS.TRADE.CREATE("trade.4798",C4800,E4800,A4800,"Receive")</f>
        <v/>
      </c>
      <c r="G4800" s="5"/>
      <c r="H4800" s="7" t="s">
        <v>4841</v>
      </c>
      <c r="I4800" s="9">
        <v>1479800</v>
      </c>
      <c r="J4800" s="10">
        <v>0.0398</v>
      </c>
    </row>
    <row r="4801" spans="1:10">
      <c r="A4801" s="7" t="s">
        <v>4835</v>
      </c>
      <c r="B4801" s="7" t="s">
        <v>6668</v>
      </c>
      <c r="C4801" s="8">
        <f>QS.CONTEXT.CREATE("market.4799",A4801,"USD","SOFR")</f>
        <v/>
      </c>
      <c r="D4801" s="8">
        <f>QS.CONTEXT.ADD.CURVE(C4801,"SOFR",$K$2:$K$7,$L$2:$L$7,,,"Actual360","LogLinear",TRUE)</f>
        <v/>
      </c>
      <c r="E4801" s="8">
        <f>QS.INSTRUMENT.SWAP("swap.4799",C4801,H4801,B4801,"USD","SOFR",I4801,J4801,0,"Actual360","Simple","Annual","Annual","Annual")</f>
        <v/>
      </c>
      <c r="F4801" s="8">
        <f>QS.TRADE.CREATE("trade.4799",C4801,E4801,A4801,"Receive")</f>
        <v/>
      </c>
      <c r="G4801" s="5"/>
      <c r="H4801" s="7" t="s">
        <v>4842</v>
      </c>
      <c r="I4801" s="9">
        <v>1479900</v>
      </c>
      <c r="J4801" s="10">
        <v>0.0399</v>
      </c>
    </row>
    <row r="4802" spans="1:10">
      <c r="A4802" s="7" t="s">
        <v>4836</v>
      </c>
      <c r="B4802" s="7" t="s">
        <v>6669</v>
      </c>
      <c r="C4802" s="8">
        <f>QS.CONTEXT.CREATE("market.4800",A4802,"USD","SOFR")</f>
        <v/>
      </c>
      <c r="D4802" s="8">
        <f>QS.CONTEXT.ADD.CURVE(C4802,"SOFR",$K$2:$K$7,$L$2:$L$7,,,"Actual360","LogLinear",TRUE)</f>
        <v/>
      </c>
      <c r="E4802" s="8">
        <f>QS.INSTRUMENT.SWAP("swap.4800",C4802,H4802,B4802,"USD","SOFR",I4802,J4802,0,"Actual360","Simple","Annual","Annual","Annual")</f>
        <v/>
      </c>
      <c r="F4802" s="8">
        <f>QS.TRADE.CREATE("trade.4800",C4802,E4802,A4802,"Receive")</f>
        <v/>
      </c>
      <c r="G4802" s="5"/>
      <c r="H4802" s="7" t="s">
        <v>4843</v>
      </c>
      <c r="I4802" s="9">
        <v>1480000</v>
      </c>
      <c r="J4802" s="10">
        <v>0.035</v>
      </c>
    </row>
    <row r="4803" spans="1:10">
      <c r="A4803" s="7" t="s">
        <v>4837</v>
      </c>
      <c r="B4803" s="7" t="s">
        <v>6670</v>
      </c>
      <c r="C4803" s="8">
        <f>QS.CONTEXT.CREATE("market.4801",A4803,"USD","SOFR")</f>
        <v/>
      </c>
      <c r="D4803" s="8">
        <f>QS.CONTEXT.ADD.CURVE(C4803,"SOFR",$K$2:$K$7,$L$2:$L$7,,,"Actual360","LogLinear",TRUE)</f>
        <v/>
      </c>
      <c r="E4803" s="8">
        <f>QS.INSTRUMENT.SWAP("swap.4801",C4803,H4803,B4803,"USD","SOFR",I4803,J4803,0,"Actual360","Simple","Annual","Annual","Annual")</f>
        <v/>
      </c>
      <c r="F4803" s="8">
        <f>QS.TRADE.CREATE("trade.4801",C4803,E4803,A4803,"Receive")</f>
        <v/>
      </c>
      <c r="G4803" s="5"/>
      <c r="H4803" s="7" t="s">
        <v>4844</v>
      </c>
      <c r="I4803" s="9">
        <v>1480100</v>
      </c>
      <c r="J4803" s="10">
        <v>0.03510000000000001</v>
      </c>
    </row>
    <row r="4804" spans="1:10">
      <c r="A4804" s="7" t="s">
        <v>4838</v>
      </c>
      <c r="B4804" s="7" t="s">
        <v>6671</v>
      </c>
      <c r="C4804" s="8">
        <f>QS.CONTEXT.CREATE("market.4802",A4804,"USD","SOFR")</f>
        <v/>
      </c>
      <c r="D4804" s="8">
        <f>QS.CONTEXT.ADD.CURVE(C4804,"SOFR",$K$2:$K$7,$L$2:$L$7,,,"Actual360","LogLinear",TRUE)</f>
        <v/>
      </c>
      <c r="E4804" s="8">
        <f>QS.INSTRUMENT.SWAP("swap.4802",C4804,H4804,B4804,"USD","SOFR",I4804,J4804,0,"Actual360","Simple","Annual","Annual","Annual")</f>
        <v/>
      </c>
      <c r="F4804" s="8">
        <f>QS.TRADE.CREATE("trade.4802",C4804,E4804,A4804,"Receive")</f>
        <v/>
      </c>
      <c r="G4804" s="5"/>
      <c r="H4804" s="7" t="s">
        <v>4845</v>
      </c>
      <c r="I4804" s="9">
        <v>1480200</v>
      </c>
      <c r="J4804" s="10">
        <v>0.0352</v>
      </c>
    </row>
    <row r="4805" spans="1:10">
      <c r="A4805" s="7" t="s">
        <v>4839</v>
      </c>
      <c r="B4805" s="7" t="s">
        <v>6672</v>
      </c>
      <c r="C4805" s="8">
        <f>QS.CONTEXT.CREATE("market.4803",A4805,"USD","SOFR")</f>
        <v/>
      </c>
      <c r="D4805" s="8">
        <f>QS.CONTEXT.ADD.CURVE(C4805,"SOFR",$K$2:$K$7,$L$2:$L$7,,,"Actual360","LogLinear",TRUE)</f>
        <v/>
      </c>
      <c r="E4805" s="8">
        <f>QS.INSTRUMENT.SWAP("swap.4803",C4805,H4805,B4805,"USD","SOFR",I4805,J4805,0,"Actual360","Simple","Annual","Annual","Annual")</f>
        <v/>
      </c>
      <c r="F4805" s="8">
        <f>QS.TRADE.CREATE("trade.4803",C4805,E4805,A4805,"Receive")</f>
        <v/>
      </c>
      <c r="G4805" s="5"/>
      <c r="H4805" s="7" t="s">
        <v>4846</v>
      </c>
      <c r="I4805" s="9">
        <v>1480300</v>
      </c>
      <c r="J4805" s="10">
        <v>0.0353</v>
      </c>
    </row>
    <row r="4806" spans="1:10">
      <c r="A4806" s="7" t="s">
        <v>4840</v>
      </c>
      <c r="B4806" s="7" t="s">
        <v>6673</v>
      </c>
      <c r="C4806" s="8">
        <f>QS.CONTEXT.CREATE("market.4804",A4806,"USD","SOFR")</f>
        <v/>
      </c>
      <c r="D4806" s="8">
        <f>QS.CONTEXT.ADD.CURVE(C4806,"SOFR",$K$2:$K$7,$L$2:$L$7,,,"Actual360","LogLinear",TRUE)</f>
        <v/>
      </c>
      <c r="E4806" s="8">
        <f>QS.INSTRUMENT.SWAP("swap.4804",C4806,H4806,B4806,"USD","SOFR",I4806,J4806,0,"Actual360","Simple","Annual","Annual","Annual")</f>
        <v/>
      </c>
      <c r="F4806" s="8">
        <f>QS.TRADE.CREATE("trade.4804",C4806,E4806,A4806,"Receive")</f>
        <v/>
      </c>
      <c r="G4806" s="5"/>
      <c r="H4806" s="7" t="s">
        <v>4847</v>
      </c>
      <c r="I4806" s="9">
        <v>1480400</v>
      </c>
      <c r="J4806" s="10">
        <v>0.0354</v>
      </c>
    </row>
    <row r="4807" spans="1:10">
      <c r="A4807" s="7" t="s">
        <v>4841</v>
      </c>
      <c r="B4807" s="7" t="s">
        <v>6674</v>
      </c>
      <c r="C4807" s="8">
        <f>QS.CONTEXT.CREATE("market.4805",A4807,"USD","SOFR")</f>
        <v/>
      </c>
      <c r="D4807" s="8">
        <f>QS.CONTEXT.ADD.CURVE(C4807,"SOFR",$K$2:$K$7,$L$2:$L$7,,,"Actual360","LogLinear",TRUE)</f>
        <v/>
      </c>
      <c r="E4807" s="8">
        <f>QS.INSTRUMENT.SWAP("swap.4805",C4807,H4807,B4807,"USD","SOFR",I4807,J4807,0,"Actual360","Simple","Annual","Annual","Annual")</f>
        <v/>
      </c>
      <c r="F4807" s="8">
        <f>QS.TRADE.CREATE("trade.4805",C4807,E4807,A4807,"Receive")</f>
        <v/>
      </c>
      <c r="G4807" s="5"/>
      <c r="H4807" s="7" t="s">
        <v>4848</v>
      </c>
      <c r="I4807" s="9">
        <v>1480500</v>
      </c>
      <c r="J4807" s="10">
        <v>0.0355</v>
      </c>
    </row>
    <row r="4808" spans="1:10">
      <c r="A4808" s="7" t="s">
        <v>4842</v>
      </c>
      <c r="B4808" s="7" t="s">
        <v>6675</v>
      </c>
      <c r="C4808" s="8">
        <f>QS.CONTEXT.CREATE("market.4806",A4808,"USD","SOFR")</f>
        <v/>
      </c>
      <c r="D4808" s="8">
        <f>QS.CONTEXT.ADD.CURVE(C4808,"SOFR",$K$2:$K$7,$L$2:$L$7,,,"Actual360","LogLinear",TRUE)</f>
        <v/>
      </c>
      <c r="E4808" s="8">
        <f>QS.INSTRUMENT.SWAP("swap.4806",C4808,H4808,B4808,"USD","SOFR",I4808,J4808,0,"Actual360","Simple","Annual","Annual","Annual")</f>
        <v/>
      </c>
      <c r="F4808" s="8">
        <f>QS.TRADE.CREATE("trade.4806",C4808,E4808,A4808,"Receive")</f>
        <v/>
      </c>
      <c r="G4808" s="5"/>
      <c r="H4808" s="7" t="s">
        <v>4849</v>
      </c>
      <c r="I4808" s="9">
        <v>1480600</v>
      </c>
      <c r="J4808" s="10">
        <v>0.03560000000000001</v>
      </c>
    </row>
    <row r="4809" spans="1:10">
      <c r="A4809" s="7" t="s">
        <v>4843</v>
      </c>
      <c r="B4809" s="7" t="s">
        <v>6676</v>
      </c>
      <c r="C4809" s="8">
        <f>QS.CONTEXT.CREATE("market.4807",A4809,"USD","SOFR")</f>
        <v/>
      </c>
      <c r="D4809" s="8">
        <f>QS.CONTEXT.ADD.CURVE(C4809,"SOFR",$K$2:$K$7,$L$2:$L$7,,,"Actual360","LogLinear",TRUE)</f>
        <v/>
      </c>
      <c r="E4809" s="8">
        <f>QS.INSTRUMENT.SWAP("swap.4807",C4809,H4809,B4809,"USD","SOFR",I4809,J4809,0,"Actual360","Simple","Annual","Annual","Annual")</f>
        <v/>
      </c>
      <c r="F4809" s="8">
        <f>QS.TRADE.CREATE("trade.4807",C4809,E4809,A4809,"Receive")</f>
        <v/>
      </c>
      <c r="G4809" s="5"/>
      <c r="H4809" s="7" t="s">
        <v>4850</v>
      </c>
      <c r="I4809" s="9">
        <v>1480700</v>
      </c>
      <c r="J4809" s="10">
        <v>0.0357</v>
      </c>
    </row>
    <row r="4810" spans="1:10">
      <c r="A4810" s="7" t="s">
        <v>4844</v>
      </c>
      <c r="B4810" s="7" t="s">
        <v>6677</v>
      </c>
      <c r="C4810" s="8">
        <f>QS.CONTEXT.CREATE("market.4808",A4810,"USD","SOFR")</f>
        <v/>
      </c>
      <c r="D4810" s="8">
        <f>QS.CONTEXT.ADD.CURVE(C4810,"SOFR",$K$2:$K$7,$L$2:$L$7,,,"Actual360","LogLinear",TRUE)</f>
        <v/>
      </c>
      <c r="E4810" s="8">
        <f>QS.INSTRUMENT.SWAP("swap.4808",C4810,H4810,B4810,"USD","SOFR",I4810,J4810,0,"Actual360","Simple","Annual","Annual","Annual")</f>
        <v/>
      </c>
      <c r="F4810" s="8">
        <f>QS.TRADE.CREATE("trade.4808",C4810,E4810,A4810,"Receive")</f>
        <v/>
      </c>
      <c r="G4810" s="5"/>
      <c r="H4810" s="7" t="s">
        <v>4851</v>
      </c>
      <c r="I4810" s="9">
        <v>1480800</v>
      </c>
      <c r="J4810" s="10">
        <v>0.03580000000000001</v>
      </c>
    </row>
    <row r="4811" spans="1:10">
      <c r="A4811" s="7" t="s">
        <v>4845</v>
      </c>
      <c r="B4811" s="7" t="s">
        <v>6678</v>
      </c>
      <c r="C4811" s="8">
        <f>QS.CONTEXT.CREATE("market.4809",A4811,"USD","SOFR")</f>
        <v/>
      </c>
      <c r="D4811" s="8">
        <f>QS.CONTEXT.ADD.CURVE(C4811,"SOFR",$K$2:$K$7,$L$2:$L$7,,,"Actual360","LogLinear",TRUE)</f>
        <v/>
      </c>
      <c r="E4811" s="8">
        <f>QS.INSTRUMENT.SWAP("swap.4809",C4811,H4811,B4811,"USD","SOFR",I4811,J4811,0,"Actual360","Simple","Annual","Annual","Annual")</f>
        <v/>
      </c>
      <c r="F4811" s="8">
        <f>QS.TRADE.CREATE("trade.4809",C4811,E4811,A4811,"Receive")</f>
        <v/>
      </c>
      <c r="G4811" s="5"/>
      <c r="H4811" s="7" t="s">
        <v>4852</v>
      </c>
      <c r="I4811" s="9">
        <v>1480900</v>
      </c>
      <c r="J4811" s="10">
        <v>0.0359</v>
      </c>
    </row>
    <row r="4812" spans="1:10">
      <c r="A4812" s="7" t="s">
        <v>4846</v>
      </c>
      <c r="B4812" s="7" t="s">
        <v>6679</v>
      </c>
      <c r="C4812" s="8">
        <f>QS.CONTEXT.CREATE("market.4810",A4812,"USD","SOFR")</f>
        <v/>
      </c>
      <c r="D4812" s="8">
        <f>QS.CONTEXT.ADD.CURVE(C4812,"SOFR",$K$2:$K$7,$L$2:$L$7,,,"Actual360","LogLinear",TRUE)</f>
        <v/>
      </c>
      <c r="E4812" s="8">
        <f>QS.INSTRUMENT.SWAP("swap.4810",C4812,H4812,B4812,"USD","SOFR",I4812,J4812,0,"Actual360","Simple","Annual","Annual","Annual")</f>
        <v/>
      </c>
      <c r="F4812" s="8">
        <f>QS.TRADE.CREATE("trade.4810",C4812,E4812,A4812,"Receive")</f>
        <v/>
      </c>
      <c r="G4812" s="5"/>
      <c r="H4812" s="7" t="s">
        <v>4853</v>
      </c>
      <c r="I4812" s="9">
        <v>1481000</v>
      </c>
      <c r="J4812" s="10">
        <v>0.036</v>
      </c>
    </row>
    <row r="4813" spans="1:10">
      <c r="A4813" s="7" t="s">
        <v>4847</v>
      </c>
      <c r="B4813" s="7" t="s">
        <v>6680</v>
      </c>
      <c r="C4813" s="8">
        <f>QS.CONTEXT.CREATE("market.4811",A4813,"USD","SOFR")</f>
        <v/>
      </c>
      <c r="D4813" s="8">
        <f>QS.CONTEXT.ADD.CURVE(C4813,"SOFR",$K$2:$K$7,$L$2:$L$7,,,"Actual360","LogLinear",TRUE)</f>
        <v/>
      </c>
      <c r="E4813" s="8">
        <f>QS.INSTRUMENT.SWAP("swap.4811",C4813,H4813,B4813,"USD","SOFR",I4813,J4813,0,"Actual360","Simple","Annual","Annual","Annual")</f>
        <v/>
      </c>
      <c r="F4813" s="8">
        <f>QS.TRADE.CREATE("trade.4811",C4813,E4813,A4813,"Receive")</f>
        <v/>
      </c>
      <c r="G4813" s="5"/>
      <c r="H4813" s="7" t="s">
        <v>4854</v>
      </c>
      <c r="I4813" s="9">
        <v>1481100</v>
      </c>
      <c r="J4813" s="10">
        <v>0.0361</v>
      </c>
    </row>
    <row r="4814" spans="1:10">
      <c r="A4814" s="7" t="s">
        <v>4848</v>
      </c>
      <c r="B4814" s="7" t="s">
        <v>6681</v>
      </c>
      <c r="C4814" s="8">
        <f>QS.CONTEXT.CREATE("market.4812",A4814,"USD","SOFR")</f>
        <v/>
      </c>
      <c r="D4814" s="8">
        <f>QS.CONTEXT.ADD.CURVE(C4814,"SOFR",$K$2:$K$7,$L$2:$L$7,,,"Actual360","LogLinear",TRUE)</f>
        <v/>
      </c>
      <c r="E4814" s="8">
        <f>QS.INSTRUMENT.SWAP("swap.4812",C4814,H4814,B4814,"USD","SOFR",I4814,J4814,0,"Actual360","Simple","Annual","Annual","Annual")</f>
        <v/>
      </c>
      <c r="F4814" s="8">
        <f>QS.TRADE.CREATE("trade.4812",C4814,E4814,A4814,"Receive")</f>
        <v/>
      </c>
      <c r="G4814" s="5"/>
      <c r="H4814" s="7" t="s">
        <v>4855</v>
      </c>
      <c r="I4814" s="9">
        <v>1481200</v>
      </c>
      <c r="J4814" s="10">
        <v>0.0362</v>
      </c>
    </row>
    <row r="4815" spans="1:10">
      <c r="A4815" s="7" t="s">
        <v>4849</v>
      </c>
      <c r="B4815" s="7" t="s">
        <v>6682</v>
      </c>
      <c r="C4815" s="8">
        <f>QS.CONTEXT.CREATE("market.4813",A4815,"USD","SOFR")</f>
        <v/>
      </c>
      <c r="D4815" s="8">
        <f>QS.CONTEXT.ADD.CURVE(C4815,"SOFR",$K$2:$K$7,$L$2:$L$7,,,"Actual360","LogLinear",TRUE)</f>
        <v/>
      </c>
      <c r="E4815" s="8">
        <f>QS.INSTRUMENT.SWAP("swap.4813",C4815,H4815,B4815,"USD","SOFR",I4815,J4815,0,"Actual360","Simple","Annual","Annual","Annual")</f>
        <v/>
      </c>
      <c r="F4815" s="8">
        <f>QS.TRADE.CREATE("trade.4813",C4815,E4815,A4815,"Receive")</f>
        <v/>
      </c>
      <c r="G4815" s="5"/>
      <c r="H4815" s="7" t="s">
        <v>4856</v>
      </c>
      <c r="I4815" s="9">
        <v>1481300</v>
      </c>
      <c r="J4815" s="10">
        <v>0.03630000000000001</v>
      </c>
    </row>
    <row r="4816" spans="1:10">
      <c r="A4816" s="7" t="s">
        <v>4850</v>
      </c>
      <c r="B4816" s="7" t="s">
        <v>6683</v>
      </c>
      <c r="C4816" s="8">
        <f>QS.CONTEXT.CREATE("market.4814",A4816,"USD","SOFR")</f>
        <v/>
      </c>
      <c r="D4816" s="8">
        <f>QS.CONTEXT.ADD.CURVE(C4816,"SOFR",$K$2:$K$7,$L$2:$L$7,,,"Actual360","LogLinear",TRUE)</f>
        <v/>
      </c>
      <c r="E4816" s="8">
        <f>QS.INSTRUMENT.SWAP("swap.4814",C4816,H4816,B4816,"USD","SOFR",I4816,J4816,0,"Actual360","Simple","Annual","Annual","Annual")</f>
        <v/>
      </c>
      <c r="F4816" s="8">
        <f>QS.TRADE.CREATE("trade.4814",C4816,E4816,A4816,"Receive")</f>
        <v/>
      </c>
      <c r="G4816" s="5"/>
      <c r="H4816" s="7" t="s">
        <v>4857</v>
      </c>
      <c r="I4816" s="9">
        <v>1481400</v>
      </c>
      <c r="J4816" s="10">
        <v>0.0364</v>
      </c>
    </row>
    <row r="4817" spans="1:10">
      <c r="A4817" s="7" t="s">
        <v>4851</v>
      </c>
      <c r="B4817" s="7" t="s">
        <v>6684</v>
      </c>
      <c r="C4817" s="8">
        <f>QS.CONTEXT.CREATE("market.4815",A4817,"USD","SOFR")</f>
        <v/>
      </c>
      <c r="D4817" s="8">
        <f>QS.CONTEXT.ADD.CURVE(C4817,"SOFR",$K$2:$K$7,$L$2:$L$7,,,"Actual360","LogLinear",TRUE)</f>
        <v/>
      </c>
      <c r="E4817" s="8">
        <f>QS.INSTRUMENT.SWAP("swap.4815",C4817,H4817,B4817,"USD","SOFR",I4817,J4817,0,"Actual360","Simple","Annual","Annual","Annual")</f>
        <v/>
      </c>
      <c r="F4817" s="8">
        <f>QS.TRADE.CREATE("trade.4815",C4817,E4817,A4817,"Receive")</f>
        <v/>
      </c>
      <c r="G4817" s="5"/>
      <c r="H4817" s="7" t="s">
        <v>4858</v>
      </c>
      <c r="I4817" s="9">
        <v>1481500</v>
      </c>
      <c r="J4817" s="10">
        <v>0.0365</v>
      </c>
    </row>
    <row r="4818" spans="1:10">
      <c r="A4818" s="7" t="s">
        <v>4852</v>
      </c>
      <c r="B4818" s="7" t="s">
        <v>6685</v>
      </c>
      <c r="C4818" s="8">
        <f>QS.CONTEXT.CREATE("market.4816",A4818,"USD","SOFR")</f>
        <v/>
      </c>
      <c r="D4818" s="8">
        <f>QS.CONTEXT.ADD.CURVE(C4818,"SOFR",$K$2:$K$7,$L$2:$L$7,,,"Actual360","LogLinear",TRUE)</f>
        <v/>
      </c>
      <c r="E4818" s="8">
        <f>QS.INSTRUMENT.SWAP("swap.4816",C4818,H4818,B4818,"USD","SOFR",I4818,J4818,0,"Actual360","Simple","Annual","Annual","Annual")</f>
        <v/>
      </c>
      <c r="F4818" s="8">
        <f>QS.TRADE.CREATE("trade.4816",C4818,E4818,A4818,"Receive")</f>
        <v/>
      </c>
      <c r="G4818" s="5"/>
      <c r="H4818" s="7" t="s">
        <v>4859</v>
      </c>
      <c r="I4818" s="9">
        <v>1481600</v>
      </c>
      <c r="J4818" s="10">
        <v>0.0366</v>
      </c>
    </row>
    <row r="4819" spans="1:10">
      <c r="A4819" s="7" t="s">
        <v>4853</v>
      </c>
      <c r="B4819" s="7" t="s">
        <v>6686</v>
      </c>
      <c r="C4819" s="8">
        <f>QS.CONTEXT.CREATE("market.4817",A4819,"USD","SOFR")</f>
        <v/>
      </c>
      <c r="D4819" s="8">
        <f>QS.CONTEXT.ADD.CURVE(C4819,"SOFR",$K$2:$K$7,$L$2:$L$7,,,"Actual360","LogLinear",TRUE)</f>
        <v/>
      </c>
      <c r="E4819" s="8">
        <f>QS.INSTRUMENT.SWAP("swap.4817",C4819,H4819,B4819,"USD","SOFR",I4819,J4819,0,"Actual360","Simple","Annual","Annual","Annual")</f>
        <v/>
      </c>
      <c r="F4819" s="8">
        <f>QS.TRADE.CREATE("trade.4817",C4819,E4819,A4819,"Receive")</f>
        <v/>
      </c>
      <c r="G4819" s="5"/>
      <c r="H4819" s="7" t="s">
        <v>4860</v>
      </c>
      <c r="I4819" s="9">
        <v>1481700</v>
      </c>
      <c r="J4819" s="10">
        <v>0.0367</v>
      </c>
    </row>
    <row r="4820" spans="1:10">
      <c r="A4820" s="7" t="s">
        <v>4854</v>
      </c>
      <c r="B4820" s="7" t="s">
        <v>6687</v>
      </c>
      <c r="C4820" s="8">
        <f>QS.CONTEXT.CREATE("market.4818",A4820,"USD","SOFR")</f>
        <v/>
      </c>
      <c r="D4820" s="8">
        <f>QS.CONTEXT.ADD.CURVE(C4820,"SOFR",$K$2:$K$7,$L$2:$L$7,,,"Actual360","LogLinear",TRUE)</f>
        <v/>
      </c>
      <c r="E4820" s="8">
        <f>QS.INSTRUMENT.SWAP("swap.4818",C4820,H4820,B4820,"USD","SOFR",I4820,J4820,0,"Actual360","Simple","Annual","Annual","Annual")</f>
        <v/>
      </c>
      <c r="F4820" s="8">
        <f>QS.TRADE.CREATE("trade.4818",C4820,E4820,A4820,"Receive")</f>
        <v/>
      </c>
      <c r="G4820" s="5"/>
      <c r="H4820" s="7" t="s">
        <v>4861</v>
      </c>
      <c r="I4820" s="9">
        <v>1481800</v>
      </c>
      <c r="J4820" s="10">
        <v>0.03680000000000001</v>
      </c>
    </row>
    <row r="4821" spans="1:10">
      <c r="A4821" s="7" t="s">
        <v>4855</v>
      </c>
      <c r="B4821" s="7" t="s">
        <v>6688</v>
      </c>
      <c r="C4821" s="8">
        <f>QS.CONTEXT.CREATE("market.4819",A4821,"USD","SOFR")</f>
        <v/>
      </c>
      <c r="D4821" s="8">
        <f>QS.CONTEXT.ADD.CURVE(C4821,"SOFR",$K$2:$K$7,$L$2:$L$7,,,"Actual360","LogLinear",TRUE)</f>
        <v/>
      </c>
      <c r="E4821" s="8">
        <f>QS.INSTRUMENT.SWAP("swap.4819",C4821,H4821,B4821,"USD","SOFR",I4821,J4821,0,"Actual360","Simple","Annual","Annual","Annual")</f>
        <v/>
      </c>
      <c r="F4821" s="8">
        <f>QS.TRADE.CREATE("trade.4819",C4821,E4821,A4821,"Receive")</f>
        <v/>
      </c>
      <c r="G4821" s="5"/>
      <c r="H4821" s="7" t="s">
        <v>4862</v>
      </c>
      <c r="I4821" s="9">
        <v>1481900</v>
      </c>
      <c r="J4821" s="10">
        <v>0.0369</v>
      </c>
    </row>
    <row r="4822" spans="1:10">
      <c r="A4822" s="7" t="s">
        <v>4856</v>
      </c>
      <c r="B4822" s="7" t="s">
        <v>6689</v>
      </c>
      <c r="C4822" s="8">
        <f>QS.CONTEXT.CREATE("market.4820",A4822,"USD","SOFR")</f>
        <v/>
      </c>
      <c r="D4822" s="8">
        <f>QS.CONTEXT.ADD.CURVE(C4822,"SOFR",$K$2:$K$7,$L$2:$L$7,,,"Actual360","LogLinear",TRUE)</f>
        <v/>
      </c>
      <c r="E4822" s="8">
        <f>QS.INSTRUMENT.SWAP("swap.4820",C4822,H4822,B4822,"USD","SOFR",I4822,J4822,0,"Actual360","Simple","Annual","Annual","Annual")</f>
        <v/>
      </c>
      <c r="F4822" s="8">
        <f>QS.TRADE.CREATE("trade.4820",C4822,E4822,A4822,"Receive")</f>
        <v/>
      </c>
      <c r="G4822" s="5"/>
      <c r="H4822" s="7" t="s">
        <v>4863</v>
      </c>
      <c r="I4822" s="9">
        <v>1482000</v>
      </c>
      <c r="J4822" s="10">
        <v>0.03700000000000001</v>
      </c>
    </row>
    <row r="4823" spans="1:10">
      <c r="A4823" s="7" t="s">
        <v>4857</v>
      </c>
      <c r="B4823" s="7" t="s">
        <v>6690</v>
      </c>
      <c r="C4823" s="8">
        <f>QS.CONTEXT.CREATE("market.4821",A4823,"USD","SOFR")</f>
        <v/>
      </c>
      <c r="D4823" s="8">
        <f>QS.CONTEXT.ADD.CURVE(C4823,"SOFR",$K$2:$K$7,$L$2:$L$7,,,"Actual360","LogLinear",TRUE)</f>
        <v/>
      </c>
      <c r="E4823" s="8">
        <f>QS.INSTRUMENT.SWAP("swap.4821",C4823,H4823,B4823,"USD","SOFR",I4823,J4823,0,"Actual360","Simple","Annual","Annual","Annual")</f>
        <v/>
      </c>
      <c r="F4823" s="8">
        <f>QS.TRADE.CREATE("trade.4821",C4823,E4823,A4823,"Receive")</f>
        <v/>
      </c>
      <c r="G4823" s="5"/>
      <c r="H4823" s="7" t="s">
        <v>4864</v>
      </c>
      <c r="I4823" s="9">
        <v>1482100</v>
      </c>
      <c r="J4823" s="10">
        <v>0.0371</v>
      </c>
    </row>
    <row r="4824" spans="1:10">
      <c r="A4824" s="7" t="s">
        <v>4858</v>
      </c>
      <c r="B4824" s="7" t="s">
        <v>6691</v>
      </c>
      <c r="C4824" s="8">
        <f>QS.CONTEXT.CREATE("market.4822",A4824,"USD","SOFR")</f>
        <v/>
      </c>
      <c r="D4824" s="8">
        <f>QS.CONTEXT.ADD.CURVE(C4824,"SOFR",$K$2:$K$7,$L$2:$L$7,,,"Actual360","LogLinear",TRUE)</f>
        <v/>
      </c>
      <c r="E4824" s="8">
        <f>QS.INSTRUMENT.SWAP("swap.4822",C4824,H4824,B4824,"USD","SOFR",I4824,J4824,0,"Actual360","Simple","Annual","Annual","Annual")</f>
        <v/>
      </c>
      <c r="F4824" s="8">
        <f>QS.TRADE.CREATE("trade.4822",C4824,E4824,A4824,"Receive")</f>
        <v/>
      </c>
      <c r="G4824" s="5"/>
      <c r="H4824" s="7" t="s">
        <v>4865</v>
      </c>
      <c r="I4824" s="9">
        <v>1482200</v>
      </c>
      <c r="J4824" s="10">
        <v>0.0372</v>
      </c>
    </row>
    <row r="4825" spans="1:10">
      <c r="A4825" s="7" t="s">
        <v>4859</v>
      </c>
      <c r="B4825" s="7" t="s">
        <v>6692</v>
      </c>
      <c r="C4825" s="8">
        <f>QS.CONTEXT.CREATE("market.4823",A4825,"USD","SOFR")</f>
        <v/>
      </c>
      <c r="D4825" s="8">
        <f>QS.CONTEXT.ADD.CURVE(C4825,"SOFR",$K$2:$K$7,$L$2:$L$7,,,"Actual360","LogLinear",TRUE)</f>
        <v/>
      </c>
      <c r="E4825" s="8">
        <f>QS.INSTRUMENT.SWAP("swap.4823",C4825,H4825,B4825,"USD","SOFR",I4825,J4825,0,"Actual360","Simple","Annual","Annual","Annual")</f>
        <v/>
      </c>
      <c r="F4825" s="8">
        <f>QS.TRADE.CREATE("trade.4823",C4825,E4825,A4825,"Receive")</f>
        <v/>
      </c>
      <c r="G4825" s="5"/>
      <c r="H4825" s="7" t="s">
        <v>4866</v>
      </c>
      <c r="I4825" s="9">
        <v>1482300</v>
      </c>
      <c r="J4825" s="10">
        <v>0.0373</v>
      </c>
    </row>
    <row r="4826" spans="1:10">
      <c r="A4826" s="7" t="s">
        <v>4860</v>
      </c>
      <c r="B4826" s="7" t="s">
        <v>6693</v>
      </c>
      <c r="C4826" s="8">
        <f>QS.CONTEXT.CREATE("market.4824",A4826,"USD","SOFR")</f>
        <v/>
      </c>
      <c r="D4826" s="8">
        <f>QS.CONTEXT.ADD.CURVE(C4826,"SOFR",$K$2:$K$7,$L$2:$L$7,,,"Actual360","LogLinear",TRUE)</f>
        <v/>
      </c>
      <c r="E4826" s="8">
        <f>QS.INSTRUMENT.SWAP("swap.4824",C4826,H4826,B4826,"USD","SOFR",I4826,J4826,0,"Actual360","Simple","Annual","Annual","Annual")</f>
        <v/>
      </c>
      <c r="F4826" s="8">
        <f>QS.TRADE.CREATE("trade.4824",C4826,E4826,A4826,"Receive")</f>
        <v/>
      </c>
      <c r="G4826" s="5"/>
      <c r="H4826" s="7" t="s">
        <v>4867</v>
      </c>
      <c r="I4826" s="9">
        <v>1482400</v>
      </c>
      <c r="J4826" s="10">
        <v>0.0374</v>
      </c>
    </row>
    <row r="4827" spans="1:10">
      <c r="A4827" s="7" t="s">
        <v>4861</v>
      </c>
      <c r="B4827" s="7" t="s">
        <v>6694</v>
      </c>
      <c r="C4827" s="8">
        <f>QS.CONTEXT.CREATE("market.4825",A4827,"USD","SOFR")</f>
        <v/>
      </c>
      <c r="D4827" s="8">
        <f>QS.CONTEXT.ADD.CURVE(C4827,"SOFR",$K$2:$K$7,$L$2:$L$7,,,"Actual360","LogLinear",TRUE)</f>
        <v/>
      </c>
      <c r="E4827" s="8">
        <f>QS.INSTRUMENT.SWAP("swap.4825",C4827,H4827,B4827,"USD","SOFR",I4827,J4827,0,"Actual360","Simple","Annual","Annual","Annual")</f>
        <v/>
      </c>
      <c r="F4827" s="8">
        <f>QS.TRADE.CREATE("trade.4825",C4827,E4827,A4827,"Receive")</f>
        <v/>
      </c>
      <c r="G4827" s="5"/>
      <c r="H4827" s="7" t="s">
        <v>4868</v>
      </c>
      <c r="I4827" s="9">
        <v>1482500</v>
      </c>
      <c r="J4827" s="10">
        <v>0.03750000000000001</v>
      </c>
    </row>
    <row r="4828" spans="1:10">
      <c r="A4828" s="7" t="s">
        <v>4862</v>
      </c>
      <c r="B4828" s="7" t="s">
        <v>6695</v>
      </c>
      <c r="C4828" s="8">
        <f>QS.CONTEXT.CREATE("market.4826",A4828,"USD","SOFR")</f>
        <v/>
      </c>
      <c r="D4828" s="8">
        <f>QS.CONTEXT.ADD.CURVE(C4828,"SOFR",$K$2:$K$7,$L$2:$L$7,,,"Actual360","LogLinear",TRUE)</f>
        <v/>
      </c>
      <c r="E4828" s="8">
        <f>QS.INSTRUMENT.SWAP("swap.4826",C4828,H4828,B4828,"USD","SOFR",I4828,J4828,0,"Actual360","Simple","Annual","Annual","Annual")</f>
        <v/>
      </c>
      <c r="F4828" s="8">
        <f>QS.TRADE.CREATE("trade.4826",C4828,E4828,A4828,"Receive")</f>
        <v/>
      </c>
      <c r="G4828" s="5"/>
      <c r="H4828" s="7" t="s">
        <v>4869</v>
      </c>
      <c r="I4828" s="9">
        <v>1482600</v>
      </c>
      <c r="J4828" s="10">
        <v>0.0376</v>
      </c>
    </row>
    <row r="4829" spans="1:10">
      <c r="A4829" s="7" t="s">
        <v>4863</v>
      </c>
      <c r="B4829" s="7" t="s">
        <v>6696</v>
      </c>
      <c r="C4829" s="8">
        <f>QS.CONTEXT.CREATE("market.4827",A4829,"USD","SOFR")</f>
        <v/>
      </c>
      <c r="D4829" s="8">
        <f>QS.CONTEXT.ADD.CURVE(C4829,"SOFR",$K$2:$K$7,$L$2:$L$7,,,"Actual360","LogLinear",TRUE)</f>
        <v/>
      </c>
      <c r="E4829" s="8">
        <f>QS.INSTRUMENT.SWAP("swap.4827",C4829,H4829,B4829,"USD","SOFR",I4829,J4829,0,"Actual360","Simple","Annual","Annual","Annual")</f>
        <v/>
      </c>
      <c r="F4829" s="8">
        <f>QS.TRADE.CREATE("trade.4827",C4829,E4829,A4829,"Receive")</f>
        <v/>
      </c>
      <c r="G4829" s="5"/>
      <c r="H4829" s="7" t="s">
        <v>4870</v>
      </c>
      <c r="I4829" s="9">
        <v>1482700</v>
      </c>
      <c r="J4829" s="10">
        <v>0.0377</v>
      </c>
    </row>
    <row r="4830" spans="1:10">
      <c r="A4830" s="7" t="s">
        <v>4864</v>
      </c>
      <c r="B4830" s="7" t="s">
        <v>6697</v>
      </c>
      <c r="C4830" s="8">
        <f>QS.CONTEXT.CREATE("market.4828",A4830,"USD","SOFR")</f>
        <v/>
      </c>
      <c r="D4830" s="8">
        <f>QS.CONTEXT.ADD.CURVE(C4830,"SOFR",$K$2:$K$7,$L$2:$L$7,,,"Actual360","LogLinear",TRUE)</f>
        <v/>
      </c>
      <c r="E4830" s="8">
        <f>QS.INSTRUMENT.SWAP("swap.4828",C4830,H4830,B4830,"USD","SOFR",I4830,J4830,0,"Actual360","Simple","Annual","Annual","Annual")</f>
        <v/>
      </c>
      <c r="F4830" s="8">
        <f>QS.TRADE.CREATE("trade.4828",C4830,E4830,A4830,"Receive")</f>
        <v/>
      </c>
      <c r="G4830" s="5"/>
      <c r="H4830" s="7" t="s">
        <v>4871</v>
      </c>
      <c r="I4830" s="9">
        <v>1482800</v>
      </c>
      <c r="J4830" s="10">
        <v>0.0378</v>
      </c>
    </row>
    <row r="4831" spans="1:10">
      <c r="A4831" s="7" t="s">
        <v>4865</v>
      </c>
      <c r="B4831" s="7" t="s">
        <v>6698</v>
      </c>
      <c r="C4831" s="8">
        <f>QS.CONTEXT.CREATE("market.4829",A4831,"USD","SOFR")</f>
        <v/>
      </c>
      <c r="D4831" s="8">
        <f>QS.CONTEXT.ADD.CURVE(C4831,"SOFR",$K$2:$K$7,$L$2:$L$7,,,"Actual360","LogLinear",TRUE)</f>
        <v/>
      </c>
      <c r="E4831" s="8">
        <f>QS.INSTRUMENT.SWAP("swap.4829",C4831,H4831,B4831,"USD","SOFR",I4831,J4831,0,"Actual360","Simple","Annual","Annual","Annual")</f>
        <v/>
      </c>
      <c r="F4831" s="8">
        <f>QS.TRADE.CREATE("trade.4829",C4831,E4831,A4831,"Receive")</f>
        <v/>
      </c>
      <c r="G4831" s="5"/>
      <c r="H4831" s="7" t="s">
        <v>4872</v>
      </c>
      <c r="I4831" s="9">
        <v>1482900</v>
      </c>
      <c r="J4831" s="10">
        <v>0.0379</v>
      </c>
    </row>
    <row r="4832" spans="1:10">
      <c r="A4832" s="7" t="s">
        <v>4866</v>
      </c>
      <c r="B4832" s="7" t="s">
        <v>6699</v>
      </c>
      <c r="C4832" s="8">
        <f>QS.CONTEXT.CREATE("market.4830",A4832,"USD","SOFR")</f>
        <v/>
      </c>
      <c r="D4832" s="8">
        <f>QS.CONTEXT.ADD.CURVE(C4832,"SOFR",$K$2:$K$7,$L$2:$L$7,,,"Actual360","LogLinear",TRUE)</f>
        <v/>
      </c>
      <c r="E4832" s="8">
        <f>QS.INSTRUMENT.SWAP("swap.4830",C4832,H4832,B4832,"USD","SOFR",I4832,J4832,0,"Actual360","Simple","Annual","Annual","Annual")</f>
        <v/>
      </c>
      <c r="F4832" s="8">
        <f>QS.TRADE.CREATE("trade.4830",C4832,E4832,A4832,"Receive")</f>
        <v/>
      </c>
      <c r="G4832" s="5"/>
      <c r="H4832" s="7" t="s">
        <v>4873</v>
      </c>
      <c r="I4832" s="9">
        <v>1483000</v>
      </c>
      <c r="J4832" s="10">
        <v>0.03800000000000001</v>
      </c>
    </row>
    <row r="4833" spans="1:10">
      <c r="A4833" s="7" t="s">
        <v>4867</v>
      </c>
      <c r="B4833" s="7" t="s">
        <v>6700</v>
      </c>
      <c r="C4833" s="8">
        <f>QS.CONTEXT.CREATE("market.4831",A4833,"USD","SOFR")</f>
        <v/>
      </c>
      <c r="D4833" s="8">
        <f>QS.CONTEXT.ADD.CURVE(C4833,"SOFR",$K$2:$K$7,$L$2:$L$7,,,"Actual360","LogLinear",TRUE)</f>
        <v/>
      </c>
      <c r="E4833" s="8">
        <f>QS.INSTRUMENT.SWAP("swap.4831",C4833,H4833,B4833,"USD","SOFR",I4833,J4833,0,"Actual360","Simple","Annual","Annual","Annual")</f>
        <v/>
      </c>
      <c r="F4833" s="8">
        <f>QS.TRADE.CREATE("trade.4831",C4833,E4833,A4833,"Receive")</f>
        <v/>
      </c>
      <c r="G4833" s="5"/>
      <c r="H4833" s="7" t="s">
        <v>4874</v>
      </c>
      <c r="I4833" s="9">
        <v>1483100</v>
      </c>
      <c r="J4833" s="10">
        <v>0.0381</v>
      </c>
    </row>
    <row r="4834" spans="1:10">
      <c r="A4834" s="7" t="s">
        <v>4868</v>
      </c>
      <c r="B4834" s="7" t="s">
        <v>6701</v>
      </c>
      <c r="C4834" s="8">
        <f>QS.CONTEXT.CREATE("market.4832",A4834,"USD","SOFR")</f>
        <v/>
      </c>
      <c r="D4834" s="8">
        <f>QS.CONTEXT.ADD.CURVE(C4834,"SOFR",$K$2:$K$7,$L$2:$L$7,,,"Actual360","LogLinear",TRUE)</f>
        <v/>
      </c>
      <c r="E4834" s="8">
        <f>QS.INSTRUMENT.SWAP("swap.4832",C4834,H4834,B4834,"USD","SOFR",I4834,J4834,0,"Actual360","Simple","Annual","Annual","Annual")</f>
        <v/>
      </c>
      <c r="F4834" s="8">
        <f>QS.TRADE.CREATE("trade.4832",C4834,E4834,A4834,"Receive")</f>
        <v/>
      </c>
      <c r="G4834" s="5"/>
      <c r="H4834" s="7" t="s">
        <v>4875</v>
      </c>
      <c r="I4834" s="9">
        <v>1483200</v>
      </c>
      <c r="J4834" s="10">
        <v>0.0382</v>
      </c>
    </row>
    <row r="4835" spans="1:10">
      <c r="A4835" s="7" t="s">
        <v>4869</v>
      </c>
      <c r="B4835" s="7" t="s">
        <v>6702</v>
      </c>
      <c r="C4835" s="8">
        <f>QS.CONTEXT.CREATE("market.4833",A4835,"USD","SOFR")</f>
        <v/>
      </c>
      <c r="D4835" s="8">
        <f>QS.CONTEXT.ADD.CURVE(C4835,"SOFR",$K$2:$K$7,$L$2:$L$7,,,"Actual360","LogLinear",TRUE)</f>
        <v/>
      </c>
      <c r="E4835" s="8">
        <f>QS.INSTRUMENT.SWAP("swap.4833",C4835,H4835,B4835,"USD","SOFR",I4835,J4835,0,"Actual360","Simple","Annual","Annual","Annual")</f>
        <v/>
      </c>
      <c r="F4835" s="8">
        <f>QS.TRADE.CREATE("trade.4833",C4835,E4835,A4835,"Receive")</f>
        <v/>
      </c>
      <c r="G4835" s="5"/>
      <c r="H4835" s="7" t="s">
        <v>4876</v>
      </c>
      <c r="I4835" s="9">
        <v>1483300</v>
      </c>
      <c r="J4835" s="10">
        <v>0.0383</v>
      </c>
    </row>
    <row r="4836" spans="1:10">
      <c r="A4836" s="7" t="s">
        <v>4870</v>
      </c>
      <c r="B4836" s="7" t="s">
        <v>6703</v>
      </c>
      <c r="C4836" s="8">
        <f>QS.CONTEXT.CREATE("market.4834",A4836,"USD","SOFR")</f>
        <v/>
      </c>
      <c r="D4836" s="8">
        <f>QS.CONTEXT.ADD.CURVE(C4836,"SOFR",$K$2:$K$7,$L$2:$L$7,,,"Actual360","LogLinear",TRUE)</f>
        <v/>
      </c>
      <c r="E4836" s="8">
        <f>QS.INSTRUMENT.SWAP("swap.4834",C4836,H4836,B4836,"USD","SOFR",I4836,J4836,0,"Actual360","Simple","Annual","Annual","Annual")</f>
        <v/>
      </c>
      <c r="F4836" s="8">
        <f>QS.TRADE.CREATE("trade.4834",C4836,E4836,A4836,"Receive")</f>
        <v/>
      </c>
      <c r="G4836" s="5"/>
      <c r="H4836" s="7" t="s">
        <v>4877</v>
      </c>
      <c r="I4836" s="9">
        <v>1483400</v>
      </c>
      <c r="J4836" s="10">
        <v>0.0384</v>
      </c>
    </row>
    <row r="4837" spans="1:10">
      <c r="A4837" s="7" t="s">
        <v>4871</v>
      </c>
      <c r="B4837" s="7" t="s">
        <v>6704</v>
      </c>
      <c r="C4837" s="8">
        <f>QS.CONTEXT.CREATE("market.4835",A4837,"USD","SOFR")</f>
        <v/>
      </c>
      <c r="D4837" s="8">
        <f>QS.CONTEXT.ADD.CURVE(C4837,"SOFR",$K$2:$K$7,$L$2:$L$7,,,"Actual360","LogLinear",TRUE)</f>
        <v/>
      </c>
      <c r="E4837" s="8">
        <f>QS.INSTRUMENT.SWAP("swap.4835",C4837,H4837,B4837,"USD","SOFR",I4837,J4837,0,"Actual360","Simple","Annual","Annual","Annual")</f>
        <v/>
      </c>
      <c r="F4837" s="8">
        <f>QS.TRADE.CREATE("trade.4835",C4837,E4837,A4837,"Receive")</f>
        <v/>
      </c>
      <c r="G4837" s="5"/>
      <c r="H4837" s="7" t="s">
        <v>4878</v>
      </c>
      <c r="I4837" s="9">
        <v>1483500</v>
      </c>
      <c r="J4837" s="10">
        <v>0.03850000000000001</v>
      </c>
    </row>
    <row r="4838" spans="1:10">
      <c r="A4838" s="7" t="s">
        <v>4872</v>
      </c>
      <c r="B4838" s="7" t="s">
        <v>6705</v>
      </c>
      <c r="C4838" s="8">
        <f>QS.CONTEXT.CREATE("market.4836",A4838,"USD","SOFR")</f>
        <v/>
      </c>
      <c r="D4838" s="8">
        <f>QS.CONTEXT.ADD.CURVE(C4838,"SOFR",$K$2:$K$7,$L$2:$L$7,,,"Actual360","LogLinear",TRUE)</f>
        <v/>
      </c>
      <c r="E4838" s="8">
        <f>QS.INSTRUMENT.SWAP("swap.4836",C4838,H4838,B4838,"USD","SOFR",I4838,J4838,0,"Actual360","Simple","Annual","Annual","Annual")</f>
        <v/>
      </c>
      <c r="F4838" s="8">
        <f>QS.TRADE.CREATE("trade.4836",C4838,E4838,A4838,"Receive")</f>
        <v/>
      </c>
      <c r="G4838" s="5"/>
      <c r="H4838" s="7" t="s">
        <v>4879</v>
      </c>
      <c r="I4838" s="9">
        <v>1483600</v>
      </c>
      <c r="J4838" s="10">
        <v>0.0386</v>
      </c>
    </row>
    <row r="4839" spans="1:10">
      <c r="A4839" s="7" t="s">
        <v>4873</v>
      </c>
      <c r="B4839" s="7" t="s">
        <v>6706</v>
      </c>
      <c r="C4839" s="8">
        <f>QS.CONTEXT.CREATE("market.4837",A4839,"USD","SOFR")</f>
        <v/>
      </c>
      <c r="D4839" s="8">
        <f>QS.CONTEXT.ADD.CURVE(C4839,"SOFR",$K$2:$K$7,$L$2:$L$7,,,"Actual360","LogLinear",TRUE)</f>
        <v/>
      </c>
      <c r="E4839" s="8">
        <f>QS.INSTRUMENT.SWAP("swap.4837",C4839,H4839,B4839,"USD","SOFR",I4839,J4839,0,"Actual360","Simple","Annual","Annual","Annual")</f>
        <v/>
      </c>
      <c r="F4839" s="8">
        <f>QS.TRADE.CREATE("trade.4837",C4839,E4839,A4839,"Receive")</f>
        <v/>
      </c>
      <c r="G4839" s="5"/>
      <c r="H4839" s="7" t="s">
        <v>4880</v>
      </c>
      <c r="I4839" s="9">
        <v>1483700</v>
      </c>
      <c r="J4839" s="10">
        <v>0.03870000000000001</v>
      </c>
    </row>
    <row r="4840" spans="1:10">
      <c r="A4840" s="7" t="s">
        <v>4874</v>
      </c>
      <c r="B4840" s="7" t="s">
        <v>6707</v>
      </c>
      <c r="C4840" s="8">
        <f>QS.CONTEXT.CREATE("market.4838",A4840,"USD","SOFR")</f>
        <v/>
      </c>
      <c r="D4840" s="8">
        <f>QS.CONTEXT.ADD.CURVE(C4840,"SOFR",$K$2:$K$7,$L$2:$L$7,,,"Actual360","LogLinear",TRUE)</f>
        <v/>
      </c>
      <c r="E4840" s="8">
        <f>QS.INSTRUMENT.SWAP("swap.4838",C4840,H4840,B4840,"USD","SOFR",I4840,J4840,0,"Actual360","Simple","Annual","Annual","Annual")</f>
        <v/>
      </c>
      <c r="F4840" s="8">
        <f>QS.TRADE.CREATE("trade.4838",C4840,E4840,A4840,"Receive")</f>
        <v/>
      </c>
      <c r="G4840" s="5"/>
      <c r="H4840" s="7" t="s">
        <v>4881</v>
      </c>
      <c r="I4840" s="9">
        <v>1483800</v>
      </c>
      <c r="J4840" s="10">
        <v>0.0388</v>
      </c>
    </row>
    <row r="4841" spans="1:10">
      <c r="A4841" s="7" t="s">
        <v>4875</v>
      </c>
      <c r="B4841" s="7" t="s">
        <v>6708</v>
      </c>
      <c r="C4841" s="8">
        <f>QS.CONTEXT.CREATE("market.4839",A4841,"USD","SOFR")</f>
        <v/>
      </c>
      <c r="D4841" s="8">
        <f>QS.CONTEXT.ADD.CURVE(C4841,"SOFR",$K$2:$K$7,$L$2:$L$7,,,"Actual360","LogLinear",TRUE)</f>
        <v/>
      </c>
      <c r="E4841" s="8">
        <f>QS.INSTRUMENT.SWAP("swap.4839",C4841,H4841,B4841,"USD","SOFR",I4841,J4841,0,"Actual360","Simple","Annual","Annual","Annual")</f>
        <v/>
      </c>
      <c r="F4841" s="8">
        <f>QS.TRADE.CREATE("trade.4839",C4841,E4841,A4841,"Receive")</f>
        <v/>
      </c>
      <c r="G4841" s="5"/>
      <c r="H4841" s="7" t="s">
        <v>4882</v>
      </c>
      <c r="I4841" s="9">
        <v>1483900</v>
      </c>
      <c r="J4841" s="10">
        <v>0.0389</v>
      </c>
    </row>
    <row r="4842" spans="1:10">
      <c r="A4842" s="7" t="s">
        <v>4876</v>
      </c>
      <c r="B4842" s="7" t="s">
        <v>6709</v>
      </c>
      <c r="C4842" s="8">
        <f>QS.CONTEXT.CREATE("market.4840",A4842,"USD","SOFR")</f>
        <v/>
      </c>
      <c r="D4842" s="8">
        <f>QS.CONTEXT.ADD.CURVE(C4842,"SOFR",$K$2:$K$7,$L$2:$L$7,,,"Actual360","LogLinear",TRUE)</f>
        <v/>
      </c>
      <c r="E4842" s="8">
        <f>QS.INSTRUMENT.SWAP("swap.4840",C4842,H4842,B4842,"USD","SOFR",I4842,J4842,0,"Actual360","Simple","Annual","Annual","Annual")</f>
        <v/>
      </c>
      <c r="F4842" s="8">
        <f>QS.TRADE.CREATE("trade.4840",C4842,E4842,A4842,"Receive")</f>
        <v/>
      </c>
      <c r="G4842" s="5"/>
      <c r="H4842" s="7" t="s">
        <v>4883</v>
      </c>
      <c r="I4842" s="9">
        <v>1484000</v>
      </c>
      <c r="J4842" s="10">
        <v>0.03900000000000001</v>
      </c>
    </row>
    <row r="4843" spans="1:10">
      <c r="A4843" s="7" t="s">
        <v>4877</v>
      </c>
      <c r="B4843" s="7" t="s">
        <v>6710</v>
      </c>
      <c r="C4843" s="8">
        <f>QS.CONTEXT.CREATE("market.4841",A4843,"USD","SOFR")</f>
        <v/>
      </c>
      <c r="D4843" s="8">
        <f>QS.CONTEXT.ADD.CURVE(C4843,"SOFR",$K$2:$K$7,$L$2:$L$7,,,"Actual360","LogLinear",TRUE)</f>
        <v/>
      </c>
      <c r="E4843" s="8">
        <f>QS.INSTRUMENT.SWAP("swap.4841",C4843,H4843,B4843,"USD","SOFR",I4843,J4843,0,"Actual360","Simple","Annual","Annual","Annual")</f>
        <v/>
      </c>
      <c r="F4843" s="8">
        <f>QS.TRADE.CREATE("trade.4841",C4843,E4843,A4843,"Receive")</f>
        <v/>
      </c>
      <c r="G4843" s="5"/>
      <c r="H4843" s="7" t="s">
        <v>4884</v>
      </c>
      <c r="I4843" s="9">
        <v>1484100</v>
      </c>
      <c r="J4843" s="10">
        <v>0.0391</v>
      </c>
    </row>
    <row r="4844" spans="1:10">
      <c r="A4844" s="7" t="s">
        <v>4878</v>
      </c>
      <c r="B4844" s="7" t="s">
        <v>6711</v>
      </c>
      <c r="C4844" s="8">
        <f>QS.CONTEXT.CREATE("market.4842",A4844,"USD","SOFR")</f>
        <v/>
      </c>
      <c r="D4844" s="8">
        <f>QS.CONTEXT.ADD.CURVE(C4844,"SOFR",$K$2:$K$7,$L$2:$L$7,,,"Actual360","LogLinear",TRUE)</f>
        <v/>
      </c>
      <c r="E4844" s="8">
        <f>QS.INSTRUMENT.SWAP("swap.4842",C4844,H4844,B4844,"USD","SOFR",I4844,J4844,0,"Actual360","Simple","Annual","Annual","Annual")</f>
        <v/>
      </c>
      <c r="F4844" s="8">
        <f>QS.TRADE.CREATE("trade.4842",C4844,E4844,A4844,"Receive")</f>
        <v/>
      </c>
      <c r="G4844" s="5"/>
      <c r="H4844" s="7" t="s">
        <v>4885</v>
      </c>
      <c r="I4844" s="9">
        <v>1484200</v>
      </c>
      <c r="J4844" s="10">
        <v>0.03920000000000001</v>
      </c>
    </row>
    <row r="4845" spans="1:10">
      <c r="A4845" s="7" t="s">
        <v>4879</v>
      </c>
      <c r="B4845" s="7" t="s">
        <v>6712</v>
      </c>
      <c r="C4845" s="8">
        <f>QS.CONTEXT.CREATE("market.4843",A4845,"USD","SOFR")</f>
        <v/>
      </c>
      <c r="D4845" s="8">
        <f>QS.CONTEXT.ADD.CURVE(C4845,"SOFR",$K$2:$K$7,$L$2:$L$7,,,"Actual360","LogLinear",TRUE)</f>
        <v/>
      </c>
      <c r="E4845" s="8">
        <f>QS.INSTRUMENT.SWAP("swap.4843",C4845,H4845,B4845,"USD","SOFR",I4845,J4845,0,"Actual360","Simple","Annual","Annual","Annual")</f>
        <v/>
      </c>
      <c r="F4845" s="8">
        <f>QS.TRADE.CREATE("trade.4843",C4845,E4845,A4845,"Receive")</f>
        <v/>
      </c>
      <c r="G4845" s="5"/>
      <c r="H4845" s="7" t="s">
        <v>4886</v>
      </c>
      <c r="I4845" s="9">
        <v>1484300</v>
      </c>
      <c r="J4845" s="10">
        <v>0.0393</v>
      </c>
    </row>
    <row r="4846" spans="1:10">
      <c r="A4846" s="7" t="s">
        <v>4880</v>
      </c>
      <c r="B4846" s="7" t="s">
        <v>6713</v>
      </c>
      <c r="C4846" s="8">
        <f>QS.CONTEXT.CREATE("market.4844",A4846,"USD","SOFR")</f>
        <v/>
      </c>
      <c r="D4846" s="8">
        <f>QS.CONTEXT.ADD.CURVE(C4846,"SOFR",$K$2:$K$7,$L$2:$L$7,,,"Actual360","LogLinear",TRUE)</f>
        <v/>
      </c>
      <c r="E4846" s="8">
        <f>QS.INSTRUMENT.SWAP("swap.4844",C4846,H4846,B4846,"USD","SOFR",I4846,J4846,0,"Actual360","Simple","Annual","Annual","Annual")</f>
        <v/>
      </c>
      <c r="F4846" s="8">
        <f>QS.TRADE.CREATE("trade.4844",C4846,E4846,A4846,"Receive")</f>
        <v/>
      </c>
      <c r="G4846" s="5"/>
      <c r="H4846" s="7" t="s">
        <v>4887</v>
      </c>
      <c r="I4846" s="9">
        <v>1484400</v>
      </c>
      <c r="J4846" s="10">
        <v>0.0394</v>
      </c>
    </row>
    <row r="4847" spans="1:10">
      <c r="A4847" s="7" t="s">
        <v>4881</v>
      </c>
      <c r="B4847" s="7" t="s">
        <v>6714</v>
      </c>
      <c r="C4847" s="8">
        <f>QS.CONTEXT.CREATE("market.4845",A4847,"USD","SOFR")</f>
        <v/>
      </c>
      <c r="D4847" s="8">
        <f>QS.CONTEXT.ADD.CURVE(C4847,"SOFR",$K$2:$K$7,$L$2:$L$7,,,"Actual360","LogLinear",TRUE)</f>
        <v/>
      </c>
      <c r="E4847" s="8">
        <f>QS.INSTRUMENT.SWAP("swap.4845",C4847,H4847,B4847,"USD","SOFR",I4847,J4847,0,"Actual360","Simple","Annual","Annual","Annual")</f>
        <v/>
      </c>
      <c r="F4847" s="8">
        <f>QS.TRADE.CREATE("trade.4845",C4847,E4847,A4847,"Receive")</f>
        <v/>
      </c>
      <c r="G4847" s="5"/>
      <c r="H4847" s="7" t="s">
        <v>4888</v>
      </c>
      <c r="I4847" s="9">
        <v>1484500</v>
      </c>
      <c r="J4847" s="10">
        <v>0.03950000000000001</v>
      </c>
    </row>
    <row r="4848" spans="1:10">
      <c r="A4848" s="7" t="s">
        <v>4882</v>
      </c>
      <c r="B4848" s="7" t="s">
        <v>6715</v>
      </c>
      <c r="C4848" s="8">
        <f>QS.CONTEXT.CREATE("market.4846",A4848,"USD","SOFR")</f>
        <v/>
      </c>
      <c r="D4848" s="8">
        <f>QS.CONTEXT.ADD.CURVE(C4848,"SOFR",$K$2:$K$7,$L$2:$L$7,,,"Actual360","LogLinear",TRUE)</f>
        <v/>
      </c>
      <c r="E4848" s="8">
        <f>QS.INSTRUMENT.SWAP("swap.4846",C4848,H4848,B4848,"USD","SOFR",I4848,J4848,0,"Actual360","Simple","Annual","Annual","Annual")</f>
        <v/>
      </c>
      <c r="F4848" s="8">
        <f>QS.TRADE.CREATE("trade.4846",C4848,E4848,A4848,"Receive")</f>
        <v/>
      </c>
      <c r="G4848" s="5"/>
      <c r="H4848" s="7" t="s">
        <v>4889</v>
      </c>
      <c r="I4848" s="9">
        <v>1484600</v>
      </c>
      <c r="J4848" s="10">
        <v>0.0396</v>
      </c>
    </row>
    <row r="4849" spans="1:10">
      <c r="A4849" s="7" t="s">
        <v>4883</v>
      </c>
      <c r="B4849" s="7" t="s">
        <v>6716</v>
      </c>
      <c r="C4849" s="8">
        <f>QS.CONTEXT.CREATE("market.4847",A4849,"USD","SOFR")</f>
        <v/>
      </c>
      <c r="D4849" s="8">
        <f>QS.CONTEXT.ADD.CURVE(C4849,"SOFR",$K$2:$K$7,$L$2:$L$7,,,"Actual360","LogLinear",TRUE)</f>
        <v/>
      </c>
      <c r="E4849" s="8">
        <f>QS.INSTRUMENT.SWAP("swap.4847",C4849,H4849,B4849,"USD","SOFR",I4849,J4849,0,"Actual360","Simple","Annual","Annual","Annual")</f>
        <v/>
      </c>
      <c r="F4849" s="8">
        <f>QS.TRADE.CREATE("trade.4847",C4849,E4849,A4849,"Receive")</f>
        <v/>
      </c>
      <c r="G4849" s="5"/>
      <c r="H4849" s="7" t="s">
        <v>4890</v>
      </c>
      <c r="I4849" s="9">
        <v>1484700</v>
      </c>
      <c r="J4849" s="10">
        <v>0.03970000000000001</v>
      </c>
    </row>
    <row r="4850" spans="1:10">
      <c r="A4850" s="7" t="s">
        <v>4884</v>
      </c>
      <c r="B4850" s="7" t="s">
        <v>6717</v>
      </c>
      <c r="C4850" s="8">
        <f>QS.CONTEXT.CREATE("market.4848",A4850,"USD","SOFR")</f>
        <v/>
      </c>
      <c r="D4850" s="8">
        <f>QS.CONTEXT.ADD.CURVE(C4850,"SOFR",$K$2:$K$7,$L$2:$L$7,,,"Actual360","LogLinear",TRUE)</f>
        <v/>
      </c>
      <c r="E4850" s="8">
        <f>QS.INSTRUMENT.SWAP("swap.4848",C4850,H4850,B4850,"USD","SOFR",I4850,J4850,0,"Actual360","Simple","Annual","Annual","Annual")</f>
        <v/>
      </c>
      <c r="F4850" s="8">
        <f>QS.TRADE.CREATE("trade.4848",C4850,E4850,A4850,"Receive")</f>
        <v/>
      </c>
      <c r="G4850" s="5"/>
      <c r="H4850" s="7" t="s">
        <v>4891</v>
      </c>
      <c r="I4850" s="9">
        <v>1484800</v>
      </c>
      <c r="J4850" s="10">
        <v>0.0398</v>
      </c>
    </row>
    <row r="4851" spans="1:10">
      <c r="A4851" s="7" t="s">
        <v>4885</v>
      </c>
      <c r="B4851" s="7" t="s">
        <v>6718</v>
      </c>
      <c r="C4851" s="8">
        <f>QS.CONTEXT.CREATE("market.4849",A4851,"USD","SOFR")</f>
        <v/>
      </c>
      <c r="D4851" s="8">
        <f>QS.CONTEXT.ADD.CURVE(C4851,"SOFR",$K$2:$K$7,$L$2:$L$7,,,"Actual360","LogLinear",TRUE)</f>
        <v/>
      </c>
      <c r="E4851" s="8">
        <f>QS.INSTRUMENT.SWAP("swap.4849",C4851,H4851,B4851,"USD","SOFR",I4851,J4851,0,"Actual360","Simple","Annual","Annual","Annual")</f>
        <v/>
      </c>
      <c r="F4851" s="8">
        <f>QS.TRADE.CREATE("trade.4849",C4851,E4851,A4851,"Receive")</f>
        <v/>
      </c>
      <c r="G4851" s="5"/>
      <c r="H4851" s="7" t="s">
        <v>4892</v>
      </c>
      <c r="I4851" s="9">
        <v>1484900</v>
      </c>
      <c r="J4851" s="10">
        <v>0.0399</v>
      </c>
    </row>
    <row r="4852" spans="1:10">
      <c r="A4852" s="7" t="s">
        <v>4886</v>
      </c>
      <c r="B4852" s="7" t="s">
        <v>6719</v>
      </c>
      <c r="C4852" s="8">
        <f>QS.CONTEXT.CREATE("market.4850",A4852,"USD","SOFR")</f>
        <v/>
      </c>
      <c r="D4852" s="8">
        <f>QS.CONTEXT.ADD.CURVE(C4852,"SOFR",$K$2:$K$7,$L$2:$L$7,,,"Actual360","LogLinear",TRUE)</f>
        <v/>
      </c>
      <c r="E4852" s="8">
        <f>QS.INSTRUMENT.SWAP("swap.4850",C4852,H4852,B4852,"USD","SOFR",I4852,J4852,0,"Actual360","Simple","Annual","Annual","Annual")</f>
        <v/>
      </c>
      <c r="F4852" s="8">
        <f>QS.TRADE.CREATE("trade.4850",C4852,E4852,A4852,"Receive")</f>
        <v/>
      </c>
      <c r="G4852" s="5"/>
      <c r="H4852" s="7" t="s">
        <v>4893</v>
      </c>
      <c r="I4852" s="9">
        <v>1485000</v>
      </c>
      <c r="J4852" s="10">
        <v>0.035</v>
      </c>
    </row>
    <row r="4853" spans="1:10">
      <c r="A4853" s="7" t="s">
        <v>4887</v>
      </c>
      <c r="B4853" s="7" t="s">
        <v>6720</v>
      </c>
      <c r="C4853" s="8">
        <f>QS.CONTEXT.CREATE("market.4851",A4853,"USD","SOFR")</f>
        <v/>
      </c>
      <c r="D4853" s="8">
        <f>QS.CONTEXT.ADD.CURVE(C4853,"SOFR",$K$2:$K$7,$L$2:$L$7,,,"Actual360","LogLinear",TRUE)</f>
        <v/>
      </c>
      <c r="E4853" s="8">
        <f>QS.INSTRUMENT.SWAP("swap.4851",C4853,H4853,B4853,"USD","SOFR",I4853,J4853,0,"Actual360","Simple","Annual","Annual","Annual")</f>
        <v/>
      </c>
      <c r="F4853" s="8">
        <f>QS.TRADE.CREATE("trade.4851",C4853,E4853,A4853,"Receive")</f>
        <v/>
      </c>
      <c r="G4853" s="5"/>
      <c r="H4853" s="7" t="s">
        <v>4894</v>
      </c>
      <c r="I4853" s="9">
        <v>1485100</v>
      </c>
      <c r="J4853" s="10">
        <v>0.03510000000000001</v>
      </c>
    </row>
    <row r="4854" spans="1:10">
      <c r="A4854" s="7" t="s">
        <v>4888</v>
      </c>
      <c r="B4854" s="7" t="s">
        <v>6721</v>
      </c>
      <c r="C4854" s="8">
        <f>QS.CONTEXT.CREATE("market.4852",A4854,"USD","SOFR")</f>
        <v/>
      </c>
      <c r="D4854" s="8">
        <f>QS.CONTEXT.ADD.CURVE(C4854,"SOFR",$K$2:$K$7,$L$2:$L$7,,,"Actual360","LogLinear",TRUE)</f>
        <v/>
      </c>
      <c r="E4854" s="8">
        <f>QS.INSTRUMENT.SWAP("swap.4852",C4854,H4854,B4854,"USD","SOFR",I4854,J4854,0,"Actual360","Simple","Annual","Annual","Annual")</f>
        <v/>
      </c>
      <c r="F4854" s="8">
        <f>QS.TRADE.CREATE("trade.4852",C4854,E4854,A4854,"Receive")</f>
        <v/>
      </c>
      <c r="G4854" s="5"/>
      <c r="H4854" s="7" t="s">
        <v>4895</v>
      </c>
      <c r="I4854" s="9">
        <v>1485200</v>
      </c>
      <c r="J4854" s="10">
        <v>0.0352</v>
      </c>
    </row>
    <row r="4855" spans="1:10">
      <c r="A4855" s="7" t="s">
        <v>4889</v>
      </c>
      <c r="B4855" s="7" t="s">
        <v>6722</v>
      </c>
      <c r="C4855" s="8">
        <f>QS.CONTEXT.CREATE("market.4853",A4855,"USD","SOFR")</f>
        <v/>
      </c>
      <c r="D4855" s="8">
        <f>QS.CONTEXT.ADD.CURVE(C4855,"SOFR",$K$2:$K$7,$L$2:$L$7,,,"Actual360","LogLinear",TRUE)</f>
        <v/>
      </c>
      <c r="E4855" s="8">
        <f>QS.INSTRUMENT.SWAP("swap.4853",C4855,H4855,B4855,"USD","SOFR",I4855,J4855,0,"Actual360","Simple","Annual","Annual","Annual")</f>
        <v/>
      </c>
      <c r="F4855" s="8">
        <f>QS.TRADE.CREATE("trade.4853",C4855,E4855,A4855,"Receive")</f>
        <v/>
      </c>
      <c r="G4855" s="5"/>
      <c r="H4855" s="7" t="s">
        <v>4896</v>
      </c>
      <c r="I4855" s="9">
        <v>1485300</v>
      </c>
      <c r="J4855" s="10">
        <v>0.0353</v>
      </c>
    </row>
    <row r="4856" spans="1:10">
      <c r="A4856" s="7" t="s">
        <v>4890</v>
      </c>
      <c r="B4856" s="7" t="s">
        <v>6723</v>
      </c>
      <c r="C4856" s="8">
        <f>QS.CONTEXT.CREATE("market.4854",A4856,"USD","SOFR")</f>
        <v/>
      </c>
      <c r="D4856" s="8">
        <f>QS.CONTEXT.ADD.CURVE(C4856,"SOFR",$K$2:$K$7,$L$2:$L$7,,,"Actual360","LogLinear",TRUE)</f>
        <v/>
      </c>
      <c r="E4856" s="8">
        <f>QS.INSTRUMENT.SWAP("swap.4854",C4856,H4856,B4856,"USD","SOFR",I4856,J4856,0,"Actual360","Simple","Annual","Annual","Annual")</f>
        <v/>
      </c>
      <c r="F4856" s="8">
        <f>QS.TRADE.CREATE("trade.4854",C4856,E4856,A4856,"Receive")</f>
        <v/>
      </c>
      <c r="G4856" s="5"/>
      <c r="H4856" s="7" t="s">
        <v>4897</v>
      </c>
      <c r="I4856" s="9">
        <v>1485400</v>
      </c>
      <c r="J4856" s="10">
        <v>0.0354</v>
      </c>
    </row>
    <row r="4857" spans="1:10">
      <c r="A4857" s="7" t="s">
        <v>4891</v>
      </c>
      <c r="B4857" s="7" t="s">
        <v>6724</v>
      </c>
      <c r="C4857" s="8">
        <f>QS.CONTEXT.CREATE("market.4855",A4857,"USD","SOFR")</f>
        <v/>
      </c>
      <c r="D4857" s="8">
        <f>QS.CONTEXT.ADD.CURVE(C4857,"SOFR",$K$2:$K$7,$L$2:$L$7,,,"Actual360","LogLinear",TRUE)</f>
        <v/>
      </c>
      <c r="E4857" s="8">
        <f>QS.INSTRUMENT.SWAP("swap.4855",C4857,H4857,B4857,"USD","SOFR",I4857,J4857,0,"Actual360","Simple","Annual","Annual","Annual")</f>
        <v/>
      </c>
      <c r="F4857" s="8">
        <f>QS.TRADE.CREATE("trade.4855",C4857,E4857,A4857,"Receive")</f>
        <v/>
      </c>
      <c r="G4857" s="5"/>
      <c r="H4857" s="7" t="s">
        <v>4898</v>
      </c>
      <c r="I4857" s="9">
        <v>1485500</v>
      </c>
      <c r="J4857" s="10">
        <v>0.0355</v>
      </c>
    </row>
    <row r="4858" spans="1:10">
      <c r="A4858" s="7" t="s">
        <v>4892</v>
      </c>
      <c r="B4858" s="7" t="s">
        <v>6725</v>
      </c>
      <c r="C4858" s="8">
        <f>QS.CONTEXT.CREATE("market.4856",A4858,"USD","SOFR")</f>
        <v/>
      </c>
      <c r="D4858" s="8">
        <f>QS.CONTEXT.ADD.CURVE(C4858,"SOFR",$K$2:$K$7,$L$2:$L$7,,,"Actual360","LogLinear",TRUE)</f>
        <v/>
      </c>
      <c r="E4858" s="8">
        <f>QS.INSTRUMENT.SWAP("swap.4856",C4858,H4858,B4858,"USD","SOFR",I4858,J4858,0,"Actual360","Simple","Annual","Annual","Annual")</f>
        <v/>
      </c>
      <c r="F4858" s="8">
        <f>QS.TRADE.CREATE("trade.4856",C4858,E4858,A4858,"Receive")</f>
        <v/>
      </c>
      <c r="G4858" s="5"/>
      <c r="H4858" s="7" t="s">
        <v>4899</v>
      </c>
      <c r="I4858" s="9">
        <v>1485600</v>
      </c>
      <c r="J4858" s="10">
        <v>0.03560000000000001</v>
      </c>
    </row>
    <row r="4859" spans="1:10">
      <c r="A4859" s="7" t="s">
        <v>4893</v>
      </c>
      <c r="B4859" s="7" t="s">
        <v>6726</v>
      </c>
      <c r="C4859" s="8">
        <f>QS.CONTEXT.CREATE("market.4857",A4859,"USD","SOFR")</f>
        <v/>
      </c>
      <c r="D4859" s="8">
        <f>QS.CONTEXT.ADD.CURVE(C4859,"SOFR",$K$2:$K$7,$L$2:$L$7,,,"Actual360","LogLinear",TRUE)</f>
        <v/>
      </c>
      <c r="E4859" s="8">
        <f>QS.INSTRUMENT.SWAP("swap.4857",C4859,H4859,B4859,"USD","SOFR",I4859,J4859,0,"Actual360","Simple","Annual","Annual","Annual")</f>
        <v/>
      </c>
      <c r="F4859" s="8">
        <f>QS.TRADE.CREATE("trade.4857",C4859,E4859,A4859,"Receive")</f>
        <v/>
      </c>
      <c r="G4859" s="5"/>
      <c r="H4859" s="7" t="s">
        <v>4900</v>
      </c>
      <c r="I4859" s="9">
        <v>1485700</v>
      </c>
      <c r="J4859" s="10">
        <v>0.0357</v>
      </c>
    </row>
    <row r="4860" spans="1:10">
      <c r="A4860" s="7" t="s">
        <v>4894</v>
      </c>
      <c r="B4860" s="7" t="s">
        <v>6727</v>
      </c>
      <c r="C4860" s="8">
        <f>QS.CONTEXT.CREATE("market.4858",A4860,"USD","SOFR")</f>
        <v/>
      </c>
      <c r="D4860" s="8">
        <f>QS.CONTEXT.ADD.CURVE(C4860,"SOFR",$K$2:$K$7,$L$2:$L$7,,,"Actual360","LogLinear",TRUE)</f>
        <v/>
      </c>
      <c r="E4860" s="8">
        <f>QS.INSTRUMENT.SWAP("swap.4858",C4860,H4860,B4860,"USD","SOFR",I4860,J4860,0,"Actual360","Simple","Annual","Annual","Annual")</f>
        <v/>
      </c>
      <c r="F4860" s="8">
        <f>QS.TRADE.CREATE("trade.4858",C4860,E4860,A4860,"Receive")</f>
        <v/>
      </c>
      <c r="G4860" s="5"/>
      <c r="H4860" s="7" t="s">
        <v>4901</v>
      </c>
      <c r="I4860" s="9">
        <v>1485800</v>
      </c>
      <c r="J4860" s="10">
        <v>0.03580000000000001</v>
      </c>
    </row>
    <row r="4861" spans="1:10">
      <c r="A4861" s="7" t="s">
        <v>4895</v>
      </c>
      <c r="B4861" s="7" t="s">
        <v>6728</v>
      </c>
      <c r="C4861" s="8">
        <f>QS.CONTEXT.CREATE("market.4859",A4861,"USD","SOFR")</f>
        <v/>
      </c>
      <c r="D4861" s="8">
        <f>QS.CONTEXT.ADD.CURVE(C4861,"SOFR",$K$2:$K$7,$L$2:$L$7,,,"Actual360","LogLinear",TRUE)</f>
        <v/>
      </c>
      <c r="E4861" s="8">
        <f>QS.INSTRUMENT.SWAP("swap.4859",C4861,H4861,B4861,"USD","SOFR",I4861,J4861,0,"Actual360","Simple","Annual","Annual","Annual")</f>
        <v/>
      </c>
      <c r="F4861" s="8">
        <f>QS.TRADE.CREATE("trade.4859",C4861,E4861,A4861,"Receive")</f>
        <v/>
      </c>
      <c r="G4861" s="5"/>
      <c r="H4861" s="7" t="s">
        <v>4902</v>
      </c>
      <c r="I4861" s="9">
        <v>1485900</v>
      </c>
      <c r="J4861" s="10">
        <v>0.0359</v>
      </c>
    </row>
    <row r="4862" spans="1:10">
      <c r="A4862" s="7" t="s">
        <v>4896</v>
      </c>
      <c r="B4862" s="7" t="s">
        <v>6729</v>
      </c>
      <c r="C4862" s="8">
        <f>QS.CONTEXT.CREATE("market.4860",A4862,"USD","SOFR")</f>
        <v/>
      </c>
      <c r="D4862" s="8">
        <f>QS.CONTEXT.ADD.CURVE(C4862,"SOFR",$K$2:$K$7,$L$2:$L$7,,,"Actual360","LogLinear",TRUE)</f>
        <v/>
      </c>
      <c r="E4862" s="8">
        <f>QS.INSTRUMENT.SWAP("swap.4860",C4862,H4862,B4862,"USD","SOFR",I4862,J4862,0,"Actual360","Simple","Annual","Annual","Annual")</f>
        <v/>
      </c>
      <c r="F4862" s="8">
        <f>QS.TRADE.CREATE("trade.4860",C4862,E4862,A4862,"Receive")</f>
        <v/>
      </c>
      <c r="G4862" s="5"/>
      <c r="H4862" s="7" t="s">
        <v>4903</v>
      </c>
      <c r="I4862" s="9">
        <v>1486000</v>
      </c>
      <c r="J4862" s="10">
        <v>0.036</v>
      </c>
    </row>
    <row r="4863" spans="1:10">
      <c r="A4863" s="7" t="s">
        <v>4897</v>
      </c>
      <c r="B4863" s="7" t="s">
        <v>6730</v>
      </c>
      <c r="C4863" s="8">
        <f>QS.CONTEXT.CREATE("market.4861",A4863,"USD","SOFR")</f>
        <v/>
      </c>
      <c r="D4863" s="8">
        <f>QS.CONTEXT.ADD.CURVE(C4863,"SOFR",$K$2:$K$7,$L$2:$L$7,,,"Actual360","LogLinear",TRUE)</f>
        <v/>
      </c>
      <c r="E4863" s="8">
        <f>QS.INSTRUMENT.SWAP("swap.4861",C4863,H4863,B4863,"USD","SOFR",I4863,J4863,0,"Actual360","Simple","Annual","Annual","Annual")</f>
        <v/>
      </c>
      <c r="F4863" s="8">
        <f>QS.TRADE.CREATE("trade.4861",C4863,E4863,A4863,"Receive")</f>
        <v/>
      </c>
      <c r="G4863" s="5"/>
      <c r="H4863" s="7" t="s">
        <v>4904</v>
      </c>
      <c r="I4863" s="9">
        <v>1486100</v>
      </c>
      <c r="J4863" s="10">
        <v>0.0361</v>
      </c>
    </row>
    <row r="4864" spans="1:10">
      <c r="A4864" s="7" t="s">
        <v>4898</v>
      </c>
      <c r="B4864" s="7" t="s">
        <v>6731</v>
      </c>
      <c r="C4864" s="8">
        <f>QS.CONTEXT.CREATE("market.4862",A4864,"USD","SOFR")</f>
        <v/>
      </c>
      <c r="D4864" s="8">
        <f>QS.CONTEXT.ADD.CURVE(C4864,"SOFR",$K$2:$K$7,$L$2:$L$7,,,"Actual360","LogLinear",TRUE)</f>
        <v/>
      </c>
      <c r="E4864" s="8">
        <f>QS.INSTRUMENT.SWAP("swap.4862",C4864,H4864,B4864,"USD","SOFR",I4864,J4864,0,"Actual360","Simple","Annual","Annual","Annual")</f>
        <v/>
      </c>
      <c r="F4864" s="8">
        <f>QS.TRADE.CREATE("trade.4862",C4864,E4864,A4864,"Receive")</f>
        <v/>
      </c>
      <c r="G4864" s="5"/>
      <c r="H4864" s="7" t="s">
        <v>4905</v>
      </c>
      <c r="I4864" s="9">
        <v>1486200</v>
      </c>
      <c r="J4864" s="10">
        <v>0.0362</v>
      </c>
    </row>
    <row r="4865" spans="1:10">
      <c r="A4865" s="7" t="s">
        <v>4899</v>
      </c>
      <c r="B4865" s="7" t="s">
        <v>6732</v>
      </c>
      <c r="C4865" s="8">
        <f>QS.CONTEXT.CREATE("market.4863",A4865,"USD","SOFR")</f>
        <v/>
      </c>
      <c r="D4865" s="8">
        <f>QS.CONTEXT.ADD.CURVE(C4865,"SOFR",$K$2:$K$7,$L$2:$L$7,,,"Actual360","LogLinear",TRUE)</f>
        <v/>
      </c>
      <c r="E4865" s="8">
        <f>QS.INSTRUMENT.SWAP("swap.4863",C4865,H4865,B4865,"USD","SOFR",I4865,J4865,0,"Actual360","Simple","Annual","Annual","Annual")</f>
        <v/>
      </c>
      <c r="F4865" s="8">
        <f>QS.TRADE.CREATE("trade.4863",C4865,E4865,A4865,"Receive")</f>
        <v/>
      </c>
      <c r="G4865" s="5"/>
      <c r="H4865" s="7" t="s">
        <v>4906</v>
      </c>
      <c r="I4865" s="9">
        <v>1486300</v>
      </c>
      <c r="J4865" s="10">
        <v>0.03630000000000001</v>
      </c>
    </row>
    <row r="4866" spans="1:10">
      <c r="A4866" s="7" t="s">
        <v>4900</v>
      </c>
      <c r="B4866" s="7" t="s">
        <v>6733</v>
      </c>
      <c r="C4866" s="8">
        <f>QS.CONTEXT.CREATE("market.4864",A4866,"USD","SOFR")</f>
        <v/>
      </c>
      <c r="D4866" s="8">
        <f>QS.CONTEXT.ADD.CURVE(C4866,"SOFR",$K$2:$K$7,$L$2:$L$7,,,"Actual360","LogLinear",TRUE)</f>
        <v/>
      </c>
      <c r="E4866" s="8">
        <f>QS.INSTRUMENT.SWAP("swap.4864",C4866,H4866,B4866,"USD","SOFR",I4866,J4866,0,"Actual360","Simple","Annual","Annual","Annual")</f>
        <v/>
      </c>
      <c r="F4866" s="8">
        <f>QS.TRADE.CREATE("trade.4864",C4866,E4866,A4866,"Receive")</f>
        <v/>
      </c>
      <c r="G4866" s="5"/>
      <c r="H4866" s="7" t="s">
        <v>4907</v>
      </c>
      <c r="I4866" s="9">
        <v>1486400</v>
      </c>
      <c r="J4866" s="10">
        <v>0.0364</v>
      </c>
    </row>
    <row r="4867" spans="1:10">
      <c r="A4867" s="7" t="s">
        <v>4901</v>
      </c>
      <c r="B4867" s="7" t="s">
        <v>6734</v>
      </c>
      <c r="C4867" s="8">
        <f>QS.CONTEXT.CREATE("market.4865",A4867,"USD","SOFR")</f>
        <v/>
      </c>
      <c r="D4867" s="8">
        <f>QS.CONTEXT.ADD.CURVE(C4867,"SOFR",$K$2:$K$7,$L$2:$L$7,,,"Actual360","LogLinear",TRUE)</f>
        <v/>
      </c>
      <c r="E4867" s="8">
        <f>QS.INSTRUMENT.SWAP("swap.4865",C4867,H4867,B4867,"USD","SOFR",I4867,J4867,0,"Actual360","Simple","Annual","Annual","Annual")</f>
        <v/>
      </c>
      <c r="F4867" s="8">
        <f>QS.TRADE.CREATE("trade.4865",C4867,E4867,A4867,"Receive")</f>
        <v/>
      </c>
      <c r="G4867" s="5"/>
      <c r="H4867" s="7" t="s">
        <v>4908</v>
      </c>
      <c r="I4867" s="9">
        <v>1486500</v>
      </c>
      <c r="J4867" s="10">
        <v>0.0365</v>
      </c>
    </row>
    <row r="4868" spans="1:10">
      <c r="A4868" s="7" t="s">
        <v>4902</v>
      </c>
      <c r="B4868" s="7" t="s">
        <v>6735</v>
      </c>
      <c r="C4868" s="8">
        <f>QS.CONTEXT.CREATE("market.4866",A4868,"USD","SOFR")</f>
        <v/>
      </c>
      <c r="D4868" s="8">
        <f>QS.CONTEXT.ADD.CURVE(C4868,"SOFR",$K$2:$K$7,$L$2:$L$7,,,"Actual360","LogLinear",TRUE)</f>
        <v/>
      </c>
      <c r="E4868" s="8">
        <f>QS.INSTRUMENT.SWAP("swap.4866",C4868,H4868,B4868,"USD","SOFR",I4868,J4868,0,"Actual360","Simple","Annual","Annual","Annual")</f>
        <v/>
      </c>
      <c r="F4868" s="8">
        <f>QS.TRADE.CREATE("trade.4866",C4868,E4868,A4868,"Receive")</f>
        <v/>
      </c>
      <c r="G4868" s="5"/>
      <c r="H4868" s="7" t="s">
        <v>4909</v>
      </c>
      <c r="I4868" s="9">
        <v>1486600</v>
      </c>
      <c r="J4868" s="10">
        <v>0.0366</v>
      </c>
    </row>
    <row r="4869" spans="1:10">
      <c r="A4869" s="7" t="s">
        <v>4903</v>
      </c>
      <c r="B4869" s="7" t="s">
        <v>6736</v>
      </c>
      <c r="C4869" s="8">
        <f>QS.CONTEXT.CREATE("market.4867",A4869,"USD","SOFR")</f>
        <v/>
      </c>
      <c r="D4869" s="8">
        <f>QS.CONTEXT.ADD.CURVE(C4869,"SOFR",$K$2:$K$7,$L$2:$L$7,,,"Actual360","LogLinear",TRUE)</f>
        <v/>
      </c>
      <c r="E4869" s="8">
        <f>QS.INSTRUMENT.SWAP("swap.4867",C4869,H4869,B4869,"USD","SOFR",I4869,J4869,0,"Actual360","Simple","Annual","Annual","Annual")</f>
        <v/>
      </c>
      <c r="F4869" s="8">
        <f>QS.TRADE.CREATE("trade.4867",C4869,E4869,A4869,"Receive")</f>
        <v/>
      </c>
      <c r="G4869" s="5"/>
      <c r="H4869" s="7" t="s">
        <v>4910</v>
      </c>
      <c r="I4869" s="9">
        <v>1486700</v>
      </c>
      <c r="J4869" s="10">
        <v>0.0367</v>
      </c>
    </row>
    <row r="4870" spans="1:10">
      <c r="A4870" s="7" t="s">
        <v>4904</v>
      </c>
      <c r="B4870" s="7" t="s">
        <v>6737</v>
      </c>
      <c r="C4870" s="8">
        <f>QS.CONTEXT.CREATE("market.4868",A4870,"USD","SOFR")</f>
        <v/>
      </c>
      <c r="D4870" s="8">
        <f>QS.CONTEXT.ADD.CURVE(C4870,"SOFR",$K$2:$K$7,$L$2:$L$7,,,"Actual360","LogLinear",TRUE)</f>
        <v/>
      </c>
      <c r="E4870" s="8">
        <f>QS.INSTRUMENT.SWAP("swap.4868",C4870,H4870,B4870,"USD","SOFR",I4870,J4870,0,"Actual360","Simple","Annual","Annual","Annual")</f>
        <v/>
      </c>
      <c r="F4870" s="8">
        <f>QS.TRADE.CREATE("trade.4868",C4870,E4870,A4870,"Receive")</f>
        <v/>
      </c>
      <c r="G4870" s="5"/>
      <c r="H4870" s="7" t="s">
        <v>4911</v>
      </c>
      <c r="I4870" s="9">
        <v>1486800</v>
      </c>
      <c r="J4870" s="10">
        <v>0.03680000000000001</v>
      </c>
    </row>
    <row r="4871" spans="1:10">
      <c r="A4871" s="7" t="s">
        <v>4905</v>
      </c>
      <c r="B4871" s="7" t="s">
        <v>6738</v>
      </c>
      <c r="C4871" s="8">
        <f>QS.CONTEXT.CREATE("market.4869",A4871,"USD","SOFR")</f>
        <v/>
      </c>
      <c r="D4871" s="8">
        <f>QS.CONTEXT.ADD.CURVE(C4871,"SOFR",$K$2:$K$7,$L$2:$L$7,,,"Actual360","LogLinear",TRUE)</f>
        <v/>
      </c>
      <c r="E4871" s="8">
        <f>QS.INSTRUMENT.SWAP("swap.4869",C4871,H4871,B4871,"USD","SOFR",I4871,J4871,0,"Actual360","Simple","Annual","Annual","Annual")</f>
        <v/>
      </c>
      <c r="F4871" s="8">
        <f>QS.TRADE.CREATE("trade.4869",C4871,E4871,A4871,"Receive")</f>
        <v/>
      </c>
      <c r="G4871" s="5"/>
      <c r="H4871" s="7" t="s">
        <v>4912</v>
      </c>
      <c r="I4871" s="9">
        <v>1486900</v>
      </c>
      <c r="J4871" s="10">
        <v>0.0369</v>
      </c>
    </row>
    <row r="4872" spans="1:10">
      <c r="A4872" s="7" t="s">
        <v>4906</v>
      </c>
      <c r="B4872" s="7" t="s">
        <v>6739</v>
      </c>
      <c r="C4872" s="8">
        <f>QS.CONTEXT.CREATE("market.4870",A4872,"USD","SOFR")</f>
        <v/>
      </c>
      <c r="D4872" s="8">
        <f>QS.CONTEXT.ADD.CURVE(C4872,"SOFR",$K$2:$K$7,$L$2:$L$7,,,"Actual360","LogLinear",TRUE)</f>
        <v/>
      </c>
      <c r="E4872" s="8">
        <f>QS.INSTRUMENT.SWAP("swap.4870",C4872,H4872,B4872,"USD","SOFR",I4872,J4872,0,"Actual360","Simple","Annual","Annual","Annual")</f>
        <v/>
      </c>
      <c r="F4872" s="8">
        <f>QS.TRADE.CREATE("trade.4870",C4872,E4872,A4872,"Receive")</f>
        <v/>
      </c>
      <c r="G4872" s="5"/>
      <c r="H4872" s="7" t="s">
        <v>4913</v>
      </c>
      <c r="I4872" s="9">
        <v>1487000</v>
      </c>
      <c r="J4872" s="10">
        <v>0.03700000000000001</v>
      </c>
    </row>
    <row r="4873" spans="1:10">
      <c r="A4873" s="7" t="s">
        <v>4907</v>
      </c>
      <c r="B4873" s="7" t="s">
        <v>6740</v>
      </c>
      <c r="C4873" s="8">
        <f>QS.CONTEXT.CREATE("market.4871",A4873,"USD","SOFR")</f>
        <v/>
      </c>
      <c r="D4873" s="8">
        <f>QS.CONTEXT.ADD.CURVE(C4873,"SOFR",$K$2:$K$7,$L$2:$L$7,,,"Actual360","LogLinear",TRUE)</f>
        <v/>
      </c>
      <c r="E4873" s="8">
        <f>QS.INSTRUMENT.SWAP("swap.4871",C4873,H4873,B4873,"USD","SOFR",I4873,J4873,0,"Actual360","Simple","Annual","Annual","Annual")</f>
        <v/>
      </c>
      <c r="F4873" s="8">
        <f>QS.TRADE.CREATE("trade.4871",C4873,E4873,A4873,"Receive")</f>
        <v/>
      </c>
      <c r="G4873" s="5"/>
      <c r="H4873" s="7" t="s">
        <v>4914</v>
      </c>
      <c r="I4873" s="9">
        <v>1487100</v>
      </c>
      <c r="J4873" s="10">
        <v>0.0371</v>
      </c>
    </row>
    <row r="4874" spans="1:10">
      <c r="A4874" s="7" t="s">
        <v>4908</v>
      </c>
      <c r="B4874" s="7" t="s">
        <v>6741</v>
      </c>
      <c r="C4874" s="8">
        <f>QS.CONTEXT.CREATE("market.4872",A4874,"USD","SOFR")</f>
        <v/>
      </c>
      <c r="D4874" s="8">
        <f>QS.CONTEXT.ADD.CURVE(C4874,"SOFR",$K$2:$K$7,$L$2:$L$7,,,"Actual360","LogLinear",TRUE)</f>
        <v/>
      </c>
      <c r="E4874" s="8">
        <f>QS.INSTRUMENT.SWAP("swap.4872",C4874,H4874,B4874,"USD","SOFR",I4874,J4874,0,"Actual360","Simple","Annual","Annual","Annual")</f>
        <v/>
      </c>
      <c r="F4874" s="8">
        <f>QS.TRADE.CREATE("trade.4872",C4874,E4874,A4874,"Receive")</f>
        <v/>
      </c>
      <c r="G4874" s="5"/>
      <c r="H4874" s="7" t="s">
        <v>4915</v>
      </c>
      <c r="I4874" s="9">
        <v>1487200</v>
      </c>
      <c r="J4874" s="10">
        <v>0.0372</v>
      </c>
    </row>
    <row r="4875" spans="1:10">
      <c r="A4875" s="7" t="s">
        <v>4909</v>
      </c>
      <c r="B4875" s="7" t="s">
        <v>6742</v>
      </c>
      <c r="C4875" s="8">
        <f>QS.CONTEXT.CREATE("market.4873",A4875,"USD","SOFR")</f>
        <v/>
      </c>
      <c r="D4875" s="8">
        <f>QS.CONTEXT.ADD.CURVE(C4875,"SOFR",$K$2:$K$7,$L$2:$L$7,,,"Actual360","LogLinear",TRUE)</f>
        <v/>
      </c>
      <c r="E4875" s="8">
        <f>QS.INSTRUMENT.SWAP("swap.4873",C4875,H4875,B4875,"USD","SOFR",I4875,J4875,0,"Actual360","Simple","Annual","Annual","Annual")</f>
        <v/>
      </c>
      <c r="F4875" s="8">
        <f>QS.TRADE.CREATE("trade.4873",C4875,E4875,A4875,"Receive")</f>
        <v/>
      </c>
      <c r="G4875" s="5"/>
      <c r="H4875" s="7" t="s">
        <v>4916</v>
      </c>
      <c r="I4875" s="9">
        <v>1487300</v>
      </c>
      <c r="J4875" s="10">
        <v>0.0373</v>
      </c>
    </row>
    <row r="4876" spans="1:10">
      <c r="A4876" s="7" t="s">
        <v>4910</v>
      </c>
      <c r="B4876" s="7" t="s">
        <v>6743</v>
      </c>
      <c r="C4876" s="8">
        <f>QS.CONTEXT.CREATE("market.4874",A4876,"USD","SOFR")</f>
        <v/>
      </c>
      <c r="D4876" s="8">
        <f>QS.CONTEXT.ADD.CURVE(C4876,"SOFR",$K$2:$K$7,$L$2:$L$7,,,"Actual360","LogLinear",TRUE)</f>
        <v/>
      </c>
      <c r="E4876" s="8">
        <f>QS.INSTRUMENT.SWAP("swap.4874",C4876,H4876,B4876,"USD","SOFR",I4876,J4876,0,"Actual360","Simple","Annual","Annual","Annual")</f>
        <v/>
      </c>
      <c r="F4876" s="8">
        <f>QS.TRADE.CREATE("trade.4874",C4876,E4876,A4876,"Receive")</f>
        <v/>
      </c>
      <c r="G4876" s="5"/>
      <c r="H4876" s="7" t="s">
        <v>4917</v>
      </c>
      <c r="I4876" s="9">
        <v>1487400</v>
      </c>
      <c r="J4876" s="10">
        <v>0.0374</v>
      </c>
    </row>
    <row r="4877" spans="1:10">
      <c r="A4877" s="7" t="s">
        <v>4911</v>
      </c>
      <c r="B4877" s="7" t="s">
        <v>6744</v>
      </c>
      <c r="C4877" s="8">
        <f>QS.CONTEXT.CREATE("market.4875",A4877,"USD","SOFR")</f>
        <v/>
      </c>
      <c r="D4877" s="8">
        <f>QS.CONTEXT.ADD.CURVE(C4877,"SOFR",$K$2:$K$7,$L$2:$L$7,,,"Actual360","LogLinear",TRUE)</f>
        <v/>
      </c>
      <c r="E4877" s="8">
        <f>QS.INSTRUMENT.SWAP("swap.4875",C4877,H4877,B4877,"USD","SOFR",I4877,J4877,0,"Actual360","Simple","Annual","Annual","Annual")</f>
        <v/>
      </c>
      <c r="F4877" s="8">
        <f>QS.TRADE.CREATE("trade.4875",C4877,E4877,A4877,"Receive")</f>
        <v/>
      </c>
      <c r="G4877" s="5"/>
      <c r="H4877" s="7" t="s">
        <v>4918</v>
      </c>
      <c r="I4877" s="9">
        <v>1487500</v>
      </c>
      <c r="J4877" s="10">
        <v>0.03750000000000001</v>
      </c>
    </row>
    <row r="4878" spans="1:10">
      <c r="A4878" s="7" t="s">
        <v>4912</v>
      </c>
      <c r="B4878" s="7" t="s">
        <v>6745</v>
      </c>
      <c r="C4878" s="8">
        <f>QS.CONTEXT.CREATE("market.4876",A4878,"USD","SOFR")</f>
        <v/>
      </c>
      <c r="D4878" s="8">
        <f>QS.CONTEXT.ADD.CURVE(C4878,"SOFR",$K$2:$K$7,$L$2:$L$7,,,"Actual360","LogLinear",TRUE)</f>
        <v/>
      </c>
      <c r="E4878" s="8">
        <f>QS.INSTRUMENT.SWAP("swap.4876",C4878,H4878,B4878,"USD","SOFR",I4878,J4878,0,"Actual360","Simple","Annual","Annual","Annual")</f>
        <v/>
      </c>
      <c r="F4878" s="8">
        <f>QS.TRADE.CREATE("trade.4876",C4878,E4878,A4878,"Receive")</f>
        <v/>
      </c>
      <c r="G4878" s="5"/>
      <c r="H4878" s="7" t="s">
        <v>4919</v>
      </c>
      <c r="I4878" s="9">
        <v>1487600</v>
      </c>
      <c r="J4878" s="10">
        <v>0.0376</v>
      </c>
    </row>
    <row r="4879" spans="1:10">
      <c r="A4879" s="7" t="s">
        <v>4913</v>
      </c>
      <c r="B4879" s="7" t="s">
        <v>6746</v>
      </c>
      <c r="C4879" s="8">
        <f>QS.CONTEXT.CREATE("market.4877",A4879,"USD","SOFR")</f>
        <v/>
      </c>
      <c r="D4879" s="8">
        <f>QS.CONTEXT.ADD.CURVE(C4879,"SOFR",$K$2:$K$7,$L$2:$L$7,,,"Actual360","LogLinear",TRUE)</f>
        <v/>
      </c>
      <c r="E4879" s="8">
        <f>QS.INSTRUMENT.SWAP("swap.4877",C4879,H4879,B4879,"USD","SOFR",I4879,J4879,0,"Actual360","Simple","Annual","Annual","Annual")</f>
        <v/>
      </c>
      <c r="F4879" s="8">
        <f>QS.TRADE.CREATE("trade.4877",C4879,E4879,A4879,"Receive")</f>
        <v/>
      </c>
      <c r="G4879" s="5"/>
      <c r="H4879" s="7" t="s">
        <v>4920</v>
      </c>
      <c r="I4879" s="9">
        <v>1487700</v>
      </c>
      <c r="J4879" s="10">
        <v>0.0377</v>
      </c>
    </row>
    <row r="4880" spans="1:10">
      <c r="A4880" s="7" t="s">
        <v>4914</v>
      </c>
      <c r="B4880" s="7" t="s">
        <v>6747</v>
      </c>
      <c r="C4880" s="8">
        <f>QS.CONTEXT.CREATE("market.4878",A4880,"USD","SOFR")</f>
        <v/>
      </c>
      <c r="D4880" s="8">
        <f>QS.CONTEXT.ADD.CURVE(C4880,"SOFR",$K$2:$K$7,$L$2:$L$7,,,"Actual360","LogLinear",TRUE)</f>
        <v/>
      </c>
      <c r="E4880" s="8">
        <f>QS.INSTRUMENT.SWAP("swap.4878",C4880,H4880,B4880,"USD","SOFR",I4880,J4880,0,"Actual360","Simple","Annual","Annual","Annual")</f>
        <v/>
      </c>
      <c r="F4880" s="8">
        <f>QS.TRADE.CREATE("trade.4878",C4880,E4880,A4880,"Receive")</f>
        <v/>
      </c>
      <c r="G4880" s="5"/>
      <c r="H4880" s="7" t="s">
        <v>4921</v>
      </c>
      <c r="I4880" s="9">
        <v>1487800</v>
      </c>
      <c r="J4880" s="10">
        <v>0.0378</v>
      </c>
    </row>
    <row r="4881" spans="1:10">
      <c r="A4881" s="7" t="s">
        <v>4915</v>
      </c>
      <c r="B4881" s="7" t="s">
        <v>6748</v>
      </c>
      <c r="C4881" s="8">
        <f>QS.CONTEXT.CREATE("market.4879",A4881,"USD","SOFR")</f>
        <v/>
      </c>
      <c r="D4881" s="8">
        <f>QS.CONTEXT.ADD.CURVE(C4881,"SOFR",$K$2:$K$7,$L$2:$L$7,,,"Actual360","LogLinear",TRUE)</f>
        <v/>
      </c>
      <c r="E4881" s="8">
        <f>QS.INSTRUMENT.SWAP("swap.4879",C4881,H4881,B4881,"USD","SOFR",I4881,J4881,0,"Actual360","Simple","Annual","Annual","Annual")</f>
        <v/>
      </c>
      <c r="F4881" s="8">
        <f>QS.TRADE.CREATE("trade.4879",C4881,E4881,A4881,"Receive")</f>
        <v/>
      </c>
      <c r="G4881" s="5"/>
      <c r="H4881" s="7" t="s">
        <v>4922</v>
      </c>
      <c r="I4881" s="9">
        <v>1487900</v>
      </c>
      <c r="J4881" s="10">
        <v>0.0379</v>
      </c>
    </row>
    <row r="4882" spans="1:10">
      <c r="A4882" s="7" t="s">
        <v>4916</v>
      </c>
      <c r="B4882" s="7" t="s">
        <v>6749</v>
      </c>
      <c r="C4882" s="8">
        <f>QS.CONTEXT.CREATE("market.4880",A4882,"USD","SOFR")</f>
        <v/>
      </c>
      <c r="D4882" s="8">
        <f>QS.CONTEXT.ADD.CURVE(C4882,"SOFR",$K$2:$K$7,$L$2:$L$7,,,"Actual360","LogLinear",TRUE)</f>
        <v/>
      </c>
      <c r="E4882" s="8">
        <f>QS.INSTRUMENT.SWAP("swap.4880",C4882,H4882,B4882,"USD","SOFR",I4882,J4882,0,"Actual360","Simple","Annual","Annual","Annual")</f>
        <v/>
      </c>
      <c r="F4882" s="8">
        <f>QS.TRADE.CREATE("trade.4880",C4882,E4882,A4882,"Receive")</f>
        <v/>
      </c>
      <c r="G4882" s="5"/>
      <c r="H4882" s="7" t="s">
        <v>4923</v>
      </c>
      <c r="I4882" s="9">
        <v>1488000</v>
      </c>
      <c r="J4882" s="10">
        <v>0.03800000000000001</v>
      </c>
    </row>
    <row r="4883" spans="1:10">
      <c r="A4883" s="7" t="s">
        <v>4917</v>
      </c>
      <c r="B4883" s="7" t="s">
        <v>6750</v>
      </c>
      <c r="C4883" s="8">
        <f>QS.CONTEXT.CREATE("market.4881",A4883,"USD","SOFR")</f>
        <v/>
      </c>
      <c r="D4883" s="8">
        <f>QS.CONTEXT.ADD.CURVE(C4883,"SOFR",$K$2:$K$7,$L$2:$L$7,,,"Actual360","LogLinear",TRUE)</f>
        <v/>
      </c>
      <c r="E4883" s="8">
        <f>QS.INSTRUMENT.SWAP("swap.4881",C4883,H4883,B4883,"USD","SOFR",I4883,J4883,0,"Actual360","Simple","Annual","Annual","Annual")</f>
        <v/>
      </c>
      <c r="F4883" s="8">
        <f>QS.TRADE.CREATE("trade.4881",C4883,E4883,A4883,"Receive")</f>
        <v/>
      </c>
      <c r="G4883" s="5"/>
      <c r="H4883" s="7" t="s">
        <v>4924</v>
      </c>
      <c r="I4883" s="9">
        <v>1488100</v>
      </c>
      <c r="J4883" s="10">
        <v>0.0381</v>
      </c>
    </row>
    <row r="4884" spans="1:10">
      <c r="A4884" s="7" t="s">
        <v>4918</v>
      </c>
      <c r="B4884" s="7" t="s">
        <v>6751</v>
      </c>
      <c r="C4884" s="8">
        <f>QS.CONTEXT.CREATE("market.4882",A4884,"USD","SOFR")</f>
        <v/>
      </c>
      <c r="D4884" s="8">
        <f>QS.CONTEXT.ADD.CURVE(C4884,"SOFR",$K$2:$K$7,$L$2:$L$7,,,"Actual360","LogLinear",TRUE)</f>
        <v/>
      </c>
      <c r="E4884" s="8">
        <f>QS.INSTRUMENT.SWAP("swap.4882",C4884,H4884,B4884,"USD","SOFR",I4884,J4884,0,"Actual360","Simple","Annual","Annual","Annual")</f>
        <v/>
      </c>
      <c r="F4884" s="8">
        <f>QS.TRADE.CREATE("trade.4882",C4884,E4884,A4884,"Receive")</f>
        <v/>
      </c>
      <c r="G4884" s="5"/>
      <c r="H4884" s="7" t="s">
        <v>4925</v>
      </c>
      <c r="I4884" s="9">
        <v>1488200</v>
      </c>
      <c r="J4884" s="10">
        <v>0.0382</v>
      </c>
    </row>
    <row r="4885" spans="1:10">
      <c r="A4885" s="7" t="s">
        <v>4919</v>
      </c>
      <c r="B4885" s="7" t="s">
        <v>6752</v>
      </c>
      <c r="C4885" s="8">
        <f>QS.CONTEXT.CREATE("market.4883",A4885,"USD","SOFR")</f>
        <v/>
      </c>
      <c r="D4885" s="8">
        <f>QS.CONTEXT.ADD.CURVE(C4885,"SOFR",$K$2:$K$7,$L$2:$L$7,,,"Actual360","LogLinear",TRUE)</f>
        <v/>
      </c>
      <c r="E4885" s="8">
        <f>QS.INSTRUMENT.SWAP("swap.4883",C4885,H4885,B4885,"USD","SOFR",I4885,J4885,0,"Actual360","Simple","Annual","Annual","Annual")</f>
        <v/>
      </c>
      <c r="F4885" s="8">
        <f>QS.TRADE.CREATE("trade.4883",C4885,E4885,A4885,"Receive")</f>
        <v/>
      </c>
      <c r="G4885" s="5"/>
      <c r="H4885" s="7" t="s">
        <v>4926</v>
      </c>
      <c r="I4885" s="9">
        <v>1488300</v>
      </c>
      <c r="J4885" s="10">
        <v>0.0383</v>
      </c>
    </row>
    <row r="4886" spans="1:10">
      <c r="A4886" s="7" t="s">
        <v>4920</v>
      </c>
      <c r="B4886" s="7" t="s">
        <v>6753</v>
      </c>
      <c r="C4886" s="8">
        <f>QS.CONTEXT.CREATE("market.4884",A4886,"USD","SOFR")</f>
        <v/>
      </c>
      <c r="D4886" s="8">
        <f>QS.CONTEXT.ADD.CURVE(C4886,"SOFR",$K$2:$K$7,$L$2:$L$7,,,"Actual360","LogLinear",TRUE)</f>
        <v/>
      </c>
      <c r="E4886" s="8">
        <f>QS.INSTRUMENT.SWAP("swap.4884",C4886,H4886,B4886,"USD","SOFR",I4886,J4886,0,"Actual360","Simple","Annual","Annual","Annual")</f>
        <v/>
      </c>
      <c r="F4886" s="8">
        <f>QS.TRADE.CREATE("trade.4884",C4886,E4886,A4886,"Receive")</f>
        <v/>
      </c>
      <c r="G4886" s="5"/>
      <c r="H4886" s="7" t="s">
        <v>4927</v>
      </c>
      <c r="I4886" s="9">
        <v>1488400</v>
      </c>
      <c r="J4886" s="10">
        <v>0.0384</v>
      </c>
    </row>
    <row r="4887" spans="1:10">
      <c r="A4887" s="7" t="s">
        <v>4921</v>
      </c>
      <c r="B4887" s="7" t="s">
        <v>6754</v>
      </c>
      <c r="C4887" s="8">
        <f>QS.CONTEXT.CREATE("market.4885",A4887,"USD","SOFR")</f>
        <v/>
      </c>
      <c r="D4887" s="8">
        <f>QS.CONTEXT.ADD.CURVE(C4887,"SOFR",$K$2:$K$7,$L$2:$L$7,,,"Actual360","LogLinear",TRUE)</f>
        <v/>
      </c>
      <c r="E4887" s="8">
        <f>QS.INSTRUMENT.SWAP("swap.4885",C4887,H4887,B4887,"USD","SOFR",I4887,J4887,0,"Actual360","Simple","Annual","Annual","Annual")</f>
        <v/>
      </c>
      <c r="F4887" s="8">
        <f>QS.TRADE.CREATE("trade.4885",C4887,E4887,A4887,"Receive")</f>
        <v/>
      </c>
      <c r="G4887" s="5"/>
      <c r="H4887" s="7" t="s">
        <v>4928</v>
      </c>
      <c r="I4887" s="9">
        <v>1488500</v>
      </c>
      <c r="J4887" s="10">
        <v>0.03850000000000001</v>
      </c>
    </row>
    <row r="4888" spans="1:10">
      <c r="A4888" s="7" t="s">
        <v>4922</v>
      </c>
      <c r="B4888" s="7" t="s">
        <v>6755</v>
      </c>
      <c r="C4888" s="8">
        <f>QS.CONTEXT.CREATE("market.4886",A4888,"USD","SOFR")</f>
        <v/>
      </c>
      <c r="D4888" s="8">
        <f>QS.CONTEXT.ADD.CURVE(C4888,"SOFR",$K$2:$K$7,$L$2:$L$7,,,"Actual360","LogLinear",TRUE)</f>
        <v/>
      </c>
      <c r="E4888" s="8">
        <f>QS.INSTRUMENT.SWAP("swap.4886",C4888,H4888,B4888,"USD","SOFR",I4888,J4888,0,"Actual360","Simple","Annual","Annual","Annual")</f>
        <v/>
      </c>
      <c r="F4888" s="8">
        <f>QS.TRADE.CREATE("trade.4886",C4888,E4888,A4888,"Receive")</f>
        <v/>
      </c>
      <c r="G4888" s="5"/>
      <c r="H4888" s="7" t="s">
        <v>4929</v>
      </c>
      <c r="I4888" s="9">
        <v>1488600</v>
      </c>
      <c r="J4888" s="10">
        <v>0.0386</v>
      </c>
    </row>
    <row r="4889" spans="1:10">
      <c r="A4889" s="7" t="s">
        <v>4923</v>
      </c>
      <c r="B4889" s="7" t="s">
        <v>6756</v>
      </c>
      <c r="C4889" s="8">
        <f>QS.CONTEXT.CREATE("market.4887",A4889,"USD","SOFR")</f>
        <v/>
      </c>
      <c r="D4889" s="8">
        <f>QS.CONTEXT.ADD.CURVE(C4889,"SOFR",$K$2:$K$7,$L$2:$L$7,,,"Actual360","LogLinear",TRUE)</f>
        <v/>
      </c>
      <c r="E4889" s="8">
        <f>QS.INSTRUMENT.SWAP("swap.4887",C4889,H4889,B4889,"USD","SOFR",I4889,J4889,0,"Actual360","Simple","Annual","Annual","Annual")</f>
        <v/>
      </c>
      <c r="F4889" s="8">
        <f>QS.TRADE.CREATE("trade.4887",C4889,E4889,A4889,"Receive")</f>
        <v/>
      </c>
      <c r="G4889" s="5"/>
      <c r="H4889" s="7" t="s">
        <v>4930</v>
      </c>
      <c r="I4889" s="9">
        <v>1488700</v>
      </c>
      <c r="J4889" s="10">
        <v>0.03870000000000001</v>
      </c>
    </row>
    <row r="4890" spans="1:10">
      <c r="A4890" s="7" t="s">
        <v>4924</v>
      </c>
      <c r="B4890" s="7" t="s">
        <v>6757</v>
      </c>
      <c r="C4890" s="8">
        <f>QS.CONTEXT.CREATE("market.4888",A4890,"USD","SOFR")</f>
        <v/>
      </c>
      <c r="D4890" s="8">
        <f>QS.CONTEXT.ADD.CURVE(C4890,"SOFR",$K$2:$K$7,$L$2:$L$7,,,"Actual360","LogLinear",TRUE)</f>
        <v/>
      </c>
      <c r="E4890" s="8">
        <f>QS.INSTRUMENT.SWAP("swap.4888",C4890,H4890,B4890,"USD","SOFR",I4890,J4890,0,"Actual360","Simple","Annual","Annual","Annual")</f>
        <v/>
      </c>
      <c r="F4890" s="8">
        <f>QS.TRADE.CREATE("trade.4888",C4890,E4890,A4890,"Receive")</f>
        <v/>
      </c>
      <c r="G4890" s="5"/>
      <c r="H4890" s="7" t="s">
        <v>4931</v>
      </c>
      <c r="I4890" s="9">
        <v>1488800</v>
      </c>
      <c r="J4890" s="10">
        <v>0.0388</v>
      </c>
    </row>
    <row r="4891" spans="1:10">
      <c r="A4891" s="7" t="s">
        <v>4925</v>
      </c>
      <c r="B4891" s="7" t="s">
        <v>6758</v>
      </c>
      <c r="C4891" s="8">
        <f>QS.CONTEXT.CREATE("market.4889",A4891,"USD","SOFR")</f>
        <v/>
      </c>
      <c r="D4891" s="8">
        <f>QS.CONTEXT.ADD.CURVE(C4891,"SOFR",$K$2:$K$7,$L$2:$L$7,,,"Actual360","LogLinear",TRUE)</f>
        <v/>
      </c>
      <c r="E4891" s="8">
        <f>QS.INSTRUMENT.SWAP("swap.4889",C4891,H4891,B4891,"USD","SOFR",I4891,J4891,0,"Actual360","Simple","Annual","Annual","Annual")</f>
        <v/>
      </c>
      <c r="F4891" s="8">
        <f>QS.TRADE.CREATE("trade.4889",C4891,E4891,A4891,"Receive")</f>
        <v/>
      </c>
      <c r="G4891" s="5"/>
      <c r="H4891" s="7" t="s">
        <v>4932</v>
      </c>
      <c r="I4891" s="9">
        <v>1488900</v>
      </c>
      <c r="J4891" s="10">
        <v>0.0389</v>
      </c>
    </row>
    <row r="4892" spans="1:10">
      <c r="A4892" s="7" t="s">
        <v>4926</v>
      </c>
      <c r="B4892" s="7" t="s">
        <v>6759</v>
      </c>
      <c r="C4892" s="8">
        <f>QS.CONTEXT.CREATE("market.4890",A4892,"USD","SOFR")</f>
        <v/>
      </c>
      <c r="D4892" s="8">
        <f>QS.CONTEXT.ADD.CURVE(C4892,"SOFR",$K$2:$K$7,$L$2:$L$7,,,"Actual360","LogLinear",TRUE)</f>
        <v/>
      </c>
      <c r="E4892" s="8">
        <f>QS.INSTRUMENT.SWAP("swap.4890",C4892,H4892,B4892,"USD","SOFR",I4892,J4892,0,"Actual360","Simple","Annual","Annual","Annual")</f>
        <v/>
      </c>
      <c r="F4892" s="8">
        <f>QS.TRADE.CREATE("trade.4890",C4892,E4892,A4892,"Receive")</f>
        <v/>
      </c>
      <c r="G4892" s="5"/>
      <c r="H4892" s="7" t="s">
        <v>4933</v>
      </c>
      <c r="I4892" s="9">
        <v>1489000</v>
      </c>
      <c r="J4892" s="10">
        <v>0.03900000000000001</v>
      </c>
    </row>
    <row r="4893" spans="1:10">
      <c r="A4893" s="7" t="s">
        <v>4927</v>
      </c>
      <c r="B4893" s="7" t="s">
        <v>6760</v>
      </c>
      <c r="C4893" s="8">
        <f>QS.CONTEXT.CREATE("market.4891",A4893,"USD","SOFR")</f>
        <v/>
      </c>
      <c r="D4893" s="8">
        <f>QS.CONTEXT.ADD.CURVE(C4893,"SOFR",$K$2:$K$7,$L$2:$L$7,,,"Actual360","LogLinear",TRUE)</f>
        <v/>
      </c>
      <c r="E4893" s="8">
        <f>QS.INSTRUMENT.SWAP("swap.4891",C4893,H4893,B4893,"USD","SOFR",I4893,J4893,0,"Actual360","Simple","Annual","Annual","Annual")</f>
        <v/>
      </c>
      <c r="F4893" s="8">
        <f>QS.TRADE.CREATE("trade.4891",C4893,E4893,A4893,"Receive")</f>
        <v/>
      </c>
      <c r="G4893" s="5"/>
      <c r="H4893" s="7" t="s">
        <v>4934</v>
      </c>
      <c r="I4893" s="9">
        <v>1489100</v>
      </c>
      <c r="J4893" s="10">
        <v>0.0391</v>
      </c>
    </row>
    <row r="4894" spans="1:10">
      <c r="A4894" s="7" t="s">
        <v>4928</v>
      </c>
      <c r="B4894" s="7" t="s">
        <v>6761</v>
      </c>
      <c r="C4894" s="8">
        <f>QS.CONTEXT.CREATE("market.4892",A4894,"USD","SOFR")</f>
        <v/>
      </c>
      <c r="D4894" s="8">
        <f>QS.CONTEXT.ADD.CURVE(C4894,"SOFR",$K$2:$K$7,$L$2:$L$7,,,"Actual360","LogLinear",TRUE)</f>
        <v/>
      </c>
      <c r="E4894" s="8">
        <f>QS.INSTRUMENT.SWAP("swap.4892",C4894,H4894,B4894,"USD","SOFR",I4894,J4894,0,"Actual360","Simple","Annual","Annual","Annual")</f>
        <v/>
      </c>
      <c r="F4894" s="8">
        <f>QS.TRADE.CREATE("trade.4892",C4894,E4894,A4894,"Receive")</f>
        <v/>
      </c>
      <c r="G4894" s="5"/>
      <c r="H4894" s="7" t="s">
        <v>4935</v>
      </c>
      <c r="I4894" s="9">
        <v>1489200</v>
      </c>
      <c r="J4894" s="10">
        <v>0.03920000000000001</v>
      </c>
    </row>
    <row r="4895" spans="1:10">
      <c r="A4895" s="7" t="s">
        <v>4929</v>
      </c>
      <c r="B4895" s="7" t="s">
        <v>6762</v>
      </c>
      <c r="C4895" s="8">
        <f>QS.CONTEXT.CREATE("market.4893",A4895,"USD","SOFR")</f>
        <v/>
      </c>
      <c r="D4895" s="8">
        <f>QS.CONTEXT.ADD.CURVE(C4895,"SOFR",$K$2:$K$7,$L$2:$L$7,,,"Actual360","LogLinear",TRUE)</f>
        <v/>
      </c>
      <c r="E4895" s="8">
        <f>QS.INSTRUMENT.SWAP("swap.4893",C4895,H4895,B4895,"USD","SOFR",I4895,J4895,0,"Actual360","Simple","Annual","Annual","Annual")</f>
        <v/>
      </c>
      <c r="F4895" s="8">
        <f>QS.TRADE.CREATE("trade.4893",C4895,E4895,A4895,"Receive")</f>
        <v/>
      </c>
      <c r="G4895" s="5"/>
      <c r="H4895" s="7" t="s">
        <v>4936</v>
      </c>
      <c r="I4895" s="9">
        <v>1489300</v>
      </c>
      <c r="J4895" s="10">
        <v>0.0393</v>
      </c>
    </row>
    <row r="4896" spans="1:10">
      <c r="A4896" s="7" t="s">
        <v>4930</v>
      </c>
      <c r="B4896" s="7" t="s">
        <v>6763</v>
      </c>
      <c r="C4896" s="8">
        <f>QS.CONTEXT.CREATE("market.4894",A4896,"USD","SOFR")</f>
        <v/>
      </c>
      <c r="D4896" s="8">
        <f>QS.CONTEXT.ADD.CURVE(C4896,"SOFR",$K$2:$K$7,$L$2:$L$7,,,"Actual360","LogLinear",TRUE)</f>
        <v/>
      </c>
      <c r="E4896" s="8">
        <f>QS.INSTRUMENT.SWAP("swap.4894",C4896,H4896,B4896,"USD","SOFR",I4896,J4896,0,"Actual360","Simple","Annual","Annual","Annual")</f>
        <v/>
      </c>
      <c r="F4896" s="8">
        <f>QS.TRADE.CREATE("trade.4894",C4896,E4896,A4896,"Receive")</f>
        <v/>
      </c>
      <c r="G4896" s="5"/>
      <c r="H4896" s="7" t="s">
        <v>4937</v>
      </c>
      <c r="I4896" s="9">
        <v>1489400</v>
      </c>
      <c r="J4896" s="10">
        <v>0.0394</v>
      </c>
    </row>
    <row r="4897" spans="1:10">
      <c r="A4897" s="7" t="s">
        <v>4931</v>
      </c>
      <c r="B4897" s="7" t="s">
        <v>6764</v>
      </c>
      <c r="C4897" s="8">
        <f>QS.CONTEXT.CREATE("market.4895",A4897,"USD","SOFR")</f>
        <v/>
      </c>
      <c r="D4897" s="8">
        <f>QS.CONTEXT.ADD.CURVE(C4897,"SOFR",$K$2:$K$7,$L$2:$L$7,,,"Actual360","LogLinear",TRUE)</f>
        <v/>
      </c>
      <c r="E4897" s="8">
        <f>QS.INSTRUMENT.SWAP("swap.4895",C4897,H4897,B4897,"USD","SOFR",I4897,J4897,0,"Actual360","Simple","Annual","Annual","Annual")</f>
        <v/>
      </c>
      <c r="F4897" s="8">
        <f>QS.TRADE.CREATE("trade.4895",C4897,E4897,A4897,"Receive")</f>
        <v/>
      </c>
      <c r="G4897" s="5"/>
      <c r="H4897" s="7" t="s">
        <v>4938</v>
      </c>
      <c r="I4897" s="9">
        <v>1489500</v>
      </c>
      <c r="J4897" s="10">
        <v>0.03950000000000001</v>
      </c>
    </row>
    <row r="4898" spans="1:10">
      <c r="A4898" s="7" t="s">
        <v>4932</v>
      </c>
      <c r="B4898" s="7" t="s">
        <v>6765</v>
      </c>
      <c r="C4898" s="8">
        <f>QS.CONTEXT.CREATE("market.4896",A4898,"USD","SOFR")</f>
        <v/>
      </c>
      <c r="D4898" s="8">
        <f>QS.CONTEXT.ADD.CURVE(C4898,"SOFR",$K$2:$K$7,$L$2:$L$7,,,"Actual360","LogLinear",TRUE)</f>
        <v/>
      </c>
      <c r="E4898" s="8">
        <f>QS.INSTRUMENT.SWAP("swap.4896",C4898,H4898,B4898,"USD","SOFR",I4898,J4898,0,"Actual360","Simple","Annual","Annual","Annual")</f>
        <v/>
      </c>
      <c r="F4898" s="8">
        <f>QS.TRADE.CREATE("trade.4896",C4898,E4898,A4898,"Receive")</f>
        <v/>
      </c>
      <c r="G4898" s="5"/>
      <c r="H4898" s="7" t="s">
        <v>4939</v>
      </c>
      <c r="I4898" s="9">
        <v>1489600</v>
      </c>
      <c r="J4898" s="10">
        <v>0.0396</v>
      </c>
    </row>
    <row r="4899" spans="1:10">
      <c r="A4899" s="7" t="s">
        <v>4933</v>
      </c>
      <c r="B4899" s="7" t="s">
        <v>6766</v>
      </c>
      <c r="C4899" s="8">
        <f>QS.CONTEXT.CREATE("market.4897",A4899,"USD","SOFR")</f>
        <v/>
      </c>
      <c r="D4899" s="8">
        <f>QS.CONTEXT.ADD.CURVE(C4899,"SOFR",$K$2:$K$7,$L$2:$L$7,,,"Actual360","LogLinear",TRUE)</f>
        <v/>
      </c>
      <c r="E4899" s="8">
        <f>QS.INSTRUMENT.SWAP("swap.4897",C4899,H4899,B4899,"USD","SOFR",I4899,J4899,0,"Actual360","Simple","Annual","Annual","Annual")</f>
        <v/>
      </c>
      <c r="F4899" s="8">
        <f>QS.TRADE.CREATE("trade.4897",C4899,E4899,A4899,"Receive")</f>
        <v/>
      </c>
      <c r="G4899" s="5"/>
      <c r="H4899" s="7" t="s">
        <v>4940</v>
      </c>
      <c r="I4899" s="9">
        <v>1489700</v>
      </c>
      <c r="J4899" s="10">
        <v>0.03970000000000001</v>
      </c>
    </row>
    <row r="4900" spans="1:10">
      <c r="A4900" s="7" t="s">
        <v>4934</v>
      </c>
      <c r="B4900" s="7" t="s">
        <v>6767</v>
      </c>
      <c r="C4900" s="8">
        <f>QS.CONTEXT.CREATE("market.4898",A4900,"USD","SOFR")</f>
        <v/>
      </c>
      <c r="D4900" s="8">
        <f>QS.CONTEXT.ADD.CURVE(C4900,"SOFR",$K$2:$K$7,$L$2:$L$7,,,"Actual360","LogLinear",TRUE)</f>
        <v/>
      </c>
      <c r="E4900" s="8">
        <f>QS.INSTRUMENT.SWAP("swap.4898",C4900,H4900,B4900,"USD","SOFR",I4900,J4900,0,"Actual360","Simple","Annual","Annual","Annual")</f>
        <v/>
      </c>
      <c r="F4900" s="8">
        <f>QS.TRADE.CREATE("trade.4898",C4900,E4900,A4900,"Receive")</f>
        <v/>
      </c>
      <c r="G4900" s="5"/>
      <c r="H4900" s="7" t="s">
        <v>4941</v>
      </c>
      <c r="I4900" s="9">
        <v>1489800</v>
      </c>
      <c r="J4900" s="10">
        <v>0.0398</v>
      </c>
    </row>
    <row r="4901" spans="1:10">
      <c r="A4901" s="7" t="s">
        <v>4935</v>
      </c>
      <c r="B4901" s="7" t="s">
        <v>6768</v>
      </c>
      <c r="C4901" s="8">
        <f>QS.CONTEXT.CREATE("market.4899",A4901,"USD","SOFR")</f>
        <v/>
      </c>
      <c r="D4901" s="8">
        <f>QS.CONTEXT.ADD.CURVE(C4901,"SOFR",$K$2:$K$7,$L$2:$L$7,,,"Actual360","LogLinear",TRUE)</f>
        <v/>
      </c>
      <c r="E4901" s="8">
        <f>QS.INSTRUMENT.SWAP("swap.4899",C4901,H4901,B4901,"USD","SOFR",I4901,J4901,0,"Actual360","Simple","Annual","Annual","Annual")</f>
        <v/>
      </c>
      <c r="F4901" s="8">
        <f>QS.TRADE.CREATE("trade.4899",C4901,E4901,A4901,"Receive")</f>
        <v/>
      </c>
      <c r="G4901" s="5"/>
      <c r="H4901" s="7" t="s">
        <v>4942</v>
      </c>
      <c r="I4901" s="9">
        <v>1489900</v>
      </c>
      <c r="J4901" s="10">
        <v>0.0399</v>
      </c>
    </row>
    <row r="4902" spans="1:10">
      <c r="A4902" s="7" t="s">
        <v>4936</v>
      </c>
      <c r="B4902" s="7" t="s">
        <v>6769</v>
      </c>
      <c r="C4902" s="8">
        <f>QS.CONTEXT.CREATE("market.4900",A4902,"USD","SOFR")</f>
        <v/>
      </c>
      <c r="D4902" s="8">
        <f>QS.CONTEXT.ADD.CURVE(C4902,"SOFR",$K$2:$K$7,$L$2:$L$7,,,"Actual360","LogLinear",TRUE)</f>
        <v/>
      </c>
      <c r="E4902" s="8">
        <f>QS.INSTRUMENT.SWAP("swap.4900",C4902,H4902,B4902,"USD","SOFR",I4902,J4902,0,"Actual360","Simple","Annual","Annual","Annual")</f>
        <v/>
      </c>
      <c r="F4902" s="8">
        <f>QS.TRADE.CREATE("trade.4900",C4902,E4902,A4902,"Receive")</f>
        <v/>
      </c>
      <c r="G4902" s="5"/>
      <c r="H4902" s="7" t="s">
        <v>4943</v>
      </c>
      <c r="I4902" s="9">
        <v>1490000</v>
      </c>
      <c r="J4902" s="10">
        <v>0.035</v>
      </c>
    </row>
    <row r="4903" spans="1:10">
      <c r="A4903" s="7" t="s">
        <v>4937</v>
      </c>
      <c r="B4903" s="7" t="s">
        <v>6770</v>
      </c>
      <c r="C4903" s="8">
        <f>QS.CONTEXT.CREATE("market.4901",A4903,"USD","SOFR")</f>
        <v/>
      </c>
      <c r="D4903" s="8">
        <f>QS.CONTEXT.ADD.CURVE(C4903,"SOFR",$K$2:$K$7,$L$2:$L$7,,,"Actual360","LogLinear",TRUE)</f>
        <v/>
      </c>
      <c r="E4903" s="8">
        <f>QS.INSTRUMENT.SWAP("swap.4901",C4903,H4903,B4903,"USD","SOFR",I4903,J4903,0,"Actual360","Simple","Annual","Annual","Annual")</f>
        <v/>
      </c>
      <c r="F4903" s="8">
        <f>QS.TRADE.CREATE("trade.4901",C4903,E4903,A4903,"Receive")</f>
        <v/>
      </c>
      <c r="G4903" s="5"/>
      <c r="H4903" s="7" t="s">
        <v>4944</v>
      </c>
      <c r="I4903" s="9">
        <v>1490100</v>
      </c>
      <c r="J4903" s="10">
        <v>0.03510000000000001</v>
      </c>
    </row>
    <row r="4904" spans="1:10">
      <c r="A4904" s="7" t="s">
        <v>4938</v>
      </c>
      <c r="B4904" s="7" t="s">
        <v>6771</v>
      </c>
      <c r="C4904" s="8">
        <f>QS.CONTEXT.CREATE("market.4902",A4904,"USD","SOFR")</f>
        <v/>
      </c>
      <c r="D4904" s="8">
        <f>QS.CONTEXT.ADD.CURVE(C4904,"SOFR",$K$2:$K$7,$L$2:$L$7,,,"Actual360","LogLinear",TRUE)</f>
        <v/>
      </c>
      <c r="E4904" s="8">
        <f>QS.INSTRUMENT.SWAP("swap.4902",C4904,H4904,B4904,"USD","SOFR",I4904,J4904,0,"Actual360","Simple","Annual","Annual","Annual")</f>
        <v/>
      </c>
      <c r="F4904" s="8">
        <f>QS.TRADE.CREATE("trade.4902",C4904,E4904,A4904,"Receive")</f>
        <v/>
      </c>
      <c r="G4904" s="5"/>
      <c r="H4904" s="7" t="s">
        <v>4945</v>
      </c>
      <c r="I4904" s="9">
        <v>1490200</v>
      </c>
      <c r="J4904" s="10">
        <v>0.0352</v>
      </c>
    </row>
    <row r="4905" spans="1:10">
      <c r="A4905" s="7" t="s">
        <v>4939</v>
      </c>
      <c r="B4905" s="7" t="s">
        <v>6772</v>
      </c>
      <c r="C4905" s="8">
        <f>QS.CONTEXT.CREATE("market.4903",A4905,"USD","SOFR")</f>
        <v/>
      </c>
      <c r="D4905" s="8">
        <f>QS.CONTEXT.ADD.CURVE(C4905,"SOFR",$K$2:$K$7,$L$2:$L$7,,,"Actual360","LogLinear",TRUE)</f>
        <v/>
      </c>
      <c r="E4905" s="8">
        <f>QS.INSTRUMENT.SWAP("swap.4903",C4905,H4905,B4905,"USD","SOFR",I4905,J4905,0,"Actual360","Simple","Annual","Annual","Annual")</f>
        <v/>
      </c>
      <c r="F4905" s="8">
        <f>QS.TRADE.CREATE("trade.4903",C4905,E4905,A4905,"Receive")</f>
        <v/>
      </c>
      <c r="G4905" s="5"/>
      <c r="H4905" s="7" t="s">
        <v>4946</v>
      </c>
      <c r="I4905" s="9">
        <v>1490300</v>
      </c>
      <c r="J4905" s="10">
        <v>0.0353</v>
      </c>
    </row>
    <row r="4906" spans="1:10">
      <c r="A4906" s="7" t="s">
        <v>4940</v>
      </c>
      <c r="B4906" s="7" t="s">
        <v>6773</v>
      </c>
      <c r="C4906" s="8">
        <f>QS.CONTEXT.CREATE("market.4904",A4906,"USD","SOFR")</f>
        <v/>
      </c>
      <c r="D4906" s="8">
        <f>QS.CONTEXT.ADD.CURVE(C4906,"SOFR",$K$2:$K$7,$L$2:$L$7,,,"Actual360","LogLinear",TRUE)</f>
        <v/>
      </c>
      <c r="E4906" s="8">
        <f>QS.INSTRUMENT.SWAP("swap.4904",C4906,H4906,B4906,"USD","SOFR",I4906,J4906,0,"Actual360","Simple","Annual","Annual","Annual")</f>
        <v/>
      </c>
      <c r="F4906" s="8">
        <f>QS.TRADE.CREATE("trade.4904",C4906,E4906,A4906,"Receive")</f>
        <v/>
      </c>
      <c r="G4906" s="5"/>
      <c r="H4906" s="7" t="s">
        <v>4947</v>
      </c>
      <c r="I4906" s="9">
        <v>1490400</v>
      </c>
      <c r="J4906" s="10">
        <v>0.0354</v>
      </c>
    </row>
    <row r="4907" spans="1:10">
      <c r="A4907" s="7" t="s">
        <v>4941</v>
      </c>
      <c r="B4907" s="7" t="s">
        <v>6774</v>
      </c>
      <c r="C4907" s="8">
        <f>QS.CONTEXT.CREATE("market.4905",A4907,"USD","SOFR")</f>
        <v/>
      </c>
      <c r="D4907" s="8">
        <f>QS.CONTEXT.ADD.CURVE(C4907,"SOFR",$K$2:$K$7,$L$2:$L$7,,,"Actual360","LogLinear",TRUE)</f>
        <v/>
      </c>
      <c r="E4907" s="8">
        <f>QS.INSTRUMENT.SWAP("swap.4905",C4907,H4907,B4907,"USD","SOFR",I4907,J4907,0,"Actual360","Simple","Annual","Annual","Annual")</f>
        <v/>
      </c>
      <c r="F4907" s="8">
        <f>QS.TRADE.CREATE("trade.4905",C4907,E4907,A4907,"Receive")</f>
        <v/>
      </c>
      <c r="G4907" s="5"/>
      <c r="H4907" s="7" t="s">
        <v>4948</v>
      </c>
      <c r="I4907" s="9">
        <v>1490500</v>
      </c>
      <c r="J4907" s="10">
        <v>0.0355</v>
      </c>
    </row>
    <row r="4908" spans="1:10">
      <c r="A4908" s="7" t="s">
        <v>4942</v>
      </c>
      <c r="B4908" s="7" t="s">
        <v>6775</v>
      </c>
      <c r="C4908" s="8">
        <f>QS.CONTEXT.CREATE("market.4906",A4908,"USD","SOFR")</f>
        <v/>
      </c>
      <c r="D4908" s="8">
        <f>QS.CONTEXT.ADD.CURVE(C4908,"SOFR",$K$2:$K$7,$L$2:$L$7,,,"Actual360","LogLinear",TRUE)</f>
        <v/>
      </c>
      <c r="E4908" s="8">
        <f>QS.INSTRUMENT.SWAP("swap.4906",C4908,H4908,B4908,"USD","SOFR",I4908,J4908,0,"Actual360","Simple","Annual","Annual","Annual")</f>
        <v/>
      </c>
      <c r="F4908" s="8">
        <f>QS.TRADE.CREATE("trade.4906",C4908,E4908,A4908,"Receive")</f>
        <v/>
      </c>
      <c r="G4908" s="5"/>
      <c r="H4908" s="7" t="s">
        <v>4949</v>
      </c>
      <c r="I4908" s="9">
        <v>1490600</v>
      </c>
      <c r="J4908" s="10">
        <v>0.03560000000000001</v>
      </c>
    </row>
    <row r="4909" spans="1:10">
      <c r="A4909" s="7" t="s">
        <v>4943</v>
      </c>
      <c r="B4909" s="7" t="s">
        <v>6776</v>
      </c>
      <c r="C4909" s="8">
        <f>QS.CONTEXT.CREATE("market.4907",A4909,"USD","SOFR")</f>
        <v/>
      </c>
      <c r="D4909" s="8">
        <f>QS.CONTEXT.ADD.CURVE(C4909,"SOFR",$K$2:$K$7,$L$2:$L$7,,,"Actual360","LogLinear",TRUE)</f>
        <v/>
      </c>
      <c r="E4909" s="8">
        <f>QS.INSTRUMENT.SWAP("swap.4907",C4909,H4909,B4909,"USD","SOFR",I4909,J4909,0,"Actual360","Simple","Annual","Annual","Annual")</f>
        <v/>
      </c>
      <c r="F4909" s="8">
        <f>QS.TRADE.CREATE("trade.4907",C4909,E4909,A4909,"Receive")</f>
        <v/>
      </c>
      <c r="G4909" s="5"/>
      <c r="H4909" s="7" t="s">
        <v>4950</v>
      </c>
      <c r="I4909" s="9">
        <v>1490700</v>
      </c>
      <c r="J4909" s="10">
        <v>0.0357</v>
      </c>
    </row>
    <row r="4910" spans="1:10">
      <c r="A4910" s="7" t="s">
        <v>4944</v>
      </c>
      <c r="B4910" s="7" t="s">
        <v>6777</v>
      </c>
      <c r="C4910" s="8">
        <f>QS.CONTEXT.CREATE("market.4908",A4910,"USD","SOFR")</f>
        <v/>
      </c>
      <c r="D4910" s="8">
        <f>QS.CONTEXT.ADD.CURVE(C4910,"SOFR",$K$2:$K$7,$L$2:$L$7,,,"Actual360","LogLinear",TRUE)</f>
        <v/>
      </c>
      <c r="E4910" s="8">
        <f>QS.INSTRUMENT.SWAP("swap.4908",C4910,H4910,B4910,"USD","SOFR",I4910,J4910,0,"Actual360","Simple","Annual","Annual","Annual")</f>
        <v/>
      </c>
      <c r="F4910" s="8">
        <f>QS.TRADE.CREATE("trade.4908",C4910,E4910,A4910,"Receive")</f>
        <v/>
      </c>
      <c r="G4910" s="5"/>
      <c r="H4910" s="7" t="s">
        <v>4951</v>
      </c>
      <c r="I4910" s="9">
        <v>1490800</v>
      </c>
      <c r="J4910" s="10">
        <v>0.03580000000000001</v>
      </c>
    </row>
    <row r="4911" spans="1:10">
      <c r="A4911" s="7" t="s">
        <v>4945</v>
      </c>
      <c r="B4911" s="7" t="s">
        <v>6778</v>
      </c>
      <c r="C4911" s="8">
        <f>QS.CONTEXT.CREATE("market.4909",A4911,"USD","SOFR")</f>
        <v/>
      </c>
      <c r="D4911" s="8">
        <f>QS.CONTEXT.ADD.CURVE(C4911,"SOFR",$K$2:$K$7,$L$2:$L$7,,,"Actual360","LogLinear",TRUE)</f>
        <v/>
      </c>
      <c r="E4911" s="8">
        <f>QS.INSTRUMENT.SWAP("swap.4909",C4911,H4911,B4911,"USD","SOFR",I4911,J4911,0,"Actual360","Simple","Annual","Annual","Annual")</f>
        <v/>
      </c>
      <c r="F4911" s="8">
        <f>QS.TRADE.CREATE("trade.4909",C4911,E4911,A4911,"Receive")</f>
        <v/>
      </c>
      <c r="G4911" s="5"/>
      <c r="H4911" s="7" t="s">
        <v>4952</v>
      </c>
      <c r="I4911" s="9">
        <v>1490900</v>
      </c>
      <c r="J4911" s="10">
        <v>0.0359</v>
      </c>
    </row>
    <row r="4912" spans="1:10">
      <c r="A4912" s="7" t="s">
        <v>4946</v>
      </c>
      <c r="B4912" s="7" t="s">
        <v>6779</v>
      </c>
      <c r="C4912" s="8">
        <f>QS.CONTEXT.CREATE("market.4910",A4912,"USD","SOFR")</f>
        <v/>
      </c>
      <c r="D4912" s="8">
        <f>QS.CONTEXT.ADD.CURVE(C4912,"SOFR",$K$2:$K$7,$L$2:$L$7,,,"Actual360","LogLinear",TRUE)</f>
        <v/>
      </c>
      <c r="E4912" s="8">
        <f>QS.INSTRUMENT.SWAP("swap.4910",C4912,H4912,B4912,"USD","SOFR",I4912,J4912,0,"Actual360","Simple","Annual","Annual","Annual")</f>
        <v/>
      </c>
      <c r="F4912" s="8">
        <f>QS.TRADE.CREATE("trade.4910",C4912,E4912,A4912,"Receive")</f>
        <v/>
      </c>
      <c r="G4912" s="5"/>
      <c r="H4912" s="7" t="s">
        <v>4953</v>
      </c>
      <c r="I4912" s="9">
        <v>1491000</v>
      </c>
      <c r="J4912" s="10">
        <v>0.036</v>
      </c>
    </row>
    <row r="4913" spans="1:10">
      <c r="A4913" s="7" t="s">
        <v>4947</v>
      </c>
      <c r="B4913" s="7" t="s">
        <v>6780</v>
      </c>
      <c r="C4913" s="8">
        <f>QS.CONTEXT.CREATE("market.4911",A4913,"USD","SOFR")</f>
        <v/>
      </c>
      <c r="D4913" s="8">
        <f>QS.CONTEXT.ADD.CURVE(C4913,"SOFR",$K$2:$K$7,$L$2:$L$7,,,"Actual360","LogLinear",TRUE)</f>
        <v/>
      </c>
      <c r="E4913" s="8">
        <f>QS.INSTRUMENT.SWAP("swap.4911",C4913,H4913,B4913,"USD","SOFR",I4913,J4913,0,"Actual360","Simple","Annual","Annual","Annual")</f>
        <v/>
      </c>
      <c r="F4913" s="8">
        <f>QS.TRADE.CREATE("trade.4911",C4913,E4913,A4913,"Receive")</f>
        <v/>
      </c>
      <c r="G4913" s="5"/>
      <c r="H4913" s="7" t="s">
        <v>4954</v>
      </c>
      <c r="I4913" s="9">
        <v>1491100</v>
      </c>
      <c r="J4913" s="10">
        <v>0.0361</v>
      </c>
    </row>
    <row r="4914" spans="1:10">
      <c r="A4914" s="7" t="s">
        <v>4948</v>
      </c>
      <c r="B4914" s="7" t="s">
        <v>6781</v>
      </c>
      <c r="C4914" s="8">
        <f>QS.CONTEXT.CREATE("market.4912",A4914,"USD","SOFR")</f>
        <v/>
      </c>
      <c r="D4914" s="8">
        <f>QS.CONTEXT.ADD.CURVE(C4914,"SOFR",$K$2:$K$7,$L$2:$L$7,,,"Actual360","LogLinear",TRUE)</f>
        <v/>
      </c>
      <c r="E4914" s="8">
        <f>QS.INSTRUMENT.SWAP("swap.4912",C4914,H4914,B4914,"USD","SOFR",I4914,J4914,0,"Actual360","Simple","Annual","Annual","Annual")</f>
        <v/>
      </c>
      <c r="F4914" s="8">
        <f>QS.TRADE.CREATE("trade.4912",C4914,E4914,A4914,"Receive")</f>
        <v/>
      </c>
      <c r="G4914" s="5"/>
      <c r="H4914" s="7" t="s">
        <v>4955</v>
      </c>
      <c r="I4914" s="9">
        <v>1491200</v>
      </c>
      <c r="J4914" s="10">
        <v>0.0362</v>
      </c>
    </row>
    <row r="4915" spans="1:10">
      <c r="A4915" s="7" t="s">
        <v>4949</v>
      </c>
      <c r="B4915" s="7" t="s">
        <v>6782</v>
      </c>
      <c r="C4915" s="8">
        <f>QS.CONTEXT.CREATE("market.4913",A4915,"USD","SOFR")</f>
        <v/>
      </c>
      <c r="D4915" s="8">
        <f>QS.CONTEXT.ADD.CURVE(C4915,"SOFR",$K$2:$K$7,$L$2:$L$7,,,"Actual360","LogLinear",TRUE)</f>
        <v/>
      </c>
      <c r="E4915" s="8">
        <f>QS.INSTRUMENT.SWAP("swap.4913",C4915,H4915,B4915,"USD","SOFR",I4915,J4915,0,"Actual360","Simple","Annual","Annual","Annual")</f>
        <v/>
      </c>
      <c r="F4915" s="8">
        <f>QS.TRADE.CREATE("trade.4913",C4915,E4915,A4915,"Receive")</f>
        <v/>
      </c>
      <c r="G4915" s="5"/>
      <c r="H4915" s="7" t="s">
        <v>4956</v>
      </c>
      <c r="I4915" s="9">
        <v>1491300</v>
      </c>
      <c r="J4915" s="10">
        <v>0.03630000000000001</v>
      </c>
    </row>
    <row r="4916" spans="1:10">
      <c r="A4916" s="7" t="s">
        <v>4950</v>
      </c>
      <c r="B4916" s="7" t="s">
        <v>6783</v>
      </c>
      <c r="C4916" s="8">
        <f>QS.CONTEXT.CREATE("market.4914",A4916,"USD","SOFR")</f>
        <v/>
      </c>
      <c r="D4916" s="8">
        <f>QS.CONTEXT.ADD.CURVE(C4916,"SOFR",$K$2:$K$7,$L$2:$L$7,,,"Actual360","LogLinear",TRUE)</f>
        <v/>
      </c>
      <c r="E4916" s="8">
        <f>QS.INSTRUMENT.SWAP("swap.4914",C4916,H4916,B4916,"USD","SOFR",I4916,J4916,0,"Actual360","Simple","Annual","Annual","Annual")</f>
        <v/>
      </c>
      <c r="F4916" s="8">
        <f>QS.TRADE.CREATE("trade.4914",C4916,E4916,A4916,"Receive")</f>
        <v/>
      </c>
      <c r="G4916" s="5"/>
      <c r="H4916" s="7" t="s">
        <v>4957</v>
      </c>
      <c r="I4916" s="9">
        <v>1491400</v>
      </c>
      <c r="J4916" s="10">
        <v>0.0364</v>
      </c>
    </row>
    <row r="4917" spans="1:10">
      <c r="A4917" s="7" t="s">
        <v>4951</v>
      </c>
      <c r="B4917" s="7" t="s">
        <v>6784</v>
      </c>
      <c r="C4917" s="8">
        <f>QS.CONTEXT.CREATE("market.4915",A4917,"USD","SOFR")</f>
        <v/>
      </c>
      <c r="D4917" s="8">
        <f>QS.CONTEXT.ADD.CURVE(C4917,"SOFR",$K$2:$K$7,$L$2:$L$7,,,"Actual360","LogLinear",TRUE)</f>
        <v/>
      </c>
      <c r="E4917" s="8">
        <f>QS.INSTRUMENT.SWAP("swap.4915",C4917,H4917,B4917,"USD","SOFR",I4917,J4917,0,"Actual360","Simple","Annual","Annual","Annual")</f>
        <v/>
      </c>
      <c r="F4917" s="8">
        <f>QS.TRADE.CREATE("trade.4915",C4917,E4917,A4917,"Receive")</f>
        <v/>
      </c>
      <c r="G4917" s="5"/>
      <c r="H4917" s="7" t="s">
        <v>4958</v>
      </c>
      <c r="I4917" s="9">
        <v>1491500</v>
      </c>
      <c r="J4917" s="10">
        <v>0.0365</v>
      </c>
    </row>
    <row r="4918" spans="1:10">
      <c r="A4918" s="7" t="s">
        <v>4952</v>
      </c>
      <c r="B4918" s="7" t="s">
        <v>6785</v>
      </c>
      <c r="C4918" s="8">
        <f>QS.CONTEXT.CREATE("market.4916",A4918,"USD","SOFR")</f>
        <v/>
      </c>
      <c r="D4918" s="8">
        <f>QS.CONTEXT.ADD.CURVE(C4918,"SOFR",$K$2:$K$7,$L$2:$L$7,,,"Actual360","LogLinear",TRUE)</f>
        <v/>
      </c>
      <c r="E4918" s="8">
        <f>QS.INSTRUMENT.SWAP("swap.4916",C4918,H4918,B4918,"USD","SOFR",I4918,J4918,0,"Actual360","Simple","Annual","Annual","Annual")</f>
        <v/>
      </c>
      <c r="F4918" s="8">
        <f>QS.TRADE.CREATE("trade.4916",C4918,E4918,A4918,"Receive")</f>
        <v/>
      </c>
      <c r="G4918" s="5"/>
      <c r="H4918" s="7" t="s">
        <v>4959</v>
      </c>
      <c r="I4918" s="9">
        <v>1491600</v>
      </c>
      <c r="J4918" s="10">
        <v>0.0366</v>
      </c>
    </row>
    <row r="4919" spans="1:10">
      <c r="A4919" s="7" t="s">
        <v>4953</v>
      </c>
      <c r="B4919" s="7" t="s">
        <v>6786</v>
      </c>
      <c r="C4919" s="8">
        <f>QS.CONTEXT.CREATE("market.4917",A4919,"USD","SOFR")</f>
        <v/>
      </c>
      <c r="D4919" s="8">
        <f>QS.CONTEXT.ADD.CURVE(C4919,"SOFR",$K$2:$K$7,$L$2:$L$7,,,"Actual360","LogLinear",TRUE)</f>
        <v/>
      </c>
      <c r="E4919" s="8">
        <f>QS.INSTRUMENT.SWAP("swap.4917",C4919,H4919,B4919,"USD","SOFR",I4919,J4919,0,"Actual360","Simple","Annual","Annual","Annual")</f>
        <v/>
      </c>
      <c r="F4919" s="8">
        <f>QS.TRADE.CREATE("trade.4917",C4919,E4919,A4919,"Receive")</f>
        <v/>
      </c>
      <c r="G4919" s="5"/>
      <c r="H4919" s="7" t="s">
        <v>4960</v>
      </c>
      <c r="I4919" s="9">
        <v>1491700</v>
      </c>
      <c r="J4919" s="10">
        <v>0.0367</v>
      </c>
    </row>
    <row r="4920" spans="1:10">
      <c r="A4920" s="7" t="s">
        <v>4954</v>
      </c>
      <c r="B4920" s="7" t="s">
        <v>6787</v>
      </c>
      <c r="C4920" s="8">
        <f>QS.CONTEXT.CREATE("market.4918",A4920,"USD","SOFR")</f>
        <v/>
      </c>
      <c r="D4920" s="8">
        <f>QS.CONTEXT.ADD.CURVE(C4920,"SOFR",$K$2:$K$7,$L$2:$L$7,,,"Actual360","LogLinear",TRUE)</f>
        <v/>
      </c>
      <c r="E4920" s="8">
        <f>QS.INSTRUMENT.SWAP("swap.4918",C4920,H4920,B4920,"USD","SOFR",I4920,J4920,0,"Actual360","Simple","Annual","Annual","Annual")</f>
        <v/>
      </c>
      <c r="F4920" s="8">
        <f>QS.TRADE.CREATE("trade.4918",C4920,E4920,A4920,"Receive")</f>
        <v/>
      </c>
      <c r="G4920" s="5"/>
      <c r="H4920" s="7" t="s">
        <v>4961</v>
      </c>
      <c r="I4920" s="9">
        <v>1491800</v>
      </c>
      <c r="J4920" s="10">
        <v>0.03680000000000001</v>
      </c>
    </row>
    <row r="4921" spans="1:10">
      <c r="A4921" s="7" t="s">
        <v>4955</v>
      </c>
      <c r="B4921" s="7" t="s">
        <v>6788</v>
      </c>
      <c r="C4921" s="8">
        <f>QS.CONTEXT.CREATE("market.4919",A4921,"USD","SOFR")</f>
        <v/>
      </c>
      <c r="D4921" s="8">
        <f>QS.CONTEXT.ADD.CURVE(C4921,"SOFR",$K$2:$K$7,$L$2:$L$7,,,"Actual360","LogLinear",TRUE)</f>
        <v/>
      </c>
      <c r="E4921" s="8">
        <f>QS.INSTRUMENT.SWAP("swap.4919",C4921,H4921,B4921,"USD","SOFR",I4921,J4921,0,"Actual360","Simple","Annual","Annual","Annual")</f>
        <v/>
      </c>
      <c r="F4921" s="8">
        <f>QS.TRADE.CREATE("trade.4919",C4921,E4921,A4921,"Receive")</f>
        <v/>
      </c>
      <c r="G4921" s="5"/>
      <c r="H4921" s="7" t="s">
        <v>4962</v>
      </c>
      <c r="I4921" s="9">
        <v>1491900</v>
      </c>
      <c r="J4921" s="10">
        <v>0.0369</v>
      </c>
    </row>
    <row r="4922" spans="1:10">
      <c r="A4922" s="7" t="s">
        <v>4956</v>
      </c>
      <c r="B4922" s="7" t="s">
        <v>6789</v>
      </c>
      <c r="C4922" s="8">
        <f>QS.CONTEXT.CREATE("market.4920",A4922,"USD","SOFR")</f>
        <v/>
      </c>
      <c r="D4922" s="8">
        <f>QS.CONTEXT.ADD.CURVE(C4922,"SOFR",$K$2:$K$7,$L$2:$L$7,,,"Actual360","LogLinear",TRUE)</f>
        <v/>
      </c>
      <c r="E4922" s="8">
        <f>QS.INSTRUMENT.SWAP("swap.4920",C4922,H4922,B4922,"USD","SOFR",I4922,J4922,0,"Actual360","Simple","Annual","Annual","Annual")</f>
        <v/>
      </c>
      <c r="F4922" s="8">
        <f>QS.TRADE.CREATE("trade.4920",C4922,E4922,A4922,"Receive")</f>
        <v/>
      </c>
      <c r="G4922" s="5"/>
      <c r="H4922" s="7" t="s">
        <v>4963</v>
      </c>
      <c r="I4922" s="9">
        <v>1492000</v>
      </c>
      <c r="J4922" s="10">
        <v>0.03700000000000001</v>
      </c>
    </row>
    <row r="4923" spans="1:10">
      <c r="A4923" s="7" t="s">
        <v>4957</v>
      </c>
      <c r="B4923" s="7" t="s">
        <v>6790</v>
      </c>
      <c r="C4923" s="8">
        <f>QS.CONTEXT.CREATE("market.4921",A4923,"USD","SOFR")</f>
        <v/>
      </c>
      <c r="D4923" s="8">
        <f>QS.CONTEXT.ADD.CURVE(C4923,"SOFR",$K$2:$K$7,$L$2:$L$7,,,"Actual360","LogLinear",TRUE)</f>
        <v/>
      </c>
      <c r="E4923" s="8">
        <f>QS.INSTRUMENT.SWAP("swap.4921",C4923,H4923,B4923,"USD","SOFR",I4923,J4923,0,"Actual360","Simple","Annual","Annual","Annual")</f>
        <v/>
      </c>
      <c r="F4923" s="8">
        <f>QS.TRADE.CREATE("trade.4921",C4923,E4923,A4923,"Receive")</f>
        <v/>
      </c>
      <c r="G4923" s="5"/>
      <c r="H4923" s="7" t="s">
        <v>4964</v>
      </c>
      <c r="I4923" s="9">
        <v>1492100</v>
      </c>
      <c r="J4923" s="10">
        <v>0.0371</v>
      </c>
    </row>
    <row r="4924" spans="1:10">
      <c r="A4924" s="7" t="s">
        <v>4958</v>
      </c>
      <c r="B4924" s="7" t="s">
        <v>6791</v>
      </c>
      <c r="C4924" s="8">
        <f>QS.CONTEXT.CREATE("market.4922",A4924,"USD","SOFR")</f>
        <v/>
      </c>
      <c r="D4924" s="8">
        <f>QS.CONTEXT.ADD.CURVE(C4924,"SOFR",$K$2:$K$7,$L$2:$L$7,,,"Actual360","LogLinear",TRUE)</f>
        <v/>
      </c>
      <c r="E4924" s="8">
        <f>QS.INSTRUMENT.SWAP("swap.4922",C4924,H4924,B4924,"USD","SOFR",I4924,J4924,0,"Actual360","Simple","Annual","Annual","Annual")</f>
        <v/>
      </c>
      <c r="F4924" s="8">
        <f>QS.TRADE.CREATE("trade.4922",C4924,E4924,A4924,"Receive")</f>
        <v/>
      </c>
      <c r="G4924" s="5"/>
      <c r="H4924" s="7" t="s">
        <v>4965</v>
      </c>
      <c r="I4924" s="9">
        <v>1492200</v>
      </c>
      <c r="J4924" s="10">
        <v>0.0372</v>
      </c>
    </row>
    <row r="4925" spans="1:10">
      <c r="A4925" s="7" t="s">
        <v>4959</v>
      </c>
      <c r="B4925" s="7" t="s">
        <v>6792</v>
      </c>
      <c r="C4925" s="8">
        <f>QS.CONTEXT.CREATE("market.4923",A4925,"USD","SOFR")</f>
        <v/>
      </c>
      <c r="D4925" s="8">
        <f>QS.CONTEXT.ADD.CURVE(C4925,"SOFR",$K$2:$K$7,$L$2:$L$7,,,"Actual360","LogLinear",TRUE)</f>
        <v/>
      </c>
      <c r="E4925" s="8">
        <f>QS.INSTRUMENT.SWAP("swap.4923",C4925,H4925,B4925,"USD","SOFR",I4925,J4925,0,"Actual360","Simple","Annual","Annual","Annual")</f>
        <v/>
      </c>
      <c r="F4925" s="8">
        <f>QS.TRADE.CREATE("trade.4923",C4925,E4925,A4925,"Receive")</f>
        <v/>
      </c>
      <c r="G4925" s="5"/>
      <c r="H4925" s="7" t="s">
        <v>4966</v>
      </c>
      <c r="I4925" s="9">
        <v>1492300</v>
      </c>
      <c r="J4925" s="10">
        <v>0.0373</v>
      </c>
    </row>
    <row r="4926" spans="1:10">
      <c r="A4926" s="7" t="s">
        <v>4960</v>
      </c>
      <c r="B4926" s="7" t="s">
        <v>6793</v>
      </c>
      <c r="C4926" s="8">
        <f>QS.CONTEXT.CREATE("market.4924",A4926,"USD","SOFR")</f>
        <v/>
      </c>
      <c r="D4926" s="8">
        <f>QS.CONTEXT.ADD.CURVE(C4926,"SOFR",$K$2:$K$7,$L$2:$L$7,,,"Actual360","LogLinear",TRUE)</f>
        <v/>
      </c>
      <c r="E4926" s="8">
        <f>QS.INSTRUMENT.SWAP("swap.4924",C4926,H4926,B4926,"USD","SOFR",I4926,J4926,0,"Actual360","Simple","Annual","Annual","Annual")</f>
        <v/>
      </c>
      <c r="F4926" s="8">
        <f>QS.TRADE.CREATE("trade.4924",C4926,E4926,A4926,"Receive")</f>
        <v/>
      </c>
      <c r="G4926" s="5"/>
      <c r="H4926" s="7" t="s">
        <v>4967</v>
      </c>
      <c r="I4926" s="9">
        <v>1492400</v>
      </c>
      <c r="J4926" s="10">
        <v>0.0374</v>
      </c>
    </row>
    <row r="4927" spans="1:10">
      <c r="A4927" s="7" t="s">
        <v>4961</v>
      </c>
      <c r="B4927" s="7" t="s">
        <v>6794</v>
      </c>
      <c r="C4927" s="8">
        <f>QS.CONTEXT.CREATE("market.4925",A4927,"USD","SOFR")</f>
        <v/>
      </c>
      <c r="D4927" s="8">
        <f>QS.CONTEXT.ADD.CURVE(C4927,"SOFR",$K$2:$K$7,$L$2:$L$7,,,"Actual360","LogLinear",TRUE)</f>
        <v/>
      </c>
      <c r="E4927" s="8">
        <f>QS.INSTRUMENT.SWAP("swap.4925",C4927,H4927,B4927,"USD","SOFR",I4927,J4927,0,"Actual360","Simple","Annual","Annual","Annual")</f>
        <v/>
      </c>
      <c r="F4927" s="8">
        <f>QS.TRADE.CREATE("trade.4925",C4927,E4927,A4927,"Receive")</f>
        <v/>
      </c>
      <c r="G4927" s="5"/>
      <c r="H4927" s="7" t="s">
        <v>4968</v>
      </c>
      <c r="I4927" s="9">
        <v>1492500</v>
      </c>
      <c r="J4927" s="10">
        <v>0.03750000000000001</v>
      </c>
    </row>
    <row r="4928" spans="1:10">
      <c r="A4928" s="7" t="s">
        <v>4962</v>
      </c>
      <c r="B4928" s="7" t="s">
        <v>6795</v>
      </c>
      <c r="C4928" s="8">
        <f>QS.CONTEXT.CREATE("market.4926",A4928,"USD","SOFR")</f>
        <v/>
      </c>
      <c r="D4928" s="8">
        <f>QS.CONTEXT.ADD.CURVE(C4928,"SOFR",$K$2:$K$7,$L$2:$L$7,,,"Actual360","LogLinear",TRUE)</f>
        <v/>
      </c>
      <c r="E4928" s="8">
        <f>QS.INSTRUMENT.SWAP("swap.4926",C4928,H4928,B4928,"USD","SOFR",I4928,J4928,0,"Actual360","Simple","Annual","Annual","Annual")</f>
        <v/>
      </c>
      <c r="F4928" s="8">
        <f>QS.TRADE.CREATE("trade.4926",C4928,E4928,A4928,"Receive")</f>
        <v/>
      </c>
      <c r="G4928" s="5"/>
      <c r="H4928" s="7" t="s">
        <v>4969</v>
      </c>
      <c r="I4928" s="9">
        <v>1492600</v>
      </c>
      <c r="J4928" s="10">
        <v>0.0376</v>
      </c>
    </row>
    <row r="4929" spans="1:10">
      <c r="A4929" s="7" t="s">
        <v>4963</v>
      </c>
      <c r="B4929" s="7" t="s">
        <v>6796</v>
      </c>
      <c r="C4929" s="8">
        <f>QS.CONTEXT.CREATE("market.4927",A4929,"USD","SOFR")</f>
        <v/>
      </c>
      <c r="D4929" s="8">
        <f>QS.CONTEXT.ADD.CURVE(C4929,"SOFR",$K$2:$K$7,$L$2:$L$7,,,"Actual360","LogLinear",TRUE)</f>
        <v/>
      </c>
      <c r="E4929" s="8">
        <f>QS.INSTRUMENT.SWAP("swap.4927",C4929,H4929,B4929,"USD","SOFR",I4929,J4929,0,"Actual360","Simple","Annual","Annual","Annual")</f>
        <v/>
      </c>
      <c r="F4929" s="8">
        <f>QS.TRADE.CREATE("trade.4927",C4929,E4929,A4929,"Receive")</f>
        <v/>
      </c>
      <c r="G4929" s="5"/>
      <c r="H4929" s="7" t="s">
        <v>4970</v>
      </c>
      <c r="I4929" s="9">
        <v>1492700</v>
      </c>
      <c r="J4929" s="10">
        <v>0.0377</v>
      </c>
    </row>
    <row r="4930" spans="1:10">
      <c r="A4930" s="7" t="s">
        <v>4964</v>
      </c>
      <c r="B4930" s="7" t="s">
        <v>6797</v>
      </c>
      <c r="C4930" s="8">
        <f>QS.CONTEXT.CREATE("market.4928",A4930,"USD","SOFR")</f>
        <v/>
      </c>
      <c r="D4930" s="8">
        <f>QS.CONTEXT.ADD.CURVE(C4930,"SOFR",$K$2:$K$7,$L$2:$L$7,,,"Actual360","LogLinear",TRUE)</f>
        <v/>
      </c>
      <c r="E4930" s="8">
        <f>QS.INSTRUMENT.SWAP("swap.4928",C4930,H4930,B4930,"USD","SOFR",I4930,J4930,0,"Actual360","Simple","Annual","Annual","Annual")</f>
        <v/>
      </c>
      <c r="F4930" s="8">
        <f>QS.TRADE.CREATE("trade.4928",C4930,E4930,A4930,"Receive")</f>
        <v/>
      </c>
      <c r="G4930" s="5"/>
      <c r="H4930" s="7" t="s">
        <v>4971</v>
      </c>
      <c r="I4930" s="9">
        <v>1492800</v>
      </c>
      <c r="J4930" s="10">
        <v>0.0378</v>
      </c>
    </row>
    <row r="4931" spans="1:10">
      <c r="A4931" s="7" t="s">
        <v>4965</v>
      </c>
      <c r="B4931" s="7" t="s">
        <v>6798</v>
      </c>
      <c r="C4931" s="8">
        <f>QS.CONTEXT.CREATE("market.4929",A4931,"USD","SOFR")</f>
        <v/>
      </c>
      <c r="D4931" s="8">
        <f>QS.CONTEXT.ADD.CURVE(C4931,"SOFR",$K$2:$K$7,$L$2:$L$7,,,"Actual360","LogLinear",TRUE)</f>
        <v/>
      </c>
      <c r="E4931" s="8">
        <f>QS.INSTRUMENT.SWAP("swap.4929",C4931,H4931,B4931,"USD","SOFR",I4931,J4931,0,"Actual360","Simple","Annual","Annual","Annual")</f>
        <v/>
      </c>
      <c r="F4931" s="8">
        <f>QS.TRADE.CREATE("trade.4929",C4931,E4931,A4931,"Receive")</f>
        <v/>
      </c>
      <c r="G4931" s="5"/>
      <c r="H4931" s="7" t="s">
        <v>4972</v>
      </c>
      <c r="I4931" s="9">
        <v>1492900</v>
      </c>
      <c r="J4931" s="10">
        <v>0.0379</v>
      </c>
    </row>
    <row r="4932" spans="1:10">
      <c r="A4932" s="7" t="s">
        <v>4966</v>
      </c>
      <c r="B4932" s="7" t="s">
        <v>6799</v>
      </c>
      <c r="C4932" s="8">
        <f>QS.CONTEXT.CREATE("market.4930",A4932,"USD","SOFR")</f>
        <v/>
      </c>
      <c r="D4932" s="8">
        <f>QS.CONTEXT.ADD.CURVE(C4932,"SOFR",$K$2:$K$7,$L$2:$L$7,,,"Actual360","LogLinear",TRUE)</f>
        <v/>
      </c>
      <c r="E4932" s="8">
        <f>QS.INSTRUMENT.SWAP("swap.4930",C4932,H4932,B4932,"USD","SOFR",I4932,J4932,0,"Actual360","Simple","Annual","Annual","Annual")</f>
        <v/>
      </c>
      <c r="F4932" s="8">
        <f>QS.TRADE.CREATE("trade.4930",C4932,E4932,A4932,"Receive")</f>
        <v/>
      </c>
      <c r="G4932" s="5"/>
      <c r="H4932" s="7" t="s">
        <v>4973</v>
      </c>
      <c r="I4932" s="9">
        <v>1493000</v>
      </c>
      <c r="J4932" s="10">
        <v>0.03800000000000001</v>
      </c>
    </row>
    <row r="4933" spans="1:10">
      <c r="A4933" s="7" t="s">
        <v>4967</v>
      </c>
      <c r="B4933" s="7" t="s">
        <v>6800</v>
      </c>
      <c r="C4933" s="8">
        <f>QS.CONTEXT.CREATE("market.4931",A4933,"USD","SOFR")</f>
        <v/>
      </c>
      <c r="D4933" s="8">
        <f>QS.CONTEXT.ADD.CURVE(C4933,"SOFR",$K$2:$K$7,$L$2:$L$7,,,"Actual360","LogLinear",TRUE)</f>
        <v/>
      </c>
      <c r="E4933" s="8">
        <f>QS.INSTRUMENT.SWAP("swap.4931",C4933,H4933,B4933,"USD","SOFR",I4933,J4933,0,"Actual360","Simple","Annual","Annual","Annual")</f>
        <v/>
      </c>
      <c r="F4933" s="8">
        <f>QS.TRADE.CREATE("trade.4931",C4933,E4933,A4933,"Receive")</f>
        <v/>
      </c>
      <c r="G4933" s="5"/>
      <c r="H4933" s="7" t="s">
        <v>4974</v>
      </c>
      <c r="I4933" s="9">
        <v>1493100</v>
      </c>
      <c r="J4933" s="10">
        <v>0.0381</v>
      </c>
    </row>
    <row r="4934" spans="1:10">
      <c r="A4934" s="7" t="s">
        <v>4968</v>
      </c>
      <c r="B4934" s="7" t="s">
        <v>6801</v>
      </c>
      <c r="C4934" s="8">
        <f>QS.CONTEXT.CREATE("market.4932",A4934,"USD","SOFR")</f>
        <v/>
      </c>
      <c r="D4934" s="8">
        <f>QS.CONTEXT.ADD.CURVE(C4934,"SOFR",$K$2:$K$7,$L$2:$L$7,,,"Actual360","LogLinear",TRUE)</f>
        <v/>
      </c>
      <c r="E4934" s="8">
        <f>QS.INSTRUMENT.SWAP("swap.4932",C4934,H4934,B4934,"USD","SOFR",I4934,J4934,0,"Actual360","Simple","Annual","Annual","Annual")</f>
        <v/>
      </c>
      <c r="F4934" s="8">
        <f>QS.TRADE.CREATE("trade.4932",C4934,E4934,A4934,"Receive")</f>
        <v/>
      </c>
      <c r="G4934" s="5"/>
      <c r="H4934" s="7" t="s">
        <v>4975</v>
      </c>
      <c r="I4934" s="9">
        <v>1493200</v>
      </c>
      <c r="J4934" s="10">
        <v>0.0382</v>
      </c>
    </row>
    <row r="4935" spans="1:10">
      <c r="A4935" s="7" t="s">
        <v>4969</v>
      </c>
      <c r="B4935" s="7" t="s">
        <v>6802</v>
      </c>
      <c r="C4935" s="8">
        <f>QS.CONTEXT.CREATE("market.4933",A4935,"USD","SOFR")</f>
        <v/>
      </c>
      <c r="D4935" s="8">
        <f>QS.CONTEXT.ADD.CURVE(C4935,"SOFR",$K$2:$K$7,$L$2:$L$7,,,"Actual360","LogLinear",TRUE)</f>
        <v/>
      </c>
      <c r="E4935" s="8">
        <f>QS.INSTRUMENT.SWAP("swap.4933",C4935,H4935,B4935,"USD","SOFR",I4935,J4935,0,"Actual360","Simple","Annual","Annual","Annual")</f>
        <v/>
      </c>
      <c r="F4935" s="8">
        <f>QS.TRADE.CREATE("trade.4933",C4935,E4935,A4935,"Receive")</f>
        <v/>
      </c>
      <c r="G4935" s="5"/>
      <c r="H4935" s="7" t="s">
        <v>4976</v>
      </c>
      <c r="I4935" s="9">
        <v>1493300</v>
      </c>
      <c r="J4935" s="10">
        <v>0.0383</v>
      </c>
    </row>
    <row r="4936" spans="1:10">
      <c r="A4936" s="7" t="s">
        <v>4970</v>
      </c>
      <c r="B4936" s="7" t="s">
        <v>6803</v>
      </c>
      <c r="C4936" s="8">
        <f>QS.CONTEXT.CREATE("market.4934",A4936,"USD","SOFR")</f>
        <v/>
      </c>
      <c r="D4936" s="8">
        <f>QS.CONTEXT.ADD.CURVE(C4936,"SOFR",$K$2:$K$7,$L$2:$L$7,,,"Actual360","LogLinear",TRUE)</f>
        <v/>
      </c>
      <c r="E4936" s="8">
        <f>QS.INSTRUMENT.SWAP("swap.4934",C4936,H4936,B4936,"USD","SOFR",I4936,J4936,0,"Actual360","Simple","Annual","Annual","Annual")</f>
        <v/>
      </c>
      <c r="F4936" s="8">
        <f>QS.TRADE.CREATE("trade.4934",C4936,E4936,A4936,"Receive")</f>
        <v/>
      </c>
      <c r="G4936" s="5"/>
      <c r="H4936" s="7" t="s">
        <v>4977</v>
      </c>
      <c r="I4936" s="9">
        <v>1493400</v>
      </c>
      <c r="J4936" s="10">
        <v>0.0384</v>
      </c>
    </row>
    <row r="4937" spans="1:10">
      <c r="A4937" s="7" t="s">
        <v>4971</v>
      </c>
      <c r="B4937" s="7" t="s">
        <v>6804</v>
      </c>
      <c r="C4937" s="8">
        <f>QS.CONTEXT.CREATE("market.4935",A4937,"USD","SOFR")</f>
        <v/>
      </c>
      <c r="D4937" s="8">
        <f>QS.CONTEXT.ADD.CURVE(C4937,"SOFR",$K$2:$K$7,$L$2:$L$7,,,"Actual360","LogLinear",TRUE)</f>
        <v/>
      </c>
      <c r="E4937" s="8">
        <f>QS.INSTRUMENT.SWAP("swap.4935",C4937,H4937,B4937,"USD","SOFR",I4937,J4937,0,"Actual360","Simple","Annual","Annual","Annual")</f>
        <v/>
      </c>
      <c r="F4937" s="8">
        <f>QS.TRADE.CREATE("trade.4935",C4937,E4937,A4937,"Receive")</f>
        <v/>
      </c>
      <c r="G4937" s="5"/>
      <c r="H4937" s="7" t="s">
        <v>4978</v>
      </c>
      <c r="I4937" s="9">
        <v>1493500</v>
      </c>
      <c r="J4937" s="10">
        <v>0.03850000000000001</v>
      </c>
    </row>
    <row r="4938" spans="1:10">
      <c r="A4938" s="7" t="s">
        <v>4972</v>
      </c>
      <c r="B4938" s="7" t="s">
        <v>6805</v>
      </c>
      <c r="C4938" s="8">
        <f>QS.CONTEXT.CREATE("market.4936",A4938,"USD","SOFR")</f>
        <v/>
      </c>
      <c r="D4938" s="8">
        <f>QS.CONTEXT.ADD.CURVE(C4938,"SOFR",$K$2:$K$7,$L$2:$L$7,,,"Actual360","LogLinear",TRUE)</f>
        <v/>
      </c>
      <c r="E4938" s="8">
        <f>QS.INSTRUMENT.SWAP("swap.4936",C4938,H4938,B4938,"USD","SOFR",I4938,J4938,0,"Actual360","Simple","Annual","Annual","Annual")</f>
        <v/>
      </c>
      <c r="F4938" s="8">
        <f>QS.TRADE.CREATE("trade.4936",C4938,E4938,A4938,"Receive")</f>
        <v/>
      </c>
      <c r="G4938" s="5"/>
      <c r="H4938" s="7" t="s">
        <v>4979</v>
      </c>
      <c r="I4938" s="9">
        <v>1493600</v>
      </c>
      <c r="J4938" s="10">
        <v>0.0386</v>
      </c>
    </row>
    <row r="4939" spans="1:10">
      <c r="A4939" s="7" t="s">
        <v>4973</v>
      </c>
      <c r="B4939" s="7" t="s">
        <v>6806</v>
      </c>
      <c r="C4939" s="8">
        <f>QS.CONTEXT.CREATE("market.4937",A4939,"USD","SOFR")</f>
        <v/>
      </c>
      <c r="D4939" s="8">
        <f>QS.CONTEXT.ADD.CURVE(C4939,"SOFR",$K$2:$K$7,$L$2:$L$7,,,"Actual360","LogLinear",TRUE)</f>
        <v/>
      </c>
      <c r="E4939" s="8">
        <f>QS.INSTRUMENT.SWAP("swap.4937",C4939,H4939,B4939,"USD","SOFR",I4939,J4939,0,"Actual360","Simple","Annual","Annual","Annual")</f>
        <v/>
      </c>
      <c r="F4939" s="8">
        <f>QS.TRADE.CREATE("trade.4937",C4939,E4939,A4939,"Receive")</f>
        <v/>
      </c>
      <c r="G4939" s="5"/>
      <c r="H4939" s="7" t="s">
        <v>4980</v>
      </c>
      <c r="I4939" s="9">
        <v>1493700</v>
      </c>
      <c r="J4939" s="10">
        <v>0.03870000000000001</v>
      </c>
    </row>
    <row r="4940" spans="1:10">
      <c r="A4940" s="7" t="s">
        <v>4974</v>
      </c>
      <c r="B4940" s="7" t="s">
        <v>6807</v>
      </c>
      <c r="C4940" s="8">
        <f>QS.CONTEXT.CREATE("market.4938",A4940,"USD","SOFR")</f>
        <v/>
      </c>
      <c r="D4940" s="8">
        <f>QS.CONTEXT.ADD.CURVE(C4940,"SOFR",$K$2:$K$7,$L$2:$L$7,,,"Actual360","LogLinear",TRUE)</f>
        <v/>
      </c>
      <c r="E4940" s="8">
        <f>QS.INSTRUMENT.SWAP("swap.4938",C4940,H4940,B4940,"USD","SOFR",I4940,J4940,0,"Actual360","Simple","Annual","Annual","Annual")</f>
        <v/>
      </c>
      <c r="F4940" s="8">
        <f>QS.TRADE.CREATE("trade.4938",C4940,E4940,A4940,"Receive")</f>
        <v/>
      </c>
      <c r="G4940" s="5"/>
      <c r="H4940" s="7" t="s">
        <v>4981</v>
      </c>
      <c r="I4940" s="9">
        <v>1493800</v>
      </c>
      <c r="J4940" s="10">
        <v>0.0388</v>
      </c>
    </row>
    <row r="4941" spans="1:10">
      <c r="A4941" s="7" t="s">
        <v>4975</v>
      </c>
      <c r="B4941" s="7" t="s">
        <v>6808</v>
      </c>
      <c r="C4941" s="8">
        <f>QS.CONTEXT.CREATE("market.4939",A4941,"USD","SOFR")</f>
        <v/>
      </c>
      <c r="D4941" s="8">
        <f>QS.CONTEXT.ADD.CURVE(C4941,"SOFR",$K$2:$K$7,$L$2:$L$7,,,"Actual360","LogLinear",TRUE)</f>
        <v/>
      </c>
      <c r="E4941" s="8">
        <f>QS.INSTRUMENT.SWAP("swap.4939",C4941,H4941,B4941,"USD","SOFR",I4941,J4941,0,"Actual360","Simple","Annual","Annual","Annual")</f>
        <v/>
      </c>
      <c r="F4941" s="8">
        <f>QS.TRADE.CREATE("trade.4939",C4941,E4941,A4941,"Receive")</f>
        <v/>
      </c>
      <c r="G4941" s="5"/>
      <c r="H4941" s="7" t="s">
        <v>4982</v>
      </c>
      <c r="I4941" s="9">
        <v>1493900</v>
      </c>
      <c r="J4941" s="10">
        <v>0.0389</v>
      </c>
    </row>
    <row r="4942" spans="1:10">
      <c r="A4942" s="7" t="s">
        <v>4976</v>
      </c>
      <c r="B4942" s="7" t="s">
        <v>6809</v>
      </c>
      <c r="C4942" s="8">
        <f>QS.CONTEXT.CREATE("market.4940",A4942,"USD","SOFR")</f>
        <v/>
      </c>
      <c r="D4942" s="8">
        <f>QS.CONTEXT.ADD.CURVE(C4942,"SOFR",$K$2:$K$7,$L$2:$L$7,,,"Actual360","LogLinear",TRUE)</f>
        <v/>
      </c>
      <c r="E4942" s="8">
        <f>QS.INSTRUMENT.SWAP("swap.4940",C4942,H4942,B4942,"USD","SOFR",I4942,J4942,0,"Actual360","Simple","Annual","Annual","Annual")</f>
        <v/>
      </c>
      <c r="F4942" s="8">
        <f>QS.TRADE.CREATE("trade.4940",C4942,E4942,A4942,"Receive")</f>
        <v/>
      </c>
      <c r="G4942" s="5"/>
      <c r="H4942" s="7" t="s">
        <v>4983</v>
      </c>
      <c r="I4942" s="9">
        <v>1494000</v>
      </c>
      <c r="J4942" s="10">
        <v>0.03900000000000001</v>
      </c>
    </row>
    <row r="4943" spans="1:10">
      <c r="A4943" s="7" t="s">
        <v>4977</v>
      </c>
      <c r="B4943" s="7" t="s">
        <v>6810</v>
      </c>
      <c r="C4943" s="8">
        <f>QS.CONTEXT.CREATE("market.4941",A4943,"USD","SOFR")</f>
        <v/>
      </c>
      <c r="D4943" s="8">
        <f>QS.CONTEXT.ADD.CURVE(C4943,"SOFR",$K$2:$K$7,$L$2:$L$7,,,"Actual360","LogLinear",TRUE)</f>
        <v/>
      </c>
      <c r="E4943" s="8">
        <f>QS.INSTRUMENT.SWAP("swap.4941",C4943,H4943,B4943,"USD","SOFR",I4943,J4943,0,"Actual360","Simple","Annual","Annual","Annual")</f>
        <v/>
      </c>
      <c r="F4943" s="8">
        <f>QS.TRADE.CREATE("trade.4941",C4943,E4943,A4943,"Receive")</f>
        <v/>
      </c>
      <c r="G4943" s="5"/>
      <c r="H4943" s="7" t="s">
        <v>4984</v>
      </c>
      <c r="I4943" s="9">
        <v>1494100</v>
      </c>
      <c r="J4943" s="10">
        <v>0.0391</v>
      </c>
    </row>
    <row r="4944" spans="1:10">
      <c r="A4944" s="7" t="s">
        <v>4978</v>
      </c>
      <c r="B4944" s="7" t="s">
        <v>6811</v>
      </c>
      <c r="C4944" s="8">
        <f>QS.CONTEXT.CREATE("market.4942",A4944,"USD","SOFR")</f>
        <v/>
      </c>
      <c r="D4944" s="8">
        <f>QS.CONTEXT.ADD.CURVE(C4944,"SOFR",$K$2:$K$7,$L$2:$L$7,,,"Actual360","LogLinear",TRUE)</f>
        <v/>
      </c>
      <c r="E4944" s="8">
        <f>QS.INSTRUMENT.SWAP("swap.4942",C4944,H4944,B4944,"USD","SOFR",I4944,J4944,0,"Actual360","Simple","Annual","Annual","Annual")</f>
        <v/>
      </c>
      <c r="F4944" s="8">
        <f>QS.TRADE.CREATE("trade.4942",C4944,E4944,A4944,"Receive")</f>
        <v/>
      </c>
      <c r="G4944" s="5"/>
      <c r="H4944" s="7" t="s">
        <v>4985</v>
      </c>
      <c r="I4944" s="9">
        <v>1494200</v>
      </c>
      <c r="J4944" s="10">
        <v>0.03920000000000001</v>
      </c>
    </row>
    <row r="4945" spans="1:10">
      <c r="A4945" s="7" t="s">
        <v>4979</v>
      </c>
      <c r="B4945" s="7" t="s">
        <v>6812</v>
      </c>
      <c r="C4945" s="8">
        <f>QS.CONTEXT.CREATE("market.4943",A4945,"USD","SOFR")</f>
        <v/>
      </c>
      <c r="D4945" s="8">
        <f>QS.CONTEXT.ADD.CURVE(C4945,"SOFR",$K$2:$K$7,$L$2:$L$7,,,"Actual360","LogLinear",TRUE)</f>
        <v/>
      </c>
      <c r="E4945" s="8">
        <f>QS.INSTRUMENT.SWAP("swap.4943",C4945,H4945,B4945,"USD","SOFR",I4945,J4945,0,"Actual360","Simple","Annual","Annual","Annual")</f>
        <v/>
      </c>
      <c r="F4945" s="8">
        <f>QS.TRADE.CREATE("trade.4943",C4945,E4945,A4945,"Receive")</f>
        <v/>
      </c>
      <c r="G4945" s="5"/>
      <c r="H4945" s="7" t="s">
        <v>4986</v>
      </c>
      <c r="I4945" s="9">
        <v>1494300</v>
      </c>
      <c r="J4945" s="10">
        <v>0.0393</v>
      </c>
    </row>
    <row r="4946" spans="1:10">
      <c r="A4946" s="7" t="s">
        <v>4980</v>
      </c>
      <c r="B4946" s="7" t="s">
        <v>6813</v>
      </c>
      <c r="C4946" s="8">
        <f>QS.CONTEXT.CREATE("market.4944",A4946,"USD","SOFR")</f>
        <v/>
      </c>
      <c r="D4946" s="8">
        <f>QS.CONTEXT.ADD.CURVE(C4946,"SOFR",$K$2:$K$7,$L$2:$L$7,,,"Actual360","LogLinear",TRUE)</f>
        <v/>
      </c>
      <c r="E4946" s="8">
        <f>QS.INSTRUMENT.SWAP("swap.4944",C4946,H4946,B4946,"USD","SOFR",I4946,J4946,0,"Actual360","Simple","Annual","Annual","Annual")</f>
        <v/>
      </c>
      <c r="F4946" s="8">
        <f>QS.TRADE.CREATE("trade.4944",C4946,E4946,A4946,"Receive")</f>
        <v/>
      </c>
      <c r="G4946" s="5"/>
      <c r="H4946" s="7" t="s">
        <v>4987</v>
      </c>
      <c r="I4946" s="9">
        <v>1494400</v>
      </c>
      <c r="J4946" s="10">
        <v>0.0394</v>
      </c>
    </row>
    <row r="4947" spans="1:10">
      <c r="A4947" s="7" t="s">
        <v>4981</v>
      </c>
      <c r="B4947" s="7" t="s">
        <v>6814</v>
      </c>
      <c r="C4947" s="8">
        <f>QS.CONTEXT.CREATE("market.4945",A4947,"USD","SOFR")</f>
        <v/>
      </c>
      <c r="D4947" s="8">
        <f>QS.CONTEXT.ADD.CURVE(C4947,"SOFR",$K$2:$K$7,$L$2:$L$7,,,"Actual360","LogLinear",TRUE)</f>
        <v/>
      </c>
      <c r="E4947" s="8">
        <f>QS.INSTRUMENT.SWAP("swap.4945",C4947,H4947,B4947,"USD","SOFR",I4947,J4947,0,"Actual360","Simple","Annual","Annual","Annual")</f>
        <v/>
      </c>
      <c r="F4947" s="8">
        <f>QS.TRADE.CREATE("trade.4945",C4947,E4947,A4947,"Receive")</f>
        <v/>
      </c>
      <c r="G4947" s="5"/>
      <c r="H4947" s="7" t="s">
        <v>4988</v>
      </c>
      <c r="I4947" s="9">
        <v>1494500</v>
      </c>
      <c r="J4947" s="10">
        <v>0.03950000000000001</v>
      </c>
    </row>
    <row r="4948" spans="1:10">
      <c r="A4948" s="7" t="s">
        <v>4982</v>
      </c>
      <c r="B4948" s="7" t="s">
        <v>6815</v>
      </c>
      <c r="C4948" s="8">
        <f>QS.CONTEXT.CREATE("market.4946",A4948,"USD","SOFR")</f>
        <v/>
      </c>
      <c r="D4948" s="8">
        <f>QS.CONTEXT.ADD.CURVE(C4948,"SOFR",$K$2:$K$7,$L$2:$L$7,,,"Actual360","LogLinear",TRUE)</f>
        <v/>
      </c>
      <c r="E4948" s="8">
        <f>QS.INSTRUMENT.SWAP("swap.4946",C4948,H4948,B4948,"USD","SOFR",I4948,J4948,0,"Actual360","Simple","Annual","Annual","Annual")</f>
        <v/>
      </c>
      <c r="F4948" s="8">
        <f>QS.TRADE.CREATE("trade.4946",C4948,E4948,A4948,"Receive")</f>
        <v/>
      </c>
      <c r="G4948" s="5"/>
      <c r="H4948" s="7" t="s">
        <v>4989</v>
      </c>
      <c r="I4948" s="9">
        <v>1494600</v>
      </c>
      <c r="J4948" s="10">
        <v>0.0396</v>
      </c>
    </row>
    <row r="4949" spans="1:10">
      <c r="A4949" s="7" t="s">
        <v>4983</v>
      </c>
      <c r="B4949" s="7" t="s">
        <v>6816</v>
      </c>
      <c r="C4949" s="8">
        <f>QS.CONTEXT.CREATE("market.4947",A4949,"USD","SOFR")</f>
        <v/>
      </c>
      <c r="D4949" s="8">
        <f>QS.CONTEXT.ADD.CURVE(C4949,"SOFR",$K$2:$K$7,$L$2:$L$7,,,"Actual360","LogLinear",TRUE)</f>
        <v/>
      </c>
      <c r="E4949" s="8">
        <f>QS.INSTRUMENT.SWAP("swap.4947",C4949,H4949,B4949,"USD","SOFR",I4949,J4949,0,"Actual360","Simple","Annual","Annual","Annual")</f>
        <v/>
      </c>
      <c r="F4949" s="8">
        <f>QS.TRADE.CREATE("trade.4947",C4949,E4949,A4949,"Receive")</f>
        <v/>
      </c>
      <c r="G4949" s="5"/>
      <c r="H4949" s="7" t="s">
        <v>4990</v>
      </c>
      <c r="I4949" s="9">
        <v>1494700</v>
      </c>
      <c r="J4949" s="10">
        <v>0.03970000000000001</v>
      </c>
    </row>
    <row r="4950" spans="1:10">
      <c r="A4950" s="7" t="s">
        <v>4984</v>
      </c>
      <c r="B4950" s="7" t="s">
        <v>6817</v>
      </c>
      <c r="C4950" s="8">
        <f>QS.CONTEXT.CREATE("market.4948",A4950,"USD","SOFR")</f>
        <v/>
      </c>
      <c r="D4950" s="8">
        <f>QS.CONTEXT.ADD.CURVE(C4950,"SOFR",$K$2:$K$7,$L$2:$L$7,,,"Actual360","LogLinear",TRUE)</f>
        <v/>
      </c>
      <c r="E4950" s="8">
        <f>QS.INSTRUMENT.SWAP("swap.4948",C4950,H4950,B4950,"USD","SOFR",I4950,J4950,0,"Actual360","Simple","Annual","Annual","Annual")</f>
        <v/>
      </c>
      <c r="F4950" s="8">
        <f>QS.TRADE.CREATE("trade.4948",C4950,E4950,A4950,"Receive")</f>
        <v/>
      </c>
      <c r="G4950" s="5"/>
      <c r="H4950" s="7" t="s">
        <v>4991</v>
      </c>
      <c r="I4950" s="9">
        <v>1494800</v>
      </c>
      <c r="J4950" s="10">
        <v>0.0398</v>
      </c>
    </row>
    <row r="4951" spans="1:10">
      <c r="A4951" s="7" t="s">
        <v>4985</v>
      </c>
      <c r="B4951" s="7" t="s">
        <v>6818</v>
      </c>
      <c r="C4951" s="8">
        <f>QS.CONTEXT.CREATE("market.4949",A4951,"USD","SOFR")</f>
        <v/>
      </c>
      <c r="D4951" s="8">
        <f>QS.CONTEXT.ADD.CURVE(C4951,"SOFR",$K$2:$K$7,$L$2:$L$7,,,"Actual360","LogLinear",TRUE)</f>
        <v/>
      </c>
      <c r="E4951" s="8">
        <f>QS.INSTRUMENT.SWAP("swap.4949",C4951,H4951,B4951,"USD","SOFR",I4951,J4951,0,"Actual360","Simple","Annual","Annual","Annual")</f>
        <v/>
      </c>
      <c r="F4951" s="8">
        <f>QS.TRADE.CREATE("trade.4949",C4951,E4951,A4951,"Receive")</f>
        <v/>
      </c>
      <c r="G4951" s="5"/>
      <c r="H4951" s="7" t="s">
        <v>4992</v>
      </c>
      <c r="I4951" s="9">
        <v>1494900</v>
      </c>
      <c r="J4951" s="10">
        <v>0.0399</v>
      </c>
    </row>
    <row r="4952" spans="1:10">
      <c r="A4952" s="7" t="s">
        <v>4986</v>
      </c>
      <c r="B4952" s="7" t="s">
        <v>6819</v>
      </c>
      <c r="C4952" s="8">
        <f>QS.CONTEXT.CREATE("market.4950",A4952,"USD","SOFR")</f>
        <v/>
      </c>
      <c r="D4952" s="8">
        <f>QS.CONTEXT.ADD.CURVE(C4952,"SOFR",$K$2:$K$7,$L$2:$L$7,,,"Actual360","LogLinear",TRUE)</f>
        <v/>
      </c>
      <c r="E4952" s="8">
        <f>QS.INSTRUMENT.SWAP("swap.4950",C4952,H4952,B4952,"USD","SOFR",I4952,J4952,0,"Actual360","Simple","Annual","Annual","Annual")</f>
        <v/>
      </c>
      <c r="F4952" s="8">
        <f>QS.TRADE.CREATE("trade.4950",C4952,E4952,A4952,"Receive")</f>
        <v/>
      </c>
      <c r="G4952" s="5"/>
      <c r="H4952" s="7" t="s">
        <v>4993</v>
      </c>
      <c r="I4952" s="9">
        <v>1495000</v>
      </c>
      <c r="J4952" s="10">
        <v>0.035</v>
      </c>
    </row>
    <row r="4953" spans="1:10">
      <c r="A4953" s="7" t="s">
        <v>4987</v>
      </c>
      <c r="B4953" s="7" t="s">
        <v>6820</v>
      </c>
      <c r="C4953" s="8">
        <f>QS.CONTEXT.CREATE("market.4951",A4953,"USD","SOFR")</f>
        <v/>
      </c>
      <c r="D4953" s="8">
        <f>QS.CONTEXT.ADD.CURVE(C4953,"SOFR",$K$2:$K$7,$L$2:$L$7,,,"Actual360","LogLinear",TRUE)</f>
        <v/>
      </c>
      <c r="E4953" s="8">
        <f>QS.INSTRUMENT.SWAP("swap.4951",C4953,H4953,B4953,"USD","SOFR",I4953,J4953,0,"Actual360","Simple","Annual","Annual","Annual")</f>
        <v/>
      </c>
      <c r="F4953" s="8">
        <f>QS.TRADE.CREATE("trade.4951",C4953,E4953,A4953,"Receive")</f>
        <v/>
      </c>
      <c r="G4953" s="5"/>
      <c r="H4953" s="7" t="s">
        <v>4994</v>
      </c>
      <c r="I4953" s="9">
        <v>1495100</v>
      </c>
      <c r="J4953" s="10">
        <v>0.03510000000000001</v>
      </c>
    </row>
    <row r="4954" spans="1:10">
      <c r="A4954" s="7" t="s">
        <v>4988</v>
      </c>
      <c r="B4954" s="7" t="s">
        <v>6821</v>
      </c>
      <c r="C4954" s="8">
        <f>QS.CONTEXT.CREATE("market.4952",A4954,"USD","SOFR")</f>
        <v/>
      </c>
      <c r="D4954" s="8">
        <f>QS.CONTEXT.ADD.CURVE(C4954,"SOFR",$K$2:$K$7,$L$2:$L$7,,,"Actual360","LogLinear",TRUE)</f>
        <v/>
      </c>
      <c r="E4954" s="8">
        <f>QS.INSTRUMENT.SWAP("swap.4952",C4954,H4954,B4954,"USD","SOFR",I4954,J4954,0,"Actual360","Simple","Annual","Annual","Annual")</f>
        <v/>
      </c>
      <c r="F4954" s="8">
        <f>QS.TRADE.CREATE("trade.4952",C4954,E4954,A4954,"Receive")</f>
        <v/>
      </c>
      <c r="G4954" s="5"/>
      <c r="H4954" s="7" t="s">
        <v>4995</v>
      </c>
      <c r="I4954" s="9">
        <v>1495200</v>
      </c>
      <c r="J4954" s="10">
        <v>0.0352</v>
      </c>
    </row>
    <row r="4955" spans="1:10">
      <c r="A4955" s="7" t="s">
        <v>4989</v>
      </c>
      <c r="B4955" s="7" t="s">
        <v>6822</v>
      </c>
      <c r="C4955" s="8">
        <f>QS.CONTEXT.CREATE("market.4953",A4955,"USD","SOFR")</f>
        <v/>
      </c>
      <c r="D4955" s="8">
        <f>QS.CONTEXT.ADD.CURVE(C4955,"SOFR",$K$2:$K$7,$L$2:$L$7,,,"Actual360","LogLinear",TRUE)</f>
        <v/>
      </c>
      <c r="E4955" s="8">
        <f>QS.INSTRUMENT.SWAP("swap.4953",C4955,H4955,B4955,"USD","SOFR",I4955,J4955,0,"Actual360","Simple","Annual","Annual","Annual")</f>
        <v/>
      </c>
      <c r="F4955" s="8">
        <f>QS.TRADE.CREATE("trade.4953",C4955,E4955,A4955,"Receive")</f>
        <v/>
      </c>
      <c r="G4955" s="5"/>
      <c r="H4955" s="7" t="s">
        <v>4996</v>
      </c>
      <c r="I4955" s="9">
        <v>1495300</v>
      </c>
      <c r="J4955" s="10">
        <v>0.0353</v>
      </c>
    </row>
    <row r="4956" spans="1:10">
      <c r="A4956" s="7" t="s">
        <v>4990</v>
      </c>
      <c r="B4956" s="7" t="s">
        <v>6823</v>
      </c>
      <c r="C4956" s="8">
        <f>QS.CONTEXT.CREATE("market.4954",A4956,"USD","SOFR")</f>
        <v/>
      </c>
      <c r="D4956" s="8">
        <f>QS.CONTEXT.ADD.CURVE(C4956,"SOFR",$K$2:$K$7,$L$2:$L$7,,,"Actual360","LogLinear",TRUE)</f>
        <v/>
      </c>
      <c r="E4956" s="8">
        <f>QS.INSTRUMENT.SWAP("swap.4954",C4956,H4956,B4956,"USD","SOFR",I4956,J4956,0,"Actual360","Simple","Annual","Annual","Annual")</f>
        <v/>
      </c>
      <c r="F4956" s="8">
        <f>QS.TRADE.CREATE("trade.4954",C4956,E4956,A4956,"Receive")</f>
        <v/>
      </c>
      <c r="G4956" s="5"/>
      <c r="H4956" s="7" t="s">
        <v>4997</v>
      </c>
      <c r="I4956" s="9">
        <v>1495400</v>
      </c>
      <c r="J4956" s="10">
        <v>0.0354</v>
      </c>
    </row>
    <row r="4957" spans="1:10">
      <c r="A4957" s="7" t="s">
        <v>4991</v>
      </c>
      <c r="B4957" s="7" t="s">
        <v>6824</v>
      </c>
      <c r="C4957" s="8">
        <f>QS.CONTEXT.CREATE("market.4955",A4957,"USD","SOFR")</f>
        <v/>
      </c>
      <c r="D4957" s="8">
        <f>QS.CONTEXT.ADD.CURVE(C4957,"SOFR",$K$2:$K$7,$L$2:$L$7,,,"Actual360","LogLinear",TRUE)</f>
        <v/>
      </c>
      <c r="E4957" s="8">
        <f>QS.INSTRUMENT.SWAP("swap.4955",C4957,H4957,B4957,"USD","SOFR",I4957,J4957,0,"Actual360","Simple","Annual","Annual","Annual")</f>
        <v/>
      </c>
      <c r="F4957" s="8">
        <f>QS.TRADE.CREATE("trade.4955",C4957,E4957,A4957,"Receive")</f>
        <v/>
      </c>
      <c r="G4957" s="5"/>
      <c r="H4957" s="7" t="s">
        <v>4998</v>
      </c>
      <c r="I4957" s="9">
        <v>1495500</v>
      </c>
      <c r="J4957" s="10">
        <v>0.0355</v>
      </c>
    </row>
    <row r="4958" spans="1:10">
      <c r="A4958" s="7" t="s">
        <v>4992</v>
      </c>
      <c r="B4958" s="7" t="s">
        <v>6825</v>
      </c>
      <c r="C4958" s="8">
        <f>QS.CONTEXT.CREATE("market.4956",A4958,"USD","SOFR")</f>
        <v/>
      </c>
      <c r="D4958" s="8">
        <f>QS.CONTEXT.ADD.CURVE(C4958,"SOFR",$K$2:$K$7,$L$2:$L$7,,,"Actual360","LogLinear",TRUE)</f>
        <v/>
      </c>
      <c r="E4958" s="8">
        <f>QS.INSTRUMENT.SWAP("swap.4956",C4958,H4958,B4958,"USD","SOFR",I4958,J4958,0,"Actual360","Simple","Annual","Annual","Annual")</f>
        <v/>
      </c>
      <c r="F4958" s="8">
        <f>QS.TRADE.CREATE("trade.4956",C4958,E4958,A4958,"Receive")</f>
        <v/>
      </c>
      <c r="G4958" s="5"/>
      <c r="H4958" s="7" t="s">
        <v>4999</v>
      </c>
      <c r="I4958" s="9">
        <v>1495600</v>
      </c>
      <c r="J4958" s="10">
        <v>0.03560000000000001</v>
      </c>
    </row>
    <row r="4959" spans="1:10">
      <c r="A4959" s="7" t="s">
        <v>4993</v>
      </c>
      <c r="B4959" s="7" t="s">
        <v>6826</v>
      </c>
      <c r="C4959" s="8">
        <f>QS.CONTEXT.CREATE("market.4957",A4959,"USD","SOFR")</f>
        <v/>
      </c>
      <c r="D4959" s="8">
        <f>QS.CONTEXT.ADD.CURVE(C4959,"SOFR",$K$2:$K$7,$L$2:$L$7,,,"Actual360","LogLinear",TRUE)</f>
        <v/>
      </c>
      <c r="E4959" s="8">
        <f>QS.INSTRUMENT.SWAP("swap.4957",C4959,H4959,B4959,"USD","SOFR",I4959,J4959,0,"Actual360","Simple","Annual","Annual","Annual")</f>
        <v/>
      </c>
      <c r="F4959" s="8">
        <f>QS.TRADE.CREATE("trade.4957",C4959,E4959,A4959,"Receive")</f>
        <v/>
      </c>
      <c r="G4959" s="5"/>
      <c r="H4959" s="7" t="s">
        <v>5000</v>
      </c>
      <c r="I4959" s="9">
        <v>1495700</v>
      </c>
      <c r="J4959" s="10">
        <v>0.0357</v>
      </c>
    </row>
    <row r="4960" spans="1:10">
      <c r="A4960" s="7" t="s">
        <v>4994</v>
      </c>
      <c r="B4960" s="7" t="s">
        <v>6827</v>
      </c>
      <c r="C4960" s="8">
        <f>QS.CONTEXT.CREATE("market.4958",A4960,"USD","SOFR")</f>
        <v/>
      </c>
      <c r="D4960" s="8">
        <f>QS.CONTEXT.ADD.CURVE(C4960,"SOFR",$K$2:$K$7,$L$2:$L$7,,,"Actual360","LogLinear",TRUE)</f>
        <v/>
      </c>
      <c r="E4960" s="8">
        <f>QS.INSTRUMENT.SWAP("swap.4958",C4960,H4960,B4960,"USD","SOFR",I4960,J4960,0,"Actual360","Simple","Annual","Annual","Annual")</f>
        <v/>
      </c>
      <c r="F4960" s="8">
        <f>QS.TRADE.CREATE("trade.4958",C4960,E4960,A4960,"Receive")</f>
        <v/>
      </c>
      <c r="G4960" s="5"/>
      <c r="H4960" s="7" t="s">
        <v>5001</v>
      </c>
      <c r="I4960" s="9">
        <v>1495800</v>
      </c>
      <c r="J4960" s="10">
        <v>0.03580000000000001</v>
      </c>
    </row>
    <row r="4961" spans="1:10">
      <c r="A4961" s="7" t="s">
        <v>4995</v>
      </c>
      <c r="B4961" s="7" t="s">
        <v>6828</v>
      </c>
      <c r="C4961" s="8">
        <f>QS.CONTEXT.CREATE("market.4959",A4961,"USD","SOFR")</f>
        <v/>
      </c>
      <c r="D4961" s="8">
        <f>QS.CONTEXT.ADD.CURVE(C4961,"SOFR",$K$2:$K$7,$L$2:$L$7,,,"Actual360","LogLinear",TRUE)</f>
        <v/>
      </c>
      <c r="E4961" s="8">
        <f>QS.INSTRUMENT.SWAP("swap.4959",C4961,H4961,B4961,"USD","SOFR",I4961,J4961,0,"Actual360","Simple","Annual","Annual","Annual")</f>
        <v/>
      </c>
      <c r="F4961" s="8">
        <f>QS.TRADE.CREATE("trade.4959",C4961,E4961,A4961,"Receive")</f>
        <v/>
      </c>
      <c r="G4961" s="5"/>
      <c r="H4961" s="7" t="s">
        <v>5002</v>
      </c>
      <c r="I4961" s="9">
        <v>1495900</v>
      </c>
      <c r="J4961" s="10">
        <v>0.0359</v>
      </c>
    </row>
    <row r="4962" spans="1:10">
      <c r="A4962" s="7" t="s">
        <v>4996</v>
      </c>
      <c r="B4962" s="7" t="s">
        <v>6829</v>
      </c>
      <c r="C4962" s="8">
        <f>QS.CONTEXT.CREATE("market.4960",A4962,"USD","SOFR")</f>
        <v/>
      </c>
      <c r="D4962" s="8">
        <f>QS.CONTEXT.ADD.CURVE(C4962,"SOFR",$K$2:$K$7,$L$2:$L$7,,,"Actual360","LogLinear",TRUE)</f>
        <v/>
      </c>
      <c r="E4962" s="8">
        <f>QS.INSTRUMENT.SWAP("swap.4960",C4962,H4962,B4962,"USD","SOFR",I4962,J4962,0,"Actual360","Simple","Annual","Annual","Annual")</f>
        <v/>
      </c>
      <c r="F4962" s="8">
        <f>QS.TRADE.CREATE("trade.4960",C4962,E4962,A4962,"Receive")</f>
        <v/>
      </c>
      <c r="G4962" s="5"/>
      <c r="H4962" s="7" t="s">
        <v>5003</v>
      </c>
      <c r="I4962" s="9">
        <v>1496000</v>
      </c>
      <c r="J4962" s="10">
        <v>0.036</v>
      </c>
    </row>
    <row r="4963" spans="1:10">
      <c r="A4963" s="7" t="s">
        <v>4997</v>
      </c>
      <c r="B4963" s="7" t="s">
        <v>6830</v>
      </c>
      <c r="C4963" s="8">
        <f>QS.CONTEXT.CREATE("market.4961",A4963,"USD","SOFR")</f>
        <v/>
      </c>
      <c r="D4963" s="8">
        <f>QS.CONTEXT.ADD.CURVE(C4963,"SOFR",$K$2:$K$7,$L$2:$L$7,,,"Actual360","LogLinear",TRUE)</f>
        <v/>
      </c>
      <c r="E4963" s="8">
        <f>QS.INSTRUMENT.SWAP("swap.4961",C4963,H4963,B4963,"USD","SOFR",I4963,J4963,0,"Actual360","Simple","Annual","Annual","Annual")</f>
        <v/>
      </c>
      <c r="F4963" s="8">
        <f>QS.TRADE.CREATE("trade.4961",C4963,E4963,A4963,"Receive")</f>
        <v/>
      </c>
      <c r="G4963" s="5"/>
      <c r="H4963" s="7" t="s">
        <v>5004</v>
      </c>
      <c r="I4963" s="9">
        <v>1496100</v>
      </c>
      <c r="J4963" s="10">
        <v>0.0361</v>
      </c>
    </row>
    <row r="4964" spans="1:10">
      <c r="A4964" s="7" t="s">
        <v>4998</v>
      </c>
      <c r="B4964" s="7" t="s">
        <v>6831</v>
      </c>
      <c r="C4964" s="8">
        <f>QS.CONTEXT.CREATE("market.4962",A4964,"USD","SOFR")</f>
        <v/>
      </c>
      <c r="D4964" s="8">
        <f>QS.CONTEXT.ADD.CURVE(C4964,"SOFR",$K$2:$K$7,$L$2:$L$7,,,"Actual360","LogLinear",TRUE)</f>
        <v/>
      </c>
      <c r="E4964" s="8">
        <f>QS.INSTRUMENT.SWAP("swap.4962",C4964,H4964,B4964,"USD","SOFR",I4964,J4964,0,"Actual360","Simple","Annual","Annual","Annual")</f>
        <v/>
      </c>
      <c r="F4964" s="8">
        <f>QS.TRADE.CREATE("trade.4962",C4964,E4964,A4964,"Receive")</f>
        <v/>
      </c>
      <c r="G4964" s="5"/>
      <c r="H4964" s="7" t="s">
        <v>5005</v>
      </c>
      <c r="I4964" s="9">
        <v>1496200</v>
      </c>
      <c r="J4964" s="10">
        <v>0.0362</v>
      </c>
    </row>
    <row r="4965" spans="1:10">
      <c r="A4965" s="7" t="s">
        <v>4999</v>
      </c>
      <c r="B4965" s="7" t="s">
        <v>6832</v>
      </c>
      <c r="C4965" s="8">
        <f>QS.CONTEXT.CREATE("market.4963",A4965,"USD","SOFR")</f>
        <v/>
      </c>
      <c r="D4965" s="8">
        <f>QS.CONTEXT.ADD.CURVE(C4965,"SOFR",$K$2:$K$7,$L$2:$L$7,,,"Actual360","LogLinear",TRUE)</f>
        <v/>
      </c>
      <c r="E4965" s="8">
        <f>QS.INSTRUMENT.SWAP("swap.4963",C4965,H4965,B4965,"USD","SOFR",I4965,J4965,0,"Actual360","Simple","Annual","Annual","Annual")</f>
        <v/>
      </c>
      <c r="F4965" s="8">
        <f>QS.TRADE.CREATE("trade.4963",C4965,E4965,A4965,"Receive")</f>
        <v/>
      </c>
      <c r="G4965" s="5"/>
      <c r="H4965" s="7" t="s">
        <v>5006</v>
      </c>
      <c r="I4965" s="9">
        <v>1496300</v>
      </c>
      <c r="J4965" s="10">
        <v>0.03630000000000001</v>
      </c>
    </row>
    <row r="4966" spans="1:10">
      <c r="A4966" s="7" t="s">
        <v>5000</v>
      </c>
      <c r="B4966" s="7" t="s">
        <v>6833</v>
      </c>
      <c r="C4966" s="8">
        <f>QS.CONTEXT.CREATE("market.4964",A4966,"USD","SOFR")</f>
        <v/>
      </c>
      <c r="D4966" s="8">
        <f>QS.CONTEXT.ADD.CURVE(C4966,"SOFR",$K$2:$K$7,$L$2:$L$7,,,"Actual360","LogLinear",TRUE)</f>
        <v/>
      </c>
      <c r="E4966" s="8">
        <f>QS.INSTRUMENT.SWAP("swap.4964",C4966,H4966,B4966,"USD","SOFR",I4966,J4966,0,"Actual360","Simple","Annual","Annual","Annual")</f>
        <v/>
      </c>
      <c r="F4966" s="8">
        <f>QS.TRADE.CREATE("trade.4964",C4966,E4966,A4966,"Receive")</f>
        <v/>
      </c>
      <c r="G4966" s="5"/>
      <c r="H4966" s="7" t="s">
        <v>5007</v>
      </c>
      <c r="I4966" s="9">
        <v>1496400</v>
      </c>
      <c r="J4966" s="10">
        <v>0.0364</v>
      </c>
    </row>
    <row r="4967" spans="1:10">
      <c r="A4967" s="7" t="s">
        <v>5001</v>
      </c>
      <c r="B4967" s="7" t="s">
        <v>6834</v>
      </c>
      <c r="C4967" s="8">
        <f>QS.CONTEXT.CREATE("market.4965",A4967,"USD","SOFR")</f>
        <v/>
      </c>
      <c r="D4967" s="8">
        <f>QS.CONTEXT.ADD.CURVE(C4967,"SOFR",$K$2:$K$7,$L$2:$L$7,,,"Actual360","LogLinear",TRUE)</f>
        <v/>
      </c>
      <c r="E4967" s="8">
        <f>QS.INSTRUMENT.SWAP("swap.4965",C4967,H4967,B4967,"USD","SOFR",I4967,J4967,0,"Actual360","Simple","Annual","Annual","Annual")</f>
        <v/>
      </c>
      <c r="F4967" s="8">
        <f>QS.TRADE.CREATE("trade.4965",C4967,E4967,A4967,"Receive")</f>
        <v/>
      </c>
      <c r="G4967" s="5"/>
      <c r="H4967" s="7" t="s">
        <v>5008</v>
      </c>
      <c r="I4967" s="9">
        <v>1496500</v>
      </c>
      <c r="J4967" s="10">
        <v>0.0365</v>
      </c>
    </row>
    <row r="4968" spans="1:10">
      <c r="A4968" s="7" t="s">
        <v>5002</v>
      </c>
      <c r="B4968" s="7" t="s">
        <v>6835</v>
      </c>
      <c r="C4968" s="8">
        <f>QS.CONTEXT.CREATE("market.4966",A4968,"USD","SOFR")</f>
        <v/>
      </c>
      <c r="D4968" s="8">
        <f>QS.CONTEXT.ADD.CURVE(C4968,"SOFR",$K$2:$K$7,$L$2:$L$7,,,"Actual360","LogLinear",TRUE)</f>
        <v/>
      </c>
      <c r="E4968" s="8">
        <f>QS.INSTRUMENT.SWAP("swap.4966",C4968,H4968,B4968,"USD","SOFR",I4968,J4968,0,"Actual360","Simple","Annual","Annual","Annual")</f>
        <v/>
      </c>
      <c r="F4968" s="8">
        <f>QS.TRADE.CREATE("trade.4966",C4968,E4968,A4968,"Receive")</f>
        <v/>
      </c>
      <c r="G4968" s="5"/>
      <c r="H4968" s="7" t="s">
        <v>5009</v>
      </c>
      <c r="I4968" s="9">
        <v>1496600</v>
      </c>
      <c r="J4968" s="10">
        <v>0.0366</v>
      </c>
    </row>
    <row r="4969" spans="1:10">
      <c r="A4969" s="7" t="s">
        <v>5003</v>
      </c>
      <c r="B4969" s="7" t="s">
        <v>6836</v>
      </c>
      <c r="C4969" s="8">
        <f>QS.CONTEXT.CREATE("market.4967",A4969,"USD","SOFR")</f>
        <v/>
      </c>
      <c r="D4969" s="8">
        <f>QS.CONTEXT.ADD.CURVE(C4969,"SOFR",$K$2:$K$7,$L$2:$L$7,,,"Actual360","LogLinear",TRUE)</f>
        <v/>
      </c>
      <c r="E4969" s="8">
        <f>QS.INSTRUMENT.SWAP("swap.4967",C4969,H4969,B4969,"USD","SOFR",I4969,J4969,0,"Actual360","Simple","Annual","Annual","Annual")</f>
        <v/>
      </c>
      <c r="F4969" s="8">
        <f>QS.TRADE.CREATE("trade.4967",C4969,E4969,A4969,"Receive")</f>
        <v/>
      </c>
      <c r="G4969" s="5"/>
      <c r="H4969" s="7" t="s">
        <v>5010</v>
      </c>
      <c r="I4969" s="9">
        <v>1496700</v>
      </c>
      <c r="J4969" s="10">
        <v>0.0367</v>
      </c>
    </row>
    <row r="4970" spans="1:10">
      <c r="A4970" s="7" t="s">
        <v>5004</v>
      </c>
      <c r="B4970" s="7" t="s">
        <v>6837</v>
      </c>
      <c r="C4970" s="8">
        <f>QS.CONTEXT.CREATE("market.4968",A4970,"USD","SOFR")</f>
        <v/>
      </c>
      <c r="D4970" s="8">
        <f>QS.CONTEXT.ADD.CURVE(C4970,"SOFR",$K$2:$K$7,$L$2:$L$7,,,"Actual360","LogLinear",TRUE)</f>
        <v/>
      </c>
      <c r="E4970" s="8">
        <f>QS.INSTRUMENT.SWAP("swap.4968",C4970,H4970,B4970,"USD","SOFR",I4970,J4970,0,"Actual360","Simple","Annual","Annual","Annual")</f>
        <v/>
      </c>
      <c r="F4970" s="8">
        <f>QS.TRADE.CREATE("trade.4968",C4970,E4970,A4970,"Receive")</f>
        <v/>
      </c>
      <c r="G4970" s="5"/>
      <c r="H4970" s="7" t="s">
        <v>5011</v>
      </c>
      <c r="I4970" s="9">
        <v>1496800</v>
      </c>
      <c r="J4970" s="10">
        <v>0.03680000000000001</v>
      </c>
    </row>
    <row r="4971" spans="1:10">
      <c r="A4971" s="7" t="s">
        <v>5005</v>
      </c>
      <c r="B4971" s="7" t="s">
        <v>6838</v>
      </c>
      <c r="C4971" s="8">
        <f>QS.CONTEXT.CREATE("market.4969",A4971,"USD","SOFR")</f>
        <v/>
      </c>
      <c r="D4971" s="8">
        <f>QS.CONTEXT.ADD.CURVE(C4971,"SOFR",$K$2:$K$7,$L$2:$L$7,,,"Actual360","LogLinear",TRUE)</f>
        <v/>
      </c>
      <c r="E4971" s="8">
        <f>QS.INSTRUMENT.SWAP("swap.4969",C4971,H4971,B4971,"USD","SOFR",I4971,J4971,0,"Actual360","Simple","Annual","Annual","Annual")</f>
        <v/>
      </c>
      <c r="F4971" s="8">
        <f>QS.TRADE.CREATE("trade.4969",C4971,E4971,A4971,"Receive")</f>
        <v/>
      </c>
      <c r="G4971" s="5"/>
      <c r="H4971" s="7" t="s">
        <v>5012</v>
      </c>
      <c r="I4971" s="9">
        <v>1496900</v>
      </c>
      <c r="J4971" s="10">
        <v>0.0369</v>
      </c>
    </row>
    <row r="4972" spans="1:10">
      <c r="A4972" s="7" t="s">
        <v>5006</v>
      </c>
      <c r="B4972" s="7" t="s">
        <v>6839</v>
      </c>
      <c r="C4972" s="8">
        <f>QS.CONTEXT.CREATE("market.4970",A4972,"USD","SOFR")</f>
        <v/>
      </c>
      <c r="D4972" s="8">
        <f>QS.CONTEXT.ADD.CURVE(C4972,"SOFR",$K$2:$K$7,$L$2:$L$7,,,"Actual360","LogLinear",TRUE)</f>
        <v/>
      </c>
      <c r="E4972" s="8">
        <f>QS.INSTRUMENT.SWAP("swap.4970",C4972,H4972,B4972,"USD","SOFR",I4972,J4972,0,"Actual360","Simple","Annual","Annual","Annual")</f>
        <v/>
      </c>
      <c r="F4972" s="8">
        <f>QS.TRADE.CREATE("trade.4970",C4972,E4972,A4972,"Receive")</f>
        <v/>
      </c>
      <c r="G4972" s="5"/>
      <c r="H4972" s="7" t="s">
        <v>5013</v>
      </c>
      <c r="I4972" s="9">
        <v>1497000</v>
      </c>
      <c r="J4972" s="10">
        <v>0.03700000000000001</v>
      </c>
    </row>
    <row r="4973" spans="1:10">
      <c r="A4973" s="7" t="s">
        <v>5007</v>
      </c>
      <c r="B4973" s="7" t="s">
        <v>6840</v>
      </c>
      <c r="C4973" s="8">
        <f>QS.CONTEXT.CREATE("market.4971",A4973,"USD","SOFR")</f>
        <v/>
      </c>
      <c r="D4973" s="8">
        <f>QS.CONTEXT.ADD.CURVE(C4973,"SOFR",$K$2:$K$7,$L$2:$L$7,,,"Actual360","LogLinear",TRUE)</f>
        <v/>
      </c>
      <c r="E4973" s="8">
        <f>QS.INSTRUMENT.SWAP("swap.4971",C4973,H4973,B4973,"USD","SOFR",I4973,J4973,0,"Actual360","Simple","Annual","Annual","Annual")</f>
        <v/>
      </c>
      <c r="F4973" s="8">
        <f>QS.TRADE.CREATE("trade.4971",C4973,E4973,A4973,"Receive")</f>
        <v/>
      </c>
      <c r="G4973" s="5"/>
      <c r="H4973" s="7" t="s">
        <v>5014</v>
      </c>
      <c r="I4973" s="9">
        <v>1497100</v>
      </c>
      <c r="J4973" s="10">
        <v>0.0371</v>
      </c>
    </row>
    <row r="4974" spans="1:10">
      <c r="A4974" s="7" t="s">
        <v>5008</v>
      </c>
      <c r="B4974" s="7" t="s">
        <v>6841</v>
      </c>
      <c r="C4974" s="8">
        <f>QS.CONTEXT.CREATE("market.4972",A4974,"USD","SOFR")</f>
        <v/>
      </c>
      <c r="D4974" s="8">
        <f>QS.CONTEXT.ADD.CURVE(C4974,"SOFR",$K$2:$K$7,$L$2:$L$7,,,"Actual360","LogLinear",TRUE)</f>
        <v/>
      </c>
      <c r="E4974" s="8">
        <f>QS.INSTRUMENT.SWAP("swap.4972",C4974,H4974,B4974,"USD","SOFR",I4974,J4974,0,"Actual360","Simple","Annual","Annual","Annual")</f>
        <v/>
      </c>
      <c r="F4974" s="8">
        <f>QS.TRADE.CREATE("trade.4972",C4974,E4974,A4974,"Receive")</f>
        <v/>
      </c>
      <c r="G4974" s="5"/>
      <c r="H4974" s="7" t="s">
        <v>5015</v>
      </c>
      <c r="I4974" s="9">
        <v>1497200</v>
      </c>
      <c r="J4974" s="10">
        <v>0.0372</v>
      </c>
    </row>
    <row r="4975" spans="1:10">
      <c r="A4975" s="7" t="s">
        <v>5009</v>
      </c>
      <c r="B4975" s="7" t="s">
        <v>6842</v>
      </c>
      <c r="C4975" s="8">
        <f>QS.CONTEXT.CREATE("market.4973",A4975,"USD","SOFR")</f>
        <v/>
      </c>
      <c r="D4975" s="8">
        <f>QS.CONTEXT.ADD.CURVE(C4975,"SOFR",$K$2:$K$7,$L$2:$L$7,,,"Actual360","LogLinear",TRUE)</f>
        <v/>
      </c>
      <c r="E4975" s="8">
        <f>QS.INSTRUMENT.SWAP("swap.4973",C4975,H4975,B4975,"USD","SOFR",I4975,J4975,0,"Actual360","Simple","Annual","Annual","Annual")</f>
        <v/>
      </c>
      <c r="F4975" s="8">
        <f>QS.TRADE.CREATE("trade.4973",C4975,E4975,A4975,"Receive")</f>
        <v/>
      </c>
      <c r="G4975" s="5"/>
      <c r="H4975" s="7" t="s">
        <v>5016</v>
      </c>
      <c r="I4975" s="9">
        <v>1497300</v>
      </c>
      <c r="J4975" s="10">
        <v>0.0373</v>
      </c>
    </row>
    <row r="4976" spans="1:10">
      <c r="A4976" s="7" t="s">
        <v>5010</v>
      </c>
      <c r="B4976" s="7" t="s">
        <v>6843</v>
      </c>
      <c r="C4976" s="8">
        <f>QS.CONTEXT.CREATE("market.4974",A4976,"USD","SOFR")</f>
        <v/>
      </c>
      <c r="D4976" s="8">
        <f>QS.CONTEXT.ADD.CURVE(C4976,"SOFR",$K$2:$K$7,$L$2:$L$7,,,"Actual360","LogLinear",TRUE)</f>
        <v/>
      </c>
      <c r="E4976" s="8">
        <f>QS.INSTRUMENT.SWAP("swap.4974",C4976,H4976,B4976,"USD","SOFR",I4976,J4976,0,"Actual360","Simple","Annual","Annual","Annual")</f>
        <v/>
      </c>
      <c r="F4976" s="8">
        <f>QS.TRADE.CREATE("trade.4974",C4976,E4976,A4976,"Receive")</f>
        <v/>
      </c>
      <c r="G4976" s="5"/>
      <c r="H4976" s="7" t="s">
        <v>5017</v>
      </c>
      <c r="I4976" s="9">
        <v>1497400</v>
      </c>
      <c r="J4976" s="10">
        <v>0.0374</v>
      </c>
    </row>
    <row r="4977" spans="1:10">
      <c r="A4977" s="7" t="s">
        <v>5011</v>
      </c>
      <c r="B4977" s="7" t="s">
        <v>6844</v>
      </c>
      <c r="C4977" s="8">
        <f>QS.CONTEXT.CREATE("market.4975",A4977,"USD","SOFR")</f>
        <v/>
      </c>
      <c r="D4977" s="8">
        <f>QS.CONTEXT.ADD.CURVE(C4977,"SOFR",$K$2:$K$7,$L$2:$L$7,,,"Actual360","LogLinear",TRUE)</f>
        <v/>
      </c>
      <c r="E4977" s="8">
        <f>QS.INSTRUMENT.SWAP("swap.4975",C4977,H4977,B4977,"USD","SOFR",I4977,J4977,0,"Actual360","Simple","Annual","Annual","Annual")</f>
        <v/>
      </c>
      <c r="F4977" s="8">
        <f>QS.TRADE.CREATE("trade.4975",C4977,E4977,A4977,"Receive")</f>
        <v/>
      </c>
      <c r="G4977" s="5"/>
      <c r="H4977" s="7" t="s">
        <v>5018</v>
      </c>
      <c r="I4977" s="9">
        <v>1497500</v>
      </c>
      <c r="J4977" s="10">
        <v>0.03750000000000001</v>
      </c>
    </row>
    <row r="4978" spans="1:10">
      <c r="A4978" s="7" t="s">
        <v>5012</v>
      </c>
      <c r="B4978" s="7" t="s">
        <v>6845</v>
      </c>
      <c r="C4978" s="8">
        <f>QS.CONTEXT.CREATE("market.4976",A4978,"USD","SOFR")</f>
        <v/>
      </c>
      <c r="D4978" s="8">
        <f>QS.CONTEXT.ADD.CURVE(C4978,"SOFR",$K$2:$K$7,$L$2:$L$7,,,"Actual360","LogLinear",TRUE)</f>
        <v/>
      </c>
      <c r="E4978" s="8">
        <f>QS.INSTRUMENT.SWAP("swap.4976",C4978,H4978,B4978,"USD","SOFR",I4978,J4978,0,"Actual360","Simple","Annual","Annual","Annual")</f>
        <v/>
      </c>
      <c r="F4978" s="8">
        <f>QS.TRADE.CREATE("trade.4976",C4978,E4978,A4978,"Receive")</f>
        <v/>
      </c>
      <c r="G4978" s="5"/>
      <c r="H4978" s="7" t="s">
        <v>5019</v>
      </c>
      <c r="I4978" s="9">
        <v>1497600</v>
      </c>
      <c r="J4978" s="10">
        <v>0.0376</v>
      </c>
    </row>
    <row r="4979" spans="1:10">
      <c r="A4979" s="7" t="s">
        <v>5013</v>
      </c>
      <c r="B4979" s="7" t="s">
        <v>6846</v>
      </c>
      <c r="C4979" s="8">
        <f>QS.CONTEXT.CREATE("market.4977",A4979,"USD","SOFR")</f>
        <v/>
      </c>
      <c r="D4979" s="8">
        <f>QS.CONTEXT.ADD.CURVE(C4979,"SOFR",$K$2:$K$7,$L$2:$L$7,,,"Actual360","LogLinear",TRUE)</f>
        <v/>
      </c>
      <c r="E4979" s="8">
        <f>QS.INSTRUMENT.SWAP("swap.4977",C4979,H4979,B4979,"USD","SOFR",I4979,J4979,0,"Actual360","Simple","Annual","Annual","Annual")</f>
        <v/>
      </c>
      <c r="F4979" s="8">
        <f>QS.TRADE.CREATE("trade.4977",C4979,E4979,A4979,"Receive")</f>
        <v/>
      </c>
      <c r="G4979" s="5"/>
      <c r="H4979" s="7" t="s">
        <v>5020</v>
      </c>
      <c r="I4979" s="9">
        <v>1497700</v>
      </c>
      <c r="J4979" s="10">
        <v>0.0377</v>
      </c>
    </row>
    <row r="4980" spans="1:10">
      <c r="A4980" s="7" t="s">
        <v>5014</v>
      </c>
      <c r="B4980" s="7" t="s">
        <v>6847</v>
      </c>
      <c r="C4980" s="8">
        <f>QS.CONTEXT.CREATE("market.4978",A4980,"USD","SOFR")</f>
        <v/>
      </c>
      <c r="D4980" s="8">
        <f>QS.CONTEXT.ADD.CURVE(C4980,"SOFR",$K$2:$K$7,$L$2:$L$7,,,"Actual360","LogLinear",TRUE)</f>
        <v/>
      </c>
      <c r="E4980" s="8">
        <f>QS.INSTRUMENT.SWAP("swap.4978",C4980,H4980,B4980,"USD","SOFR",I4980,J4980,0,"Actual360","Simple","Annual","Annual","Annual")</f>
        <v/>
      </c>
      <c r="F4980" s="8">
        <f>QS.TRADE.CREATE("trade.4978",C4980,E4980,A4980,"Receive")</f>
        <v/>
      </c>
      <c r="G4980" s="5"/>
      <c r="H4980" s="7" t="s">
        <v>5021</v>
      </c>
      <c r="I4980" s="9">
        <v>1497800</v>
      </c>
      <c r="J4980" s="10">
        <v>0.0378</v>
      </c>
    </row>
    <row r="4981" spans="1:10">
      <c r="A4981" s="7" t="s">
        <v>5015</v>
      </c>
      <c r="B4981" s="7" t="s">
        <v>6848</v>
      </c>
      <c r="C4981" s="8">
        <f>QS.CONTEXT.CREATE("market.4979",A4981,"USD","SOFR")</f>
        <v/>
      </c>
      <c r="D4981" s="8">
        <f>QS.CONTEXT.ADD.CURVE(C4981,"SOFR",$K$2:$K$7,$L$2:$L$7,,,"Actual360","LogLinear",TRUE)</f>
        <v/>
      </c>
      <c r="E4981" s="8">
        <f>QS.INSTRUMENT.SWAP("swap.4979",C4981,H4981,B4981,"USD","SOFR",I4981,J4981,0,"Actual360","Simple","Annual","Annual","Annual")</f>
        <v/>
      </c>
      <c r="F4981" s="8">
        <f>QS.TRADE.CREATE("trade.4979",C4981,E4981,A4981,"Receive")</f>
        <v/>
      </c>
      <c r="G4981" s="5"/>
      <c r="H4981" s="7" t="s">
        <v>5022</v>
      </c>
      <c r="I4981" s="9">
        <v>1497900</v>
      </c>
      <c r="J4981" s="10">
        <v>0.0379</v>
      </c>
    </row>
    <row r="4982" spans="1:10">
      <c r="A4982" s="7" t="s">
        <v>5016</v>
      </c>
      <c r="B4982" s="7" t="s">
        <v>6849</v>
      </c>
      <c r="C4982" s="8">
        <f>QS.CONTEXT.CREATE("market.4980",A4982,"USD","SOFR")</f>
        <v/>
      </c>
      <c r="D4982" s="8">
        <f>QS.CONTEXT.ADD.CURVE(C4982,"SOFR",$K$2:$K$7,$L$2:$L$7,,,"Actual360","LogLinear",TRUE)</f>
        <v/>
      </c>
      <c r="E4982" s="8">
        <f>QS.INSTRUMENT.SWAP("swap.4980",C4982,H4982,B4982,"USD","SOFR",I4982,J4982,0,"Actual360","Simple","Annual","Annual","Annual")</f>
        <v/>
      </c>
      <c r="F4982" s="8">
        <f>QS.TRADE.CREATE("trade.4980",C4982,E4982,A4982,"Receive")</f>
        <v/>
      </c>
      <c r="G4982" s="5"/>
      <c r="H4982" s="7" t="s">
        <v>5023</v>
      </c>
      <c r="I4982" s="9">
        <v>1498000</v>
      </c>
      <c r="J4982" s="10">
        <v>0.03800000000000001</v>
      </c>
    </row>
    <row r="4983" spans="1:10">
      <c r="A4983" s="7" t="s">
        <v>5017</v>
      </c>
      <c r="B4983" s="7" t="s">
        <v>6850</v>
      </c>
      <c r="C4983" s="8">
        <f>QS.CONTEXT.CREATE("market.4981",A4983,"USD","SOFR")</f>
        <v/>
      </c>
      <c r="D4983" s="8">
        <f>QS.CONTEXT.ADD.CURVE(C4983,"SOFR",$K$2:$K$7,$L$2:$L$7,,,"Actual360","LogLinear",TRUE)</f>
        <v/>
      </c>
      <c r="E4983" s="8">
        <f>QS.INSTRUMENT.SWAP("swap.4981",C4983,H4983,B4983,"USD","SOFR",I4983,J4983,0,"Actual360","Simple","Annual","Annual","Annual")</f>
        <v/>
      </c>
      <c r="F4983" s="8">
        <f>QS.TRADE.CREATE("trade.4981",C4983,E4983,A4983,"Receive")</f>
        <v/>
      </c>
      <c r="G4983" s="5"/>
      <c r="H4983" s="7" t="s">
        <v>5024</v>
      </c>
      <c r="I4983" s="9">
        <v>1498100</v>
      </c>
      <c r="J4983" s="10">
        <v>0.0381</v>
      </c>
    </row>
    <row r="4984" spans="1:10">
      <c r="A4984" s="7" t="s">
        <v>5018</v>
      </c>
      <c r="B4984" s="7" t="s">
        <v>6851</v>
      </c>
      <c r="C4984" s="8">
        <f>QS.CONTEXT.CREATE("market.4982",A4984,"USD","SOFR")</f>
        <v/>
      </c>
      <c r="D4984" s="8">
        <f>QS.CONTEXT.ADD.CURVE(C4984,"SOFR",$K$2:$K$7,$L$2:$L$7,,,"Actual360","LogLinear",TRUE)</f>
        <v/>
      </c>
      <c r="E4984" s="8">
        <f>QS.INSTRUMENT.SWAP("swap.4982",C4984,H4984,B4984,"USD","SOFR",I4984,J4984,0,"Actual360","Simple","Annual","Annual","Annual")</f>
        <v/>
      </c>
      <c r="F4984" s="8">
        <f>QS.TRADE.CREATE("trade.4982",C4984,E4984,A4984,"Receive")</f>
        <v/>
      </c>
      <c r="G4984" s="5"/>
      <c r="H4984" s="7" t="s">
        <v>5025</v>
      </c>
      <c r="I4984" s="9">
        <v>1498200</v>
      </c>
      <c r="J4984" s="10">
        <v>0.0382</v>
      </c>
    </row>
    <row r="4985" spans="1:10">
      <c r="A4985" s="7" t="s">
        <v>5019</v>
      </c>
      <c r="B4985" s="7" t="s">
        <v>6852</v>
      </c>
      <c r="C4985" s="8">
        <f>QS.CONTEXT.CREATE("market.4983",A4985,"USD","SOFR")</f>
        <v/>
      </c>
      <c r="D4985" s="8">
        <f>QS.CONTEXT.ADD.CURVE(C4985,"SOFR",$K$2:$K$7,$L$2:$L$7,,,"Actual360","LogLinear",TRUE)</f>
        <v/>
      </c>
      <c r="E4985" s="8">
        <f>QS.INSTRUMENT.SWAP("swap.4983",C4985,H4985,B4985,"USD","SOFR",I4985,J4985,0,"Actual360","Simple","Annual","Annual","Annual")</f>
        <v/>
      </c>
      <c r="F4985" s="8">
        <f>QS.TRADE.CREATE("trade.4983",C4985,E4985,A4985,"Receive")</f>
        <v/>
      </c>
      <c r="G4985" s="5"/>
      <c r="H4985" s="7" t="s">
        <v>5026</v>
      </c>
      <c r="I4985" s="9">
        <v>1498300</v>
      </c>
      <c r="J4985" s="10">
        <v>0.0383</v>
      </c>
    </row>
    <row r="4986" spans="1:10">
      <c r="A4986" s="7" t="s">
        <v>5020</v>
      </c>
      <c r="B4986" s="7" t="s">
        <v>6853</v>
      </c>
      <c r="C4986" s="8">
        <f>QS.CONTEXT.CREATE("market.4984",A4986,"USD","SOFR")</f>
        <v/>
      </c>
      <c r="D4986" s="8">
        <f>QS.CONTEXT.ADD.CURVE(C4986,"SOFR",$K$2:$K$7,$L$2:$L$7,,,"Actual360","LogLinear",TRUE)</f>
        <v/>
      </c>
      <c r="E4986" s="8">
        <f>QS.INSTRUMENT.SWAP("swap.4984",C4986,H4986,B4986,"USD","SOFR",I4986,J4986,0,"Actual360","Simple","Annual","Annual","Annual")</f>
        <v/>
      </c>
      <c r="F4986" s="8">
        <f>QS.TRADE.CREATE("trade.4984",C4986,E4986,A4986,"Receive")</f>
        <v/>
      </c>
      <c r="G4986" s="5"/>
      <c r="H4986" s="7" t="s">
        <v>5027</v>
      </c>
      <c r="I4986" s="9">
        <v>1498400</v>
      </c>
      <c r="J4986" s="10">
        <v>0.0384</v>
      </c>
    </row>
    <row r="4987" spans="1:10">
      <c r="A4987" s="7" t="s">
        <v>5021</v>
      </c>
      <c r="B4987" s="7" t="s">
        <v>6854</v>
      </c>
      <c r="C4987" s="8">
        <f>QS.CONTEXT.CREATE("market.4985",A4987,"USD","SOFR")</f>
        <v/>
      </c>
      <c r="D4987" s="8">
        <f>QS.CONTEXT.ADD.CURVE(C4987,"SOFR",$K$2:$K$7,$L$2:$L$7,,,"Actual360","LogLinear",TRUE)</f>
        <v/>
      </c>
      <c r="E4987" s="8">
        <f>QS.INSTRUMENT.SWAP("swap.4985",C4987,H4987,B4987,"USD","SOFR",I4987,J4987,0,"Actual360","Simple","Annual","Annual","Annual")</f>
        <v/>
      </c>
      <c r="F4987" s="8">
        <f>QS.TRADE.CREATE("trade.4985",C4987,E4987,A4987,"Receive")</f>
        <v/>
      </c>
      <c r="G4987" s="5"/>
      <c r="H4987" s="7" t="s">
        <v>5028</v>
      </c>
      <c r="I4987" s="9">
        <v>1498500</v>
      </c>
      <c r="J4987" s="10">
        <v>0.03850000000000001</v>
      </c>
    </row>
    <row r="4988" spans="1:10">
      <c r="A4988" s="7" t="s">
        <v>5022</v>
      </c>
      <c r="B4988" s="7" t="s">
        <v>6855</v>
      </c>
      <c r="C4988" s="8">
        <f>QS.CONTEXT.CREATE("market.4986",A4988,"USD","SOFR")</f>
        <v/>
      </c>
      <c r="D4988" s="8">
        <f>QS.CONTEXT.ADD.CURVE(C4988,"SOFR",$K$2:$K$7,$L$2:$L$7,,,"Actual360","LogLinear",TRUE)</f>
        <v/>
      </c>
      <c r="E4988" s="8">
        <f>QS.INSTRUMENT.SWAP("swap.4986",C4988,H4988,B4988,"USD","SOFR",I4988,J4988,0,"Actual360","Simple","Annual","Annual","Annual")</f>
        <v/>
      </c>
      <c r="F4988" s="8">
        <f>QS.TRADE.CREATE("trade.4986",C4988,E4988,A4988,"Receive")</f>
        <v/>
      </c>
      <c r="G4988" s="5"/>
      <c r="H4988" s="7" t="s">
        <v>5029</v>
      </c>
      <c r="I4988" s="9">
        <v>1498600</v>
      </c>
      <c r="J4988" s="10">
        <v>0.0386</v>
      </c>
    </row>
    <row r="4989" spans="1:10">
      <c r="A4989" s="7" t="s">
        <v>5023</v>
      </c>
      <c r="B4989" s="7" t="s">
        <v>6856</v>
      </c>
      <c r="C4989" s="8">
        <f>QS.CONTEXT.CREATE("market.4987",A4989,"USD","SOFR")</f>
        <v/>
      </c>
      <c r="D4989" s="8">
        <f>QS.CONTEXT.ADD.CURVE(C4989,"SOFR",$K$2:$K$7,$L$2:$L$7,,,"Actual360","LogLinear",TRUE)</f>
        <v/>
      </c>
      <c r="E4989" s="8">
        <f>QS.INSTRUMENT.SWAP("swap.4987",C4989,H4989,B4989,"USD","SOFR",I4989,J4989,0,"Actual360","Simple","Annual","Annual","Annual")</f>
        <v/>
      </c>
      <c r="F4989" s="8">
        <f>QS.TRADE.CREATE("trade.4987",C4989,E4989,A4989,"Receive")</f>
        <v/>
      </c>
      <c r="G4989" s="5"/>
      <c r="H4989" s="7" t="s">
        <v>5030</v>
      </c>
      <c r="I4989" s="9">
        <v>1498700</v>
      </c>
      <c r="J4989" s="10">
        <v>0.03870000000000001</v>
      </c>
    </row>
    <row r="4990" spans="1:10">
      <c r="A4990" s="7" t="s">
        <v>5024</v>
      </c>
      <c r="B4990" s="7" t="s">
        <v>6857</v>
      </c>
      <c r="C4990" s="8">
        <f>QS.CONTEXT.CREATE("market.4988",A4990,"USD","SOFR")</f>
        <v/>
      </c>
      <c r="D4990" s="8">
        <f>QS.CONTEXT.ADD.CURVE(C4990,"SOFR",$K$2:$K$7,$L$2:$L$7,,,"Actual360","LogLinear",TRUE)</f>
        <v/>
      </c>
      <c r="E4990" s="8">
        <f>QS.INSTRUMENT.SWAP("swap.4988",C4990,H4990,B4990,"USD","SOFR",I4990,J4990,0,"Actual360","Simple","Annual","Annual","Annual")</f>
        <v/>
      </c>
      <c r="F4990" s="8">
        <f>QS.TRADE.CREATE("trade.4988",C4990,E4990,A4990,"Receive")</f>
        <v/>
      </c>
      <c r="G4990" s="5"/>
      <c r="H4990" s="7" t="s">
        <v>5031</v>
      </c>
      <c r="I4990" s="9">
        <v>1498800</v>
      </c>
      <c r="J4990" s="10">
        <v>0.0388</v>
      </c>
    </row>
    <row r="4991" spans="1:10">
      <c r="A4991" s="7" t="s">
        <v>5025</v>
      </c>
      <c r="B4991" s="7" t="s">
        <v>6858</v>
      </c>
      <c r="C4991" s="8">
        <f>QS.CONTEXT.CREATE("market.4989",A4991,"USD","SOFR")</f>
        <v/>
      </c>
      <c r="D4991" s="8">
        <f>QS.CONTEXT.ADD.CURVE(C4991,"SOFR",$K$2:$K$7,$L$2:$L$7,,,"Actual360","LogLinear",TRUE)</f>
        <v/>
      </c>
      <c r="E4991" s="8">
        <f>QS.INSTRUMENT.SWAP("swap.4989",C4991,H4991,B4991,"USD","SOFR",I4991,J4991,0,"Actual360","Simple","Annual","Annual","Annual")</f>
        <v/>
      </c>
      <c r="F4991" s="8">
        <f>QS.TRADE.CREATE("trade.4989",C4991,E4991,A4991,"Receive")</f>
        <v/>
      </c>
      <c r="G4991" s="5"/>
      <c r="H4991" s="7" t="s">
        <v>5032</v>
      </c>
      <c r="I4991" s="9">
        <v>1498900</v>
      </c>
      <c r="J4991" s="10">
        <v>0.0389</v>
      </c>
    </row>
    <row r="4992" spans="1:10">
      <c r="A4992" s="7" t="s">
        <v>5026</v>
      </c>
      <c r="B4992" s="7" t="s">
        <v>6859</v>
      </c>
      <c r="C4992" s="8">
        <f>QS.CONTEXT.CREATE("market.4990",A4992,"USD","SOFR")</f>
        <v/>
      </c>
      <c r="D4992" s="8">
        <f>QS.CONTEXT.ADD.CURVE(C4992,"SOFR",$K$2:$K$7,$L$2:$L$7,,,"Actual360","LogLinear",TRUE)</f>
        <v/>
      </c>
      <c r="E4992" s="8">
        <f>QS.INSTRUMENT.SWAP("swap.4990",C4992,H4992,B4992,"USD","SOFR",I4992,J4992,0,"Actual360","Simple","Annual","Annual","Annual")</f>
        <v/>
      </c>
      <c r="F4992" s="8">
        <f>QS.TRADE.CREATE("trade.4990",C4992,E4992,A4992,"Receive")</f>
        <v/>
      </c>
      <c r="G4992" s="5"/>
      <c r="H4992" s="7" t="s">
        <v>5033</v>
      </c>
      <c r="I4992" s="9">
        <v>1499000</v>
      </c>
      <c r="J4992" s="10">
        <v>0.03900000000000001</v>
      </c>
    </row>
    <row r="4993" spans="1:10">
      <c r="A4993" s="7" t="s">
        <v>5027</v>
      </c>
      <c r="B4993" s="7" t="s">
        <v>6860</v>
      </c>
      <c r="C4993" s="8">
        <f>QS.CONTEXT.CREATE("market.4991",A4993,"USD","SOFR")</f>
        <v/>
      </c>
      <c r="D4993" s="8">
        <f>QS.CONTEXT.ADD.CURVE(C4993,"SOFR",$K$2:$K$7,$L$2:$L$7,,,"Actual360","LogLinear",TRUE)</f>
        <v/>
      </c>
      <c r="E4993" s="8">
        <f>QS.INSTRUMENT.SWAP("swap.4991",C4993,H4993,B4993,"USD","SOFR",I4993,J4993,0,"Actual360","Simple","Annual","Annual","Annual")</f>
        <v/>
      </c>
      <c r="F4993" s="8">
        <f>QS.TRADE.CREATE("trade.4991",C4993,E4993,A4993,"Receive")</f>
        <v/>
      </c>
      <c r="G4993" s="5"/>
      <c r="H4993" s="7" t="s">
        <v>5034</v>
      </c>
      <c r="I4993" s="9">
        <v>1499100</v>
      </c>
      <c r="J4993" s="10">
        <v>0.0391</v>
      </c>
    </row>
    <row r="4994" spans="1:10">
      <c r="A4994" s="7" t="s">
        <v>5028</v>
      </c>
      <c r="B4994" s="7" t="s">
        <v>6861</v>
      </c>
      <c r="C4994" s="8">
        <f>QS.CONTEXT.CREATE("market.4992",A4994,"USD","SOFR")</f>
        <v/>
      </c>
      <c r="D4994" s="8">
        <f>QS.CONTEXT.ADD.CURVE(C4994,"SOFR",$K$2:$K$7,$L$2:$L$7,,,"Actual360","LogLinear",TRUE)</f>
        <v/>
      </c>
      <c r="E4994" s="8">
        <f>QS.INSTRUMENT.SWAP("swap.4992",C4994,H4994,B4994,"USD","SOFR",I4994,J4994,0,"Actual360","Simple","Annual","Annual","Annual")</f>
        <v/>
      </c>
      <c r="F4994" s="8">
        <f>QS.TRADE.CREATE("trade.4992",C4994,E4994,A4994,"Receive")</f>
        <v/>
      </c>
      <c r="G4994" s="5"/>
      <c r="H4994" s="7" t="s">
        <v>5035</v>
      </c>
      <c r="I4994" s="9">
        <v>1499200</v>
      </c>
      <c r="J4994" s="10">
        <v>0.03920000000000001</v>
      </c>
    </row>
    <row r="4995" spans="1:10">
      <c r="A4995" s="7" t="s">
        <v>5029</v>
      </c>
      <c r="B4995" s="7" t="s">
        <v>6862</v>
      </c>
      <c r="C4995" s="8">
        <f>QS.CONTEXT.CREATE("market.4993",A4995,"USD","SOFR")</f>
        <v/>
      </c>
      <c r="D4995" s="8">
        <f>QS.CONTEXT.ADD.CURVE(C4995,"SOFR",$K$2:$K$7,$L$2:$L$7,,,"Actual360","LogLinear",TRUE)</f>
        <v/>
      </c>
      <c r="E4995" s="8">
        <f>QS.INSTRUMENT.SWAP("swap.4993",C4995,H4995,B4995,"USD","SOFR",I4995,J4995,0,"Actual360","Simple","Annual","Annual","Annual")</f>
        <v/>
      </c>
      <c r="F4995" s="8">
        <f>QS.TRADE.CREATE("trade.4993",C4995,E4995,A4995,"Receive")</f>
        <v/>
      </c>
      <c r="G4995" s="5"/>
      <c r="H4995" s="7" t="s">
        <v>5036</v>
      </c>
      <c r="I4995" s="9">
        <v>1499300</v>
      </c>
      <c r="J4995" s="10">
        <v>0.0393</v>
      </c>
    </row>
    <row r="4996" spans="1:10">
      <c r="A4996" s="7" t="s">
        <v>5030</v>
      </c>
      <c r="B4996" s="7" t="s">
        <v>6863</v>
      </c>
      <c r="C4996" s="8">
        <f>QS.CONTEXT.CREATE("market.4994",A4996,"USD","SOFR")</f>
        <v/>
      </c>
      <c r="D4996" s="8">
        <f>QS.CONTEXT.ADD.CURVE(C4996,"SOFR",$K$2:$K$7,$L$2:$L$7,,,"Actual360","LogLinear",TRUE)</f>
        <v/>
      </c>
      <c r="E4996" s="8">
        <f>QS.INSTRUMENT.SWAP("swap.4994",C4996,H4996,B4996,"USD","SOFR",I4996,J4996,0,"Actual360","Simple","Annual","Annual","Annual")</f>
        <v/>
      </c>
      <c r="F4996" s="8">
        <f>QS.TRADE.CREATE("trade.4994",C4996,E4996,A4996,"Receive")</f>
        <v/>
      </c>
      <c r="G4996" s="5"/>
      <c r="H4996" s="7" t="s">
        <v>5037</v>
      </c>
      <c r="I4996" s="9">
        <v>1499400</v>
      </c>
      <c r="J4996" s="10">
        <v>0.0394</v>
      </c>
    </row>
    <row r="4997" spans="1:10">
      <c r="A4997" s="7" t="s">
        <v>5031</v>
      </c>
      <c r="B4997" s="7" t="s">
        <v>6864</v>
      </c>
      <c r="C4997" s="8">
        <f>QS.CONTEXT.CREATE("market.4995",A4997,"USD","SOFR")</f>
        <v/>
      </c>
      <c r="D4997" s="8">
        <f>QS.CONTEXT.ADD.CURVE(C4997,"SOFR",$K$2:$K$7,$L$2:$L$7,,,"Actual360","LogLinear",TRUE)</f>
        <v/>
      </c>
      <c r="E4997" s="8">
        <f>QS.INSTRUMENT.SWAP("swap.4995",C4997,H4997,B4997,"USD","SOFR",I4997,J4997,0,"Actual360","Simple","Annual","Annual","Annual")</f>
        <v/>
      </c>
      <c r="F4997" s="8">
        <f>QS.TRADE.CREATE("trade.4995",C4997,E4997,A4997,"Receive")</f>
        <v/>
      </c>
      <c r="G4997" s="5"/>
      <c r="H4997" s="7" t="s">
        <v>5038</v>
      </c>
      <c r="I4997" s="9">
        <v>1499500</v>
      </c>
      <c r="J4997" s="10">
        <v>0.03950000000000001</v>
      </c>
    </row>
    <row r="4998" spans="1:10">
      <c r="A4998" s="7" t="s">
        <v>5032</v>
      </c>
      <c r="B4998" s="7" t="s">
        <v>6865</v>
      </c>
      <c r="C4998" s="8">
        <f>QS.CONTEXT.CREATE("market.4996",A4998,"USD","SOFR")</f>
        <v/>
      </c>
      <c r="D4998" s="8">
        <f>QS.CONTEXT.ADD.CURVE(C4998,"SOFR",$K$2:$K$7,$L$2:$L$7,,,"Actual360","LogLinear",TRUE)</f>
        <v/>
      </c>
      <c r="E4998" s="8">
        <f>QS.INSTRUMENT.SWAP("swap.4996",C4998,H4998,B4998,"USD","SOFR",I4998,J4998,0,"Actual360","Simple","Annual","Annual","Annual")</f>
        <v/>
      </c>
      <c r="F4998" s="8">
        <f>QS.TRADE.CREATE("trade.4996",C4998,E4998,A4998,"Receive")</f>
        <v/>
      </c>
      <c r="G4998" s="5"/>
      <c r="H4998" s="7" t="s">
        <v>5039</v>
      </c>
      <c r="I4998" s="9">
        <v>1499600</v>
      </c>
      <c r="J4998" s="10">
        <v>0.0396</v>
      </c>
    </row>
    <row r="4999" spans="1:10">
      <c r="A4999" s="7" t="s">
        <v>5033</v>
      </c>
      <c r="B4999" s="7" t="s">
        <v>6866</v>
      </c>
      <c r="C4999" s="8">
        <f>QS.CONTEXT.CREATE("market.4997",A4999,"USD","SOFR")</f>
        <v/>
      </c>
      <c r="D4999" s="8">
        <f>QS.CONTEXT.ADD.CURVE(C4999,"SOFR",$K$2:$K$7,$L$2:$L$7,,,"Actual360","LogLinear",TRUE)</f>
        <v/>
      </c>
      <c r="E4999" s="8">
        <f>QS.INSTRUMENT.SWAP("swap.4997",C4999,H4999,B4999,"USD","SOFR",I4999,J4999,0,"Actual360","Simple","Annual","Annual","Annual")</f>
        <v/>
      </c>
      <c r="F4999" s="8">
        <f>QS.TRADE.CREATE("trade.4997",C4999,E4999,A4999,"Receive")</f>
        <v/>
      </c>
      <c r="G4999" s="5"/>
      <c r="H4999" s="7" t="s">
        <v>5040</v>
      </c>
      <c r="I4999" s="9">
        <v>1499700</v>
      </c>
      <c r="J4999" s="10">
        <v>0.03970000000000001</v>
      </c>
    </row>
    <row r="5000" spans="1:10">
      <c r="A5000" s="7" t="s">
        <v>5034</v>
      </c>
      <c r="B5000" s="7" t="s">
        <v>6867</v>
      </c>
      <c r="C5000" s="8">
        <f>QS.CONTEXT.CREATE("market.4998",A5000,"USD","SOFR")</f>
        <v/>
      </c>
      <c r="D5000" s="8">
        <f>QS.CONTEXT.ADD.CURVE(C5000,"SOFR",$K$2:$K$7,$L$2:$L$7,,,"Actual360","LogLinear",TRUE)</f>
        <v/>
      </c>
      <c r="E5000" s="8">
        <f>QS.INSTRUMENT.SWAP("swap.4998",C5000,H5000,B5000,"USD","SOFR",I5000,J5000,0,"Actual360","Simple","Annual","Annual","Annual")</f>
        <v/>
      </c>
      <c r="F5000" s="8">
        <f>QS.TRADE.CREATE("trade.4998",C5000,E5000,A5000,"Receive")</f>
        <v/>
      </c>
      <c r="G5000" s="5"/>
      <c r="H5000" s="7" t="s">
        <v>5041</v>
      </c>
      <c r="I5000" s="9">
        <v>1499800</v>
      </c>
      <c r="J5000" s="10">
        <v>0.0398</v>
      </c>
    </row>
    <row r="5001" spans="1:10">
      <c r="A5001" s="7" t="s">
        <v>5035</v>
      </c>
      <c r="B5001" s="7" t="s">
        <v>6868</v>
      </c>
      <c r="C5001" s="8">
        <f>QS.CONTEXT.CREATE("market.4999",A5001,"USD","SOFR")</f>
        <v/>
      </c>
      <c r="D5001" s="8">
        <f>QS.CONTEXT.ADD.CURVE(C5001,"SOFR",$K$2:$K$7,$L$2:$L$7,,,"Actual360","LogLinear",TRUE)</f>
        <v/>
      </c>
      <c r="E5001" s="8">
        <f>QS.INSTRUMENT.SWAP("swap.4999",C5001,H5001,B5001,"USD","SOFR",I5001,J5001,0,"Actual360","Simple","Annual","Annual","Annual")</f>
        <v/>
      </c>
      <c r="F5001" s="8">
        <f>QS.TRADE.CREATE("trade.4999",C5001,E5001,A5001,"Receive")</f>
        <v/>
      </c>
      <c r="G5001" s="5"/>
      <c r="H5001" s="7" t="s">
        <v>5042</v>
      </c>
      <c r="I5001" s="9">
        <v>1499900</v>
      </c>
      <c r="J5001" s="10">
        <v>0.0399</v>
      </c>
    </row>
    <row r="5002" spans="1:10">
      <c r="A5002" s="7" t="s">
        <v>5036</v>
      </c>
      <c r="B5002" s="7" t="s">
        <v>6869</v>
      </c>
      <c r="C5002" s="8">
        <f>QS.CONTEXT.CREATE("market.5000",A5002,"USD","SOFR")</f>
        <v/>
      </c>
      <c r="D5002" s="8">
        <f>QS.CONTEXT.ADD.CURVE(C5002,"SOFR",$K$2:$K$7,$L$2:$L$7,,,"Actual360","LogLinear",TRUE)</f>
        <v/>
      </c>
      <c r="E5002" s="8">
        <f>QS.INSTRUMENT.SWAP("swap.5000",C5002,H5002,B5002,"USD","SOFR",I5002,J5002,0,"Actual360","Simple","Annual","Annual","Annual")</f>
        <v/>
      </c>
      <c r="F5002" s="8">
        <f>QS.TRADE.CREATE("trade.5000",C5002,E5002,A5002,"Receive")</f>
        <v/>
      </c>
      <c r="G5002" s="5"/>
      <c r="H5002" s="7" t="s">
        <v>5043</v>
      </c>
      <c r="I5002" s="9">
        <v>1500000</v>
      </c>
      <c r="J5002" s="10">
        <v>0.035</v>
      </c>
    </row>
    <row r="5003" spans="1:10">
      <c r="A5003" s="7" t="s">
        <v>5037</v>
      </c>
      <c r="B5003" s="7" t="s">
        <v>6870</v>
      </c>
      <c r="C5003" s="8">
        <f>QS.CONTEXT.CREATE("market.5001",A5003,"USD","SOFR")</f>
        <v/>
      </c>
      <c r="D5003" s="8">
        <f>QS.CONTEXT.ADD.CURVE(C5003,"SOFR",$K$2:$K$7,$L$2:$L$7,,,"Actual360","LogLinear",TRUE)</f>
        <v/>
      </c>
      <c r="E5003" s="8">
        <f>QS.INSTRUMENT.SWAP("swap.5001",C5003,H5003,B5003,"USD","SOFR",I5003,J5003,0,"Actual360","Simple","Annual","Annual","Annual")</f>
        <v/>
      </c>
      <c r="F5003" s="8">
        <f>QS.TRADE.CREATE("trade.5001",C5003,E5003,A5003,"Receive")</f>
        <v/>
      </c>
      <c r="G5003" s="5"/>
      <c r="H5003" s="7" t="s">
        <v>5044</v>
      </c>
      <c r="I5003" s="9">
        <v>1500100</v>
      </c>
      <c r="J5003" s="10">
        <v>0.03510000000000001</v>
      </c>
    </row>
    <row r="5004" spans="1:10">
      <c r="A5004" s="7" t="s">
        <v>5038</v>
      </c>
      <c r="B5004" s="7" t="s">
        <v>6871</v>
      </c>
      <c r="C5004" s="8">
        <f>QS.CONTEXT.CREATE("market.5002",A5004,"USD","SOFR")</f>
        <v/>
      </c>
      <c r="D5004" s="8">
        <f>QS.CONTEXT.ADD.CURVE(C5004,"SOFR",$K$2:$K$7,$L$2:$L$7,,,"Actual360","LogLinear",TRUE)</f>
        <v/>
      </c>
      <c r="E5004" s="8">
        <f>QS.INSTRUMENT.SWAP("swap.5002",C5004,H5004,B5004,"USD","SOFR",I5004,J5004,0,"Actual360","Simple","Annual","Annual","Annual")</f>
        <v/>
      </c>
      <c r="F5004" s="8">
        <f>QS.TRADE.CREATE("trade.5002",C5004,E5004,A5004,"Receive")</f>
        <v/>
      </c>
      <c r="G5004" s="5"/>
      <c r="H5004" s="7" t="s">
        <v>5045</v>
      </c>
      <c r="I5004" s="9">
        <v>1500200</v>
      </c>
      <c r="J5004" s="10">
        <v>0.0352</v>
      </c>
    </row>
    <row r="5005" spans="1:10">
      <c r="A5005" s="7" t="s">
        <v>5039</v>
      </c>
      <c r="B5005" s="7" t="s">
        <v>6872</v>
      </c>
      <c r="C5005" s="8">
        <f>QS.CONTEXT.CREATE("market.5003",A5005,"USD","SOFR")</f>
        <v/>
      </c>
      <c r="D5005" s="8">
        <f>QS.CONTEXT.ADD.CURVE(C5005,"SOFR",$K$2:$K$7,$L$2:$L$7,,,"Actual360","LogLinear",TRUE)</f>
        <v/>
      </c>
      <c r="E5005" s="8">
        <f>QS.INSTRUMENT.SWAP("swap.5003",C5005,H5005,B5005,"USD","SOFR",I5005,J5005,0,"Actual360","Simple","Annual","Annual","Annual")</f>
        <v/>
      </c>
      <c r="F5005" s="8">
        <f>QS.TRADE.CREATE("trade.5003",C5005,E5005,A5005,"Receive")</f>
        <v/>
      </c>
      <c r="G5005" s="5"/>
      <c r="H5005" s="7" t="s">
        <v>5046</v>
      </c>
      <c r="I5005" s="9">
        <v>1500300</v>
      </c>
      <c r="J5005" s="10">
        <v>0.0353</v>
      </c>
    </row>
    <row r="5006" spans="1:10">
      <c r="A5006" s="7" t="s">
        <v>5040</v>
      </c>
      <c r="B5006" s="7" t="s">
        <v>6873</v>
      </c>
      <c r="C5006" s="8">
        <f>QS.CONTEXT.CREATE("market.5004",A5006,"USD","SOFR")</f>
        <v/>
      </c>
      <c r="D5006" s="8">
        <f>QS.CONTEXT.ADD.CURVE(C5006,"SOFR",$K$2:$K$7,$L$2:$L$7,,,"Actual360","LogLinear",TRUE)</f>
        <v/>
      </c>
      <c r="E5006" s="8">
        <f>QS.INSTRUMENT.SWAP("swap.5004",C5006,H5006,B5006,"USD","SOFR",I5006,J5006,0,"Actual360","Simple","Annual","Annual","Annual")</f>
        <v/>
      </c>
      <c r="F5006" s="8">
        <f>QS.TRADE.CREATE("trade.5004",C5006,E5006,A5006,"Receive")</f>
        <v/>
      </c>
      <c r="G5006" s="5"/>
      <c r="H5006" s="7" t="s">
        <v>5047</v>
      </c>
      <c r="I5006" s="9">
        <v>1500400</v>
      </c>
      <c r="J5006" s="10">
        <v>0.0354</v>
      </c>
    </row>
    <row r="5007" spans="1:10">
      <c r="A5007" s="7" t="s">
        <v>5041</v>
      </c>
      <c r="B5007" s="7" t="s">
        <v>6874</v>
      </c>
      <c r="C5007" s="8">
        <f>QS.CONTEXT.CREATE("market.5005",A5007,"USD","SOFR")</f>
        <v/>
      </c>
      <c r="D5007" s="8">
        <f>QS.CONTEXT.ADD.CURVE(C5007,"SOFR",$K$2:$K$7,$L$2:$L$7,,,"Actual360","LogLinear",TRUE)</f>
        <v/>
      </c>
      <c r="E5007" s="8">
        <f>QS.INSTRUMENT.SWAP("swap.5005",C5007,H5007,B5007,"USD","SOFR",I5007,J5007,0,"Actual360","Simple","Annual","Annual","Annual")</f>
        <v/>
      </c>
      <c r="F5007" s="8">
        <f>QS.TRADE.CREATE("trade.5005",C5007,E5007,A5007,"Receive")</f>
        <v/>
      </c>
      <c r="G5007" s="5"/>
      <c r="H5007" s="7" t="s">
        <v>5048</v>
      </c>
      <c r="I5007" s="9">
        <v>1500500</v>
      </c>
      <c r="J5007" s="10">
        <v>0.0355</v>
      </c>
    </row>
    <row r="5008" spans="1:10">
      <c r="A5008" s="7" t="s">
        <v>5042</v>
      </c>
      <c r="B5008" s="7" t="s">
        <v>6875</v>
      </c>
      <c r="C5008" s="8">
        <f>QS.CONTEXT.CREATE("market.5006",A5008,"USD","SOFR")</f>
        <v/>
      </c>
      <c r="D5008" s="8">
        <f>QS.CONTEXT.ADD.CURVE(C5008,"SOFR",$K$2:$K$7,$L$2:$L$7,,,"Actual360","LogLinear",TRUE)</f>
        <v/>
      </c>
      <c r="E5008" s="8">
        <f>QS.INSTRUMENT.SWAP("swap.5006",C5008,H5008,B5008,"USD","SOFR",I5008,J5008,0,"Actual360","Simple","Annual","Annual","Annual")</f>
        <v/>
      </c>
      <c r="F5008" s="8">
        <f>QS.TRADE.CREATE("trade.5006",C5008,E5008,A5008,"Receive")</f>
        <v/>
      </c>
      <c r="G5008" s="5"/>
      <c r="H5008" s="7" t="s">
        <v>5049</v>
      </c>
      <c r="I5008" s="9">
        <v>1500600</v>
      </c>
      <c r="J5008" s="10">
        <v>0.03560000000000001</v>
      </c>
    </row>
    <row r="5009" spans="1:10">
      <c r="A5009" s="7" t="s">
        <v>5043</v>
      </c>
      <c r="B5009" s="7" t="s">
        <v>6876</v>
      </c>
      <c r="C5009" s="8">
        <f>QS.CONTEXT.CREATE("market.5007",A5009,"USD","SOFR")</f>
        <v/>
      </c>
      <c r="D5009" s="8">
        <f>QS.CONTEXT.ADD.CURVE(C5009,"SOFR",$K$2:$K$7,$L$2:$L$7,,,"Actual360","LogLinear",TRUE)</f>
        <v/>
      </c>
      <c r="E5009" s="8">
        <f>QS.INSTRUMENT.SWAP("swap.5007",C5009,H5009,B5009,"USD","SOFR",I5009,J5009,0,"Actual360","Simple","Annual","Annual","Annual")</f>
        <v/>
      </c>
      <c r="F5009" s="8">
        <f>QS.TRADE.CREATE("trade.5007",C5009,E5009,A5009,"Receive")</f>
        <v/>
      </c>
      <c r="G5009" s="5"/>
      <c r="H5009" s="7" t="s">
        <v>5050</v>
      </c>
      <c r="I5009" s="9">
        <v>1500700</v>
      </c>
      <c r="J5009" s="10">
        <v>0.0357</v>
      </c>
    </row>
    <row r="5010" spans="1:10">
      <c r="A5010" s="7" t="s">
        <v>5044</v>
      </c>
      <c r="B5010" s="7" t="s">
        <v>6877</v>
      </c>
      <c r="C5010" s="8">
        <f>QS.CONTEXT.CREATE("market.5008",A5010,"USD","SOFR")</f>
        <v/>
      </c>
      <c r="D5010" s="8">
        <f>QS.CONTEXT.ADD.CURVE(C5010,"SOFR",$K$2:$K$7,$L$2:$L$7,,,"Actual360","LogLinear",TRUE)</f>
        <v/>
      </c>
      <c r="E5010" s="8">
        <f>QS.INSTRUMENT.SWAP("swap.5008",C5010,H5010,B5010,"USD","SOFR",I5010,J5010,0,"Actual360","Simple","Annual","Annual","Annual")</f>
        <v/>
      </c>
      <c r="F5010" s="8">
        <f>QS.TRADE.CREATE("trade.5008",C5010,E5010,A5010,"Receive")</f>
        <v/>
      </c>
      <c r="G5010" s="5"/>
      <c r="H5010" s="7" t="s">
        <v>5051</v>
      </c>
      <c r="I5010" s="9">
        <v>1500800</v>
      </c>
      <c r="J5010" s="10">
        <v>0.03580000000000001</v>
      </c>
    </row>
    <row r="5011" spans="1:10">
      <c r="A5011" s="7" t="s">
        <v>5045</v>
      </c>
      <c r="B5011" s="7" t="s">
        <v>6878</v>
      </c>
      <c r="C5011" s="8">
        <f>QS.CONTEXT.CREATE("market.5009",A5011,"USD","SOFR")</f>
        <v/>
      </c>
      <c r="D5011" s="8">
        <f>QS.CONTEXT.ADD.CURVE(C5011,"SOFR",$K$2:$K$7,$L$2:$L$7,,,"Actual360","LogLinear",TRUE)</f>
        <v/>
      </c>
      <c r="E5011" s="8">
        <f>QS.INSTRUMENT.SWAP("swap.5009",C5011,H5011,B5011,"USD","SOFR",I5011,J5011,0,"Actual360","Simple","Annual","Annual","Annual")</f>
        <v/>
      </c>
      <c r="F5011" s="8">
        <f>QS.TRADE.CREATE("trade.5009",C5011,E5011,A5011,"Receive")</f>
        <v/>
      </c>
      <c r="G5011" s="5"/>
      <c r="H5011" s="7" t="s">
        <v>5052</v>
      </c>
      <c r="I5011" s="9">
        <v>1500900</v>
      </c>
      <c r="J5011" s="10">
        <v>0.0359</v>
      </c>
    </row>
    <row r="5012" spans="1:10">
      <c r="A5012" s="7" t="s">
        <v>5046</v>
      </c>
      <c r="B5012" s="7" t="s">
        <v>6879</v>
      </c>
      <c r="C5012" s="8">
        <f>QS.CONTEXT.CREATE("market.5010",A5012,"USD","SOFR")</f>
        <v/>
      </c>
      <c r="D5012" s="8">
        <f>QS.CONTEXT.ADD.CURVE(C5012,"SOFR",$K$2:$K$7,$L$2:$L$7,,,"Actual360","LogLinear",TRUE)</f>
        <v/>
      </c>
      <c r="E5012" s="8">
        <f>QS.INSTRUMENT.SWAP("swap.5010",C5012,H5012,B5012,"USD","SOFR",I5012,J5012,0,"Actual360","Simple","Annual","Annual","Annual")</f>
        <v/>
      </c>
      <c r="F5012" s="8">
        <f>QS.TRADE.CREATE("trade.5010",C5012,E5012,A5012,"Receive")</f>
        <v/>
      </c>
      <c r="G5012" s="5"/>
      <c r="H5012" s="7" t="s">
        <v>5053</v>
      </c>
      <c r="I5012" s="9">
        <v>1501000</v>
      </c>
      <c r="J5012" s="10">
        <v>0.036</v>
      </c>
    </row>
    <row r="5013" spans="1:10">
      <c r="A5013" s="7" t="s">
        <v>5047</v>
      </c>
      <c r="B5013" s="7" t="s">
        <v>6880</v>
      </c>
      <c r="C5013" s="8">
        <f>QS.CONTEXT.CREATE("market.5011",A5013,"USD","SOFR")</f>
        <v/>
      </c>
      <c r="D5013" s="8">
        <f>QS.CONTEXT.ADD.CURVE(C5013,"SOFR",$K$2:$K$7,$L$2:$L$7,,,"Actual360","LogLinear",TRUE)</f>
        <v/>
      </c>
      <c r="E5013" s="8">
        <f>QS.INSTRUMENT.SWAP("swap.5011",C5013,H5013,B5013,"USD","SOFR",I5013,J5013,0,"Actual360","Simple","Annual","Annual","Annual")</f>
        <v/>
      </c>
      <c r="F5013" s="8">
        <f>QS.TRADE.CREATE("trade.5011",C5013,E5013,A5013,"Receive")</f>
        <v/>
      </c>
      <c r="G5013" s="5"/>
      <c r="H5013" s="7" t="s">
        <v>5054</v>
      </c>
      <c r="I5013" s="9">
        <v>1501100</v>
      </c>
      <c r="J5013" s="10">
        <v>0.0361</v>
      </c>
    </row>
    <row r="5014" spans="1:10">
      <c r="A5014" s="7" t="s">
        <v>5048</v>
      </c>
      <c r="B5014" s="7" t="s">
        <v>6881</v>
      </c>
      <c r="C5014" s="8">
        <f>QS.CONTEXT.CREATE("market.5012",A5014,"USD","SOFR")</f>
        <v/>
      </c>
      <c r="D5014" s="8">
        <f>QS.CONTEXT.ADD.CURVE(C5014,"SOFR",$K$2:$K$7,$L$2:$L$7,,,"Actual360","LogLinear",TRUE)</f>
        <v/>
      </c>
      <c r="E5014" s="8">
        <f>QS.INSTRUMENT.SWAP("swap.5012",C5014,H5014,B5014,"USD","SOFR",I5014,J5014,0,"Actual360","Simple","Annual","Annual","Annual")</f>
        <v/>
      </c>
      <c r="F5014" s="8">
        <f>QS.TRADE.CREATE("trade.5012",C5014,E5014,A5014,"Receive")</f>
        <v/>
      </c>
      <c r="G5014" s="5"/>
      <c r="H5014" s="7" t="s">
        <v>5055</v>
      </c>
      <c r="I5014" s="9">
        <v>1501200</v>
      </c>
      <c r="J5014" s="10">
        <v>0.0362</v>
      </c>
    </row>
    <row r="5015" spans="1:10">
      <c r="A5015" s="7" t="s">
        <v>5049</v>
      </c>
      <c r="B5015" s="7" t="s">
        <v>6882</v>
      </c>
      <c r="C5015" s="8">
        <f>QS.CONTEXT.CREATE("market.5013",A5015,"USD","SOFR")</f>
        <v/>
      </c>
      <c r="D5015" s="8">
        <f>QS.CONTEXT.ADD.CURVE(C5015,"SOFR",$K$2:$K$7,$L$2:$L$7,,,"Actual360","LogLinear",TRUE)</f>
        <v/>
      </c>
      <c r="E5015" s="8">
        <f>QS.INSTRUMENT.SWAP("swap.5013",C5015,H5015,B5015,"USD","SOFR",I5015,J5015,0,"Actual360","Simple","Annual","Annual","Annual")</f>
        <v/>
      </c>
      <c r="F5015" s="8">
        <f>QS.TRADE.CREATE("trade.5013",C5015,E5015,A5015,"Receive")</f>
        <v/>
      </c>
      <c r="G5015" s="5"/>
      <c r="H5015" s="7" t="s">
        <v>5056</v>
      </c>
      <c r="I5015" s="9">
        <v>1501300</v>
      </c>
      <c r="J5015" s="10">
        <v>0.03630000000000001</v>
      </c>
    </row>
    <row r="5016" spans="1:10">
      <c r="A5016" s="7" t="s">
        <v>5050</v>
      </c>
      <c r="B5016" s="7" t="s">
        <v>6883</v>
      </c>
      <c r="C5016" s="8">
        <f>QS.CONTEXT.CREATE("market.5014",A5016,"USD","SOFR")</f>
        <v/>
      </c>
      <c r="D5016" s="8">
        <f>QS.CONTEXT.ADD.CURVE(C5016,"SOFR",$K$2:$K$7,$L$2:$L$7,,,"Actual360","LogLinear",TRUE)</f>
        <v/>
      </c>
      <c r="E5016" s="8">
        <f>QS.INSTRUMENT.SWAP("swap.5014",C5016,H5016,B5016,"USD","SOFR",I5016,J5016,0,"Actual360","Simple","Annual","Annual","Annual")</f>
        <v/>
      </c>
      <c r="F5016" s="8">
        <f>QS.TRADE.CREATE("trade.5014",C5016,E5016,A5016,"Receive")</f>
        <v/>
      </c>
      <c r="G5016" s="5"/>
      <c r="H5016" s="7" t="s">
        <v>5057</v>
      </c>
      <c r="I5016" s="9">
        <v>1501400</v>
      </c>
      <c r="J5016" s="10">
        <v>0.0364</v>
      </c>
    </row>
    <row r="5017" spans="1:10">
      <c r="A5017" s="7" t="s">
        <v>5051</v>
      </c>
      <c r="B5017" s="7" t="s">
        <v>6884</v>
      </c>
      <c r="C5017" s="8">
        <f>QS.CONTEXT.CREATE("market.5015",A5017,"USD","SOFR")</f>
        <v/>
      </c>
      <c r="D5017" s="8">
        <f>QS.CONTEXT.ADD.CURVE(C5017,"SOFR",$K$2:$K$7,$L$2:$L$7,,,"Actual360","LogLinear",TRUE)</f>
        <v/>
      </c>
      <c r="E5017" s="8">
        <f>QS.INSTRUMENT.SWAP("swap.5015",C5017,H5017,B5017,"USD","SOFR",I5017,J5017,0,"Actual360","Simple","Annual","Annual","Annual")</f>
        <v/>
      </c>
      <c r="F5017" s="8">
        <f>QS.TRADE.CREATE("trade.5015",C5017,E5017,A5017,"Receive")</f>
        <v/>
      </c>
      <c r="G5017" s="5"/>
      <c r="H5017" s="7" t="s">
        <v>5058</v>
      </c>
      <c r="I5017" s="9">
        <v>1501500</v>
      </c>
      <c r="J5017" s="10">
        <v>0.0365</v>
      </c>
    </row>
    <row r="5018" spans="1:10">
      <c r="A5018" s="7" t="s">
        <v>5052</v>
      </c>
      <c r="B5018" s="7" t="s">
        <v>6885</v>
      </c>
      <c r="C5018" s="8">
        <f>QS.CONTEXT.CREATE("market.5016",A5018,"USD","SOFR")</f>
        <v/>
      </c>
      <c r="D5018" s="8">
        <f>QS.CONTEXT.ADD.CURVE(C5018,"SOFR",$K$2:$K$7,$L$2:$L$7,,,"Actual360","LogLinear",TRUE)</f>
        <v/>
      </c>
      <c r="E5018" s="8">
        <f>QS.INSTRUMENT.SWAP("swap.5016",C5018,H5018,B5018,"USD","SOFR",I5018,J5018,0,"Actual360","Simple","Annual","Annual","Annual")</f>
        <v/>
      </c>
      <c r="F5018" s="8">
        <f>QS.TRADE.CREATE("trade.5016",C5018,E5018,A5018,"Receive")</f>
        <v/>
      </c>
      <c r="G5018" s="5"/>
      <c r="H5018" s="7" t="s">
        <v>5059</v>
      </c>
      <c r="I5018" s="9">
        <v>1501600</v>
      </c>
      <c r="J5018" s="10">
        <v>0.0366</v>
      </c>
    </row>
    <row r="5019" spans="1:10">
      <c r="A5019" s="7" t="s">
        <v>5053</v>
      </c>
      <c r="B5019" s="7" t="s">
        <v>6886</v>
      </c>
      <c r="C5019" s="8">
        <f>QS.CONTEXT.CREATE("market.5017",A5019,"USD","SOFR")</f>
        <v/>
      </c>
      <c r="D5019" s="8">
        <f>QS.CONTEXT.ADD.CURVE(C5019,"SOFR",$K$2:$K$7,$L$2:$L$7,,,"Actual360","LogLinear",TRUE)</f>
        <v/>
      </c>
      <c r="E5019" s="8">
        <f>QS.INSTRUMENT.SWAP("swap.5017",C5019,H5019,B5019,"USD","SOFR",I5019,J5019,0,"Actual360","Simple","Annual","Annual","Annual")</f>
        <v/>
      </c>
      <c r="F5019" s="8">
        <f>QS.TRADE.CREATE("trade.5017",C5019,E5019,A5019,"Receive")</f>
        <v/>
      </c>
      <c r="G5019" s="5"/>
      <c r="H5019" s="7" t="s">
        <v>5060</v>
      </c>
      <c r="I5019" s="9">
        <v>1501700</v>
      </c>
      <c r="J5019" s="10">
        <v>0.0367</v>
      </c>
    </row>
    <row r="5020" spans="1:10">
      <c r="A5020" s="7" t="s">
        <v>5054</v>
      </c>
      <c r="B5020" s="7" t="s">
        <v>6887</v>
      </c>
      <c r="C5020" s="8">
        <f>QS.CONTEXT.CREATE("market.5018",A5020,"USD","SOFR")</f>
        <v/>
      </c>
      <c r="D5020" s="8">
        <f>QS.CONTEXT.ADD.CURVE(C5020,"SOFR",$K$2:$K$7,$L$2:$L$7,,,"Actual360","LogLinear",TRUE)</f>
        <v/>
      </c>
      <c r="E5020" s="8">
        <f>QS.INSTRUMENT.SWAP("swap.5018",C5020,H5020,B5020,"USD","SOFR",I5020,J5020,0,"Actual360","Simple","Annual","Annual","Annual")</f>
        <v/>
      </c>
      <c r="F5020" s="8">
        <f>QS.TRADE.CREATE("trade.5018",C5020,E5020,A5020,"Receive")</f>
        <v/>
      </c>
      <c r="G5020" s="5"/>
      <c r="H5020" s="7" t="s">
        <v>5061</v>
      </c>
      <c r="I5020" s="9">
        <v>1501800</v>
      </c>
      <c r="J5020" s="10">
        <v>0.03680000000000001</v>
      </c>
    </row>
    <row r="5021" spans="1:10">
      <c r="A5021" s="7" t="s">
        <v>5055</v>
      </c>
      <c r="B5021" s="7" t="s">
        <v>6888</v>
      </c>
      <c r="C5021" s="8">
        <f>QS.CONTEXT.CREATE("market.5019",A5021,"USD","SOFR")</f>
        <v/>
      </c>
      <c r="D5021" s="8">
        <f>QS.CONTEXT.ADD.CURVE(C5021,"SOFR",$K$2:$K$7,$L$2:$L$7,,,"Actual360","LogLinear",TRUE)</f>
        <v/>
      </c>
      <c r="E5021" s="8">
        <f>QS.INSTRUMENT.SWAP("swap.5019",C5021,H5021,B5021,"USD","SOFR",I5021,J5021,0,"Actual360","Simple","Annual","Annual","Annual")</f>
        <v/>
      </c>
      <c r="F5021" s="8">
        <f>QS.TRADE.CREATE("trade.5019",C5021,E5021,A5021,"Receive")</f>
        <v/>
      </c>
      <c r="G5021" s="5"/>
      <c r="H5021" s="7" t="s">
        <v>5062</v>
      </c>
      <c r="I5021" s="9">
        <v>1501900</v>
      </c>
      <c r="J5021" s="10">
        <v>0.0369</v>
      </c>
    </row>
    <row r="5022" spans="1:10">
      <c r="A5022" s="7" t="s">
        <v>5056</v>
      </c>
      <c r="B5022" s="7" t="s">
        <v>6889</v>
      </c>
      <c r="C5022" s="8">
        <f>QS.CONTEXT.CREATE("market.5020",A5022,"USD","SOFR")</f>
        <v/>
      </c>
      <c r="D5022" s="8">
        <f>QS.CONTEXT.ADD.CURVE(C5022,"SOFR",$K$2:$K$7,$L$2:$L$7,,,"Actual360","LogLinear",TRUE)</f>
        <v/>
      </c>
      <c r="E5022" s="8">
        <f>QS.INSTRUMENT.SWAP("swap.5020",C5022,H5022,B5022,"USD","SOFR",I5022,J5022,0,"Actual360","Simple","Annual","Annual","Annual")</f>
        <v/>
      </c>
      <c r="F5022" s="8">
        <f>QS.TRADE.CREATE("trade.5020",C5022,E5022,A5022,"Receive")</f>
        <v/>
      </c>
      <c r="G5022" s="5"/>
      <c r="H5022" s="7" t="s">
        <v>5063</v>
      </c>
      <c r="I5022" s="9">
        <v>1502000</v>
      </c>
      <c r="J5022" s="10">
        <v>0.03700000000000001</v>
      </c>
    </row>
    <row r="5023" spans="1:10">
      <c r="A5023" s="7" t="s">
        <v>5057</v>
      </c>
      <c r="B5023" s="7" t="s">
        <v>6890</v>
      </c>
      <c r="C5023" s="8">
        <f>QS.CONTEXT.CREATE("market.5021",A5023,"USD","SOFR")</f>
        <v/>
      </c>
      <c r="D5023" s="8">
        <f>QS.CONTEXT.ADD.CURVE(C5023,"SOFR",$K$2:$K$7,$L$2:$L$7,,,"Actual360","LogLinear",TRUE)</f>
        <v/>
      </c>
      <c r="E5023" s="8">
        <f>QS.INSTRUMENT.SWAP("swap.5021",C5023,H5023,B5023,"USD","SOFR",I5023,J5023,0,"Actual360","Simple","Annual","Annual","Annual")</f>
        <v/>
      </c>
      <c r="F5023" s="8">
        <f>QS.TRADE.CREATE("trade.5021",C5023,E5023,A5023,"Receive")</f>
        <v/>
      </c>
      <c r="G5023" s="5"/>
      <c r="H5023" s="7" t="s">
        <v>5064</v>
      </c>
      <c r="I5023" s="9">
        <v>1502100</v>
      </c>
      <c r="J5023" s="10">
        <v>0.0371</v>
      </c>
    </row>
    <row r="5024" spans="1:10">
      <c r="A5024" s="7" t="s">
        <v>5058</v>
      </c>
      <c r="B5024" s="7" t="s">
        <v>6891</v>
      </c>
      <c r="C5024" s="8">
        <f>QS.CONTEXT.CREATE("market.5022",A5024,"USD","SOFR")</f>
        <v/>
      </c>
      <c r="D5024" s="8">
        <f>QS.CONTEXT.ADD.CURVE(C5024,"SOFR",$K$2:$K$7,$L$2:$L$7,,,"Actual360","LogLinear",TRUE)</f>
        <v/>
      </c>
      <c r="E5024" s="8">
        <f>QS.INSTRUMENT.SWAP("swap.5022",C5024,H5024,B5024,"USD","SOFR",I5024,J5024,0,"Actual360","Simple","Annual","Annual","Annual")</f>
        <v/>
      </c>
      <c r="F5024" s="8">
        <f>QS.TRADE.CREATE("trade.5022",C5024,E5024,A5024,"Receive")</f>
        <v/>
      </c>
      <c r="G5024" s="5"/>
      <c r="H5024" s="7" t="s">
        <v>5065</v>
      </c>
      <c r="I5024" s="9">
        <v>1502200</v>
      </c>
      <c r="J5024" s="10">
        <v>0.0372</v>
      </c>
    </row>
    <row r="5025" spans="1:10">
      <c r="A5025" s="7" t="s">
        <v>5059</v>
      </c>
      <c r="B5025" s="7" t="s">
        <v>6892</v>
      </c>
      <c r="C5025" s="8">
        <f>QS.CONTEXT.CREATE("market.5023",A5025,"USD","SOFR")</f>
        <v/>
      </c>
      <c r="D5025" s="8">
        <f>QS.CONTEXT.ADD.CURVE(C5025,"SOFR",$K$2:$K$7,$L$2:$L$7,,,"Actual360","LogLinear",TRUE)</f>
        <v/>
      </c>
      <c r="E5025" s="8">
        <f>QS.INSTRUMENT.SWAP("swap.5023",C5025,H5025,B5025,"USD","SOFR",I5025,J5025,0,"Actual360","Simple","Annual","Annual","Annual")</f>
        <v/>
      </c>
      <c r="F5025" s="8">
        <f>QS.TRADE.CREATE("trade.5023",C5025,E5025,A5025,"Receive")</f>
        <v/>
      </c>
      <c r="G5025" s="5"/>
      <c r="H5025" s="7" t="s">
        <v>5066</v>
      </c>
      <c r="I5025" s="9">
        <v>1502300</v>
      </c>
      <c r="J5025" s="10">
        <v>0.0373</v>
      </c>
    </row>
    <row r="5026" spans="1:10">
      <c r="A5026" s="7" t="s">
        <v>5060</v>
      </c>
      <c r="B5026" s="7" t="s">
        <v>6893</v>
      </c>
      <c r="C5026" s="8">
        <f>QS.CONTEXT.CREATE("market.5024",A5026,"USD","SOFR")</f>
        <v/>
      </c>
      <c r="D5026" s="8">
        <f>QS.CONTEXT.ADD.CURVE(C5026,"SOFR",$K$2:$K$7,$L$2:$L$7,,,"Actual360","LogLinear",TRUE)</f>
        <v/>
      </c>
      <c r="E5026" s="8">
        <f>QS.INSTRUMENT.SWAP("swap.5024",C5026,H5026,B5026,"USD","SOFR",I5026,J5026,0,"Actual360","Simple","Annual","Annual","Annual")</f>
        <v/>
      </c>
      <c r="F5026" s="8">
        <f>QS.TRADE.CREATE("trade.5024",C5026,E5026,A5026,"Receive")</f>
        <v/>
      </c>
      <c r="G5026" s="5"/>
      <c r="H5026" s="7" t="s">
        <v>5067</v>
      </c>
      <c r="I5026" s="9">
        <v>1502400</v>
      </c>
      <c r="J5026" s="10">
        <v>0.0374</v>
      </c>
    </row>
    <row r="5027" spans="1:10">
      <c r="A5027" s="7" t="s">
        <v>5061</v>
      </c>
      <c r="B5027" s="7" t="s">
        <v>6894</v>
      </c>
      <c r="C5027" s="8">
        <f>QS.CONTEXT.CREATE("market.5025",A5027,"USD","SOFR")</f>
        <v/>
      </c>
      <c r="D5027" s="8">
        <f>QS.CONTEXT.ADD.CURVE(C5027,"SOFR",$K$2:$K$7,$L$2:$L$7,,,"Actual360","LogLinear",TRUE)</f>
        <v/>
      </c>
      <c r="E5027" s="8">
        <f>QS.INSTRUMENT.SWAP("swap.5025",C5027,H5027,B5027,"USD","SOFR",I5027,J5027,0,"Actual360","Simple","Annual","Annual","Annual")</f>
        <v/>
      </c>
      <c r="F5027" s="8">
        <f>QS.TRADE.CREATE("trade.5025",C5027,E5027,A5027,"Receive")</f>
        <v/>
      </c>
      <c r="G5027" s="5"/>
      <c r="H5027" s="7" t="s">
        <v>5068</v>
      </c>
      <c r="I5027" s="9">
        <v>1502500</v>
      </c>
      <c r="J5027" s="10">
        <v>0.03750000000000001</v>
      </c>
    </row>
    <row r="5028" spans="1:10">
      <c r="A5028" s="7" t="s">
        <v>5062</v>
      </c>
      <c r="B5028" s="7" t="s">
        <v>6895</v>
      </c>
      <c r="C5028" s="8">
        <f>QS.CONTEXT.CREATE("market.5026",A5028,"USD","SOFR")</f>
        <v/>
      </c>
      <c r="D5028" s="8">
        <f>QS.CONTEXT.ADD.CURVE(C5028,"SOFR",$K$2:$K$7,$L$2:$L$7,,,"Actual360","LogLinear",TRUE)</f>
        <v/>
      </c>
      <c r="E5028" s="8">
        <f>QS.INSTRUMENT.SWAP("swap.5026",C5028,H5028,B5028,"USD","SOFR",I5028,J5028,0,"Actual360","Simple","Annual","Annual","Annual")</f>
        <v/>
      </c>
      <c r="F5028" s="8">
        <f>QS.TRADE.CREATE("trade.5026",C5028,E5028,A5028,"Receive")</f>
        <v/>
      </c>
      <c r="G5028" s="5"/>
      <c r="H5028" s="7" t="s">
        <v>5069</v>
      </c>
      <c r="I5028" s="9">
        <v>1502600</v>
      </c>
      <c r="J5028" s="10">
        <v>0.0376</v>
      </c>
    </row>
    <row r="5029" spans="1:10">
      <c r="A5029" s="7" t="s">
        <v>5063</v>
      </c>
      <c r="B5029" s="7" t="s">
        <v>6896</v>
      </c>
      <c r="C5029" s="8">
        <f>QS.CONTEXT.CREATE("market.5027",A5029,"USD","SOFR")</f>
        <v/>
      </c>
      <c r="D5029" s="8">
        <f>QS.CONTEXT.ADD.CURVE(C5029,"SOFR",$K$2:$K$7,$L$2:$L$7,,,"Actual360","LogLinear",TRUE)</f>
        <v/>
      </c>
      <c r="E5029" s="8">
        <f>QS.INSTRUMENT.SWAP("swap.5027",C5029,H5029,B5029,"USD","SOFR",I5029,J5029,0,"Actual360","Simple","Annual","Annual","Annual")</f>
        <v/>
      </c>
      <c r="F5029" s="8">
        <f>QS.TRADE.CREATE("trade.5027",C5029,E5029,A5029,"Receive")</f>
        <v/>
      </c>
      <c r="G5029" s="5"/>
      <c r="H5029" s="7" t="s">
        <v>5070</v>
      </c>
      <c r="I5029" s="9">
        <v>1502700</v>
      </c>
      <c r="J5029" s="10">
        <v>0.0377</v>
      </c>
    </row>
    <row r="5030" spans="1:10">
      <c r="A5030" s="7" t="s">
        <v>5064</v>
      </c>
      <c r="B5030" s="7" t="s">
        <v>6897</v>
      </c>
      <c r="C5030" s="8">
        <f>QS.CONTEXT.CREATE("market.5028",A5030,"USD","SOFR")</f>
        <v/>
      </c>
      <c r="D5030" s="8">
        <f>QS.CONTEXT.ADD.CURVE(C5030,"SOFR",$K$2:$K$7,$L$2:$L$7,,,"Actual360","LogLinear",TRUE)</f>
        <v/>
      </c>
      <c r="E5030" s="8">
        <f>QS.INSTRUMENT.SWAP("swap.5028",C5030,H5030,B5030,"USD","SOFR",I5030,J5030,0,"Actual360","Simple","Annual","Annual","Annual")</f>
        <v/>
      </c>
      <c r="F5030" s="8">
        <f>QS.TRADE.CREATE("trade.5028",C5030,E5030,A5030,"Receive")</f>
        <v/>
      </c>
      <c r="G5030" s="5"/>
      <c r="H5030" s="7" t="s">
        <v>5071</v>
      </c>
      <c r="I5030" s="9">
        <v>1502800</v>
      </c>
      <c r="J5030" s="10">
        <v>0.0378</v>
      </c>
    </row>
    <row r="5031" spans="1:10">
      <c r="A5031" s="7" t="s">
        <v>5065</v>
      </c>
      <c r="B5031" s="7" t="s">
        <v>6898</v>
      </c>
      <c r="C5031" s="8">
        <f>QS.CONTEXT.CREATE("market.5029",A5031,"USD","SOFR")</f>
        <v/>
      </c>
      <c r="D5031" s="8">
        <f>QS.CONTEXT.ADD.CURVE(C5031,"SOFR",$K$2:$K$7,$L$2:$L$7,,,"Actual360","LogLinear",TRUE)</f>
        <v/>
      </c>
      <c r="E5031" s="8">
        <f>QS.INSTRUMENT.SWAP("swap.5029",C5031,H5031,B5031,"USD","SOFR",I5031,J5031,0,"Actual360","Simple","Annual","Annual","Annual")</f>
        <v/>
      </c>
      <c r="F5031" s="8">
        <f>QS.TRADE.CREATE("trade.5029",C5031,E5031,A5031,"Receive")</f>
        <v/>
      </c>
      <c r="G5031" s="5"/>
      <c r="H5031" s="7" t="s">
        <v>5072</v>
      </c>
      <c r="I5031" s="9">
        <v>1502900</v>
      </c>
      <c r="J5031" s="10">
        <v>0.0379</v>
      </c>
    </row>
    <row r="5032" spans="1:10">
      <c r="A5032" s="7" t="s">
        <v>5066</v>
      </c>
      <c r="B5032" s="7" t="s">
        <v>6899</v>
      </c>
      <c r="C5032" s="8">
        <f>QS.CONTEXT.CREATE("market.5030",A5032,"USD","SOFR")</f>
        <v/>
      </c>
      <c r="D5032" s="8">
        <f>QS.CONTEXT.ADD.CURVE(C5032,"SOFR",$K$2:$K$7,$L$2:$L$7,,,"Actual360","LogLinear",TRUE)</f>
        <v/>
      </c>
      <c r="E5032" s="8">
        <f>QS.INSTRUMENT.SWAP("swap.5030",C5032,H5032,B5032,"USD","SOFR",I5032,J5032,0,"Actual360","Simple","Annual","Annual","Annual")</f>
        <v/>
      </c>
      <c r="F5032" s="8">
        <f>QS.TRADE.CREATE("trade.5030",C5032,E5032,A5032,"Receive")</f>
        <v/>
      </c>
      <c r="G5032" s="5"/>
      <c r="H5032" s="7" t="s">
        <v>5073</v>
      </c>
      <c r="I5032" s="9">
        <v>1503000</v>
      </c>
      <c r="J5032" s="10">
        <v>0.03800000000000001</v>
      </c>
    </row>
    <row r="5033" spans="1:10">
      <c r="A5033" s="7" t="s">
        <v>5067</v>
      </c>
      <c r="B5033" s="7" t="s">
        <v>6900</v>
      </c>
      <c r="C5033" s="8">
        <f>QS.CONTEXT.CREATE("market.5031",A5033,"USD","SOFR")</f>
        <v/>
      </c>
      <c r="D5033" s="8">
        <f>QS.CONTEXT.ADD.CURVE(C5033,"SOFR",$K$2:$K$7,$L$2:$L$7,,,"Actual360","LogLinear",TRUE)</f>
        <v/>
      </c>
      <c r="E5033" s="8">
        <f>QS.INSTRUMENT.SWAP("swap.5031",C5033,H5033,B5033,"USD","SOFR",I5033,J5033,0,"Actual360","Simple","Annual","Annual","Annual")</f>
        <v/>
      </c>
      <c r="F5033" s="8">
        <f>QS.TRADE.CREATE("trade.5031",C5033,E5033,A5033,"Receive")</f>
        <v/>
      </c>
      <c r="G5033" s="5"/>
      <c r="H5033" s="7" t="s">
        <v>5074</v>
      </c>
      <c r="I5033" s="9">
        <v>1503100</v>
      </c>
      <c r="J5033" s="10">
        <v>0.0381</v>
      </c>
    </row>
    <row r="5034" spans="1:10">
      <c r="A5034" s="7" t="s">
        <v>5068</v>
      </c>
      <c r="B5034" s="7" t="s">
        <v>6901</v>
      </c>
      <c r="C5034" s="8">
        <f>QS.CONTEXT.CREATE("market.5032",A5034,"USD","SOFR")</f>
        <v/>
      </c>
      <c r="D5034" s="8">
        <f>QS.CONTEXT.ADD.CURVE(C5034,"SOFR",$K$2:$K$7,$L$2:$L$7,,,"Actual360","LogLinear",TRUE)</f>
        <v/>
      </c>
      <c r="E5034" s="8">
        <f>QS.INSTRUMENT.SWAP("swap.5032",C5034,H5034,B5034,"USD","SOFR",I5034,J5034,0,"Actual360","Simple","Annual","Annual","Annual")</f>
        <v/>
      </c>
      <c r="F5034" s="8">
        <f>QS.TRADE.CREATE("trade.5032",C5034,E5034,A5034,"Receive")</f>
        <v/>
      </c>
      <c r="G5034" s="5"/>
      <c r="H5034" s="7" t="s">
        <v>5075</v>
      </c>
      <c r="I5034" s="9">
        <v>1503200</v>
      </c>
      <c r="J5034" s="10">
        <v>0.0382</v>
      </c>
    </row>
    <row r="5035" spans="1:10">
      <c r="A5035" s="7" t="s">
        <v>5069</v>
      </c>
      <c r="B5035" s="7" t="s">
        <v>6902</v>
      </c>
      <c r="C5035" s="8">
        <f>QS.CONTEXT.CREATE("market.5033",A5035,"USD","SOFR")</f>
        <v/>
      </c>
      <c r="D5035" s="8">
        <f>QS.CONTEXT.ADD.CURVE(C5035,"SOFR",$K$2:$K$7,$L$2:$L$7,,,"Actual360","LogLinear",TRUE)</f>
        <v/>
      </c>
      <c r="E5035" s="8">
        <f>QS.INSTRUMENT.SWAP("swap.5033",C5035,H5035,B5035,"USD","SOFR",I5035,J5035,0,"Actual360","Simple","Annual","Annual","Annual")</f>
        <v/>
      </c>
      <c r="F5035" s="8">
        <f>QS.TRADE.CREATE("trade.5033",C5035,E5035,A5035,"Receive")</f>
        <v/>
      </c>
      <c r="G5035" s="5"/>
      <c r="H5035" s="7" t="s">
        <v>5076</v>
      </c>
      <c r="I5035" s="9">
        <v>1503300</v>
      </c>
      <c r="J5035" s="10">
        <v>0.0383</v>
      </c>
    </row>
    <row r="5036" spans="1:10">
      <c r="A5036" s="7" t="s">
        <v>5070</v>
      </c>
      <c r="B5036" s="7" t="s">
        <v>6903</v>
      </c>
      <c r="C5036" s="8">
        <f>QS.CONTEXT.CREATE("market.5034",A5036,"USD","SOFR")</f>
        <v/>
      </c>
      <c r="D5036" s="8">
        <f>QS.CONTEXT.ADD.CURVE(C5036,"SOFR",$K$2:$K$7,$L$2:$L$7,,,"Actual360","LogLinear",TRUE)</f>
        <v/>
      </c>
      <c r="E5036" s="8">
        <f>QS.INSTRUMENT.SWAP("swap.5034",C5036,H5036,B5036,"USD","SOFR",I5036,J5036,0,"Actual360","Simple","Annual","Annual","Annual")</f>
        <v/>
      </c>
      <c r="F5036" s="8">
        <f>QS.TRADE.CREATE("trade.5034",C5036,E5036,A5036,"Receive")</f>
        <v/>
      </c>
      <c r="G5036" s="5"/>
      <c r="H5036" s="7" t="s">
        <v>5077</v>
      </c>
      <c r="I5036" s="9">
        <v>1503400</v>
      </c>
      <c r="J5036" s="10">
        <v>0.0384</v>
      </c>
    </row>
    <row r="5037" spans="1:10">
      <c r="A5037" s="7" t="s">
        <v>5071</v>
      </c>
      <c r="B5037" s="7" t="s">
        <v>6904</v>
      </c>
      <c r="C5037" s="8">
        <f>QS.CONTEXT.CREATE("market.5035",A5037,"USD","SOFR")</f>
        <v/>
      </c>
      <c r="D5037" s="8">
        <f>QS.CONTEXT.ADD.CURVE(C5037,"SOFR",$K$2:$K$7,$L$2:$L$7,,,"Actual360","LogLinear",TRUE)</f>
        <v/>
      </c>
      <c r="E5037" s="8">
        <f>QS.INSTRUMENT.SWAP("swap.5035",C5037,H5037,B5037,"USD","SOFR",I5037,J5037,0,"Actual360","Simple","Annual","Annual","Annual")</f>
        <v/>
      </c>
      <c r="F5037" s="8">
        <f>QS.TRADE.CREATE("trade.5035",C5037,E5037,A5037,"Receive")</f>
        <v/>
      </c>
      <c r="G5037" s="5"/>
      <c r="H5037" s="7" t="s">
        <v>5078</v>
      </c>
      <c r="I5037" s="9">
        <v>1503500</v>
      </c>
      <c r="J5037" s="10">
        <v>0.03850000000000001</v>
      </c>
    </row>
    <row r="5038" spans="1:10">
      <c r="A5038" s="7" t="s">
        <v>5072</v>
      </c>
      <c r="B5038" s="7" t="s">
        <v>6905</v>
      </c>
      <c r="C5038" s="8">
        <f>QS.CONTEXT.CREATE("market.5036",A5038,"USD","SOFR")</f>
        <v/>
      </c>
      <c r="D5038" s="8">
        <f>QS.CONTEXT.ADD.CURVE(C5038,"SOFR",$K$2:$K$7,$L$2:$L$7,,,"Actual360","LogLinear",TRUE)</f>
        <v/>
      </c>
      <c r="E5038" s="8">
        <f>QS.INSTRUMENT.SWAP("swap.5036",C5038,H5038,B5038,"USD","SOFR",I5038,J5038,0,"Actual360","Simple","Annual","Annual","Annual")</f>
        <v/>
      </c>
      <c r="F5038" s="8">
        <f>QS.TRADE.CREATE("trade.5036",C5038,E5038,A5038,"Receive")</f>
        <v/>
      </c>
      <c r="G5038" s="5"/>
      <c r="H5038" s="7" t="s">
        <v>5079</v>
      </c>
      <c r="I5038" s="9">
        <v>1503600</v>
      </c>
      <c r="J5038" s="10">
        <v>0.0386</v>
      </c>
    </row>
    <row r="5039" spans="1:10">
      <c r="A5039" s="7" t="s">
        <v>5073</v>
      </c>
      <c r="B5039" s="7" t="s">
        <v>6906</v>
      </c>
      <c r="C5039" s="8">
        <f>QS.CONTEXT.CREATE("market.5037",A5039,"USD","SOFR")</f>
        <v/>
      </c>
      <c r="D5039" s="8">
        <f>QS.CONTEXT.ADD.CURVE(C5039,"SOFR",$K$2:$K$7,$L$2:$L$7,,,"Actual360","LogLinear",TRUE)</f>
        <v/>
      </c>
      <c r="E5039" s="8">
        <f>QS.INSTRUMENT.SWAP("swap.5037",C5039,H5039,B5039,"USD","SOFR",I5039,J5039,0,"Actual360","Simple","Annual","Annual","Annual")</f>
        <v/>
      </c>
      <c r="F5039" s="8">
        <f>QS.TRADE.CREATE("trade.5037",C5039,E5039,A5039,"Receive")</f>
        <v/>
      </c>
      <c r="G5039" s="5"/>
      <c r="H5039" s="7" t="s">
        <v>5080</v>
      </c>
      <c r="I5039" s="9">
        <v>1503700</v>
      </c>
      <c r="J5039" s="10">
        <v>0.03870000000000001</v>
      </c>
    </row>
    <row r="5040" spans="1:10">
      <c r="A5040" s="7" t="s">
        <v>5074</v>
      </c>
      <c r="B5040" s="7" t="s">
        <v>6907</v>
      </c>
      <c r="C5040" s="8">
        <f>QS.CONTEXT.CREATE("market.5038",A5040,"USD","SOFR")</f>
        <v/>
      </c>
      <c r="D5040" s="8">
        <f>QS.CONTEXT.ADD.CURVE(C5040,"SOFR",$K$2:$K$7,$L$2:$L$7,,,"Actual360","LogLinear",TRUE)</f>
        <v/>
      </c>
      <c r="E5040" s="8">
        <f>QS.INSTRUMENT.SWAP("swap.5038",C5040,H5040,B5040,"USD","SOFR",I5040,J5040,0,"Actual360","Simple","Annual","Annual","Annual")</f>
        <v/>
      </c>
      <c r="F5040" s="8">
        <f>QS.TRADE.CREATE("trade.5038",C5040,E5040,A5040,"Receive")</f>
        <v/>
      </c>
      <c r="G5040" s="5"/>
      <c r="H5040" s="7" t="s">
        <v>5081</v>
      </c>
      <c r="I5040" s="9">
        <v>1503800</v>
      </c>
      <c r="J5040" s="10">
        <v>0.0388</v>
      </c>
    </row>
    <row r="5041" spans="1:10">
      <c r="A5041" s="7" t="s">
        <v>5075</v>
      </c>
      <c r="B5041" s="7" t="s">
        <v>6908</v>
      </c>
      <c r="C5041" s="8">
        <f>QS.CONTEXT.CREATE("market.5039",A5041,"USD","SOFR")</f>
        <v/>
      </c>
      <c r="D5041" s="8">
        <f>QS.CONTEXT.ADD.CURVE(C5041,"SOFR",$K$2:$K$7,$L$2:$L$7,,,"Actual360","LogLinear",TRUE)</f>
        <v/>
      </c>
      <c r="E5041" s="8">
        <f>QS.INSTRUMENT.SWAP("swap.5039",C5041,H5041,B5041,"USD","SOFR",I5041,J5041,0,"Actual360","Simple","Annual","Annual","Annual")</f>
        <v/>
      </c>
      <c r="F5041" s="8">
        <f>QS.TRADE.CREATE("trade.5039",C5041,E5041,A5041,"Receive")</f>
        <v/>
      </c>
      <c r="G5041" s="5"/>
      <c r="H5041" s="7" t="s">
        <v>5082</v>
      </c>
      <c r="I5041" s="9">
        <v>1503900</v>
      </c>
      <c r="J5041" s="10">
        <v>0.0389</v>
      </c>
    </row>
    <row r="5042" spans="1:10">
      <c r="A5042" s="7" t="s">
        <v>5076</v>
      </c>
      <c r="B5042" s="7" t="s">
        <v>6909</v>
      </c>
      <c r="C5042" s="8">
        <f>QS.CONTEXT.CREATE("market.5040",A5042,"USD","SOFR")</f>
        <v/>
      </c>
      <c r="D5042" s="8">
        <f>QS.CONTEXT.ADD.CURVE(C5042,"SOFR",$K$2:$K$7,$L$2:$L$7,,,"Actual360","LogLinear",TRUE)</f>
        <v/>
      </c>
      <c r="E5042" s="8">
        <f>QS.INSTRUMENT.SWAP("swap.5040",C5042,H5042,B5042,"USD","SOFR",I5042,J5042,0,"Actual360","Simple","Annual","Annual","Annual")</f>
        <v/>
      </c>
      <c r="F5042" s="8">
        <f>QS.TRADE.CREATE("trade.5040",C5042,E5042,A5042,"Receive")</f>
        <v/>
      </c>
      <c r="G5042" s="5"/>
      <c r="H5042" s="7" t="s">
        <v>5083</v>
      </c>
      <c r="I5042" s="9">
        <v>1504000</v>
      </c>
      <c r="J5042" s="10">
        <v>0.03900000000000001</v>
      </c>
    </row>
    <row r="5043" spans="1:10">
      <c r="A5043" s="7" t="s">
        <v>5077</v>
      </c>
      <c r="B5043" s="7" t="s">
        <v>6910</v>
      </c>
      <c r="C5043" s="8">
        <f>QS.CONTEXT.CREATE("market.5041",A5043,"USD","SOFR")</f>
        <v/>
      </c>
      <c r="D5043" s="8">
        <f>QS.CONTEXT.ADD.CURVE(C5043,"SOFR",$K$2:$K$7,$L$2:$L$7,,,"Actual360","LogLinear",TRUE)</f>
        <v/>
      </c>
      <c r="E5043" s="8">
        <f>QS.INSTRUMENT.SWAP("swap.5041",C5043,H5043,B5043,"USD","SOFR",I5043,J5043,0,"Actual360","Simple","Annual","Annual","Annual")</f>
        <v/>
      </c>
      <c r="F5043" s="8">
        <f>QS.TRADE.CREATE("trade.5041",C5043,E5043,A5043,"Receive")</f>
        <v/>
      </c>
      <c r="G5043" s="5"/>
      <c r="H5043" s="7" t="s">
        <v>5084</v>
      </c>
      <c r="I5043" s="9">
        <v>1504100</v>
      </c>
      <c r="J5043" s="10">
        <v>0.0391</v>
      </c>
    </row>
    <row r="5044" spans="1:10">
      <c r="A5044" s="7" t="s">
        <v>5078</v>
      </c>
      <c r="B5044" s="7" t="s">
        <v>6911</v>
      </c>
      <c r="C5044" s="8">
        <f>QS.CONTEXT.CREATE("market.5042",A5044,"USD","SOFR")</f>
        <v/>
      </c>
      <c r="D5044" s="8">
        <f>QS.CONTEXT.ADD.CURVE(C5044,"SOFR",$K$2:$K$7,$L$2:$L$7,,,"Actual360","LogLinear",TRUE)</f>
        <v/>
      </c>
      <c r="E5044" s="8">
        <f>QS.INSTRUMENT.SWAP("swap.5042",C5044,H5044,B5044,"USD","SOFR",I5044,J5044,0,"Actual360","Simple","Annual","Annual","Annual")</f>
        <v/>
      </c>
      <c r="F5044" s="8">
        <f>QS.TRADE.CREATE("trade.5042",C5044,E5044,A5044,"Receive")</f>
        <v/>
      </c>
      <c r="G5044" s="5"/>
      <c r="H5044" s="7" t="s">
        <v>5085</v>
      </c>
      <c r="I5044" s="9">
        <v>1504200</v>
      </c>
      <c r="J5044" s="10">
        <v>0.03920000000000001</v>
      </c>
    </row>
    <row r="5045" spans="1:10">
      <c r="A5045" s="7" t="s">
        <v>5079</v>
      </c>
      <c r="B5045" s="7" t="s">
        <v>6912</v>
      </c>
      <c r="C5045" s="8">
        <f>QS.CONTEXT.CREATE("market.5043",A5045,"USD","SOFR")</f>
        <v/>
      </c>
      <c r="D5045" s="8">
        <f>QS.CONTEXT.ADD.CURVE(C5045,"SOFR",$K$2:$K$7,$L$2:$L$7,,,"Actual360","LogLinear",TRUE)</f>
        <v/>
      </c>
      <c r="E5045" s="8">
        <f>QS.INSTRUMENT.SWAP("swap.5043",C5045,H5045,B5045,"USD","SOFR",I5045,J5045,0,"Actual360","Simple","Annual","Annual","Annual")</f>
        <v/>
      </c>
      <c r="F5045" s="8">
        <f>QS.TRADE.CREATE("trade.5043",C5045,E5045,A5045,"Receive")</f>
        <v/>
      </c>
      <c r="G5045" s="5"/>
      <c r="H5045" s="7" t="s">
        <v>5086</v>
      </c>
      <c r="I5045" s="9">
        <v>1504300</v>
      </c>
      <c r="J5045" s="10">
        <v>0.0393</v>
      </c>
    </row>
    <row r="5046" spans="1:10">
      <c r="A5046" s="7" t="s">
        <v>5080</v>
      </c>
      <c r="B5046" s="7" t="s">
        <v>6913</v>
      </c>
      <c r="C5046" s="8">
        <f>QS.CONTEXT.CREATE("market.5044",A5046,"USD","SOFR")</f>
        <v/>
      </c>
      <c r="D5046" s="8">
        <f>QS.CONTEXT.ADD.CURVE(C5046,"SOFR",$K$2:$K$7,$L$2:$L$7,,,"Actual360","LogLinear",TRUE)</f>
        <v/>
      </c>
      <c r="E5046" s="8">
        <f>QS.INSTRUMENT.SWAP("swap.5044",C5046,H5046,B5046,"USD","SOFR",I5046,J5046,0,"Actual360","Simple","Annual","Annual","Annual")</f>
        <v/>
      </c>
      <c r="F5046" s="8">
        <f>QS.TRADE.CREATE("trade.5044",C5046,E5046,A5046,"Receive")</f>
        <v/>
      </c>
      <c r="G5046" s="5"/>
      <c r="H5046" s="7" t="s">
        <v>5087</v>
      </c>
      <c r="I5046" s="9">
        <v>1504400</v>
      </c>
      <c r="J5046" s="10">
        <v>0.0394</v>
      </c>
    </row>
    <row r="5047" spans="1:10">
      <c r="A5047" s="7" t="s">
        <v>5081</v>
      </c>
      <c r="B5047" s="7" t="s">
        <v>6914</v>
      </c>
      <c r="C5047" s="8">
        <f>QS.CONTEXT.CREATE("market.5045",A5047,"USD","SOFR")</f>
        <v/>
      </c>
      <c r="D5047" s="8">
        <f>QS.CONTEXT.ADD.CURVE(C5047,"SOFR",$K$2:$K$7,$L$2:$L$7,,,"Actual360","LogLinear",TRUE)</f>
        <v/>
      </c>
      <c r="E5047" s="8">
        <f>QS.INSTRUMENT.SWAP("swap.5045",C5047,H5047,B5047,"USD","SOFR",I5047,J5047,0,"Actual360","Simple","Annual","Annual","Annual")</f>
        <v/>
      </c>
      <c r="F5047" s="8">
        <f>QS.TRADE.CREATE("trade.5045",C5047,E5047,A5047,"Receive")</f>
        <v/>
      </c>
      <c r="G5047" s="5"/>
      <c r="H5047" s="7" t="s">
        <v>5088</v>
      </c>
      <c r="I5047" s="9">
        <v>1504500</v>
      </c>
      <c r="J5047" s="10">
        <v>0.03950000000000001</v>
      </c>
    </row>
    <row r="5048" spans="1:10">
      <c r="A5048" s="7" t="s">
        <v>5082</v>
      </c>
      <c r="B5048" s="7" t="s">
        <v>6915</v>
      </c>
      <c r="C5048" s="8">
        <f>QS.CONTEXT.CREATE("market.5046",A5048,"USD","SOFR")</f>
        <v/>
      </c>
      <c r="D5048" s="8">
        <f>QS.CONTEXT.ADD.CURVE(C5048,"SOFR",$K$2:$K$7,$L$2:$L$7,,,"Actual360","LogLinear",TRUE)</f>
        <v/>
      </c>
      <c r="E5048" s="8">
        <f>QS.INSTRUMENT.SWAP("swap.5046",C5048,H5048,B5048,"USD","SOFR",I5048,J5048,0,"Actual360","Simple","Annual","Annual","Annual")</f>
        <v/>
      </c>
      <c r="F5048" s="8">
        <f>QS.TRADE.CREATE("trade.5046",C5048,E5048,A5048,"Receive")</f>
        <v/>
      </c>
      <c r="G5048" s="5"/>
      <c r="H5048" s="7" t="s">
        <v>5089</v>
      </c>
      <c r="I5048" s="9">
        <v>1504600</v>
      </c>
      <c r="J5048" s="10">
        <v>0.0396</v>
      </c>
    </row>
    <row r="5049" spans="1:10">
      <c r="A5049" s="7" t="s">
        <v>5083</v>
      </c>
      <c r="B5049" s="7" t="s">
        <v>6916</v>
      </c>
      <c r="C5049" s="8">
        <f>QS.CONTEXT.CREATE("market.5047",A5049,"USD","SOFR")</f>
        <v/>
      </c>
      <c r="D5049" s="8">
        <f>QS.CONTEXT.ADD.CURVE(C5049,"SOFR",$K$2:$K$7,$L$2:$L$7,,,"Actual360","LogLinear",TRUE)</f>
        <v/>
      </c>
      <c r="E5049" s="8">
        <f>QS.INSTRUMENT.SWAP("swap.5047",C5049,H5049,B5049,"USD","SOFR",I5049,J5049,0,"Actual360","Simple","Annual","Annual","Annual")</f>
        <v/>
      </c>
      <c r="F5049" s="8">
        <f>QS.TRADE.CREATE("trade.5047",C5049,E5049,A5049,"Receive")</f>
        <v/>
      </c>
      <c r="G5049" s="5"/>
      <c r="H5049" s="7" t="s">
        <v>5090</v>
      </c>
      <c r="I5049" s="9">
        <v>1504700</v>
      </c>
      <c r="J5049" s="10">
        <v>0.03970000000000001</v>
      </c>
    </row>
    <row r="5050" spans="1:10">
      <c r="A5050" s="7" t="s">
        <v>5084</v>
      </c>
      <c r="B5050" s="7" t="s">
        <v>6917</v>
      </c>
      <c r="C5050" s="8">
        <f>QS.CONTEXT.CREATE("market.5048",A5050,"USD","SOFR")</f>
        <v/>
      </c>
      <c r="D5050" s="8">
        <f>QS.CONTEXT.ADD.CURVE(C5050,"SOFR",$K$2:$K$7,$L$2:$L$7,,,"Actual360","LogLinear",TRUE)</f>
        <v/>
      </c>
      <c r="E5050" s="8">
        <f>QS.INSTRUMENT.SWAP("swap.5048",C5050,H5050,B5050,"USD","SOFR",I5050,J5050,0,"Actual360","Simple","Annual","Annual","Annual")</f>
        <v/>
      </c>
      <c r="F5050" s="8">
        <f>QS.TRADE.CREATE("trade.5048",C5050,E5050,A5050,"Receive")</f>
        <v/>
      </c>
      <c r="G5050" s="5"/>
      <c r="H5050" s="7" t="s">
        <v>5091</v>
      </c>
      <c r="I5050" s="9">
        <v>1504800</v>
      </c>
      <c r="J5050" s="10">
        <v>0.0398</v>
      </c>
    </row>
    <row r="5051" spans="1:10">
      <c r="A5051" s="7" t="s">
        <v>5085</v>
      </c>
      <c r="B5051" s="7" t="s">
        <v>6918</v>
      </c>
      <c r="C5051" s="8">
        <f>QS.CONTEXT.CREATE("market.5049",A5051,"USD","SOFR")</f>
        <v/>
      </c>
      <c r="D5051" s="8">
        <f>QS.CONTEXT.ADD.CURVE(C5051,"SOFR",$K$2:$K$7,$L$2:$L$7,,,"Actual360","LogLinear",TRUE)</f>
        <v/>
      </c>
      <c r="E5051" s="8">
        <f>QS.INSTRUMENT.SWAP("swap.5049",C5051,H5051,B5051,"USD","SOFR",I5051,J5051,0,"Actual360","Simple","Annual","Annual","Annual")</f>
        <v/>
      </c>
      <c r="F5051" s="8">
        <f>QS.TRADE.CREATE("trade.5049",C5051,E5051,A5051,"Receive")</f>
        <v/>
      </c>
      <c r="G5051" s="5"/>
      <c r="H5051" s="7" t="s">
        <v>5092</v>
      </c>
      <c r="I5051" s="9">
        <v>1504900</v>
      </c>
      <c r="J5051" s="10">
        <v>0.0399</v>
      </c>
    </row>
    <row r="5052" spans="1:10">
      <c r="A5052" s="7" t="s">
        <v>5086</v>
      </c>
      <c r="B5052" s="7" t="s">
        <v>6919</v>
      </c>
      <c r="C5052" s="8">
        <f>QS.CONTEXT.CREATE("market.5050",A5052,"USD","SOFR")</f>
        <v/>
      </c>
      <c r="D5052" s="8">
        <f>QS.CONTEXT.ADD.CURVE(C5052,"SOFR",$K$2:$K$7,$L$2:$L$7,,,"Actual360","LogLinear",TRUE)</f>
        <v/>
      </c>
      <c r="E5052" s="8">
        <f>QS.INSTRUMENT.SWAP("swap.5050",C5052,H5052,B5052,"USD","SOFR",I5052,J5052,0,"Actual360","Simple","Annual","Annual","Annual")</f>
        <v/>
      </c>
      <c r="F5052" s="8">
        <f>QS.TRADE.CREATE("trade.5050",C5052,E5052,A5052,"Receive")</f>
        <v/>
      </c>
      <c r="G5052" s="5"/>
      <c r="H5052" s="7" t="s">
        <v>5093</v>
      </c>
      <c r="I5052" s="9">
        <v>1505000</v>
      </c>
      <c r="J5052" s="10">
        <v>0.035</v>
      </c>
    </row>
    <row r="5053" spans="1:10">
      <c r="A5053" s="7" t="s">
        <v>5087</v>
      </c>
      <c r="B5053" s="7" t="s">
        <v>6920</v>
      </c>
      <c r="C5053" s="8">
        <f>QS.CONTEXT.CREATE("market.5051",A5053,"USD","SOFR")</f>
        <v/>
      </c>
      <c r="D5053" s="8">
        <f>QS.CONTEXT.ADD.CURVE(C5053,"SOFR",$K$2:$K$7,$L$2:$L$7,,,"Actual360","LogLinear",TRUE)</f>
        <v/>
      </c>
      <c r="E5053" s="8">
        <f>QS.INSTRUMENT.SWAP("swap.5051",C5053,H5053,B5053,"USD","SOFR",I5053,J5053,0,"Actual360","Simple","Annual","Annual","Annual")</f>
        <v/>
      </c>
      <c r="F5053" s="8">
        <f>QS.TRADE.CREATE("trade.5051",C5053,E5053,A5053,"Receive")</f>
        <v/>
      </c>
      <c r="G5053" s="5"/>
      <c r="H5053" s="7" t="s">
        <v>5094</v>
      </c>
      <c r="I5053" s="9">
        <v>1505100</v>
      </c>
      <c r="J5053" s="10">
        <v>0.03510000000000001</v>
      </c>
    </row>
    <row r="5054" spans="1:10">
      <c r="A5054" s="7" t="s">
        <v>5088</v>
      </c>
      <c r="B5054" s="7" t="s">
        <v>6921</v>
      </c>
      <c r="C5054" s="8">
        <f>QS.CONTEXT.CREATE("market.5052",A5054,"USD","SOFR")</f>
        <v/>
      </c>
      <c r="D5054" s="8">
        <f>QS.CONTEXT.ADD.CURVE(C5054,"SOFR",$K$2:$K$7,$L$2:$L$7,,,"Actual360","LogLinear",TRUE)</f>
        <v/>
      </c>
      <c r="E5054" s="8">
        <f>QS.INSTRUMENT.SWAP("swap.5052",C5054,H5054,B5054,"USD","SOFR",I5054,J5054,0,"Actual360","Simple","Annual","Annual","Annual")</f>
        <v/>
      </c>
      <c r="F5054" s="8">
        <f>QS.TRADE.CREATE("trade.5052",C5054,E5054,A5054,"Receive")</f>
        <v/>
      </c>
      <c r="G5054" s="5"/>
      <c r="H5054" s="7" t="s">
        <v>5095</v>
      </c>
      <c r="I5054" s="9">
        <v>1505200</v>
      </c>
      <c r="J5054" s="10">
        <v>0.0352</v>
      </c>
    </row>
    <row r="5055" spans="1:10">
      <c r="A5055" s="7" t="s">
        <v>5089</v>
      </c>
      <c r="B5055" s="7" t="s">
        <v>6922</v>
      </c>
      <c r="C5055" s="8">
        <f>QS.CONTEXT.CREATE("market.5053",A5055,"USD","SOFR")</f>
        <v/>
      </c>
      <c r="D5055" s="8">
        <f>QS.CONTEXT.ADD.CURVE(C5055,"SOFR",$K$2:$K$7,$L$2:$L$7,,,"Actual360","LogLinear",TRUE)</f>
        <v/>
      </c>
      <c r="E5055" s="8">
        <f>QS.INSTRUMENT.SWAP("swap.5053",C5055,H5055,B5055,"USD","SOFR",I5055,J5055,0,"Actual360","Simple","Annual","Annual","Annual")</f>
        <v/>
      </c>
      <c r="F5055" s="8">
        <f>QS.TRADE.CREATE("trade.5053",C5055,E5055,A5055,"Receive")</f>
        <v/>
      </c>
      <c r="G5055" s="5"/>
      <c r="H5055" s="7" t="s">
        <v>5096</v>
      </c>
      <c r="I5055" s="9">
        <v>1505300</v>
      </c>
      <c r="J5055" s="10">
        <v>0.0353</v>
      </c>
    </row>
    <row r="5056" spans="1:10">
      <c r="A5056" s="7" t="s">
        <v>5090</v>
      </c>
      <c r="B5056" s="7" t="s">
        <v>6923</v>
      </c>
      <c r="C5056" s="8">
        <f>QS.CONTEXT.CREATE("market.5054",A5056,"USD","SOFR")</f>
        <v/>
      </c>
      <c r="D5056" s="8">
        <f>QS.CONTEXT.ADD.CURVE(C5056,"SOFR",$K$2:$K$7,$L$2:$L$7,,,"Actual360","LogLinear",TRUE)</f>
        <v/>
      </c>
      <c r="E5056" s="8">
        <f>QS.INSTRUMENT.SWAP("swap.5054",C5056,H5056,B5056,"USD","SOFR",I5056,J5056,0,"Actual360","Simple","Annual","Annual","Annual")</f>
        <v/>
      </c>
      <c r="F5056" s="8">
        <f>QS.TRADE.CREATE("trade.5054",C5056,E5056,A5056,"Receive")</f>
        <v/>
      </c>
      <c r="G5056" s="5"/>
      <c r="H5056" s="7" t="s">
        <v>5097</v>
      </c>
      <c r="I5056" s="9">
        <v>1505400</v>
      </c>
      <c r="J5056" s="10">
        <v>0.0354</v>
      </c>
    </row>
    <row r="5057" spans="1:10">
      <c r="A5057" s="7" t="s">
        <v>5091</v>
      </c>
      <c r="B5057" s="7" t="s">
        <v>6924</v>
      </c>
      <c r="C5057" s="8">
        <f>QS.CONTEXT.CREATE("market.5055",A5057,"USD","SOFR")</f>
        <v/>
      </c>
      <c r="D5057" s="8">
        <f>QS.CONTEXT.ADD.CURVE(C5057,"SOFR",$K$2:$K$7,$L$2:$L$7,,,"Actual360","LogLinear",TRUE)</f>
        <v/>
      </c>
      <c r="E5057" s="8">
        <f>QS.INSTRUMENT.SWAP("swap.5055",C5057,H5057,B5057,"USD","SOFR",I5057,J5057,0,"Actual360","Simple","Annual","Annual","Annual")</f>
        <v/>
      </c>
      <c r="F5057" s="8">
        <f>QS.TRADE.CREATE("trade.5055",C5057,E5057,A5057,"Receive")</f>
        <v/>
      </c>
      <c r="G5057" s="5"/>
      <c r="H5057" s="7" t="s">
        <v>5098</v>
      </c>
      <c r="I5057" s="9">
        <v>1505500</v>
      </c>
      <c r="J5057" s="10">
        <v>0.0355</v>
      </c>
    </row>
    <row r="5058" spans="1:10">
      <c r="A5058" s="7" t="s">
        <v>5092</v>
      </c>
      <c r="B5058" s="7" t="s">
        <v>6925</v>
      </c>
      <c r="C5058" s="8">
        <f>QS.CONTEXT.CREATE("market.5056",A5058,"USD","SOFR")</f>
        <v/>
      </c>
      <c r="D5058" s="8">
        <f>QS.CONTEXT.ADD.CURVE(C5058,"SOFR",$K$2:$K$7,$L$2:$L$7,,,"Actual360","LogLinear",TRUE)</f>
        <v/>
      </c>
      <c r="E5058" s="8">
        <f>QS.INSTRUMENT.SWAP("swap.5056",C5058,H5058,B5058,"USD","SOFR",I5058,J5058,0,"Actual360","Simple","Annual","Annual","Annual")</f>
        <v/>
      </c>
      <c r="F5058" s="8">
        <f>QS.TRADE.CREATE("trade.5056",C5058,E5058,A5058,"Receive")</f>
        <v/>
      </c>
      <c r="G5058" s="5"/>
      <c r="H5058" s="7" t="s">
        <v>5099</v>
      </c>
      <c r="I5058" s="9">
        <v>1505600</v>
      </c>
      <c r="J5058" s="10">
        <v>0.03560000000000001</v>
      </c>
    </row>
    <row r="5059" spans="1:10">
      <c r="A5059" s="7" t="s">
        <v>5093</v>
      </c>
      <c r="B5059" s="7" t="s">
        <v>6926</v>
      </c>
      <c r="C5059" s="8">
        <f>QS.CONTEXT.CREATE("market.5057",A5059,"USD","SOFR")</f>
        <v/>
      </c>
      <c r="D5059" s="8">
        <f>QS.CONTEXT.ADD.CURVE(C5059,"SOFR",$K$2:$K$7,$L$2:$L$7,,,"Actual360","LogLinear",TRUE)</f>
        <v/>
      </c>
      <c r="E5059" s="8">
        <f>QS.INSTRUMENT.SWAP("swap.5057",C5059,H5059,B5059,"USD","SOFR",I5059,J5059,0,"Actual360","Simple","Annual","Annual","Annual")</f>
        <v/>
      </c>
      <c r="F5059" s="8">
        <f>QS.TRADE.CREATE("trade.5057",C5059,E5059,A5059,"Receive")</f>
        <v/>
      </c>
      <c r="G5059" s="5"/>
      <c r="H5059" s="7" t="s">
        <v>5100</v>
      </c>
      <c r="I5059" s="9">
        <v>1505700</v>
      </c>
      <c r="J5059" s="10">
        <v>0.0357</v>
      </c>
    </row>
    <row r="5060" spans="1:10">
      <c r="A5060" s="7" t="s">
        <v>5094</v>
      </c>
      <c r="B5060" s="7" t="s">
        <v>6927</v>
      </c>
      <c r="C5060" s="8">
        <f>QS.CONTEXT.CREATE("market.5058",A5060,"USD","SOFR")</f>
        <v/>
      </c>
      <c r="D5060" s="8">
        <f>QS.CONTEXT.ADD.CURVE(C5060,"SOFR",$K$2:$K$7,$L$2:$L$7,,,"Actual360","LogLinear",TRUE)</f>
        <v/>
      </c>
      <c r="E5060" s="8">
        <f>QS.INSTRUMENT.SWAP("swap.5058",C5060,H5060,B5060,"USD","SOFR",I5060,J5060,0,"Actual360","Simple","Annual","Annual","Annual")</f>
        <v/>
      </c>
      <c r="F5060" s="8">
        <f>QS.TRADE.CREATE("trade.5058",C5060,E5060,A5060,"Receive")</f>
        <v/>
      </c>
      <c r="G5060" s="5"/>
      <c r="H5060" s="7" t="s">
        <v>5101</v>
      </c>
      <c r="I5060" s="9">
        <v>1505800</v>
      </c>
      <c r="J5060" s="10">
        <v>0.03580000000000001</v>
      </c>
    </row>
    <row r="5061" spans="1:10">
      <c r="A5061" s="7" t="s">
        <v>5095</v>
      </c>
      <c r="B5061" s="7" t="s">
        <v>6928</v>
      </c>
      <c r="C5061" s="8">
        <f>QS.CONTEXT.CREATE("market.5059",A5061,"USD","SOFR")</f>
        <v/>
      </c>
      <c r="D5061" s="8">
        <f>QS.CONTEXT.ADD.CURVE(C5061,"SOFR",$K$2:$K$7,$L$2:$L$7,,,"Actual360","LogLinear",TRUE)</f>
        <v/>
      </c>
      <c r="E5061" s="8">
        <f>QS.INSTRUMENT.SWAP("swap.5059",C5061,H5061,B5061,"USD","SOFR",I5061,J5061,0,"Actual360","Simple","Annual","Annual","Annual")</f>
        <v/>
      </c>
      <c r="F5061" s="8">
        <f>QS.TRADE.CREATE("trade.5059",C5061,E5061,A5061,"Receive")</f>
        <v/>
      </c>
      <c r="G5061" s="5"/>
      <c r="H5061" s="7" t="s">
        <v>5102</v>
      </c>
      <c r="I5061" s="9">
        <v>1505900</v>
      </c>
      <c r="J5061" s="10">
        <v>0.0359</v>
      </c>
    </row>
    <row r="5062" spans="1:10">
      <c r="A5062" s="7" t="s">
        <v>5096</v>
      </c>
      <c r="B5062" s="7" t="s">
        <v>6929</v>
      </c>
      <c r="C5062" s="8">
        <f>QS.CONTEXT.CREATE("market.5060",A5062,"USD","SOFR")</f>
        <v/>
      </c>
      <c r="D5062" s="8">
        <f>QS.CONTEXT.ADD.CURVE(C5062,"SOFR",$K$2:$K$7,$L$2:$L$7,,,"Actual360","LogLinear",TRUE)</f>
        <v/>
      </c>
      <c r="E5062" s="8">
        <f>QS.INSTRUMENT.SWAP("swap.5060",C5062,H5062,B5062,"USD","SOFR",I5062,J5062,0,"Actual360","Simple","Annual","Annual","Annual")</f>
        <v/>
      </c>
      <c r="F5062" s="8">
        <f>QS.TRADE.CREATE("trade.5060",C5062,E5062,A5062,"Receive")</f>
        <v/>
      </c>
      <c r="G5062" s="5"/>
      <c r="H5062" s="7" t="s">
        <v>5103</v>
      </c>
      <c r="I5062" s="9">
        <v>1506000</v>
      </c>
      <c r="J5062" s="10">
        <v>0.036</v>
      </c>
    </row>
    <row r="5063" spans="1:10">
      <c r="A5063" s="7" t="s">
        <v>5097</v>
      </c>
      <c r="B5063" s="7" t="s">
        <v>6930</v>
      </c>
      <c r="C5063" s="8">
        <f>QS.CONTEXT.CREATE("market.5061",A5063,"USD","SOFR")</f>
        <v/>
      </c>
      <c r="D5063" s="8">
        <f>QS.CONTEXT.ADD.CURVE(C5063,"SOFR",$K$2:$K$7,$L$2:$L$7,,,"Actual360","LogLinear",TRUE)</f>
        <v/>
      </c>
      <c r="E5063" s="8">
        <f>QS.INSTRUMENT.SWAP("swap.5061",C5063,H5063,B5063,"USD","SOFR",I5063,J5063,0,"Actual360","Simple","Annual","Annual","Annual")</f>
        <v/>
      </c>
      <c r="F5063" s="8">
        <f>QS.TRADE.CREATE("trade.5061",C5063,E5063,A5063,"Receive")</f>
        <v/>
      </c>
      <c r="G5063" s="5"/>
      <c r="H5063" s="7" t="s">
        <v>5104</v>
      </c>
      <c r="I5063" s="9">
        <v>1506100</v>
      </c>
      <c r="J5063" s="10">
        <v>0.0361</v>
      </c>
    </row>
    <row r="5064" spans="1:10">
      <c r="A5064" s="7" t="s">
        <v>5098</v>
      </c>
      <c r="B5064" s="7" t="s">
        <v>6931</v>
      </c>
      <c r="C5064" s="8">
        <f>QS.CONTEXT.CREATE("market.5062",A5064,"USD","SOFR")</f>
        <v/>
      </c>
      <c r="D5064" s="8">
        <f>QS.CONTEXT.ADD.CURVE(C5064,"SOFR",$K$2:$K$7,$L$2:$L$7,,,"Actual360","LogLinear",TRUE)</f>
        <v/>
      </c>
      <c r="E5064" s="8">
        <f>QS.INSTRUMENT.SWAP("swap.5062",C5064,H5064,B5064,"USD","SOFR",I5064,J5064,0,"Actual360","Simple","Annual","Annual","Annual")</f>
        <v/>
      </c>
      <c r="F5064" s="8">
        <f>QS.TRADE.CREATE("trade.5062",C5064,E5064,A5064,"Receive")</f>
        <v/>
      </c>
      <c r="G5064" s="5"/>
      <c r="H5064" s="7" t="s">
        <v>5105</v>
      </c>
      <c r="I5064" s="9">
        <v>1506200</v>
      </c>
      <c r="J5064" s="10">
        <v>0.0362</v>
      </c>
    </row>
    <row r="5065" spans="1:10">
      <c r="A5065" s="7" t="s">
        <v>5099</v>
      </c>
      <c r="B5065" s="7" t="s">
        <v>6932</v>
      </c>
      <c r="C5065" s="8">
        <f>QS.CONTEXT.CREATE("market.5063",A5065,"USD","SOFR")</f>
        <v/>
      </c>
      <c r="D5065" s="8">
        <f>QS.CONTEXT.ADD.CURVE(C5065,"SOFR",$K$2:$K$7,$L$2:$L$7,,,"Actual360","LogLinear",TRUE)</f>
        <v/>
      </c>
      <c r="E5065" s="8">
        <f>QS.INSTRUMENT.SWAP("swap.5063",C5065,H5065,B5065,"USD","SOFR",I5065,J5065,0,"Actual360","Simple","Annual","Annual","Annual")</f>
        <v/>
      </c>
      <c r="F5065" s="8">
        <f>QS.TRADE.CREATE("trade.5063",C5065,E5065,A5065,"Receive")</f>
        <v/>
      </c>
      <c r="G5065" s="5"/>
      <c r="H5065" s="7" t="s">
        <v>5106</v>
      </c>
      <c r="I5065" s="9">
        <v>1506300</v>
      </c>
      <c r="J5065" s="10">
        <v>0.03630000000000001</v>
      </c>
    </row>
    <row r="5066" spans="1:10">
      <c r="A5066" s="7" t="s">
        <v>5100</v>
      </c>
      <c r="B5066" s="7" t="s">
        <v>6933</v>
      </c>
      <c r="C5066" s="8">
        <f>QS.CONTEXT.CREATE("market.5064",A5066,"USD","SOFR")</f>
        <v/>
      </c>
      <c r="D5066" s="8">
        <f>QS.CONTEXT.ADD.CURVE(C5066,"SOFR",$K$2:$K$7,$L$2:$L$7,,,"Actual360","LogLinear",TRUE)</f>
        <v/>
      </c>
      <c r="E5066" s="8">
        <f>QS.INSTRUMENT.SWAP("swap.5064",C5066,H5066,B5066,"USD","SOFR",I5066,J5066,0,"Actual360","Simple","Annual","Annual","Annual")</f>
        <v/>
      </c>
      <c r="F5066" s="8">
        <f>QS.TRADE.CREATE("trade.5064",C5066,E5066,A5066,"Receive")</f>
        <v/>
      </c>
      <c r="G5066" s="5"/>
      <c r="H5066" s="7" t="s">
        <v>5107</v>
      </c>
      <c r="I5066" s="9">
        <v>1506400</v>
      </c>
      <c r="J5066" s="10">
        <v>0.0364</v>
      </c>
    </row>
    <row r="5067" spans="1:10">
      <c r="A5067" s="7" t="s">
        <v>5101</v>
      </c>
      <c r="B5067" s="7" t="s">
        <v>6934</v>
      </c>
      <c r="C5067" s="8">
        <f>QS.CONTEXT.CREATE("market.5065",A5067,"USD","SOFR")</f>
        <v/>
      </c>
      <c r="D5067" s="8">
        <f>QS.CONTEXT.ADD.CURVE(C5067,"SOFR",$K$2:$K$7,$L$2:$L$7,,,"Actual360","LogLinear",TRUE)</f>
        <v/>
      </c>
      <c r="E5067" s="8">
        <f>QS.INSTRUMENT.SWAP("swap.5065",C5067,H5067,B5067,"USD","SOFR",I5067,J5067,0,"Actual360","Simple","Annual","Annual","Annual")</f>
        <v/>
      </c>
      <c r="F5067" s="8">
        <f>QS.TRADE.CREATE("trade.5065",C5067,E5067,A5067,"Receive")</f>
        <v/>
      </c>
      <c r="G5067" s="5"/>
      <c r="H5067" s="7" t="s">
        <v>5108</v>
      </c>
      <c r="I5067" s="9">
        <v>1506500</v>
      </c>
      <c r="J5067" s="10">
        <v>0.0365</v>
      </c>
    </row>
    <row r="5068" spans="1:10">
      <c r="A5068" s="7" t="s">
        <v>5102</v>
      </c>
      <c r="B5068" s="7" t="s">
        <v>6935</v>
      </c>
      <c r="C5068" s="8">
        <f>QS.CONTEXT.CREATE("market.5066",A5068,"USD","SOFR")</f>
        <v/>
      </c>
      <c r="D5068" s="8">
        <f>QS.CONTEXT.ADD.CURVE(C5068,"SOFR",$K$2:$K$7,$L$2:$L$7,,,"Actual360","LogLinear",TRUE)</f>
        <v/>
      </c>
      <c r="E5068" s="8">
        <f>QS.INSTRUMENT.SWAP("swap.5066",C5068,H5068,B5068,"USD","SOFR",I5068,J5068,0,"Actual360","Simple","Annual","Annual","Annual")</f>
        <v/>
      </c>
      <c r="F5068" s="8">
        <f>QS.TRADE.CREATE("trade.5066",C5068,E5068,A5068,"Receive")</f>
        <v/>
      </c>
      <c r="G5068" s="5"/>
      <c r="H5068" s="7" t="s">
        <v>5109</v>
      </c>
      <c r="I5068" s="9">
        <v>1506600</v>
      </c>
      <c r="J5068" s="10">
        <v>0.0366</v>
      </c>
    </row>
    <row r="5069" spans="1:10">
      <c r="A5069" s="7" t="s">
        <v>5103</v>
      </c>
      <c r="B5069" s="7" t="s">
        <v>6936</v>
      </c>
      <c r="C5069" s="8">
        <f>QS.CONTEXT.CREATE("market.5067",A5069,"USD","SOFR")</f>
        <v/>
      </c>
      <c r="D5069" s="8">
        <f>QS.CONTEXT.ADD.CURVE(C5069,"SOFR",$K$2:$K$7,$L$2:$L$7,,,"Actual360","LogLinear",TRUE)</f>
        <v/>
      </c>
      <c r="E5069" s="8">
        <f>QS.INSTRUMENT.SWAP("swap.5067",C5069,H5069,B5069,"USD","SOFR",I5069,J5069,0,"Actual360","Simple","Annual","Annual","Annual")</f>
        <v/>
      </c>
      <c r="F5069" s="8">
        <f>QS.TRADE.CREATE("trade.5067",C5069,E5069,A5069,"Receive")</f>
        <v/>
      </c>
      <c r="G5069" s="5"/>
      <c r="H5069" s="7" t="s">
        <v>5110</v>
      </c>
      <c r="I5069" s="9">
        <v>1506700</v>
      </c>
      <c r="J5069" s="10">
        <v>0.0367</v>
      </c>
    </row>
    <row r="5070" spans="1:10">
      <c r="A5070" s="7" t="s">
        <v>5104</v>
      </c>
      <c r="B5070" s="7" t="s">
        <v>6937</v>
      </c>
      <c r="C5070" s="8">
        <f>QS.CONTEXT.CREATE("market.5068",A5070,"USD","SOFR")</f>
        <v/>
      </c>
      <c r="D5070" s="8">
        <f>QS.CONTEXT.ADD.CURVE(C5070,"SOFR",$K$2:$K$7,$L$2:$L$7,,,"Actual360","LogLinear",TRUE)</f>
        <v/>
      </c>
      <c r="E5070" s="8">
        <f>QS.INSTRUMENT.SWAP("swap.5068",C5070,H5070,B5070,"USD","SOFR",I5070,J5070,0,"Actual360","Simple","Annual","Annual","Annual")</f>
        <v/>
      </c>
      <c r="F5070" s="8">
        <f>QS.TRADE.CREATE("trade.5068",C5070,E5070,A5070,"Receive")</f>
        <v/>
      </c>
      <c r="G5070" s="5"/>
      <c r="H5070" s="7" t="s">
        <v>5111</v>
      </c>
      <c r="I5070" s="9">
        <v>1506800</v>
      </c>
      <c r="J5070" s="10">
        <v>0.03680000000000001</v>
      </c>
    </row>
    <row r="5071" spans="1:10">
      <c r="A5071" s="7" t="s">
        <v>5105</v>
      </c>
      <c r="B5071" s="7" t="s">
        <v>6938</v>
      </c>
      <c r="C5071" s="8">
        <f>QS.CONTEXT.CREATE("market.5069",A5071,"USD","SOFR")</f>
        <v/>
      </c>
      <c r="D5071" s="8">
        <f>QS.CONTEXT.ADD.CURVE(C5071,"SOFR",$K$2:$K$7,$L$2:$L$7,,,"Actual360","LogLinear",TRUE)</f>
        <v/>
      </c>
      <c r="E5071" s="8">
        <f>QS.INSTRUMENT.SWAP("swap.5069",C5071,H5071,B5071,"USD","SOFR",I5071,J5071,0,"Actual360","Simple","Annual","Annual","Annual")</f>
        <v/>
      </c>
      <c r="F5071" s="8">
        <f>QS.TRADE.CREATE("trade.5069",C5071,E5071,A5071,"Receive")</f>
        <v/>
      </c>
      <c r="G5071" s="5"/>
      <c r="H5071" s="7" t="s">
        <v>5112</v>
      </c>
      <c r="I5071" s="9">
        <v>1506900</v>
      </c>
      <c r="J5071" s="10">
        <v>0.0369</v>
      </c>
    </row>
    <row r="5072" spans="1:10">
      <c r="A5072" s="7" t="s">
        <v>5106</v>
      </c>
      <c r="B5072" s="7" t="s">
        <v>6939</v>
      </c>
      <c r="C5072" s="8">
        <f>QS.CONTEXT.CREATE("market.5070",A5072,"USD","SOFR")</f>
        <v/>
      </c>
      <c r="D5072" s="8">
        <f>QS.CONTEXT.ADD.CURVE(C5072,"SOFR",$K$2:$K$7,$L$2:$L$7,,,"Actual360","LogLinear",TRUE)</f>
        <v/>
      </c>
      <c r="E5072" s="8">
        <f>QS.INSTRUMENT.SWAP("swap.5070",C5072,H5072,B5072,"USD","SOFR",I5072,J5072,0,"Actual360","Simple","Annual","Annual","Annual")</f>
        <v/>
      </c>
      <c r="F5072" s="8">
        <f>QS.TRADE.CREATE("trade.5070",C5072,E5072,A5072,"Receive")</f>
        <v/>
      </c>
      <c r="G5072" s="5"/>
      <c r="H5072" s="7" t="s">
        <v>5113</v>
      </c>
      <c r="I5072" s="9">
        <v>1507000</v>
      </c>
      <c r="J5072" s="10">
        <v>0.03700000000000001</v>
      </c>
    </row>
    <row r="5073" spans="1:10">
      <c r="A5073" s="7" t="s">
        <v>5107</v>
      </c>
      <c r="B5073" s="7" t="s">
        <v>6940</v>
      </c>
      <c r="C5073" s="8">
        <f>QS.CONTEXT.CREATE("market.5071",A5073,"USD","SOFR")</f>
        <v/>
      </c>
      <c r="D5073" s="8">
        <f>QS.CONTEXT.ADD.CURVE(C5073,"SOFR",$K$2:$K$7,$L$2:$L$7,,,"Actual360","LogLinear",TRUE)</f>
        <v/>
      </c>
      <c r="E5073" s="8">
        <f>QS.INSTRUMENT.SWAP("swap.5071",C5073,H5073,B5073,"USD","SOFR",I5073,J5073,0,"Actual360","Simple","Annual","Annual","Annual")</f>
        <v/>
      </c>
      <c r="F5073" s="8">
        <f>QS.TRADE.CREATE("trade.5071",C5073,E5073,A5073,"Receive")</f>
        <v/>
      </c>
      <c r="G5073" s="5"/>
      <c r="H5073" s="7" t="s">
        <v>5114</v>
      </c>
      <c r="I5073" s="9">
        <v>1507100</v>
      </c>
      <c r="J5073" s="10">
        <v>0.0371</v>
      </c>
    </row>
    <row r="5074" spans="1:10">
      <c r="A5074" s="7" t="s">
        <v>5108</v>
      </c>
      <c r="B5074" s="7" t="s">
        <v>6941</v>
      </c>
      <c r="C5074" s="8">
        <f>QS.CONTEXT.CREATE("market.5072",A5074,"USD","SOFR")</f>
        <v/>
      </c>
      <c r="D5074" s="8">
        <f>QS.CONTEXT.ADD.CURVE(C5074,"SOFR",$K$2:$K$7,$L$2:$L$7,,,"Actual360","LogLinear",TRUE)</f>
        <v/>
      </c>
      <c r="E5074" s="8">
        <f>QS.INSTRUMENT.SWAP("swap.5072",C5074,H5074,B5074,"USD","SOFR",I5074,J5074,0,"Actual360","Simple","Annual","Annual","Annual")</f>
        <v/>
      </c>
      <c r="F5074" s="8">
        <f>QS.TRADE.CREATE("trade.5072",C5074,E5074,A5074,"Receive")</f>
        <v/>
      </c>
      <c r="G5074" s="5"/>
      <c r="H5074" s="7" t="s">
        <v>5115</v>
      </c>
      <c r="I5074" s="9">
        <v>1507200</v>
      </c>
      <c r="J5074" s="10">
        <v>0.0372</v>
      </c>
    </row>
    <row r="5075" spans="1:10">
      <c r="A5075" s="7" t="s">
        <v>5109</v>
      </c>
      <c r="B5075" s="7" t="s">
        <v>6942</v>
      </c>
      <c r="C5075" s="8">
        <f>QS.CONTEXT.CREATE("market.5073",A5075,"USD","SOFR")</f>
        <v/>
      </c>
      <c r="D5075" s="8">
        <f>QS.CONTEXT.ADD.CURVE(C5075,"SOFR",$K$2:$K$7,$L$2:$L$7,,,"Actual360","LogLinear",TRUE)</f>
        <v/>
      </c>
      <c r="E5075" s="8">
        <f>QS.INSTRUMENT.SWAP("swap.5073",C5075,H5075,B5075,"USD","SOFR",I5075,J5075,0,"Actual360","Simple","Annual","Annual","Annual")</f>
        <v/>
      </c>
      <c r="F5075" s="8">
        <f>QS.TRADE.CREATE("trade.5073",C5075,E5075,A5075,"Receive")</f>
        <v/>
      </c>
      <c r="G5075" s="5"/>
      <c r="H5075" s="7" t="s">
        <v>5116</v>
      </c>
      <c r="I5075" s="9">
        <v>1507300</v>
      </c>
      <c r="J5075" s="10">
        <v>0.0373</v>
      </c>
    </row>
    <row r="5076" spans="1:10">
      <c r="A5076" s="7" t="s">
        <v>5110</v>
      </c>
      <c r="B5076" s="7" t="s">
        <v>6943</v>
      </c>
      <c r="C5076" s="8">
        <f>QS.CONTEXT.CREATE("market.5074",A5076,"USD","SOFR")</f>
        <v/>
      </c>
      <c r="D5076" s="8">
        <f>QS.CONTEXT.ADD.CURVE(C5076,"SOFR",$K$2:$K$7,$L$2:$L$7,,,"Actual360","LogLinear",TRUE)</f>
        <v/>
      </c>
      <c r="E5076" s="8">
        <f>QS.INSTRUMENT.SWAP("swap.5074",C5076,H5076,B5076,"USD","SOFR",I5076,J5076,0,"Actual360","Simple","Annual","Annual","Annual")</f>
        <v/>
      </c>
      <c r="F5076" s="8">
        <f>QS.TRADE.CREATE("trade.5074",C5076,E5076,A5076,"Receive")</f>
        <v/>
      </c>
      <c r="G5076" s="5"/>
      <c r="H5076" s="7" t="s">
        <v>5117</v>
      </c>
      <c r="I5076" s="9">
        <v>1507400</v>
      </c>
      <c r="J5076" s="10">
        <v>0.0374</v>
      </c>
    </row>
    <row r="5077" spans="1:10">
      <c r="A5077" s="7" t="s">
        <v>5111</v>
      </c>
      <c r="B5077" s="7" t="s">
        <v>6944</v>
      </c>
      <c r="C5077" s="8">
        <f>QS.CONTEXT.CREATE("market.5075",A5077,"USD","SOFR")</f>
        <v/>
      </c>
      <c r="D5077" s="8">
        <f>QS.CONTEXT.ADD.CURVE(C5077,"SOFR",$K$2:$K$7,$L$2:$L$7,,,"Actual360","LogLinear",TRUE)</f>
        <v/>
      </c>
      <c r="E5077" s="8">
        <f>QS.INSTRUMENT.SWAP("swap.5075",C5077,H5077,B5077,"USD","SOFR",I5077,J5077,0,"Actual360","Simple","Annual","Annual","Annual")</f>
        <v/>
      </c>
      <c r="F5077" s="8">
        <f>QS.TRADE.CREATE("trade.5075",C5077,E5077,A5077,"Receive")</f>
        <v/>
      </c>
      <c r="G5077" s="5"/>
      <c r="H5077" s="7" t="s">
        <v>5118</v>
      </c>
      <c r="I5077" s="9">
        <v>1507500</v>
      </c>
      <c r="J5077" s="10">
        <v>0.03750000000000001</v>
      </c>
    </row>
    <row r="5078" spans="1:10">
      <c r="A5078" s="7" t="s">
        <v>5112</v>
      </c>
      <c r="B5078" s="7" t="s">
        <v>6945</v>
      </c>
      <c r="C5078" s="8">
        <f>QS.CONTEXT.CREATE("market.5076",A5078,"USD","SOFR")</f>
        <v/>
      </c>
      <c r="D5078" s="8">
        <f>QS.CONTEXT.ADD.CURVE(C5078,"SOFR",$K$2:$K$7,$L$2:$L$7,,,"Actual360","LogLinear",TRUE)</f>
        <v/>
      </c>
      <c r="E5078" s="8">
        <f>QS.INSTRUMENT.SWAP("swap.5076",C5078,H5078,B5078,"USD","SOFR",I5078,J5078,0,"Actual360","Simple","Annual","Annual","Annual")</f>
        <v/>
      </c>
      <c r="F5078" s="8">
        <f>QS.TRADE.CREATE("trade.5076",C5078,E5078,A5078,"Receive")</f>
        <v/>
      </c>
      <c r="G5078" s="5"/>
      <c r="H5078" s="7" t="s">
        <v>5119</v>
      </c>
      <c r="I5078" s="9">
        <v>1507600</v>
      </c>
      <c r="J5078" s="10">
        <v>0.0376</v>
      </c>
    </row>
    <row r="5079" spans="1:10">
      <c r="A5079" s="7" t="s">
        <v>5113</v>
      </c>
      <c r="B5079" s="7" t="s">
        <v>6946</v>
      </c>
      <c r="C5079" s="8">
        <f>QS.CONTEXT.CREATE("market.5077",A5079,"USD","SOFR")</f>
        <v/>
      </c>
      <c r="D5079" s="8">
        <f>QS.CONTEXT.ADD.CURVE(C5079,"SOFR",$K$2:$K$7,$L$2:$L$7,,,"Actual360","LogLinear",TRUE)</f>
        <v/>
      </c>
      <c r="E5079" s="8">
        <f>QS.INSTRUMENT.SWAP("swap.5077",C5079,H5079,B5079,"USD","SOFR",I5079,J5079,0,"Actual360","Simple","Annual","Annual","Annual")</f>
        <v/>
      </c>
      <c r="F5079" s="8">
        <f>QS.TRADE.CREATE("trade.5077",C5079,E5079,A5079,"Receive")</f>
        <v/>
      </c>
      <c r="G5079" s="5"/>
      <c r="H5079" s="7" t="s">
        <v>5120</v>
      </c>
      <c r="I5079" s="9">
        <v>1507700</v>
      </c>
      <c r="J5079" s="10">
        <v>0.0377</v>
      </c>
    </row>
    <row r="5080" spans="1:10">
      <c r="A5080" s="7" t="s">
        <v>5114</v>
      </c>
      <c r="B5080" s="7" t="s">
        <v>6947</v>
      </c>
      <c r="C5080" s="8">
        <f>QS.CONTEXT.CREATE("market.5078",A5080,"USD","SOFR")</f>
        <v/>
      </c>
      <c r="D5080" s="8">
        <f>QS.CONTEXT.ADD.CURVE(C5080,"SOFR",$K$2:$K$7,$L$2:$L$7,,,"Actual360","LogLinear",TRUE)</f>
        <v/>
      </c>
      <c r="E5080" s="8">
        <f>QS.INSTRUMENT.SWAP("swap.5078",C5080,H5080,B5080,"USD","SOFR",I5080,J5080,0,"Actual360","Simple","Annual","Annual","Annual")</f>
        <v/>
      </c>
      <c r="F5080" s="8">
        <f>QS.TRADE.CREATE("trade.5078",C5080,E5080,A5080,"Receive")</f>
        <v/>
      </c>
      <c r="G5080" s="5"/>
      <c r="H5080" s="7" t="s">
        <v>5121</v>
      </c>
      <c r="I5080" s="9">
        <v>1507800</v>
      </c>
      <c r="J5080" s="10">
        <v>0.0378</v>
      </c>
    </row>
    <row r="5081" spans="1:10">
      <c r="A5081" s="7" t="s">
        <v>5115</v>
      </c>
      <c r="B5081" s="7" t="s">
        <v>6948</v>
      </c>
      <c r="C5081" s="8">
        <f>QS.CONTEXT.CREATE("market.5079",A5081,"USD","SOFR")</f>
        <v/>
      </c>
      <c r="D5081" s="8">
        <f>QS.CONTEXT.ADD.CURVE(C5081,"SOFR",$K$2:$K$7,$L$2:$L$7,,,"Actual360","LogLinear",TRUE)</f>
        <v/>
      </c>
      <c r="E5081" s="8">
        <f>QS.INSTRUMENT.SWAP("swap.5079",C5081,H5081,B5081,"USD","SOFR",I5081,J5081,0,"Actual360","Simple","Annual","Annual","Annual")</f>
        <v/>
      </c>
      <c r="F5081" s="8">
        <f>QS.TRADE.CREATE("trade.5079",C5081,E5081,A5081,"Receive")</f>
        <v/>
      </c>
      <c r="G5081" s="5"/>
      <c r="H5081" s="7" t="s">
        <v>5122</v>
      </c>
      <c r="I5081" s="9">
        <v>1507900</v>
      </c>
      <c r="J5081" s="10">
        <v>0.0379</v>
      </c>
    </row>
    <row r="5082" spans="1:10">
      <c r="A5082" s="7" t="s">
        <v>5116</v>
      </c>
      <c r="B5082" s="7" t="s">
        <v>6949</v>
      </c>
      <c r="C5082" s="8">
        <f>QS.CONTEXT.CREATE("market.5080",A5082,"USD","SOFR")</f>
        <v/>
      </c>
      <c r="D5082" s="8">
        <f>QS.CONTEXT.ADD.CURVE(C5082,"SOFR",$K$2:$K$7,$L$2:$L$7,,,"Actual360","LogLinear",TRUE)</f>
        <v/>
      </c>
      <c r="E5082" s="8">
        <f>QS.INSTRUMENT.SWAP("swap.5080",C5082,H5082,B5082,"USD","SOFR",I5082,J5082,0,"Actual360","Simple","Annual","Annual","Annual")</f>
        <v/>
      </c>
      <c r="F5082" s="8">
        <f>QS.TRADE.CREATE("trade.5080",C5082,E5082,A5082,"Receive")</f>
        <v/>
      </c>
      <c r="G5082" s="5"/>
      <c r="H5082" s="7" t="s">
        <v>5123</v>
      </c>
      <c r="I5082" s="9">
        <v>1508000</v>
      </c>
      <c r="J5082" s="10">
        <v>0.03800000000000001</v>
      </c>
    </row>
    <row r="5083" spans="1:10">
      <c r="A5083" s="7" t="s">
        <v>5117</v>
      </c>
      <c r="B5083" s="7" t="s">
        <v>6950</v>
      </c>
      <c r="C5083" s="8">
        <f>QS.CONTEXT.CREATE("market.5081",A5083,"USD","SOFR")</f>
        <v/>
      </c>
      <c r="D5083" s="8">
        <f>QS.CONTEXT.ADD.CURVE(C5083,"SOFR",$K$2:$K$7,$L$2:$L$7,,,"Actual360","LogLinear",TRUE)</f>
        <v/>
      </c>
      <c r="E5083" s="8">
        <f>QS.INSTRUMENT.SWAP("swap.5081",C5083,H5083,B5083,"USD","SOFR",I5083,J5083,0,"Actual360","Simple","Annual","Annual","Annual")</f>
        <v/>
      </c>
      <c r="F5083" s="8">
        <f>QS.TRADE.CREATE("trade.5081",C5083,E5083,A5083,"Receive")</f>
        <v/>
      </c>
      <c r="G5083" s="5"/>
      <c r="H5083" s="7" t="s">
        <v>5124</v>
      </c>
      <c r="I5083" s="9">
        <v>1508100</v>
      </c>
      <c r="J5083" s="10">
        <v>0.0381</v>
      </c>
    </row>
    <row r="5084" spans="1:10">
      <c r="A5084" s="7" t="s">
        <v>5118</v>
      </c>
      <c r="B5084" s="7" t="s">
        <v>6951</v>
      </c>
      <c r="C5084" s="8">
        <f>QS.CONTEXT.CREATE("market.5082",A5084,"USD","SOFR")</f>
        <v/>
      </c>
      <c r="D5084" s="8">
        <f>QS.CONTEXT.ADD.CURVE(C5084,"SOFR",$K$2:$K$7,$L$2:$L$7,,,"Actual360","LogLinear",TRUE)</f>
        <v/>
      </c>
      <c r="E5084" s="8">
        <f>QS.INSTRUMENT.SWAP("swap.5082",C5084,H5084,B5084,"USD","SOFR",I5084,J5084,0,"Actual360","Simple","Annual","Annual","Annual")</f>
        <v/>
      </c>
      <c r="F5084" s="8">
        <f>QS.TRADE.CREATE("trade.5082",C5084,E5084,A5084,"Receive")</f>
        <v/>
      </c>
      <c r="G5084" s="5"/>
      <c r="H5084" s="7" t="s">
        <v>5125</v>
      </c>
      <c r="I5084" s="9">
        <v>1508200</v>
      </c>
      <c r="J5084" s="10">
        <v>0.0382</v>
      </c>
    </row>
    <row r="5085" spans="1:10">
      <c r="A5085" s="7" t="s">
        <v>5119</v>
      </c>
      <c r="B5085" s="7" t="s">
        <v>6952</v>
      </c>
      <c r="C5085" s="8">
        <f>QS.CONTEXT.CREATE("market.5083",A5085,"USD","SOFR")</f>
        <v/>
      </c>
      <c r="D5085" s="8">
        <f>QS.CONTEXT.ADD.CURVE(C5085,"SOFR",$K$2:$K$7,$L$2:$L$7,,,"Actual360","LogLinear",TRUE)</f>
        <v/>
      </c>
      <c r="E5085" s="8">
        <f>QS.INSTRUMENT.SWAP("swap.5083",C5085,H5085,B5085,"USD","SOFR",I5085,J5085,0,"Actual360","Simple","Annual","Annual","Annual")</f>
        <v/>
      </c>
      <c r="F5085" s="8">
        <f>QS.TRADE.CREATE("trade.5083",C5085,E5085,A5085,"Receive")</f>
        <v/>
      </c>
      <c r="G5085" s="5"/>
      <c r="H5085" s="7" t="s">
        <v>5126</v>
      </c>
      <c r="I5085" s="9">
        <v>1508300</v>
      </c>
      <c r="J5085" s="10">
        <v>0.0383</v>
      </c>
    </row>
    <row r="5086" spans="1:10">
      <c r="A5086" s="7" t="s">
        <v>5120</v>
      </c>
      <c r="B5086" s="7" t="s">
        <v>6953</v>
      </c>
      <c r="C5086" s="8">
        <f>QS.CONTEXT.CREATE("market.5084",A5086,"USD","SOFR")</f>
        <v/>
      </c>
      <c r="D5086" s="8">
        <f>QS.CONTEXT.ADD.CURVE(C5086,"SOFR",$K$2:$K$7,$L$2:$L$7,,,"Actual360","LogLinear",TRUE)</f>
        <v/>
      </c>
      <c r="E5086" s="8">
        <f>QS.INSTRUMENT.SWAP("swap.5084",C5086,H5086,B5086,"USD","SOFR",I5086,J5086,0,"Actual360","Simple","Annual","Annual","Annual")</f>
        <v/>
      </c>
      <c r="F5086" s="8">
        <f>QS.TRADE.CREATE("trade.5084",C5086,E5086,A5086,"Receive")</f>
        <v/>
      </c>
      <c r="G5086" s="5"/>
      <c r="H5086" s="7" t="s">
        <v>5127</v>
      </c>
      <c r="I5086" s="9">
        <v>1508400</v>
      </c>
      <c r="J5086" s="10">
        <v>0.0384</v>
      </c>
    </row>
    <row r="5087" spans="1:10">
      <c r="A5087" s="7" t="s">
        <v>5121</v>
      </c>
      <c r="B5087" s="7" t="s">
        <v>6954</v>
      </c>
      <c r="C5087" s="8">
        <f>QS.CONTEXT.CREATE("market.5085",A5087,"USD","SOFR")</f>
        <v/>
      </c>
      <c r="D5087" s="8">
        <f>QS.CONTEXT.ADD.CURVE(C5087,"SOFR",$K$2:$K$7,$L$2:$L$7,,,"Actual360","LogLinear",TRUE)</f>
        <v/>
      </c>
      <c r="E5087" s="8">
        <f>QS.INSTRUMENT.SWAP("swap.5085",C5087,H5087,B5087,"USD","SOFR",I5087,J5087,0,"Actual360","Simple","Annual","Annual","Annual")</f>
        <v/>
      </c>
      <c r="F5087" s="8">
        <f>QS.TRADE.CREATE("trade.5085",C5087,E5087,A5087,"Receive")</f>
        <v/>
      </c>
      <c r="G5087" s="5"/>
      <c r="H5087" s="7" t="s">
        <v>5128</v>
      </c>
      <c r="I5087" s="9">
        <v>1508500</v>
      </c>
      <c r="J5087" s="10">
        <v>0.03850000000000001</v>
      </c>
    </row>
    <row r="5088" spans="1:10">
      <c r="A5088" s="7" t="s">
        <v>5122</v>
      </c>
      <c r="B5088" s="7" t="s">
        <v>6955</v>
      </c>
      <c r="C5088" s="8">
        <f>QS.CONTEXT.CREATE("market.5086",A5088,"USD","SOFR")</f>
        <v/>
      </c>
      <c r="D5088" s="8">
        <f>QS.CONTEXT.ADD.CURVE(C5088,"SOFR",$K$2:$K$7,$L$2:$L$7,,,"Actual360","LogLinear",TRUE)</f>
        <v/>
      </c>
      <c r="E5088" s="8">
        <f>QS.INSTRUMENT.SWAP("swap.5086",C5088,H5088,B5088,"USD","SOFR",I5088,J5088,0,"Actual360","Simple","Annual","Annual","Annual")</f>
        <v/>
      </c>
      <c r="F5088" s="8">
        <f>QS.TRADE.CREATE("trade.5086",C5088,E5088,A5088,"Receive")</f>
        <v/>
      </c>
      <c r="G5088" s="5"/>
      <c r="H5088" s="7" t="s">
        <v>5129</v>
      </c>
      <c r="I5088" s="9">
        <v>1508600</v>
      </c>
      <c r="J5088" s="10">
        <v>0.0386</v>
      </c>
    </row>
    <row r="5089" spans="1:10">
      <c r="A5089" s="7" t="s">
        <v>5123</v>
      </c>
      <c r="B5089" s="7" t="s">
        <v>6956</v>
      </c>
      <c r="C5089" s="8">
        <f>QS.CONTEXT.CREATE("market.5087",A5089,"USD","SOFR")</f>
        <v/>
      </c>
      <c r="D5089" s="8">
        <f>QS.CONTEXT.ADD.CURVE(C5089,"SOFR",$K$2:$K$7,$L$2:$L$7,,,"Actual360","LogLinear",TRUE)</f>
        <v/>
      </c>
      <c r="E5089" s="8">
        <f>QS.INSTRUMENT.SWAP("swap.5087",C5089,H5089,B5089,"USD","SOFR",I5089,J5089,0,"Actual360","Simple","Annual","Annual","Annual")</f>
        <v/>
      </c>
      <c r="F5089" s="8">
        <f>QS.TRADE.CREATE("trade.5087",C5089,E5089,A5089,"Receive")</f>
        <v/>
      </c>
      <c r="G5089" s="5"/>
      <c r="H5089" s="7" t="s">
        <v>5130</v>
      </c>
      <c r="I5089" s="9">
        <v>1508700</v>
      </c>
      <c r="J5089" s="10">
        <v>0.03870000000000001</v>
      </c>
    </row>
    <row r="5090" spans="1:10">
      <c r="A5090" s="7" t="s">
        <v>5124</v>
      </c>
      <c r="B5090" s="7" t="s">
        <v>6957</v>
      </c>
      <c r="C5090" s="8">
        <f>QS.CONTEXT.CREATE("market.5088",A5090,"USD","SOFR")</f>
        <v/>
      </c>
      <c r="D5090" s="8">
        <f>QS.CONTEXT.ADD.CURVE(C5090,"SOFR",$K$2:$K$7,$L$2:$L$7,,,"Actual360","LogLinear",TRUE)</f>
        <v/>
      </c>
      <c r="E5090" s="8">
        <f>QS.INSTRUMENT.SWAP("swap.5088",C5090,H5090,B5090,"USD","SOFR",I5090,J5090,0,"Actual360","Simple","Annual","Annual","Annual")</f>
        <v/>
      </c>
      <c r="F5090" s="8">
        <f>QS.TRADE.CREATE("trade.5088",C5090,E5090,A5090,"Receive")</f>
        <v/>
      </c>
      <c r="G5090" s="5"/>
      <c r="H5090" s="7" t="s">
        <v>5131</v>
      </c>
      <c r="I5090" s="9">
        <v>1508800</v>
      </c>
      <c r="J5090" s="10">
        <v>0.0388</v>
      </c>
    </row>
    <row r="5091" spans="1:10">
      <c r="A5091" s="7" t="s">
        <v>5125</v>
      </c>
      <c r="B5091" s="7" t="s">
        <v>6958</v>
      </c>
      <c r="C5091" s="8">
        <f>QS.CONTEXT.CREATE("market.5089",A5091,"USD","SOFR")</f>
        <v/>
      </c>
      <c r="D5091" s="8">
        <f>QS.CONTEXT.ADD.CURVE(C5091,"SOFR",$K$2:$K$7,$L$2:$L$7,,,"Actual360","LogLinear",TRUE)</f>
        <v/>
      </c>
      <c r="E5091" s="8">
        <f>QS.INSTRUMENT.SWAP("swap.5089",C5091,H5091,B5091,"USD","SOFR",I5091,J5091,0,"Actual360","Simple","Annual","Annual","Annual")</f>
        <v/>
      </c>
      <c r="F5091" s="8">
        <f>QS.TRADE.CREATE("trade.5089",C5091,E5091,A5091,"Receive")</f>
        <v/>
      </c>
      <c r="G5091" s="5"/>
      <c r="H5091" s="7" t="s">
        <v>5132</v>
      </c>
      <c r="I5091" s="9">
        <v>1508900</v>
      </c>
      <c r="J5091" s="10">
        <v>0.0389</v>
      </c>
    </row>
    <row r="5092" spans="1:10">
      <c r="A5092" s="7" t="s">
        <v>5126</v>
      </c>
      <c r="B5092" s="7" t="s">
        <v>6959</v>
      </c>
      <c r="C5092" s="8">
        <f>QS.CONTEXT.CREATE("market.5090",A5092,"USD","SOFR")</f>
        <v/>
      </c>
      <c r="D5092" s="8">
        <f>QS.CONTEXT.ADD.CURVE(C5092,"SOFR",$K$2:$K$7,$L$2:$L$7,,,"Actual360","LogLinear",TRUE)</f>
        <v/>
      </c>
      <c r="E5092" s="8">
        <f>QS.INSTRUMENT.SWAP("swap.5090",C5092,H5092,B5092,"USD","SOFR",I5092,J5092,0,"Actual360","Simple","Annual","Annual","Annual")</f>
        <v/>
      </c>
      <c r="F5092" s="8">
        <f>QS.TRADE.CREATE("trade.5090",C5092,E5092,A5092,"Receive")</f>
        <v/>
      </c>
      <c r="G5092" s="5"/>
      <c r="H5092" s="7" t="s">
        <v>5133</v>
      </c>
      <c r="I5092" s="9">
        <v>1509000</v>
      </c>
      <c r="J5092" s="10">
        <v>0.03900000000000001</v>
      </c>
    </row>
    <row r="5093" spans="1:10">
      <c r="A5093" s="7" t="s">
        <v>5127</v>
      </c>
      <c r="B5093" s="7" t="s">
        <v>6960</v>
      </c>
      <c r="C5093" s="8">
        <f>QS.CONTEXT.CREATE("market.5091",A5093,"USD","SOFR")</f>
        <v/>
      </c>
      <c r="D5093" s="8">
        <f>QS.CONTEXT.ADD.CURVE(C5093,"SOFR",$K$2:$K$7,$L$2:$L$7,,,"Actual360","LogLinear",TRUE)</f>
        <v/>
      </c>
      <c r="E5093" s="8">
        <f>QS.INSTRUMENT.SWAP("swap.5091",C5093,H5093,B5093,"USD","SOFR",I5093,J5093,0,"Actual360","Simple","Annual","Annual","Annual")</f>
        <v/>
      </c>
      <c r="F5093" s="8">
        <f>QS.TRADE.CREATE("trade.5091",C5093,E5093,A5093,"Receive")</f>
        <v/>
      </c>
      <c r="G5093" s="5"/>
      <c r="H5093" s="7" t="s">
        <v>5134</v>
      </c>
      <c r="I5093" s="9">
        <v>1509100</v>
      </c>
      <c r="J5093" s="10">
        <v>0.0391</v>
      </c>
    </row>
    <row r="5094" spans="1:10">
      <c r="A5094" s="7" t="s">
        <v>5128</v>
      </c>
      <c r="B5094" s="7" t="s">
        <v>6961</v>
      </c>
      <c r="C5094" s="8">
        <f>QS.CONTEXT.CREATE("market.5092",A5094,"USD","SOFR")</f>
        <v/>
      </c>
      <c r="D5094" s="8">
        <f>QS.CONTEXT.ADD.CURVE(C5094,"SOFR",$K$2:$K$7,$L$2:$L$7,,,"Actual360","LogLinear",TRUE)</f>
        <v/>
      </c>
      <c r="E5094" s="8">
        <f>QS.INSTRUMENT.SWAP("swap.5092",C5094,H5094,B5094,"USD","SOFR",I5094,J5094,0,"Actual360","Simple","Annual","Annual","Annual")</f>
        <v/>
      </c>
      <c r="F5094" s="8">
        <f>QS.TRADE.CREATE("trade.5092",C5094,E5094,A5094,"Receive")</f>
        <v/>
      </c>
      <c r="G5094" s="5"/>
      <c r="H5094" s="7" t="s">
        <v>5135</v>
      </c>
      <c r="I5094" s="9">
        <v>1509200</v>
      </c>
      <c r="J5094" s="10">
        <v>0.03920000000000001</v>
      </c>
    </row>
    <row r="5095" spans="1:10">
      <c r="A5095" s="7" t="s">
        <v>5129</v>
      </c>
      <c r="B5095" s="7" t="s">
        <v>6962</v>
      </c>
      <c r="C5095" s="8">
        <f>QS.CONTEXT.CREATE("market.5093",A5095,"USD","SOFR")</f>
        <v/>
      </c>
      <c r="D5095" s="8">
        <f>QS.CONTEXT.ADD.CURVE(C5095,"SOFR",$K$2:$K$7,$L$2:$L$7,,,"Actual360","LogLinear",TRUE)</f>
        <v/>
      </c>
      <c r="E5095" s="8">
        <f>QS.INSTRUMENT.SWAP("swap.5093",C5095,H5095,B5095,"USD","SOFR",I5095,J5095,0,"Actual360","Simple","Annual","Annual","Annual")</f>
        <v/>
      </c>
      <c r="F5095" s="8">
        <f>QS.TRADE.CREATE("trade.5093",C5095,E5095,A5095,"Receive")</f>
        <v/>
      </c>
      <c r="G5095" s="5"/>
      <c r="H5095" s="7" t="s">
        <v>5136</v>
      </c>
      <c r="I5095" s="9">
        <v>1509300</v>
      </c>
      <c r="J5095" s="10">
        <v>0.0393</v>
      </c>
    </row>
    <row r="5096" spans="1:10">
      <c r="A5096" s="7" t="s">
        <v>5130</v>
      </c>
      <c r="B5096" s="7" t="s">
        <v>6963</v>
      </c>
      <c r="C5096" s="8">
        <f>QS.CONTEXT.CREATE("market.5094",A5096,"USD","SOFR")</f>
        <v/>
      </c>
      <c r="D5096" s="8">
        <f>QS.CONTEXT.ADD.CURVE(C5096,"SOFR",$K$2:$K$7,$L$2:$L$7,,,"Actual360","LogLinear",TRUE)</f>
        <v/>
      </c>
      <c r="E5096" s="8">
        <f>QS.INSTRUMENT.SWAP("swap.5094",C5096,H5096,B5096,"USD","SOFR",I5096,J5096,0,"Actual360","Simple","Annual","Annual","Annual")</f>
        <v/>
      </c>
      <c r="F5096" s="8">
        <f>QS.TRADE.CREATE("trade.5094",C5096,E5096,A5096,"Receive")</f>
        <v/>
      </c>
      <c r="G5096" s="5"/>
      <c r="H5096" s="7" t="s">
        <v>5137</v>
      </c>
      <c r="I5096" s="9">
        <v>1509400</v>
      </c>
      <c r="J5096" s="10">
        <v>0.0394</v>
      </c>
    </row>
    <row r="5097" spans="1:10">
      <c r="A5097" s="7" t="s">
        <v>5131</v>
      </c>
      <c r="B5097" s="7" t="s">
        <v>6964</v>
      </c>
      <c r="C5097" s="8">
        <f>QS.CONTEXT.CREATE("market.5095",A5097,"USD","SOFR")</f>
        <v/>
      </c>
      <c r="D5097" s="8">
        <f>QS.CONTEXT.ADD.CURVE(C5097,"SOFR",$K$2:$K$7,$L$2:$L$7,,,"Actual360","LogLinear",TRUE)</f>
        <v/>
      </c>
      <c r="E5097" s="8">
        <f>QS.INSTRUMENT.SWAP("swap.5095",C5097,H5097,B5097,"USD","SOFR",I5097,J5097,0,"Actual360","Simple","Annual","Annual","Annual")</f>
        <v/>
      </c>
      <c r="F5097" s="8">
        <f>QS.TRADE.CREATE("trade.5095",C5097,E5097,A5097,"Receive")</f>
        <v/>
      </c>
      <c r="G5097" s="5"/>
      <c r="H5097" s="7" t="s">
        <v>5138</v>
      </c>
      <c r="I5097" s="9">
        <v>1509500</v>
      </c>
      <c r="J5097" s="10">
        <v>0.03950000000000001</v>
      </c>
    </row>
    <row r="5098" spans="1:10">
      <c r="A5098" s="7" t="s">
        <v>5132</v>
      </c>
      <c r="B5098" s="7" t="s">
        <v>6965</v>
      </c>
      <c r="C5098" s="8">
        <f>QS.CONTEXT.CREATE("market.5096",A5098,"USD","SOFR")</f>
        <v/>
      </c>
      <c r="D5098" s="8">
        <f>QS.CONTEXT.ADD.CURVE(C5098,"SOFR",$K$2:$K$7,$L$2:$L$7,,,"Actual360","LogLinear",TRUE)</f>
        <v/>
      </c>
      <c r="E5098" s="8">
        <f>QS.INSTRUMENT.SWAP("swap.5096",C5098,H5098,B5098,"USD","SOFR",I5098,J5098,0,"Actual360","Simple","Annual","Annual","Annual")</f>
        <v/>
      </c>
      <c r="F5098" s="8">
        <f>QS.TRADE.CREATE("trade.5096",C5098,E5098,A5098,"Receive")</f>
        <v/>
      </c>
      <c r="G5098" s="5"/>
      <c r="H5098" s="7" t="s">
        <v>5139</v>
      </c>
      <c r="I5098" s="9">
        <v>1509600</v>
      </c>
      <c r="J5098" s="10">
        <v>0.0396</v>
      </c>
    </row>
    <row r="5099" spans="1:10">
      <c r="A5099" s="7" t="s">
        <v>5133</v>
      </c>
      <c r="B5099" s="7" t="s">
        <v>6966</v>
      </c>
      <c r="C5099" s="8">
        <f>QS.CONTEXT.CREATE("market.5097",A5099,"USD","SOFR")</f>
        <v/>
      </c>
      <c r="D5099" s="8">
        <f>QS.CONTEXT.ADD.CURVE(C5099,"SOFR",$K$2:$K$7,$L$2:$L$7,,,"Actual360","LogLinear",TRUE)</f>
        <v/>
      </c>
      <c r="E5099" s="8">
        <f>QS.INSTRUMENT.SWAP("swap.5097",C5099,H5099,B5099,"USD","SOFR",I5099,J5099,0,"Actual360","Simple","Annual","Annual","Annual")</f>
        <v/>
      </c>
      <c r="F5099" s="8">
        <f>QS.TRADE.CREATE("trade.5097",C5099,E5099,A5099,"Receive")</f>
        <v/>
      </c>
      <c r="G5099" s="5"/>
      <c r="H5099" s="7" t="s">
        <v>5140</v>
      </c>
      <c r="I5099" s="9">
        <v>1509700</v>
      </c>
      <c r="J5099" s="10">
        <v>0.03970000000000001</v>
      </c>
    </row>
    <row r="5100" spans="1:10">
      <c r="A5100" s="7" t="s">
        <v>5134</v>
      </c>
      <c r="B5100" s="7" t="s">
        <v>6967</v>
      </c>
      <c r="C5100" s="8">
        <f>QS.CONTEXT.CREATE("market.5098",A5100,"USD","SOFR")</f>
        <v/>
      </c>
      <c r="D5100" s="8">
        <f>QS.CONTEXT.ADD.CURVE(C5100,"SOFR",$K$2:$K$7,$L$2:$L$7,,,"Actual360","LogLinear",TRUE)</f>
        <v/>
      </c>
      <c r="E5100" s="8">
        <f>QS.INSTRUMENT.SWAP("swap.5098",C5100,H5100,B5100,"USD","SOFR",I5100,J5100,0,"Actual360","Simple","Annual","Annual","Annual")</f>
        <v/>
      </c>
      <c r="F5100" s="8">
        <f>QS.TRADE.CREATE("trade.5098",C5100,E5100,A5100,"Receive")</f>
        <v/>
      </c>
      <c r="G5100" s="5"/>
      <c r="H5100" s="7" t="s">
        <v>5141</v>
      </c>
      <c r="I5100" s="9">
        <v>1509800</v>
      </c>
      <c r="J5100" s="10">
        <v>0.0398</v>
      </c>
    </row>
    <row r="5101" spans="1:10">
      <c r="A5101" s="7" t="s">
        <v>5135</v>
      </c>
      <c r="B5101" s="7" t="s">
        <v>6968</v>
      </c>
      <c r="C5101" s="8">
        <f>QS.CONTEXT.CREATE("market.5099",A5101,"USD","SOFR")</f>
        <v/>
      </c>
      <c r="D5101" s="8">
        <f>QS.CONTEXT.ADD.CURVE(C5101,"SOFR",$K$2:$K$7,$L$2:$L$7,,,"Actual360","LogLinear",TRUE)</f>
        <v/>
      </c>
      <c r="E5101" s="8">
        <f>QS.INSTRUMENT.SWAP("swap.5099",C5101,H5101,B5101,"USD","SOFR",I5101,J5101,0,"Actual360","Simple","Annual","Annual","Annual")</f>
        <v/>
      </c>
      <c r="F5101" s="8">
        <f>QS.TRADE.CREATE("trade.5099",C5101,E5101,A5101,"Receive")</f>
        <v/>
      </c>
      <c r="G5101" s="5"/>
      <c r="H5101" s="7" t="s">
        <v>5142</v>
      </c>
      <c r="I5101" s="9">
        <v>1509900</v>
      </c>
      <c r="J5101" s="10">
        <v>0.0399</v>
      </c>
    </row>
    <row r="5102" spans="1:10">
      <c r="A5102" s="7" t="s">
        <v>5136</v>
      </c>
      <c r="B5102" s="7" t="s">
        <v>6969</v>
      </c>
      <c r="C5102" s="8">
        <f>QS.CONTEXT.CREATE("market.5100",A5102,"USD","SOFR")</f>
        <v/>
      </c>
      <c r="D5102" s="8">
        <f>QS.CONTEXT.ADD.CURVE(C5102,"SOFR",$K$2:$K$7,$L$2:$L$7,,,"Actual360","LogLinear",TRUE)</f>
        <v/>
      </c>
      <c r="E5102" s="8">
        <f>QS.INSTRUMENT.SWAP("swap.5100",C5102,H5102,B5102,"USD","SOFR",I5102,J5102,0,"Actual360","Simple","Annual","Annual","Annual")</f>
        <v/>
      </c>
      <c r="F5102" s="8">
        <f>QS.TRADE.CREATE("trade.5100",C5102,E5102,A5102,"Receive")</f>
        <v/>
      </c>
      <c r="G5102" s="5"/>
      <c r="H5102" s="7" t="s">
        <v>5143</v>
      </c>
      <c r="I5102" s="9">
        <v>1510000</v>
      </c>
      <c r="J5102" s="10">
        <v>0.035</v>
      </c>
    </row>
    <row r="5103" spans="1:10">
      <c r="A5103" s="7" t="s">
        <v>5137</v>
      </c>
      <c r="B5103" s="7" t="s">
        <v>6970</v>
      </c>
      <c r="C5103" s="8">
        <f>QS.CONTEXT.CREATE("market.5101",A5103,"USD","SOFR")</f>
        <v/>
      </c>
      <c r="D5103" s="8">
        <f>QS.CONTEXT.ADD.CURVE(C5103,"SOFR",$K$2:$K$7,$L$2:$L$7,,,"Actual360","LogLinear",TRUE)</f>
        <v/>
      </c>
      <c r="E5103" s="8">
        <f>QS.INSTRUMENT.SWAP("swap.5101",C5103,H5103,B5103,"USD","SOFR",I5103,J5103,0,"Actual360","Simple","Annual","Annual","Annual")</f>
        <v/>
      </c>
      <c r="F5103" s="8">
        <f>QS.TRADE.CREATE("trade.5101",C5103,E5103,A5103,"Receive")</f>
        <v/>
      </c>
      <c r="G5103" s="5"/>
      <c r="H5103" s="7" t="s">
        <v>5144</v>
      </c>
      <c r="I5103" s="9">
        <v>1510100</v>
      </c>
      <c r="J5103" s="10">
        <v>0.03510000000000001</v>
      </c>
    </row>
    <row r="5104" spans="1:10">
      <c r="A5104" s="7" t="s">
        <v>5138</v>
      </c>
      <c r="B5104" s="7" t="s">
        <v>6971</v>
      </c>
      <c r="C5104" s="8">
        <f>QS.CONTEXT.CREATE("market.5102",A5104,"USD","SOFR")</f>
        <v/>
      </c>
      <c r="D5104" s="8">
        <f>QS.CONTEXT.ADD.CURVE(C5104,"SOFR",$K$2:$K$7,$L$2:$L$7,,,"Actual360","LogLinear",TRUE)</f>
        <v/>
      </c>
      <c r="E5104" s="8">
        <f>QS.INSTRUMENT.SWAP("swap.5102",C5104,H5104,B5104,"USD","SOFR",I5104,J5104,0,"Actual360","Simple","Annual","Annual","Annual")</f>
        <v/>
      </c>
      <c r="F5104" s="8">
        <f>QS.TRADE.CREATE("trade.5102",C5104,E5104,A5104,"Receive")</f>
        <v/>
      </c>
      <c r="G5104" s="5"/>
      <c r="H5104" s="7" t="s">
        <v>5145</v>
      </c>
      <c r="I5104" s="9">
        <v>1510200</v>
      </c>
      <c r="J5104" s="10">
        <v>0.0352</v>
      </c>
    </row>
    <row r="5105" spans="1:10">
      <c r="A5105" s="7" t="s">
        <v>5139</v>
      </c>
      <c r="B5105" s="7" t="s">
        <v>6972</v>
      </c>
      <c r="C5105" s="8">
        <f>QS.CONTEXT.CREATE("market.5103",A5105,"USD","SOFR")</f>
        <v/>
      </c>
      <c r="D5105" s="8">
        <f>QS.CONTEXT.ADD.CURVE(C5105,"SOFR",$K$2:$K$7,$L$2:$L$7,,,"Actual360","LogLinear",TRUE)</f>
        <v/>
      </c>
      <c r="E5105" s="8">
        <f>QS.INSTRUMENT.SWAP("swap.5103",C5105,H5105,B5105,"USD","SOFR",I5105,J5105,0,"Actual360","Simple","Annual","Annual","Annual")</f>
        <v/>
      </c>
      <c r="F5105" s="8">
        <f>QS.TRADE.CREATE("trade.5103",C5105,E5105,A5105,"Receive")</f>
        <v/>
      </c>
      <c r="G5105" s="5"/>
      <c r="H5105" s="7" t="s">
        <v>5146</v>
      </c>
      <c r="I5105" s="9">
        <v>1510300</v>
      </c>
      <c r="J5105" s="10">
        <v>0.0353</v>
      </c>
    </row>
    <row r="5106" spans="1:10">
      <c r="A5106" s="7" t="s">
        <v>5140</v>
      </c>
      <c r="B5106" s="7" t="s">
        <v>6973</v>
      </c>
      <c r="C5106" s="8">
        <f>QS.CONTEXT.CREATE("market.5104",A5106,"USD","SOFR")</f>
        <v/>
      </c>
      <c r="D5106" s="8">
        <f>QS.CONTEXT.ADD.CURVE(C5106,"SOFR",$K$2:$K$7,$L$2:$L$7,,,"Actual360","LogLinear",TRUE)</f>
        <v/>
      </c>
      <c r="E5106" s="8">
        <f>QS.INSTRUMENT.SWAP("swap.5104",C5106,H5106,B5106,"USD","SOFR",I5106,J5106,0,"Actual360","Simple","Annual","Annual","Annual")</f>
        <v/>
      </c>
      <c r="F5106" s="8">
        <f>QS.TRADE.CREATE("trade.5104",C5106,E5106,A5106,"Receive")</f>
        <v/>
      </c>
      <c r="G5106" s="5"/>
      <c r="H5106" s="7" t="s">
        <v>5147</v>
      </c>
      <c r="I5106" s="9">
        <v>1510400</v>
      </c>
      <c r="J5106" s="10">
        <v>0.0354</v>
      </c>
    </row>
    <row r="5107" spans="1:10">
      <c r="A5107" s="7" t="s">
        <v>5141</v>
      </c>
      <c r="B5107" s="7" t="s">
        <v>6974</v>
      </c>
      <c r="C5107" s="8">
        <f>QS.CONTEXT.CREATE("market.5105",A5107,"USD","SOFR")</f>
        <v/>
      </c>
      <c r="D5107" s="8">
        <f>QS.CONTEXT.ADD.CURVE(C5107,"SOFR",$K$2:$K$7,$L$2:$L$7,,,"Actual360","LogLinear",TRUE)</f>
        <v/>
      </c>
      <c r="E5107" s="8">
        <f>QS.INSTRUMENT.SWAP("swap.5105",C5107,H5107,B5107,"USD","SOFR",I5107,J5107,0,"Actual360","Simple","Annual","Annual","Annual")</f>
        <v/>
      </c>
      <c r="F5107" s="8">
        <f>QS.TRADE.CREATE("trade.5105",C5107,E5107,A5107,"Receive")</f>
        <v/>
      </c>
      <c r="G5107" s="5"/>
      <c r="H5107" s="7" t="s">
        <v>5148</v>
      </c>
      <c r="I5107" s="9">
        <v>1510500</v>
      </c>
      <c r="J5107" s="10">
        <v>0.0355</v>
      </c>
    </row>
    <row r="5108" spans="1:10">
      <c r="A5108" s="7" t="s">
        <v>5142</v>
      </c>
      <c r="B5108" s="7" t="s">
        <v>6975</v>
      </c>
      <c r="C5108" s="8">
        <f>QS.CONTEXT.CREATE("market.5106",A5108,"USD","SOFR")</f>
        <v/>
      </c>
      <c r="D5108" s="8">
        <f>QS.CONTEXT.ADD.CURVE(C5108,"SOFR",$K$2:$K$7,$L$2:$L$7,,,"Actual360","LogLinear",TRUE)</f>
        <v/>
      </c>
      <c r="E5108" s="8">
        <f>QS.INSTRUMENT.SWAP("swap.5106",C5108,H5108,B5108,"USD","SOFR",I5108,J5108,0,"Actual360","Simple","Annual","Annual","Annual")</f>
        <v/>
      </c>
      <c r="F5108" s="8">
        <f>QS.TRADE.CREATE("trade.5106",C5108,E5108,A5108,"Receive")</f>
        <v/>
      </c>
      <c r="G5108" s="5"/>
      <c r="H5108" s="7" t="s">
        <v>5149</v>
      </c>
      <c r="I5108" s="9">
        <v>1510600</v>
      </c>
      <c r="J5108" s="10">
        <v>0.03560000000000001</v>
      </c>
    </row>
    <row r="5109" spans="1:10">
      <c r="A5109" s="7" t="s">
        <v>5143</v>
      </c>
      <c r="B5109" s="7" t="s">
        <v>6976</v>
      </c>
      <c r="C5109" s="8">
        <f>QS.CONTEXT.CREATE("market.5107",A5109,"USD","SOFR")</f>
        <v/>
      </c>
      <c r="D5109" s="8">
        <f>QS.CONTEXT.ADD.CURVE(C5109,"SOFR",$K$2:$K$7,$L$2:$L$7,,,"Actual360","LogLinear",TRUE)</f>
        <v/>
      </c>
      <c r="E5109" s="8">
        <f>QS.INSTRUMENT.SWAP("swap.5107",C5109,H5109,B5109,"USD","SOFR",I5109,J5109,0,"Actual360","Simple","Annual","Annual","Annual")</f>
        <v/>
      </c>
      <c r="F5109" s="8">
        <f>QS.TRADE.CREATE("trade.5107",C5109,E5109,A5109,"Receive")</f>
        <v/>
      </c>
      <c r="G5109" s="5"/>
      <c r="H5109" s="7" t="s">
        <v>5150</v>
      </c>
      <c r="I5109" s="9">
        <v>1510700</v>
      </c>
      <c r="J5109" s="10">
        <v>0.0357</v>
      </c>
    </row>
    <row r="5110" spans="1:10">
      <c r="A5110" s="7" t="s">
        <v>5144</v>
      </c>
      <c r="B5110" s="7" t="s">
        <v>6977</v>
      </c>
      <c r="C5110" s="8">
        <f>QS.CONTEXT.CREATE("market.5108",A5110,"USD","SOFR")</f>
        <v/>
      </c>
      <c r="D5110" s="8">
        <f>QS.CONTEXT.ADD.CURVE(C5110,"SOFR",$K$2:$K$7,$L$2:$L$7,,,"Actual360","LogLinear",TRUE)</f>
        <v/>
      </c>
      <c r="E5110" s="8">
        <f>QS.INSTRUMENT.SWAP("swap.5108",C5110,H5110,B5110,"USD","SOFR",I5110,J5110,0,"Actual360","Simple","Annual","Annual","Annual")</f>
        <v/>
      </c>
      <c r="F5110" s="8">
        <f>QS.TRADE.CREATE("trade.5108",C5110,E5110,A5110,"Receive")</f>
        <v/>
      </c>
      <c r="G5110" s="5"/>
      <c r="H5110" s="7" t="s">
        <v>5151</v>
      </c>
      <c r="I5110" s="9">
        <v>1510800</v>
      </c>
      <c r="J5110" s="10">
        <v>0.03580000000000001</v>
      </c>
    </row>
    <row r="5111" spans="1:10">
      <c r="A5111" s="7" t="s">
        <v>5145</v>
      </c>
      <c r="B5111" s="7" t="s">
        <v>6978</v>
      </c>
      <c r="C5111" s="8">
        <f>QS.CONTEXT.CREATE("market.5109",A5111,"USD","SOFR")</f>
        <v/>
      </c>
      <c r="D5111" s="8">
        <f>QS.CONTEXT.ADD.CURVE(C5111,"SOFR",$K$2:$K$7,$L$2:$L$7,,,"Actual360","LogLinear",TRUE)</f>
        <v/>
      </c>
      <c r="E5111" s="8">
        <f>QS.INSTRUMENT.SWAP("swap.5109",C5111,H5111,B5111,"USD","SOFR",I5111,J5111,0,"Actual360","Simple","Annual","Annual","Annual")</f>
        <v/>
      </c>
      <c r="F5111" s="8">
        <f>QS.TRADE.CREATE("trade.5109",C5111,E5111,A5111,"Receive")</f>
        <v/>
      </c>
      <c r="G5111" s="5"/>
      <c r="H5111" s="7" t="s">
        <v>5152</v>
      </c>
      <c r="I5111" s="9">
        <v>1510900</v>
      </c>
      <c r="J5111" s="10">
        <v>0.0359</v>
      </c>
    </row>
    <row r="5112" spans="1:10">
      <c r="A5112" s="7" t="s">
        <v>5146</v>
      </c>
      <c r="B5112" s="7" t="s">
        <v>6979</v>
      </c>
      <c r="C5112" s="8">
        <f>QS.CONTEXT.CREATE("market.5110",A5112,"USD","SOFR")</f>
        <v/>
      </c>
      <c r="D5112" s="8">
        <f>QS.CONTEXT.ADD.CURVE(C5112,"SOFR",$K$2:$K$7,$L$2:$L$7,,,"Actual360","LogLinear",TRUE)</f>
        <v/>
      </c>
      <c r="E5112" s="8">
        <f>QS.INSTRUMENT.SWAP("swap.5110",C5112,H5112,B5112,"USD","SOFR",I5112,J5112,0,"Actual360","Simple","Annual","Annual","Annual")</f>
        <v/>
      </c>
      <c r="F5112" s="8">
        <f>QS.TRADE.CREATE("trade.5110",C5112,E5112,A5112,"Receive")</f>
        <v/>
      </c>
      <c r="G5112" s="5"/>
      <c r="H5112" s="7" t="s">
        <v>5153</v>
      </c>
      <c r="I5112" s="9">
        <v>1511000</v>
      </c>
      <c r="J5112" s="10">
        <v>0.036</v>
      </c>
    </row>
    <row r="5113" spans="1:10">
      <c r="A5113" s="7" t="s">
        <v>5147</v>
      </c>
      <c r="B5113" s="7" t="s">
        <v>6980</v>
      </c>
      <c r="C5113" s="8">
        <f>QS.CONTEXT.CREATE("market.5111",A5113,"USD","SOFR")</f>
        <v/>
      </c>
      <c r="D5113" s="8">
        <f>QS.CONTEXT.ADD.CURVE(C5113,"SOFR",$K$2:$K$7,$L$2:$L$7,,,"Actual360","LogLinear",TRUE)</f>
        <v/>
      </c>
      <c r="E5113" s="8">
        <f>QS.INSTRUMENT.SWAP("swap.5111",C5113,H5113,B5113,"USD","SOFR",I5113,J5113,0,"Actual360","Simple","Annual","Annual","Annual")</f>
        <v/>
      </c>
      <c r="F5113" s="8">
        <f>QS.TRADE.CREATE("trade.5111",C5113,E5113,A5113,"Receive")</f>
        <v/>
      </c>
      <c r="G5113" s="5"/>
      <c r="H5113" s="7" t="s">
        <v>5154</v>
      </c>
      <c r="I5113" s="9">
        <v>1511100</v>
      </c>
      <c r="J5113" s="10">
        <v>0.0361</v>
      </c>
    </row>
    <row r="5114" spans="1:10">
      <c r="A5114" s="7" t="s">
        <v>5148</v>
      </c>
      <c r="B5114" s="7" t="s">
        <v>6981</v>
      </c>
      <c r="C5114" s="8">
        <f>QS.CONTEXT.CREATE("market.5112",A5114,"USD","SOFR")</f>
        <v/>
      </c>
      <c r="D5114" s="8">
        <f>QS.CONTEXT.ADD.CURVE(C5114,"SOFR",$K$2:$K$7,$L$2:$L$7,,,"Actual360","LogLinear",TRUE)</f>
        <v/>
      </c>
      <c r="E5114" s="8">
        <f>QS.INSTRUMENT.SWAP("swap.5112",C5114,H5114,B5114,"USD","SOFR",I5114,J5114,0,"Actual360","Simple","Annual","Annual","Annual")</f>
        <v/>
      </c>
      <c r="F5114" s="8">
        <f>QS.TRADE.CREATE("trade.5112",C5114,E5114,A5114,"Receive")</f>
        <v/>
      </c>
      <c r="G5114" s="5"/>
      <c r="H5114" s="7" t="s">
        <v>5155</v>
      </c>
      <c r="I5114" s="9">
        <v>1511200</v>
      </c>
      <c r="J5114" s="10">
        <v>0.0362</v>
      </c>
    </row>
    <row r="5115" spans="1:10">
      <c r="A5115" s="7" t="s">
        <v>5149</v>
      </c>
      <c r="B5115" s="7" t="s">
        <v>6982</v>
      </c>
      <c r="C5115" s="8">
        <f>QS.CONTEXT.CREATE("market.5113",A5115,"USD","SOFR")</f>
        <v/>
      </c>
      <c r="D5115" s="8">
        <f>QS.CONTEXT.ADD.CURVE(C5115,"SOFR",$K$2:$K$7,$L$2:$L$7,,,"Actual360","LogLinear",TRUE)</f>
        <v/>
      </c>
      <c r="E5115" s="8">
        <f>QS.INSTRUMENT.SWAP("swap.5113",C5115,H5115,B5115,"USD","SOFR",I5115,J5115,0,"Actual360","Simple","Annual","Annual","Annual")</f>
        <v/>
      </c>
      <c r="F5115" s="8">
        <f>QS.TRADE.CREATE("trade.5113",C5115,E5115,A5115,"Receive")</f>
        <v/>
      </c>
      <c r="G5115" s="5"/>
      <c r="H5115" s="7" t="s">
        <v>5156</v>
      </c>
      <c r="I5115" s="9">
        <v>1511300</v>
      </c>
      <c r="J5115" s="10">
        <v>0.03630000000000001</v>
      </c>
    </row>
    <row r="5116" spans="1:10">
      <c r="A5116" s="7" t="s">
        <v>5150</v>
      </c>
      <c r="B5116" s="7" t="s">
        <v>6983</v>
      </c>
      <c r="C5116" s="8">
        <f>QS.CONTEXT.CREATE("market.5114",A5116,"USD","SOFR")</f>
        <v/>
      </c>
      <c r="D5116" s="8">
        <f>QS.CONTEXT.ADD.CURVE(C5116,"SOFR",$K$2:$K$7,$L$2:$L$7,,,"Actual360","LogLinear",TRUE)</f>
        <v/>
      </c>
      <c r="E5116" s="8">
        <f>QS.INSTRUMENT.SWAP("swap.5114",C5116,H5116,B5116,"USD","SOFR",I5116,J5116,0,"Actual360","Simple","Annual","Annual","Annual")</f>
        <v/>
      </c>
      <c r="F5116" s="8">
        <f>QS.TRADE.CREATE("trade.5114",C5116,E5116,A5116,"Receive")</f>
        <v/>
      </c>
      <c r="G5116" s="5"/>
      <c r="H5116" s="7" t="s">
        <v>5157</v>
      </c>
      <c r="I5116" s="9">
        <v>1511400</v>
      </c>
      <c r="J5116" s="10">
        <v>0.0364</v>
      </c>
    </row>
    <row r="5117" spans="1:10">
      <c r="A5117" s="7" t="s">
        <v>5151</v>
      </c>
      <c r="B5117" s="7" t="s">
        <v>6984</v>
      </c>
      <c r="C5117" s="8">
        <f>QS.CONTEXT.CREATE("market.5115",A5117,"USD","SOFR")</f>
        <v/>
      </c>
      <c r="D5117" s="8">
        <f>QS.CONTEXT.ADD.CURVE(C5117,"SOFR",$K$2:$K$7,$L$2:$L$7,,,"Actual360","LogLinear",TRUE)</f>
        <v/>
      </c>
      <c r="E5117" s="8">
        <f>QS.INSTRUMENT.SWAP("swap.5115",C5117,H5117,B5117,"USD","SOFR",I5117,J5117,0,"Actual360","Simple","Annual","Annual","Annual")</f>
        <v/>
      </c>
      <c r="F5117" s="8">
        <f>QS.TRADE.CREATE("trade.5115",C5117,E5117,A5117,"Receive")</f>
        <v/>
      </c>
      <c r="G5117" s="5"/>
      <c r="H5117" s="7" t="s">
        <v>5158</v>
      </c>
      <c r="I5117" s="9">
        <v>1511500</v>
      </c>
      <c r="J5117" s="10">
        <v>0.0365</v>
      </c>
    </row>
    <row r="5118" spans="1:10">
      <c r="A5118" s="7" t="s">
        <v>5152</v>
      </c>
      <c r="B5118" s="7" t="s">
        <v>6985</v>
      </c>
      <c r="C5118" s="8">
        <f>QS.CONTEXT.CREATE("market.5116",A5118,"USD","SOFR")</f>
        <v/>
      </c>
      <c r="D5118" s="8">
        <f>QS.CONTEXT.ADD.CURVE(C5118,"SOFR",$K$2:$K$7,$L$2:$L$7,,,"Actual360","LogLinear",TRUE)</f>
        <v/>
      </c>
      <c r="E5118" s="8">
        <f>QS.INSTRUMENT.SWAP("swap.5116",C5118,H5118,B5118,"USD","SOFR",I5118,J5118,0,"Actual360","Simple","Annual","Annual","Annual")</f>
        <v/>
      </c>
      <c r="F5118" s="8">
        <f>QS.TRADE.CREATE("trade.5116",C5118,E5118,A5118,"Receive")</f>
        <v/>
      </c>
      <c r="G5118" s="5"/>
      <c r="H5118" s="7" t="s">
        <v>5159</v>
      </c>
      <c r="I5118" s="9">
        <v>1511600</v>
      </c>
      <c r="J5118" s="10">
        <v>0.0366</v>
      </c>
    </row>
    <row r="5119" spans="1:10">
      <c r="A5119" s="7" t="s">
        <v>5153</v>
      </c>
      <c r="B5119" s="7" t="s">
        <v>6986</v>
      </c>
      <c r="C5119" s="8">
        <f>QS.CONTEXT.CREATE("market.5117",A5119,"USD","SOFR")</f>
        <v/>
      </c>
      <c r="D5119" s="8">
        <f>QS.CONTEXT.ADD.CURVE(C5119,"SOFR",$K$2:$K$7,$L$2:$L$7,,,"Actual360","LogLinear",TRUE)</f>
        <v/>
      </c>
      <c r="E5119" s="8">
        <f>QS.INSTRUMENT.SWAP("swap.5117",C5119,H5119,B5119,"USD","SOFR",I5119,J5119,0,"Actual360","Simple","Annual","Annual","Annual")</f>
        <v/>
      </c>
      <c r="F5119" s="8">
        <f>QS.TRADE.CREATE("trade.5117",C5119,E5119,A5119,"Receive")</f>
        <v/>
      </c>
      <c r="G5119" s="5"/>
      <c r="H5119" s="7" t="s">
        <v>5160</v>
      </c>
      <c r="I5119" s="9">
        <v>1511700</v>
      </c>
      <c r="J5119" s="10">
        <v>0.0367</v>
      </c>
    </row>
    <row r="5120" spans="1:10">
      <c r="A5120" s="7" t="s">
        <v>5154</v>
      </c>
      <c r="B5120" s="7" t="s">
        <v>6987</v>
      </c>
      <c r="C5120" s="8">
        <f>QS.CONTEXT.CREATE("market.5118",A5120,"USD","SOFR")</f>
        <v/>
      </c>
      <c r="D5120" s="8">
        <f>QS.CONTEXT.ADD.CURVE(C5120,"SOFR",$K$2:$K$7,$L$2:$L$7,,,"Actual360","LogLinear",TRUE)</f>
        <v/>
      </c>
      <c r="E5120" s="8">
        <f>QS.INSTRUMENT.SWAP("swap.5118",C5120,H5120,B5120,"USD","SOFR",I5120,J5120,0,"Actual360","Simple","Annual","Annual","Annual")</f>
        <v/>
      </c>
      <c r="F5120" s="8">
        <f>QS.TRADE.CREATE("trade.5118",C5120,E5120,A5120,"Receive")</f>
        <v/>
      </c>
      <c r="G5120" s="5"/>
      <c r="H5120" s="7" t="s">
        <v>5161</v>
      </c>
      <c r="I5120" s="9">
        <v>1511800</v>
      </c>
      <c r="J5120" s="10">
        <v>0.03680000000000001</v>
      </c>
    </row>
    <row r="5121" spans="1:10">
      <c r="A5121" s="7" t="s">
        <v>5155</v>
      </c>
      <c r="B5121" s="7" t="s">
        <v>6988</v>
      </c>
      <c r="C5121" s="8">
        <f>QS.CONTEXT.CREATE("market.5119",A5121,"USD","SOFR")</f>
        <v/>
      </c>
      <c r="D5121" s="8">
        <f>QS.CONTEXT.ADD.CURVE(C5121,"SOFR",$K$2:$K$7,$L$2:$L$7,,,"Actual360","LogLinear",TRUE)</f>
        <v/>
      </c>
      <c r="E5121" s="8">
        <f>QS.INSTRUMENT.SWAP("swap.5119",C5121,H5121,B5121,"USD","SOFR",I5121,J5121,0,"Actual360","Simple","Annual","Annual","Annual")</f>
        <v/>
      </c>
      <c r="F5121" s="8">
        <f>QS.TRADE.CREATE("trade.5119",C5121,E5121,A5121,"Receive")</f>
        <v/>
      </c>
      <c r="G5121" s="5"/>
      <c r="H5121" s="7" t="s">
        <v>5162</v>
      </c>
      <c r="I5121" s="9">
        <v>1511900</v>
      </c>
      <c r="J5121" s="10">
        <v>0.0369</v>
      </c>
    </row>
    <row r="5122" spans="1:10">
      <c r="A5122" s="7" t="s">
        <v>5156</v>
      </c>
      <c r="B5122" s="7" t="s">
        <v>6989</v>
      </c>
      <c r="C5122" s="8">
        <f>QS.CONTEXT.CREATE("market.5120",A5122,"USD","SOFR")</f>
        <v/>
      </c>
      <c r="D5122" s="8">
        <f>QS.CONTEXT.ADD.CURVE(C5122,"SOFR",$K$2:$K$7,$L$2:$L$7,,,"Actual360","LogLinear",TRUE)</f>
        <v/>
      </c>
      <c r="E5122" s="8">
        <f>QS.INSTRUMENT.SWAP("swap.5120",C5122,H5122,B5122,"USD","SOFR",I5122,J5122,0,"Actual360","Simple","Annual","Annual","Annual")</f>
        <v/>
      </c>
      <c r="F5122" s="8">
        <f>QS.TRADE.CREATE("trade.5120",C5122,E5122,A5122,"Receive")</f>
        <v/>
      </c>
      <c r="G5122" s="5"/>
      <c r="H5122" s="7" t="s">
        <v>5163</v>
      </c>
      <c r="I5122" s="9">
        <v>1512000</v>
      </c>
      <c r="J5122" s="10">
        <v>0.03700000000000001</v>
      </c>
    </row>
    <row r="5123" spans="1:10">
      <c r="A5123" s="7" t="s">
        <v>5157</v>
      </c>
      <c r="B5123" s="7" t="s">
        <v>6990</v>
      </c>
      <c r="C5123" s="8">
        <f>QS.CONTEXT.CREATE("market.5121",A5123,"USD","SOFR")</f>
        <v/>
      </c>
      <c r="D5123" s="8">
        <f>QS.CONTEXT.ADD.CURVE(C5123,"SOFR",$K$2:$K$7,$L$2:$L$7,,,"Actual360","LogLinear",TRUE)</f>
        <v/>
      </c>
      <c r="E5123" s="8">
        <f>QS.INSTRUMENT.SWAP("swap.5121",C5123,H5123,B5123,"USD","SOFR",I5123,J5123,0,"Actual360","Simple","Annual","Annual","Annual")</f>
        <v/>
      </c>
      <c r="F5123" s="8">
        <f>QS.TRADE.CREATE("trade.5121",C5123,E5123,A5123,"Receive")</f>
        <v/>
      </c>
      <c r="G5123" s="5"/>
      <c r="H5123" s="7" t="s">
        <v>5164</v>
      </c>
      <c r="I5123" s="9">
        <v>1512100</v>
      </c>
      <c r="J5123" s="10">
        <v>0.0371</v>
      </c>
    </row>
    <row r="5124" spans="1:10">
      <c r="A5124" s="7" t="s">
        <v>5158</v>
      </c>
      <c r="B5124" s="7" t="s">
        <v>6991</v>
      </c>
      <c r="C5124" s="8">
        <f>QS.CONTEXT.CREATE("market.5122",A5124,"USD","SOFR")</f>
        <v/>
      </c>
      <c r="D5124" s="8">
        <f>QS.CONTEXT.ADD.CURVE(C5124,"SOFR",$K$2:$K$7,$L$2:$L$7,,,"Actual360","LogLinear",TRUE)</f>
        <v/>
      </c>
      <c r="E5124" s="8">
        <f>QS.INSTRUMENT.SWAP("swap.5122",C5124,H5124,B5124,"USD","SOFR",I5124,J5124,0,"Actual360","Simple","Annual","Annual","Annual")</f>
        <v/>
      </c>
      <c r="F5124" s="8">
        <f>QS.TRADE.CREATE("trade.5122",C5124,E5124,A5124,"Receive")</f>
        <v/>
      </c>
      <c r="G5124" s="5"/>
      <c r="H5124" s="7" t="s">
        <v>5165</v>
      </c>
      <c r="I5124" s="9">
        <v>1512200</v>
      </c>
      <c r="J5124" s="10">
        <v>0.0372</v>
      </c>
    </row>
    <row r="5125" spans="1:10">
      <c r="A5125" s="7" t="s">
        <v>5159</v>
      </c>
      <c r="B5125" s="7" t="s">
        <v>6992</v>
      </c>
      <c r="C5125" s="8">
        <f>QS.CONTEXT.CREATE("market.5123",A5125,"USD","SOFR")</f>
        <v/>
      </c>
      <c r="D5125" s="8">
        <f>QS.CONTEXT.ADD.CURVE(C5125,"SOFR",$K$2:$K$7,$L$2:$L$7,,,"Actual360","LogLinear",TRUE)</f>
        <v/>
      </c>
      <c r="E5125" s="8">
        <f>QS.INSTRUMENT.SWAP("swap.5123",C5125,H5125,B5125,"USD","SOFR",I5125,J5125,0,"Actual360","Simple","Annual","Annual","Annual")</f>
        <v/>
      </c>
      <c r="F5125" s="8">
        <f>QS.TRADE.CREATE("trade.5123",C5125,E5125,A5125,"Receive")</f>
        <v/>
      </c>
      <c r="G5125" s="5"/>
      <c r="H5125" s="7" t="s">
        <v>5166</v>
      </c>
      <c r="I5125" s="9">
        <v>1512300</v>
      </c>
      <c r="J5125" s="10">
        <v>0.0373</v>
      </c>
    </row>
    <row r="5126" spans="1:10">
      <c r="A5126" s="7" t="s">
        <v>5160</v>
      </c>
      <c r="B5126" s="7" t="s">
        <v>6993</v>
      </c>
      <c r="C5126" s="8">
        <f>QS.CONTEXT.CREATE("market.5124",A5126,"USD","SOFR")</f>
        <v/>
      </c>
      <c r="D5126" s="8">
        <f>QS.CONTEXT.ADD.CURVE(C5126,"SOFR",$K$2:$K$7,$L$2:$L$7,,,"Actual360","LogLinear",TRUE)</f>
        <v/>
      </c>
      <c r="E5126" s="8">
        <f>QS.INSTRUMENT.SWAP("swap.5124",C5126,H5126,B5126,"USD","SOFR",I5126,J5126,0,"Actual360","Simple","Annual","Annual","Annual")</f>
        <v/>
      </c>
      <c r="F5126" s="8">
        <f>QS.TRADE.CREATE("trade.5124",C5126,E5126,A5126,"Receive")</f>
        <v/>
      </c>
      <c r="G5126" s="5"/>
      <c r="H5126" s="7" t="s">
        <v>5167</v>
      </c>
      <c r="I5126" s="9">
        <v>1512400</v>
      </c>
      <c r="J5126" s="10">
        <v>0.0374</v>
      </c>
    </row>
    <row r="5127" spans="1:10">
      <c r="A5127" s="7" t="s">
        <v>5161</v>
      </c>
      <c r="B5127" s="7" t="s">
        <v>6994</v>
      </c>
      <c r="C5127" s="8">
        <f>QS.CONTEXT.CREATE("market.5125",A5127,"USD","SOFR")</f>
        <v/>
      </c>
      <c r="D5127" s="8">
        <f>QS.CONTEXT.ADD.CURVE(C5127,"SOFR",$K$2:$K$7,$L$2:$L$7,,,"Actual360","LogLinear",TRUE)</f>
        <v/>
      </c>
      <c r="E5127" s="8">
        <f>QS.INSTRUMENT.SWAP("swap.5125",C5127,H5127,B5127,"USD","SOFR",I5127,J5127,0,"Actual360","Simple","Annual","Annual","Annual")</f>
        <v/>
      </c>
      <c r="F5127" s="8">
        <f>QS.TRADE.CREATE("trade.5125",C5127,E5127,A5127,"Receive")</f>
        <v/>
      </c>
      <c r="G5127" s="5"/>
      <c r="H5127" s="7" t="s">
        <v>5168</v>
      </c>
      <c r="I5127" s="9">
        <v>1512500</v>
      </c>
      <c r="J5127" s="10">
        <v>0.03750000000000001</v>
      </c>
    </row>
    <row r="5128" spans="1:10">
      <c r="A5128" s="7" t="s">
        <v>5162</v>
      </c>
      <c r="B5128" s="7" t="s">
        <v>6995</v>
      </c>
      <c r="C5128" s="8">
        <f>QS.CONTEXT.CREATE("market.5126",A5128,"USD","SOFR")</f>
        <v/>
      </c>
      <c r="D5128" s="8">
        <f>QS.CONTEXT.ADD.CURVE(C5128,"SOFR",$K$2:$K$7,$L$2:$L$7,,,"Actual360","LogLinear",TRUE)</f>
        <v/>
      </c>
      <c r="E5128" s="8">
        <f>QS.INSTRUMENT.SWAP("swap.5126",C5128,H5128,B5128,"USD","SOFR",I5128,J5128,0,"Actual360","Simple","Annual","Annual","Annual")</f>
        <v/>
      </c>
      <c r="F5128" s="8">
        <f>QS.TRADE.CREATE("trade.5126",C5128,E5128,A5128,"Receive")</f>
        <v/>
      </c>
      <c r="G5128" s="5"/>
      <c r="H5128" s="7" t="s">
        <v>5169</v>
      </c>
      <c r="I5128" s="9">
        <v>1512600</v>
      </c>
      <c r="J5128" s="10">
        <v>0.0376</v>
      </c>
    </row>
    <row r="5129" spans="1:10">
      <c r="A5129" s="7" t="s">
        <v>5163</v>
      </c>
      <c r="B5129" s="7" t="s">
        <v>6996</v>
      </c>
      <c r="C5129" s="8">
        <f>QS.CONTEXT.CREATE("market.5127",A5129,"USD","SOFR")</f>
        <v/>
      </c>
      <c r="D5129" s="8">
        <f>QS.CONTEXT.ADD.CURVE(C5129,"SOFR",$K$2:$K$7,$L$2:$L$7,,,"Actual360","LogLinear",TRUE)</f>
        <v/>
      </c>
      <c r="E5129" s="8">
        <f>QS.INSTRUMENT.SWAP("swap.5127",C5129,H5129,B5129,"USD","SOFR",I5129,J5129,0,"Actual360","Simple","Annual","Annual","Annual")</f>
        <v/>
      </c>
      <c r="F5129" s="8">
        <f>QS.TRADE.CREATE("trade.5127",C5129,E5129,A5129,"Receive")</f>
        <v/>
      </c>
      <c r="G5129" s="5"/>
      <c r="H5129" s="7" t="s">
        <v>5170</v>
      </c>
      <c r="I5129" s="9">
        <v>1512700</v>
      </c>
      <c r="J5129" s="10">
        <v>0.0377</v>
      </c>
    </row>
    <row r="5130" spans="1:10">
      <c r="A5130" s="7" t="s">
        <v>5164</v>
      </c>
      <c r="B5130" s="7" t="s">
        <v>6997</v>
      </c>
      <c r="C5130" s="8">
        <f>QS.CONTEXT.CREATE("market.5128",A5130,"USD","SOFR")</f>
        <v/>
      </c>
      <c r="D5130" s="8">
        <f>QS.CONTEXT.ADD.CURVE(C5130,"SOFR",$K$2:$K$7,$L$2:$L$7,,,"Actual360","LogLinear",TRUE)</f>
        <v/>
      </c>
      <c r="E5130" s="8">
        <f>QS.INSTRUMENT.SWAP("swap.5128",C5130,H5130,B5130,"USD","SOFR",I5130,J5130,0,"Actual360","Simple","Annual","Annual","Annual")</f>
        <v/>
      </c>
      <c r="F5130" s="8">
        <f>QS.TRADE.CREATE("trade.5128",C5130,E5130,A5130,"Receive")</f>
        <v/>
      </c>
      <c r="G5130" s="5"/>
      <c r="H5130" s="7" t="s">
        <v>5171</v>
      </c>
      <c r="I5130" s="9">
        <v>1512800</v>
      </c>
      <c r="J5130" s="10">
        <v>0.0378</v>
      </c>
    </row>
    <row r="5131" spans="1:10">
      <c r="A5131" s="7" t="s">
        <v>5165</v>
      </c>
      <c r="B5131" s="7" t="s">
        <v>6998</v>
      </c>
      <c r="C5131" s="8">
        <f>QS.CONTEXT.CREATE("market.5129",A5131,"USD","SOFR")</f>
        <v/>
      </c>
      <c r="D5131" s="8">
        <f>QS.CONTEXT.ADD.CURVE(C5131,"SOFR",$K$2:$K$7,$L$2:$L$7,,,"Actual360","LogLinear",TRUE)</f>
        <v/>
      </c>
      <c r="E5131" s="8">
        <f>QS.INSTRUMENT.SWAP("swap.5129",C5131,H5131,B5131,"USD","SOFR",I5131,J5131,0,"Actual360","Simple","Annual","Annual","Annual")</f>
        <v/>
      </c>
      <c r="F5131" s="8">
        <f>QS.TRADE.CREATE("trade.5129",C5131,E5131,A5131,"Receive")</f>
        <v/>
      </c>
      <c r="G5131" s="5"/>
      <c r="H5131" s="7" t="s">
        <v>5172</v>
      </c>
      <c r="I5131" s="9">
        <v>1512900</v>
      </c>
      <c r="J5131" s="10">
        <v>0.0379</v>
      </c>
    </row>
    <row r="5132" spans="1:10">
      <c r="A5132" s="7" t="s">
        <v>5166</v>
      </c>
      <c r="B5132" s="7" t="s">
        <v>6999</v>
      </c>
      <c r="C5132" s="8">
        <f>QS.CONTEXT.CREATE("market.5130",A5132,"USD","SOFR")</f>
        <v/>
      </c>
      <c r="D5132" s="8">
        <f>QS.CONTEXT.ADD.CURVE(C5132,"SOFR",$K$2:$K$7,$L$2:$L$7,,,"Actual360","LogLinear",TRUE)</f>
        <v/>
      </c>
      <c r="E5132" s="8">
        <f>QS.INSTRUMENT.SWAP("swap.5130",C5132,H5132,B5132,"USD","SOFR",I5132,J5132,0,"Actual360","Simple","Annual","Annual","Annual")</f>
        <v/>
      </c>
      <c r="F5132" s="8">
        <f>QS.TRADE.CREATE("trade.5130",C5132,E5132,A5132,"Receive")</f>
        <v/>
      </c>
      <c r="G5132" s="5"/>
      <c r="H5132" s="7" t="s">
        <v>5173</v>
      </c>
      <c r="I5132" s="9">
        <v>1513000</v>
      </c>
      <c r="J5132" s="10">
        <v>0.03800000000000001</v>
      </c>
    </row>
    <row r="5133" spans="1:10">
      <c r="A5133" s="7" t="s">
        <v>5167</v>
      </c>
      <c r="B5133" s="7" t="s">
        <v>7000</v>
      </c>
      <c r="C5133" s="8">
        <f>QS.CONTEXT.CREATE("market.5131",A5133,"USD","SOFR")</f>
        <v/>
      </c>
      <c r="D5133" s="8">
        <f>QS.CONTEXT.ADD.CURVE(C5133,"SOFR",$K$2:$K$7,$L$2:$L$7,,,"Actual360","LogLinear",TRUE)</f>
        <v/>
      </c>
      <c r="E5133" s="8">
        <f>QS.INSTRUMENT.SWAP("swap.5131",C5133,H5133,B5133,"USD","SOFR",I5133,J5133,0,"Actual360","Simple","Annual","Annual","Annual")</f>
        <v/>
      </c>
      <c r="F5133" s="8">
        <f>QS.TRADE.CREATE("trade.5131",C5133,E5133,A5133,"Receive")</f>
        <v/>
      </c>
      <c r="G5133" s="5"/>
      <c r="H5133" s="7" t="s">
        <v>5174</v>
      </c>
      <c r="I5133" s="9">
        <v>1513100</v>
      </c>
      <c r="J5133" s="10">
        <v>0.0381</v>
      </c>
    </row>
    <row r="5134" spans="1:10">
      <c r="A5134" s="7" t="s">
        <v>5168</v>
      </c>
      <c r="B5134" s="7" t="s">
        <v>7001</v>
      </c>
      <c r="C5134" s="8">
        <f>QS.CONTEXT.CREATE("market.5132",A5134,"USD","SOFR")</f>
        <v/>
      </c>
      <c r="D5134" s="8">
        <f>QS.CONTEXT.ADD.CURVE(C5134,"SOFR",$K$2:$K$7,$L$2:$L$7,,,"Actual360","LogLinear",TRUE)</f>
        <v/>
      </c>
      <c r="E5134" s="8">
        <f>QS.INSTRUMENT.SWAP("swap.5132",C5134,H5134,B5134,"USD","SOFR",I5134,J5134,0,"Actual360","Simple","Annual","Annual","Annual")</f>
        <v/>
      </c>
      <c r="F5134" s="8">
        <f>QS.TRADE.CREATE("trade.5132",C5134,E5134,A5134,"Receive")</f>
        <v/>
      </c>
      <c r="G5134" s="5"/>
      <c r="H5134" s="7" t="s">
        <v>5175</v>
      </c>
      <c r="I5134" s="9">
        <v>1513200</v>
      </c>
      <c r="J5134" s="10">
        <v>0.0382</v>
      </c>
    </row>
    <row r="5135" spans="1:10">
      <c r="A5135" s="7" t="s">
        <v>5169</v>
      </c>
      <c r="B5135" s="7" t="s">
        <v>7002</v>
      </c>
      <c r="C5135" s="8">
        <f>QS.CONTEXT.CREATE("market.5133",A5135,"USD","SOFR")</f>
        <v/>
      </c>
      <c r="D5135" s="8">
        <f>QS.CONTEXT.ADD.CURVE(C5135,"SOFR",$K$2:$K$7,$L$2:$L$7,,,"Actual360","LogLinear",TRUE)</f>
        <v/>
      </c>
      <c r="E5135" s="8">
        <f>QS.INSTRUMENT.SWAP("swap.5133",C5135,H5135,B5135,"USD","SOFR",I5135,J5135,0,"Actual360","Simple","Annual","Annual","Annual")</f>
        <v/>
      </c>
      <c r="F5135" s="8">
        <f>QS.TRADE.CREATE("trade.5133",C5135,E5135,A5135,"Receive")</f>
        <v/>
      </c>
      <c r="G5135" s="5"/>
      <c r="H5135" s="7" t="s">
        <v>5176</v>
      </c>
      <c r="I5135" s="9">
        <v>1513300</v>
      </c>
      <c r="J5135" s="10">
        <v>0.0383</v>
      </c>
    </row>
    <row r="5136" spans="1:10">
      <c r="A5136" s="7" t="s">
        <v>5170</v>
      </c>
      <c r="B5136" s="7" t="s">
        <v>7003</v>
      </c>
      <c r="C5136" s="8">
        <f>QS.CONTEXT.CREATE("market.5134",A5136,"USD","SOFR")</f>
        <v/>
      </c>
      <c r="D5136" s="8">
        <f>QS.CONTEXT.ADD.CURVE(C5136,"SOFR",$K$2:$K$7,$L$2:$L$7,,,"Actual360","LogLinear",TRUE)</f>
        <v/>
      </c>
      <c r="E5136" s="8">
        <f>QS.INSTRUMENT.SWAP("swap.5134",C5136,H5136,B5136,"USD","SOFR",I5136,J5136,0,"Actual360","Simple","Annual","Annual","Annual")</f>
        <v/>
      </c>
      <c r="F5136" s="8">
        <f>QS.TRADE.CREATE("trade.5134",C5136,E5136,A5136,"Receive")</f>
        <v/>
      </c>
      <c r="G5136" s="5"/>
      <c r="H5136" s="7" t="s">
        <v>5177</v>
      </c>
      <c r="I5136" s="9">
        <v>1513400</v>
      </c>
      <c r="J5136" s="10">
        <v>0.0384</v>
      </c>
    </row>
    <row r="5137" spans="1:10">
      <c r="A5137" s="7" t="s">
        <v>5171</v>
      </c>
      <c r="B5137" s="7" t="s">
        <v>7004</v>
      </c>
      <c r="C5137" s="8">
        <f>QS.CONTEXT.CREATE("market.5135",A5137,"USD","SOFR")</f>
        <v/>
      </c>
      <c r="D5137" s="8">
        <f>QS.CONTEXT.ADD.CURVE(C5137,"SOFR",$K$2:$K$7,$L$2:$L$7,,,"Actual360","LogLinear",TRUE)</f>
        <v/>
      </c>
      <c r="E5137" s="8">
        <f>QS.INSTRUMENT.SWAP("swap.5135",C5137,H5137,B5137,"USD","SOFR",I5137,J5137,0,"Actual360","Simple","Annual","Annual","Annual")</f>
        <v/>
      </c>
      <c r="F5137" s="8">
        <f>QS.TRADE.CREATE("trade.5135",C5137,E5137,A5137,"Receive")</f>
        <v/>
      </c>
      <c r="G5137" s="5"/>
      <c r="H5137" s="7" t="s">
        <v>5178</v>
      </c>
      <c r="I5137" s="9">
        <v>1513500</v>
      </c>
      <c r="J5137" s="10">
        <v>0.03850000000000001</v>
      </c>
    </row>
    <row r="5138" spans="1:10">
      <c r="A5138" s="7" t="s">
        <v>5172</v>
      </c>
      <c r="B5138" s="7" t="s">
        <v>7005</v>
      </c>
      <c r="C5138" s="8">
        <f>QS.CONTEXT.CREATE("market.5136",A5138,"USD","SOFR")</f>
        <v/>
      </c>
      <c r="D5138" s="8">
        <f>QS.CONTEXT.ADD.CURVE(C5138,"SOFR",$K$2:$K$7,$L$2:$L$7,,,"Actual360","LogLinear",TRUE)</f>
        <v/>
      </c>
      <c r="E5138" s="8">
        <f>QS.INSTRUMENT.SWAP("swap.5136",C5138,H5138,B5138,"USD","SOFR",I5138,J5138,0,"Actual360","Simple","Annual","Annual","Annual")</f>
        <v/>
      </c>
      <c r="F5138" s="8">
        <f>QS.TRADE.CREATE("trade.5136",C5138,E5138,A5138,"Receive")</f>
        <v/>
      </c>
      <c r="G5138" s="5"/>
      <c r="H5138" s="7" t="s">
        <v>5179</v>
      </c>
      <c r="I5138" s="9">
        <v>1513600</v>
      </c>
      <c r="J5138" s="10">
        <v>0.0386</v>
      </c>
    </row>
    <row r="5139" spans="1:10">
      <c r="A5139" s="7" t="s">
        <v>5173</v>
      </c>
      <c r="B5139" s="7" t="s">
        <v>7006</v>
      </c>
      <c r="C5139" s="8">
        <f>QS.CONTEXT.CREATE("market.5137",A5139,"USD","SOFR")</f>
        <v/>
      </c>
      <c r="D5139" s="8">
        <f>QS.CONTEXT.ADD.CURVE(C5139,"SOFR",$K$2:$K$7,$L$2:$L$7,,,"Actual360","LogLinear",TRUE)</f>
        <v/>
      </c>
      <c r="E5139" s="8">
        <f>QS.INSTRUMENT.SWAP("swap.5137",C5139,H5139,B5139,"USD","SOFR",I5139,J5139,0,"Actual360","Simple","Annual","Annual","Annual")</f>
        <v/>
      </c>
      <c r="F5139" s="8">
        <f>QS.TRADE.CREATE("trade.5137",C5139,E5139,A5139,"Receive")</f>
        <v/>
      </c>
      <c r="G5139" s="5"/>
      <c r="H5139" s="7" t="s">
        <v>5180</v>
      </c>
      <c r="I5139" s="9">
        <v>1513700</v>
      </c>
      <c r="J5139" s="10">
        <v>0.03870000000000001</v>
      </c>
    </row>
    <row r="5140" spans="1:10">
      <c r="A5140" s="7" t="s">
        <v>5174</v>
      </c>
      <c r="B5140" s="7" t="s">
        <v>7007</v>
      </c>
      <c r="C5140" s="8">
        <f>QS.CONTEXT.CREATE("market.5138",A5140,"USD","SOFR")</f>
        <v/>
      </c>
      <c r="D5140" s="8">
        <f>QS.CONTEXT.ADD.CURVE(C5140,"SOFR",$K$2:$K$7,$L$2:$L$7,,,"Actual360","LogLinear",TRUE)</f>
        <v/>
      </c>
      <c r="E5140" s="8">
        <f>QS.INSTRUMENT.SWAP("swap.5138",C5140,H5140,B5140,"USD","SOFR",I5140,J5140,0,"Actual360","Simple","Annual","Annual","Annual")</f>
        <v/>
      </c>
      <c r="F5140" s="8">
        <f>QS.TRADE.CREATE("trade.5138",C5140,E5140,A5140,"Receive")</f>
        <v/>
      </c>
      <c r="G5140" s="5"/>
      <c r="H5140" s="7" t="s">
        <v>5181</v>
      </c>
      <c r="I5140" s="9">
        <v>1513800</v>
      </c>
      <c r="J5140" s="10">
        <v>0.0388</v>
      </c>
    </row>
    <row r="5141" spans="1:10">
      <c r="A5141" s="7" t="s">
        <v>5175</v>
      </c>
      <c r="B5141" s="7" t="s">
        <v>7008</v>
      </c>
      <c r="C5141" s="8">
        <f>QS.CONTEXT.CREATE("market.5139",A5141,"USD","SOFR")</f>
        <v/>
      </c>
      <c r="D5141" s="8">
        <f>QS.CONTEXT.ADD.CURVE(C5141,"SOFR",$K$2:$K$7,$L$2:$L$7,,,"Actual360","LogLinear",TRUE)</f>
        <v/>
      </c>
      <c r="E5141" s="8">
        <f>QS.INSTRUMENT.SWAP("swap.5139",C5141,H5141,B5141,"USD","SOFR",I5141,J5141,0,"Actual360","Simple","Annual","Annual","Annual")</f>
        <v/>
      </c>
      <c r="F5141" s="8">
        <f>QS.TRADE.CREATE("trade.5139",C5141,E5141,A5141,"Receive")</f>
        <v/>
      </c>
      <c r="G5141" s="5"/>
      <c r="H5141" s="7" t="s">
        <v>5182</v>
      </c>
      <c r="I5141" s="9">
        <v>1513900</v>
      </c>
      <c r="J5141" s="10">
        <v>0.0389</v>
      </c>
    </row>
    <row r="5142" spans="1:10">
      <c r="A5142" s="7" t="s">
        <v>5176</v>
      </c>
      <c r="B5142" s="7" t="s">
        <v>7009</v>
      </c>
      <c r="C5142" s="8">
        <f>QS.CONTEXT.CREATE("market.5140",A5142,"USD","SOFR")</f>
        <v/>
      </c>
      <c r="D5142" s="8">
        <f>QS.CONTEXT.ADD.CURVE(C5142,"SOFR",$K$2:$K$7,$L$2:$L$7,,,"Actual360","LogLinear",TRUE)</f>
        <v/>
      </c>
      <c r="E5142" s="8">
        <f>QS.INSTRUMENT.SWAP("swap.5140",C5142,H5142,B5142,"USD","SOFR",I5142,J5142,0,"Actual360","Simple","Annual","Annual","Annual")</f>
        <v/>
      </c>
      <c r="F5142" s="8">
        <f>QS.TRADE.CREATE("trade.5140",C5142,E5142,A5142,"Receive")</f>
        <v/>
      </c>
      <c r="G5142" s="5"/>
      <c r="H5142" s="7" t="s">
        <v>5183</v>
      </c>
      <c r="I5142" s="9">
        <v>1514000</v>
      </c>
      <c r="J5142" s="10">
        <v>0.03900000000000001</v>
      </c>
    </row>
    <row r="5143" spans="1:10">
      <c r="A5143" s="7" t="s">
        <v>5177</v>
      </c>
      <c r="B5143" s="7" t="s">
        <v>7010</v>
      </c>
      <c r="C5143" s="8">
        <f>QS.CONTEXT.CREATE("market.5141",A5143,"USD","SOFR")</f>
        <v/>
      </c>
      <c r="D5143" s="8">
        <f>QS.CONTEXT.ADD.CURVE(C5143,"SOFR",$K$2:$K$7,$L$2:$L$7,,,"Actual360","LogLinear",TRUE)</f>
        <v/>
      </c>
      <c r="E5143" s="8">
        <f>QS.INSTRUMENT.SWAP("swap.5141",C5143,H5143,B5143,"USD","SOFR",I5143,J5143,0,"Actual360","Simple","Annual","Annual","Annual")</f>
        <v/>
      </c>
      <c r="F5143" s="8">
        <f>QS.TRADE.CREATE("trade.5141",C5143,E5143,A5143,"Receive")</f>
        <v/>
      </c>
      <c r="G5143" s="5"/>
      <c r="H5143" s="7" t="s">
        <v>5184</v>
      </c>
      <c r="I5143" s="9">
        <v>1514100</v>
      </c>
      <c r="J5143" s="10">
        <v>0.0391</v>
      </c>
    </row>
    <row r="5144" spans="1:10">
      <c r="A5144" s="7" t="s">
        <v>5178</v>
      </c>
      <c r="B5144" s="7" t="s">
        <v>7011</v>
      </c>
      <c r="C5144" s="8">
        <f>QS.CONTEXT.CREATE("market.5142",A5144,"USD","SOFR")</f>
        <v/>
      </c>
      <c r="D5144" s="8">
        <f>QS.CONTEXT.ADD.CURVE(C5144,"SOFR",$K$2:$K$7,$L$2:$L$7,,,"Actual360","LogLinear",TRUE)</f>
        <v/>
      </c>
      <c r="E5144" s="8">
        <f>QS.INSTRUMENT.SWAP("swap.5142",C5144,H5144,B5144,"USD","SOFR",I5144,J5144,0,"Actual360","Simple","Annual","Annual","Annual")</f>
        <v/>
      </c>
      <c r="F5144" s="8">
        <f>QS.TRADE.CREATE("trade.5142",C5144,E5144,A5144,"Receive")</f>
        <v/>
      </c>
      <c r="G5144" s="5"/>
      <c r="H5144" s="7" t="s">
        <v>5185</v>
      </c>
      <c r="I5144" s="9">
        <v>1514200</v>
      </c>
      <c r="J5144" s="10">
        <v>0.03920000000000001</v>
      </c>
    </row>
    <row r="5145" spans="1:10">
      <c r="A5145" s="7" t="s">
        <v>5179</v>
      </c>
      <c r="B5145" s="7" t="s">
        <v>7012</v>
      </c>
      <c r="C5145" s="8">
        <f>QS.CONTEXT.CREATE("market.5143",A5145,"USD","SOFR")</f>
        <v/>
      </c>
      <c r="D5145" s="8">
        <f>QS.CONTEXT.ADD.CURVE(C5145,"SOFR",$K$2:$K$7,$L$2:$L$7,,,"Actual360","LogLinear",TRUE)</f>
        <v/>
      </c>
      <c r="E5145" s="8">
        <f>QS.INSTRUMENT.SWAP("swap.5143",C5145,H5145,B5145,"USD","SOFR",I5145,J5145,0,"Actual360","Simple","Annual","Annual","Annual")</f>
        <v/>
      </c>
      <c r="F5145" s="8">
        <f>QS.TRADE.CREATE("trade.5143",C5145,E5145,A5145,"Receive")</f>
        <v/>
      </c>
      <c r="G5145" s="5"/>
      <c r="H5145" s="7" t="s">
        <v>5186</v>
      </c>
      <c r="I5145" s="9">
        <v>1514300</v>
      </c>
      <c r="J5145" s="10">
        <v>0.0393</v>
      </c>
    </row>
    <row r="5146" spans="1:10">
      <c r="A5146" s="7" t="s">
        <v>5180</v>
      </c>
      <c r="B5146" s="7" t="s">
        <v>7013</v>
      </c>
      <c r="C5146" s="8">
        <f>QS.CONTEXT.CREATE("market.5144",A5146,"USD","SOFR")</f>
        <v/>
      </c>
      <c r="D5146" s="8">
        <f>QS.CONTEXT.ADD.CURVE(C5146,"SOFR",$K$2:$K$7,$L$2:$L$7,,,"Actual360","LogLinear",TRUE)</f>
        <v/>
      </c>
      <c r="E5146" s="8">
        <f>QS.INSTRUMENT.SWAP("swap.5144",C5146,H5146,B5146,"USD","SOFR",I5146,J5146,0,"Actual360","Simple","Annual","Annual","Annual")</f>
        <v/>
      </c>
      <c r="F5146" s="8">
        <f>QS.TRADE.CREATE("trade.5144",C5146,E5146,A5146,"Receive")</f>
        <v/>
      </c>
      <c r="G5146" s="5"/>
      <c r="H5146" s="7" t="s">
        <v>5187</v>
      </c>
      <c r="I5146" s="9">
        <v>1514400</v>
      </c>
      <c r="J5146" s="10">
        <v>0.0394</v>
      </c>
    </row>
    <row r="5147" spans="1:10">
      <c r="A5147" s="7" t="s">
        <v>5181</v>
      </c>
      <c r="B5147" s="7" t="s">
        <v>7014</v>
      </c>
      <c r="C5147" s="8">
        <f>QS.CONTEXT.CREATE("market.5145",A5147,"USD","SOFR")</f>
        <v/>
      </c>
      <c r="D5147" s="8">
        <f>QS.CONTEXT.ADD.CURVE(C5147,"SOFR",$K$2:$K$7,$L$2:$L$7,,,"Actual360","LogLinear",TRUE)</f>
        <v/>
      </c>
      <c r="E5147" s="8">
        <f>QS.INSTRUMENT.SWAP("swap.5145",C5147,H5147,B5147,"USD","SOFR",I5147,J5147,0,"Actual360","Simple","Annual","Annual","Annual")</f>
        <v/>
      </c>
      <c r="F5147" s="8">
        <f>QS.TRADE.CREATE("trade.5145",C5147,E5147,A5147,"Receive")</f>
        <v/>
      </c>
      <c r="G5147" s="5"/>
      <c r="H5147" s="7" t="s">
        <v>5188</v>
      </c>
      <c r="I5147" s="9">
        <v>1514500</v>
      </c>
      <c r="J5147" s="10">
        <v>0.03950000000000001</v>
      </c>
    </row>
    <row r="5148" spans="1:10">
      <c r="A5148" s="7" t="s">
        <v>5182</v>
      </c>
      <c r="B5148" s="7" t="s">
        <v>7015</v>
      </c>
      <c r="C5148" s="8">
        <f>QS.CONTEXT.CREATE("market.5146",A5148,"USD","SOFR")</f>
        <v/>
      </c>
      <c r="D5148" s="8">
        <f>QS.CONTEXT.ADD.CURVE(C5148,"SOFR",$K$2:$K$7,$L$2:$L$7,,,"Actual360","LogLinear",TRUE)</f>
        <v/>
      </c>
      <c r="E5148" s="8">
        <f>QS.INSTRUMENT.SWAP("swap.5146",C5148,H5148,B5148,"USD","SOFR",I5148,J5148,0,"Actual360","Simple","Annual","Annual","Annual")</f>
        <v/>
      </c>
      <c r="F5148" s="8">
        <f>QS.TRADE.CREATE("trade.5146",C5148,E5148,A5148,"Receive")</f>
        <v/>
      </c>
      <c r="G5148" s="5"/>
      <c r="H5148" s="7" t="s">
        <v>5189</v>
      </c>
      <c r="I5148" s="9">
        <v>1514600</v>
      </c>
      <c r="J5148" s="10">
        <v>0.0396</v>
      </c>
    </row>
    <row r="5149" spans="1:10">
      <c r="A5149" s="7" t="s">
        <v>5183</v>
      </c>
      <c r="B5149" s="7" t="s">
        <v>7016</v>
      </c>
      <c r="C5149" s="8">
        <f>QS.CONTEXT.CREATE("market.5147",A5149,"USD","SOFR")</f>
        <v/>
      </c>
      <c r="D5149" s="8">
        <f>QS.CONTEXT.ADD.CURVE(C5149,"SOFR",$K$2:$K$7,$L$2:$L$7,,,"Actual360","LogLinear",TRUE)</f>
        <v/>
      </c>
      <c r="E5149" s="8">
        <f>QS.INSTRUMENT.SWAP("swap.5147",C5149,H5149,B5149,"USD","SOFR",I5149,J5149,0,"Actual360","Simple","Annual","Annual","Annual")</f>
        <v/>
      </c>
      <c r="F5149" s="8">
        <f>QS.TRADE.CREATE("trade.5147",C5149,E5149,A5149,"Receive")</f>
        <v/>
      </c>
      <c r="G5149" s="5"/>
      <c r="H5149" s="7" t="s">
        <v>5190</v>
      </c>
      <c r="I5149" s="9">
        <v>1514700</v>
      </c>
      <c r="J5149" s="10">
        <v>0.03970000000000001</v>
      </c>
    </row>
    <row r="5150" spans="1:10">
      <c r="A5150" s="7" t="s">
        <v>5184</v>
      </c>
      <c r="B5150" s="7" t="s">
        <v>7017</v>
      </c>
      <c r="C5150" s="8">
        <f>QS.CONTEXT.CREATE("market.5148",A5150,"USD","SOFR")</f>
        <v/>
      </c>
      <c r="D5150" s="8">
        <f>QS.CONTEXT.ADD.CURVE(C5150,"SOFR",$K$2:$K$7,$L$2:$L$7,,,"Actual360","LogLinear",TRUE)</f>
        <v/>
      </c>
      <c r="E5150" s="8">
        <f>QS.INSTRUMENT.SWAP("swap.5148",C5150,H5150,B5150,"USD","SOFR",I5150,J5150,0,"Actual360","Simple","Annual","Annual","Annual")</f>
        <v/>
      </c>
      <c r="F5150" s="8">
        <f>QS.TRADE.CREATE("trade.5148",C5150,E5150,A5150,"Receive")</f>
        <v/>
      </c>
      <c r="G5150" s="5"/>
      <c r="H5150" s="7" t="s">
        <v>5191</v>
      </c>
      <c r="I5150" s="9">
        <v>1514800</v>
      </c>
      <c r="J5150" s="10">
        <v>0.0398</v>
      </c>
    </row>
    <row r="5151" spans="1:10">
      <c r="A5151" s="7" t="s">
        <v>5185</v>
      </c>
      <c r="B5151" s="7" t="s">
        <v>7018</v>
      </c>
      <c r="C5151" s="8">
        <f>QS.CONTEXT.CREATE("market.5149",A5151,"USD","SOFR")</f>
        <v/>
      </c>
      <c r="D5151" s="8">
        <f>QS.CONTEXT.ADD.CURVE(C5151,"SOFR",$K$2:$K$7,$L$2:$L$7,,,"Actual360","LogLinear",TRUE)</f>
        <v/>
      </c>
      <c r="E5151" s="8">
        <f>QS.INSTRUMENT.SWAP("swap.5149",C5151,H5151,B5151,"USD","SOFR",I5151,J5151,0,"Actual360","Simple","Annual","Annual","Annual")</f>
        <v/>
      </c>
      <c r="F5151" s="8">
        <f>QS.TRADE.CREATE("trade.5149",C5151,E5151,A5151,"Receive")</f>
        <v/>
      </c>
      <c r="G5151" s="5"/>
      <c r="H5151" s="7" t="s">
        <v>5192</v>
      </c>
      <c r="I5151" s="9">
        <v>1514900</v>
      </c>
      <c r="J5151" s="10">
        <v>0.0399</v>
      </c>
    </row>
    <row r="5152" spans="1:10">
      <c r="A5152" s="7" t="s">
        <v>5186</v>
      </c>
      <c r="B5152" s="7" t="s">
        <v>7019</v>
      </c>
      <c r="C5152" s="8">
        <f>QS.CONTEXT.CREATE("market.5150",A5152,"USD","SOFR")</f>
        <v/>
      </c>
      <c r="D5152" s="8">
        <f>QS.CONTEXT.ADD.CURVE(C5152,"SOFR",$K$2:$K$7,$L$2:$L$7,,,"Actual360","LogLinear",TRUE)</f>
        <v/>
      </c>
      <c r="E5152" s="8">
        <f>QS.INSTRUMENT.SWAP("swap.5150",C5152,H5152,B5152,"USD","SOFR",I5152,J5152,0,"Actual360","Simple","Annual","Annual","Annual")</f>
        <v/>
      </c>
      <c r="F5152" s="8">
        <f>QS.TRADE.CREATE("trade.5150",C5152,E5152,A5152,"Receive")</f>
        <v/>
      </c>
      <c r="G5152" s="5"/>
      <c r="H5152" s="7" t="s">
        <v>5193</v>
      </c>
      <c r="I5152" s="9">
        <v>1515000</v>
      </c>
      <c r="J5152" s="10">
        <v>0.035</v>
      </c>
    </row>
    <row r="5153" spans="1:10">
      <c r="A5153" s="7" t="s">
        <v>5187</v>
      </c>
      <c r="B5153" s="7" t="s">
        <v>7020</v>
      </c>
      <c r="C5153" s="8">
        <f>QS.CONTEXT.CREATE("market.5151",A5153,"USD","SOFR")</f>
        <v/>
      </c>
      <c r="D5153" s="8">
        <f>QS.CONTEXT.ADD.CURVE(C5153,"SOFR",$K$2:$K$7,$L$2:$L$7,,,"Actual360","LogLinear",TRUE)</f>
        <v/>
      </c>
      <c r="E5153" s="8">
        <f>QS.INSTRUMENT.SWAP("swap.5151",C5153,H5153,B5153,"USD","SOFR",I5153,J5153,0,"Actual360","Simple","Annual","Annual","Annual")</f>
        <v/>
      </c>
      <c r="F5153" s="8">
        <f>QS.TRADE.CREATE("trade.5151",C5153,E5153,A5153,"Receive")</f>
        <v/>
      </c>
      <c r="G5153" s="5"/>
      <c r="H5153" s="7" t="s">
        <v>5194</v>
      </c>
      <c r="I5153" s="9">
        <v>1515100</v>
      </c>
      <c r="J5153" s="10">
        <v>0.03510000000000001</v>
      </c>
    </row>
    <row r="5154" spans="1:10">
      <c r="A5154" s="7" t="s">
        <v>5188</v>
      </c>
      <c r="B5154" s="7" t="s">
        <v>7021</v>
      </c>
      <c r="C5154" s="8">
        <f>QS.CONTEXT.CREATE("market.5152",A5154,"USD","SOFR")</f>
        <v/>
      </c>
      <c r="D5154" s="8">
        <f>QS.CONTEXT.ADD.CURVE(C5154,"SOFR",$K$2:$K$7,$L$2:$L$7,,,"Actual360","LogLinear",TRUE)</f>
        <v/>
      </c>
      <c r="E5154" s="8">
        <f>QS.INSTRUMENT.SWAP("swap.5152",C5154,H5154,B5154,"USD","SOFR",I5154,J5154,0,"Actual360","Simple","Annual","Annual","Annual")</f>
        <v/>
      </c>
      <c r="F5154" s="8">
        <f>QS.TRADE.CREATE("trade.5152",C5154,E5154,A5154,"Receive")</f>
        <v/>
      </c>
      <c r="G5154" s="5"/>
      <c r="H5154" s="7" t="s">
        <v>5195</v>
      </c>
      <c r="I5154" s="9">
        <v>1515200</v>
      </c>
      <c r="J5154" s="10">
        <v>0.0352</v>
      </c>
    </row>
    <row r="5155" spans="1:10">
      <c r="A5155" s="7" t="s">
        <v>5189</v>
      </c>
      <c r="B5155" s="7" t="s">
        <v>7022</v>
      </c>
      <c r="C5155" s="8">
        <f>QS.CONTEXT.CREATE("market.5153",A5155,"USD","SOFR")</f>
        <v/>
      </c>
      <c r="D5155" s="8">
        <f>QS.CONTEXT.ADD.CURVE(C5155,"SOFR",$K$2:$K$7,$L$2:$L$7,,,"Actual360","LogLinear",TRUE)</f>
        <v/>
      </c>
      <c r="E5155" s="8">
        <f>QS.INSTRUMENT.SWAP("swap.5153",C5155,H5155,B5155,"USD","SOFR",I5155,J5155,0,"Actual360","Simple","Annual","Annual","Annual")</f>
        <v/>
      </c>
      <c r="F5155" s="8">
        <f>QS.TRADE.CREATE("trade.5153",C5155,E5155,A5155,"Receive")</f>
        <v/>
      </c>
      <c r="G5155" s="5"/>
      <c r="H5155" s="7" t="s">
        <v>5196</v>
      </c>
      <c r="I5155" s="9">
        <v>1515300</v>
      </c>
      <c r="J5155" s="10">
        <v>0.0353</v>
      </c>
    </row>
    <row r="5156" spans="1:10">
      <c r="A5156" s="7" t="s">
        <v>5190</v>
      </c>
      <c r="B5156" s="7" t="s">
        <v>7023</v>
      </c>
      <c r="C5156" s="8">
        <f>QS.CONTEXT.CREATE("market.5154",A5156,"USD","SOFR")</f>
        <v/>
      </c>
      <c r="D5156" s="8">
        <f>QS.CONTEXT.ADD.CURVE(C5156,"SOFR",$K$2:$K$7,$L$2:$L$7,,,"Actual360","LogLinear",TRUE)</f>
        <v/>
      </c>
      <c r="E5156" s="8">
        <f>QS.INSTRUMENT.SWAP("swap.5154",C5156,H5156,B5156,"USD","SOFR",I5156,J5156,0,"Actual360","Simple","Annual","Annual","Annual")</f>
        <v/>
      </c>
      <c r="F5156" s="8">
        <f>QS.TRADE.CREATE("trade.5154",C5156,E5156,A5156,"Receive")</f>
        <v/>
      </c>
      <c r="G5156" s="5"/>
      <c r="H5156" s="7" t="s">
        <v>5197</v>
      </c>
      <c r="I5156" s="9">
        <v>1515400</v>
      </c>
      <c r="J5156" s="10">
        <v>0.0354</v>
      </c>
    </row>
    <row r="5157" spans="1:10">
      <c r="A5157" s="7" t="s">
        <v>5191</v>
      </c>
      <c r="B5157" s="7" t="s">
        <v>7024</v>
      </c>
      <c r="C5157" s="8">
        <f>QS.CONTEXT.CREATE("market.5155",A5157,"USD","SOFR")</f>
        <v/>
      </c>
      <c r="D5157" s="8">
        <f>QS.CONTEXT.ADD.CURVE(C5157,"SOFR",$K$2:$K$7,$L$2:$L$7,,,"Actual360","LogLinear",TRUE)</f>
        <v/>
      </c>
      <c r="E5157" s="8">
        <f>QS.INSTRUMENT.SWAP("swap.5155",C5157,H5157,B5157,"USD","SOFR",I5157,J5157,0,"Actual360","Simple","Annual","Annual","Annual")</f>
        <v/>
      </c>
      <c r="F5157" s="8">
        <f>QS.TRADE.CREATE("trade.5155",C5157,E5157,A5157,"Receive")</f>
        <v/>
      </c>
      <c r="G5157" s="5"/>
      <c r="H5157" s="7" t="s">
        <v>5198</v>
      </c>
      <c r="I5157" s="9">
        <v>1515500</v>
      </c>
      <c r="J5157" s="10">
        <v>0.0355</v>
      </c>
    </row>
    <row r="5158" spans="1:10">
      <c r="A5158" s="7" t="s">
        <v>5192</v>
      </c>
      <c r="B5158" s="7" t="s">
        <v>7025</v>
      </c>
      <c r="C5158" s="8">
        <f>QS.CONTEXT.CREATE("market.5156",A5158,"USD","SOFR")</f>
        <v/>
      </c>
      <c r="D5158" s="8">
        <f>QS.CONTEXT.ADD.CURVE(C5158,"SOFR",$K$2:$K$7,$L$2:$L$7,,,"Actual360","LogLinear",TRUE)</f>
        <v/>
      </c>
      <c r="E5158" s="8">
        <f>QS.INSTRUMENT.SWAP("swap.5156",C5158,H5158,B5158,"USD","SOFR",I5158,J5158,0,"Actual360","Simple","Annual","Annual","Annual")</f>
        <v/>
      </c>
      <c r="F5158" s="8">
        <f>QS.TRADE.CREATE("trade.5156",C5158,E5158,A5158,"Receive")</f>
        <v/>
      </c>
      <c r="G5158" s="5"/>
      <c r="H5158" s="7" t="s">
        <v>5199</v>
      </c>
      <c r="I5158" s="9">
        <v>1515600</v>
      </c>
      <c r="J5158" s="10">
        <v>0.03560000000000001</v>
      </c>
    </row>
    <row r="5159" spans="1:10">
      <c r="A5159" s="7" t="s">
        <v>5193</v>
      </c>
      <c r="B5159" s="7" t="s">
        <v>7026</v>
      </c>
      <c r="C5159" s="8">
        <f>QS.CONTEXT.CREATE("market.5157",A5159,"USD","SOFR")</f>
        <v/>
      </c>
      <c r="D5159" s="8">
        <f>QS.CONTEXT.ADD.CURVE(C5159,"SOFR",$K$2:$K$7,$L$2:$L$7,,,"Actual360","LogLinear",TRUE)</f>
        <v/>
      </c>
      <c r="E5159" s="8">
        <f>QS.INSTRUMENT.SWAP("swap.5157",C5159,H5159,B5159,"USD","SOFR",I5159,J5159,0,"Actual360","Simple","Annual","Annual","Annual")</f>
        <v/>
      </c>
      <c r="F5159" s="8">
        <f>QS.TRADE.CREATE("trade.5157",C5159,E5159,A5159,"Receive")</f>
        <v/>
      </c>
      <c r="G5159" s="5"/>
      <c r="H5159" s="7" t="s">
        <v>5200</v>
      </c>
      <c r="I5159" s="9">
        <v>1515700</v>
      </c>
      <c r="J5159" s="10">
        <v>0.0357</v>
      </c>
    </row>
    <row r="5160" spans="1:10">
      <c r="A5160" s="7" t="s">
        <v>5194</v>
      </c>
      <c r="B5160" s="7" t="s">
        <v>7027</v>
      </c>
      <c r="C5160" s="8">
        <f>QS.CONTEXT.CREATE("market.5158",A5160,"USD","SOFR")</f>
        <v/>
      </c>
      <c r="D5160" s="8">
        <f>QS.CONTEXT.ADD.CURVE(C5160,"SOFR",$K$2:$K$7,$L$2:$L$7,,,"Actual360","LogLinear",TRUE)</f>
        <v/>
      </c>
      <c r="E5160" s="8">
        <f>QS.INSTRUMENT.SWAP("swap.5158",C5160,H5160,B5160,"USD","SOFR",I5160,J5160,0,"Actual360","Simple","Annual","Annual","Annual")</f>
        <v/>
      </c>
      <c r="F5160" s="8">
        <f>QS.TRADE.CREATE("trade.5158",C5160,E5160,A5160,"Receive")</f>
        <v/>
      </c>
      <c r="G5160" s="5"/>
      <c r="H5160" s="7" t="s">
        <v>5201</v>
      </c>
      <c r="I5160" s="9">
        <v>1515800</v>
      </c>
      <c r="J5160" s="10">
        <v>0.03580000000000001</v>
      </c>
    </row>
    <row r="5161" spans="1:10">
      <c r="A5161" s="7" t="s">
        <v>5195</v>
      </c>
      <c r="B5161" s="7" t="s">
        <v>7028</v>
      </c>
      <c r="C5161" s="8">
        <f>QS.CONTEXT.CREATE("market.5159",A5161,"USD","SOFR")</f>
        <v/>
      </c>
      <c r="D5161" s="8">
        <f>QS.CONTEXT.ADD.CURVE(C5161,"SOFR",$K$2:$K$7,$L$2:$L$7,,,"Actual360","LogLinear",TRUE)</f>
        <v/>
      </c>
      <c r="E5161" s="8">
        <f>QS.INSTRUMENT.SWAP("swap.5159",C5161,H5161,B5161,"USD","SOFR",I5161,J5161,0,"Actual360","Simple","Annual","Annual","Annual")</f>
        <v/>
      </c>
      <c r="F5161" s="8">
        <f>QS.TRADE.CREATE("trade.5159",C5161,E5161,A5161,"Receive")</f>
        <v/>
      </c>
      <c r="G5161" s="5"/>
      <c r="H5161" s="7" t="s">
        <v>5202</v>
      </c>
      <c r="I5161" s="9">
        <v>1515900</v>
      </c>
      <c r="J5161" s="10">
        <v>0.0359</v>
      </c>
    </row>
    <row r="5162" spans="1:10">
      <c r="A5162" s="7" t="s">
        <v>5196</v>
      </c>
      <c r="B5162" s="7" t="s">
        <v>7029</v>
      </c>
      <c r="C5162" s="8">
        <f>QS.CONTEXT.CREATE("market.5160",A5162,"USD","SOFR")</f>
        <v/>
      </c>
      <c r="D5162" s="8">
        <f>QS.CONTEXT.ADD.CURVE(C5162,"SOFR",$K$2:$K$7,$L$2:$L$7,,,"Actual360","LogLinear",TRUE)</f>
        <v/>
      </c>
      <c r="E5162" s="8">
        <f>QS.INSTRUMENT.SWAP("swap.5160",C5162,H5162,B5162,"USD","SOFR",I5162,J5162,0,"Actual360","Simple","Annual","Annual","Annual")</f>
        <v/>
      </c>
      <c r="F5162" s="8">
        <f>QS.TRADE.CREATE("trade.5160",C5162,E5162,A5162,"Receive")</f>
        <v/>
      </c>
      <c r="G5162" s="5"/>
      <c r="H5162" s="7" t="s">
        <v>5203</v>
      </c>
      <c r="I5162" s="9">
        <v>1516000</v>
      </c>
      <c r="J5162" s="10">
        <v>0.036</v>
      </c>
    </row>
    <row r="5163" spans="1:10">
      <c r="A5163" s="7" t="s">
        <v>5197</v>
      </c>
      <c r="B5163" s="7" t="s">
        <v>7030</v>
      </c>
      <c r="C5163" s="8">
        <f>QS.CONTEXT.CREATE("market.5161",A5163,"USD","SOFR")</f>
        <v/>
      </c>
      <c r="D5163" s="8">
        <f>QS.CONTEXT.ADD.CURVE(C5163,"SOFR",$K$2:$K$7,$L$2:$L$7,,,"Actual360","LogLinear",TRUE)</f>
        <v/>
      </c>
      <c r="E5163" s="8">
        <f>QS.INSTRUMENT.SWAP("swap.5161",C5163,H5163,B5163,"USD","SOFR",I5163,J5163,0,"Actual360","Simple","Annual","Annual","Annual")</f>
        <v/>
      </c>
      <c r="F5163" s="8">
        <f>QS.TRADE.CREATE("trade.5161",C5163,E5163,A5163,"Receive")</f>
        <v/>
      </c>
      <c r="G5163" s="5"/>
      <c r="H5163" s="7" t="s">
        <v>5204</v>
      </c>
      <c r="I5163" s="9">
        <v>1516100</v>
      </c>
      <c r="J5163" s="10">
        <v>0.0361</v>
      </c>
    </row>
    <row r="5164" spans="1:10">
      <c r="A5164" s="7" t="s">
        <v>5198</v>
      </c>
      <c r="B5164" s="7" t="s">
        <v>7031</v>
      </c>
      <c r="C5164" s="8">
        <f>QS.CONTEXT.CREATE("market.5162",A5164,"USD","SOFR")</f>
        <v/>
      </c>
      <c r="D5164" s="8">
        <f>QS.CONTEXT.ADD.CURVE(C5164,"SOFR",$K$2:$K$7,$L$2:$L$7,,,"Actual360","LogLinear",TRUE)</f>
        <v/>
      </c>
      <c r="E5164" s="8">
        <f>QS.INSTRUMENT.SWAP("swap.5162",C5164,H5164,B5164,"USD","SOFR",I5164,J5164,0,"Actual360","Simple","Annual","Annual","Annual")</f>
        <v/>
      </c>
      <c r="F5164" s="8">
        <f>QS.TRADE.CREATE("trade.5162",C5164,E5164,A5164,"Receive")</f>
        <v/>
      </c>
      <c r="G5164" s="5"/>
      <c r="H5164" s="7" t="s">
        <v>5205</v>
      </c>
      <c r="I5164" s="9">
        <v>1516200</v>
      </c>
      <c r="J5164" s="10">
        <v>0.0362</v>
      </c>
    </row>
    <row r="5165" spans="1:10">
      <c r="A5165" s="7" t="s">
        <v>5199</v>
      </c>
      <c r="B5165" s="7" t="s">
        <v>7032</v>
      </c>
      <c r="C5165" s="8">
        <f>QS.CONTEXT.CREATE("market.5163",A5165,"USD","SOFR")</f>
        <v/>
      </c>
      <c r="D5165" s="8">
        <f>QS.CONTEXT.ADD.CURVE(C5165,"SOFR",$K$2:$K$7,$L$2:$L$7,,,"Actual360","LogLinear",TRUE)</f>
        <v/>
      </c>
      <c r="E5165" s="8">
        <f>QS.INSTRUMENT.SWAP("swap.5163",C5165,H5165,B5165,"USD","SOFR",I5165,J5165,0,"Actual360","Simple","Annual","Annual","Annual")</f>
        <v/>
      </c>
      <c r="F5165" s="8">
        <f>QS.TRADE.CREATE("trade.5163",C5165,E5165,A5165,"Receive")</f>
        <v/>
      </c>
      <c r="G5165" s="5"/>
      <c r="H5165" s="7" t="s">
        <v>5206</v>
      </c>
      <c r="I5165" s="9">
        <v>1516300</v>
      </c>
      <c r="J5165" s="10">
        <v>0.03630000000000001</v>
      </c>
    </row>
    <row r="5166" spans="1:10">
      <c r="A5166" s="7" t="s">
        <v>5200</v>
      </c>
      <c r="B5166" s="7" t="s">
        <v>7033</v>
      </c>
      <c r="C5166" s="8">
        <f>QS.CONTEXT.CREATE("market.5164",A5166,"USD","SOFR")</f>
        <v/>
      </c>
      <c r="D5166" s="8">
        <f>QS.CONTEXT.ADD.CURVE(C5166,"SOFR",$K$2:$K$7,$L$2:$L$7,,,"Actual360","LogLinear",TRUE)</f>
        <v/>
      </c>
      <c r="E5166" s="8">
        <f>QS.INSTRUMENT.SWAP("swap.5164",C5166,H5166,B5166,"USD","SOFR",I5166,J5166,0,"Actual360","Simple","Annual","Annual","Annual")</f>
        <v/>
      </c>
      <c r="F5166" s="8">
        <f>QS.TRADE.CREATE("trade.5164",C5166,E5166,A5166,"Receive")</f>
        <v/>
      </c>
      <c r="G5166" s="5"/>
      <c r="H5166" s="7" t="s">
        <v>5207</v>
      </c>
      <c r="I5166" s="9">
        <v>1516400</v>
      </c>
      <c r="J5166" s="10">
        <v>0.0364</v>
      </c>
    </row>
    <row r="5167" spans="1:10">
      <c r="A5167" s="7" t="s">
        <v>5201</v>
      </c>
      <c r="B5167" s="7" t="s">
        <v>7033</v>
      </c>
      <c r="C5167" s="8">
        <f>QS.CONTEXT.CREATE("market.5165",A5167,"USD","SOFR")</f>
        <v/>
      </c>
      <c r="D5167" s="8">
        <f>QS.CONTEXT.ADD.CURVE(C5167,"SOFR",$K$2:$K$7,$L$2:$L$7,,,"Actual360","LogLinear",TRUE)</f>
        <v/>
      </c>
      <c r="E5167" s="8">
        <f>QS.INSTRUMENT.SWAP("swap.5165",C5167,H5167,B5167,"USD","SOFR",I5167,J5167,0,"Actual360","Simple","Annual","Annual","Annual")</f>
        <v/>
      </c>
      <c r="F5167" s="8">
        <f>QS.TRADE.CREATE("trade.5165",C5167,E5167,A5167,"Receive")</f>
        <v/>
      </c>
      <c r="G5167" s="5"/>
      <c r="H5167" s="7" t="s">
        <v>7034</v>
      </c>
      <c r="I5167" s="9">
        <v>1516500</v>
      </c>
      <c r="J5167" s="10">
        <v>0.0365</v>
      </c>
    </row>
    <row r="5168" spans="1:10">
      <c r="A5168" s="7" t="s">
        <v>5202</v>
      </c>
      <c r="B5168" s="7" t="s">
        <v>7035</v>
      </c>
      <c r="C5168" s="8">
        <f>QS.CONTEXT.CREATE("market.5166",A5168,"USD","SOFR")</f>
        <v/>
      </c>
      <c r="D5168" s="8">
        <f>QS.CONTEXT.ADD.CURVE(C5168,"SOFR",$K$2:$K$7,$L$2:$L$7,,,"Actual360","LogLinear",TRUE)</f>
        <v/>
      </c>
      <c r="E5168" s="8">
        <f>QS.INSTRUMENT.SWAP("swap.5166",C5168,H5168,B5168,"USD","SOFR",I5168,J5168,0,"Actual360","Simple","Annual","Annual","Annual")</f>
        <v/>
      </c>
      <c r="F5168" s="8">
        <f>QS.TRADE.CREATE("trade.5166",C5168,E5168,A5168,"Receive")</f>
        <v/>
      </c>
      <c r="G5168" s="5"/>
      <c r="H5168" s="7" t="s">
        <v>5208</v>
      </c>
      <c r="I5168" s="9">
        <v>1516600</v>
      </c>
      <c r="J5168" s="10">
        <v>0.0366</v>
      </c>
    </row>
    <row r="5169" spans="1:10">
      <c r="A5169" s="7" t="s">
        <v>5203</v>
      </c>
      <c r="B5169" s="7" t="s">
        <v>7036</v>
      </c>
      <c r="C5169" s="8">
        <f>QS.CONTEXT.CREATE("market.5167",A5169,"USD","SOFR")</f>
        <v/>
      </c>
      <c r="D5169" s="8">
        <f>QS.CONTEXT.ADD.CURVE(C5169,"SOFR",$K$2:$K$7,$L$2:$L$7,,,"Actual360","LogLinear",TRUE)</f>
        <v/>
      </c>
      <c r="E5169" s="8">
        <f>QS.INSTRUMENT.SWAP("swap.5167",C5169,H5169,B5169,"USD","SOFR",I5169,J5169,0,"Actual360","Simple","Annual","Annual","Annual")</f>
        <v/>
      </c>
      <c r="F5169" s="8">
        <f>QS.TRADE.CREATE("trade.5167",C5169,E5169,A5169,"Receive")</f>
        <v/>
      </c>
      <c r="G5169" s="5"/>
      <c r="H5169" s="7" t="s">
        <v>5209</v>
      </c>
      <c r="I5169" s="9">
        <v>1516700</v>
      </c>
      <c r="J5169" s="10">
        <v>0.0367</v>
      </c>
    </row>
    <row r="5170" spans="1:10">
      <c r="A5170" s="7" t="s">
        <v>5204</v>
      </c>
      <c r="B5170" s="7" t="s">
        <v>7037</v>
      </c>
      <c r="C5170" s="8">
        <f>QS.CONTEXT.CREATE("market.5168",A5170,"USD","SOFR")</f>
        <v/>
      </c>
      <c r="D5170" s="8">
        <f>QS.CONTEXT.ADD.CURVE(C5170,"SOFR",$K$2:$K$7,$L$2:$L$7,,,"Actual360","LogLinear",TRUE)</f>
        <v/>
      </c>
      <c r="E5170" s="8">
        <f>QS.INSTRUMENT.SWAP("swap.5168",C5170,H5170,B5170,"USD","SOFR",I5170,J5170,0,"Actual360","Simple","Annual","Annual","Annual")</f>
        <v/>
      </c>
      <c r="F5170" s="8">
        <f>QS.TRADE.CREATE("trade.5168",C5170,E5170,A5170,"Receive")</f>
        <v/>
      </c>
      <c r="G5170" s="5"/>
      <c r="H5170" s="7" t="s">
        <v>5210</v>
      </c>
      <c r="I5170" s="9">
        <v>1516800</v>
      </c>
      <c r="J5170" s="10">
        <v>0.03680000000000001</v>
      </c>
    </row>
    <row r="5171" spans="1:10">
      <c r="A5171" s="7" t="s">
        <v>5205</v>
      </c>
      <c r="B5171" s="7" t="s">
        <v>7038</v>
      </c>
      <c r="C5171" s="8">
        <f>QS.CONTEXT.CREATE("market.5169",A5171,"USD","SOFR")</f>
        <v/>
      </c>
      <c r="D5171" s="8">
        <f>QS.CONTEXT.ADD.CURVE(C5171,"SOFR",$K$2:$K$7,$L$2:$L$7,,,"Actual360","LogLinear",TRUE)</f>
        <v/>
      </c>
      <c r="E5171" s="8">
        <f>QS.INSTRUMENT.SWAP("swap.5169",C5171,H5171,B5171,"USD","SOFR",I5171,J5171,0,"Actual360","Simple","Annual","Annual","Annual")</f>
        <v/>
      </c>
      <c r="F5171" s="8">
        <f>QS.TRADE.CREATE("trade.5169",C5171,E5171,A5171,"Receive")</f>
        <v/>
      </c>
      <c r="G5171" s="5"/>
      <c r="H5171" s="7" t="s">
        <v>5211</v>
      </c>
      <c r="I5171" s="9">
        <v>1516900</v>
      </c>
      <c r="J5171" s="10">
        <v>0.0369</v>
      </c>
    </row>
    <row r="5172" spans="1:10">
      <c r="A5172" s="7" t="s">
        <v>5206</v>
      </c>
      <c r="B5172" s="7" t="s">
        <v>7039</v>
      </c>
      <c r="C5172" s="8">
        <f>QS.CONTEXT.CREATE("market.5170",A5172,"USD","SOFR")</f>
        <v/>
      </c>
      <c r="D5172" s="8">
        <f>QS.CONTEXT.ADD.CURVE(C5172,"SOFR",$K$2:$K$7,$L$2:$L$7,,,"Actual360","LogLinear",TRUE)</f>
        <v/>
      </c>
      <c r="E5172" s="8">
        <f>QS.INSTRUMENT.SWAP("swap.5170",C5172,H5172,B5172,"USD","SOFR",I5172,J5172,0,"Actual360","Simple","Annual","Annual","Annual")</f>
        <v/>
      </c>
      <c r="F5172" s="8">
        <f>QS.TRADE.CREATE("trade.5170",C5172,E5172,A5172,"Receive")</f>
        <v/>
      </c>
      <c r="G5172" s="5"/>
      <c r="H5172" s="7" t="s">
        <v>5212</v>
      </c>
      <c r="I5172" s="9">
        <v>1517000</v>
      </c>
      <c r="J5172" s="10">
        <v>0.03700000000000001</v>
      </c>
    </row>
    <row r="5173" spans="1:10">
      <c r="A5173" s="7" t="s">
        <v>5207</v>
      </c>
      <c r="B5173" s="7" t="s">
        <v>7040</v>
      </c>
      <c r="C5173" s="8">
        <f>QS.CONTEXT.CREATE("market.5171",A5173,"USD","SOFR")</f>
        <v/>
      </c>
      <c r="D5173" s="8">
        <f>QS.CONTEXT.ADD.CURVE(C5173,"SOFR",$K$2:$K$7,$L$2:$L$7,,,"Actual360","LogLinear",TRUE)</f>
        <v/>
      </c>
      <c r="E5173" s="8">
        <f>QS.INSTRUMENT.SWAP("swap.5171",C5173,H5173,B5173,"USD","SOFR",I5173,J5173,0,"Actual360","Simple","Annual","Annual","Annual")</f>
        <v/>
      </c>
      <c r="F5173" s="8">
        <f>QS.TRADE.CREATE("trade.5171",C5173,E5173,A5173,"Receive")</f>
        <v/>
      </c>
      <c r="G5173" s="5"/>
      <c r="H5173" s="7" t="s">
        <v>5213</v>
      </c>
      <c r="I5173" s="9">
        <v>1517100</v>
      </c>
      <c r="J5173" s="10">
        <v>0.0371</v>
      </c>
    </row>
    <row r="5174" spans="1:10">
      <c r="A5174" s="7" t="s">
        <v>7034</v>
      </c>
      <c r="B5174" s="7" t="s">
        <v>7041</v>
      </c>
      <c r="C5174" s="8">
        <f>QS.CONTEXT.CREATE("market.5172",A5174,"USD","SOFR")</f>
        <v/>
      </c>
      <c r="D5174" s="8">
        <f>QS.CONTEXT.ADD.CURVE(C5174,"SOFR",$K$2:$K$7,$L$2:$L$7,,,"Actual360","LogLinear",TRUE)</f>
        <v/>
      </c>
      <c r="E5174" s="8">
        <f>QS.INSTRUMENT.SWAP("swap.5172",C5174,H5174,B5174,"USD","SOFR",I5174,J5174,0,"Actual360","Simple","Annual","Annual","Annual")</f>
        <v/>
      </c>
      <c r="F5174" s="8">
        <f>QS.TRADE.CREATE("trade.5172",C5174,E5174,A5174,"Receive")</f>
        <v/>
      </c>
      <c r="G5174" s="5"/>
      <c r="H5174" s="7" t="s">
        <v>5214</v>
      </c>
      <c r="I5174" s="9">
        <v>1517200</v>
      </c>
      <c r="J5174" s="10">
        <v>0.0372</v>
      </c>
    </row>
    <row r="5175" spans="1:10">
      <c r="A5175" s="7" t="s">
        <v>5208</v>
      </c>
      <c r="B5175" s="7" t="s">
        <v>7042</v>
      </c>
      <c r="C5175" s="8">
        <f>QS.CONTEXT.CREATE("market.5173",A5175,"USD","SOFR")</f>
        <v/>
      </c>
      <c r="D5175" s="8">
        <f>QS.CONTEXT.ADD.CURVE(C5175,"SOFR",$K$2:$K$7,$L$2:$L$7,,,"Actual360","LogLinear",TRUE)</f>
        <v/>
      </c>
      <c r="E5175" s="8">
        <f>QS.INSTRUMENT.SWAP("swap.5173",C5175,H5175,B5175,"USD","SOFR",I5175,J5175,0,"Actual360","Simple","Annual","Annual","Annual")</f>
        <v/>
      </c>
      <c r="F5175" s="8">
        <f>QS.TRADE.CREATE("trade.5173",C5175,E5175,A5175,"Receive")</f>
        <v/>
      </c>
      <c r="G5175" s="5"/>
      <c r="H5175" s="7" t="s">
        <v>5215</v>
      </c>
      <c r="I5175" s="9">
        <v>1517300</v>
      </c>
      <c r="J5175" s="10">
        <v>0.0373</v>
      </c>
    </row>
    <row r="5176" spans="1:10">
      <c r="A5176" s="7" t="s">
        <v>5209</v>
      </c>
      <c r="B5176" s="7" t="s">
        <v>7043</v>
      </c>
      <c r="C5176" s="8">
        <f>QS.CONTEXT.CREATE("market.5174",A5176,"USD","SOFR")</f>
        <v/>
      </c>
      <c r="D5176" s="8">
        <f>QS.CONTEXT.ADD.CURVE(C5176,"SOFR",$K$2:$K$7,$L$2:$L$7,,,"Actual360","LogLinear",TRUE)</f>
        <v/>
      </c>
      <c r="E5176" s="8">
        <f>QS.INSTRUMENT.SWAP("swap.5174",C5176,H5176,B5176,"USD","SOFR",I5176,J5176,0,"Actual360","Simple","Annual","Annual","Annual")</f>
        <v/>
      </c>
      <c r="F5176" s="8">
        <f>QS.TRADE.CREATE("trade.5174",C5176,E5176,A5176,"Receive")</f>
        <v/>
      </c>
      <c r="G5176" s="5"/>
      <c r="H5176" s="7" t="s">
        <v>5216</v>
      </c>
      <c r="I5176" s="9">
        <v>1517400</v>
      </c>
      <c r="J5176" s="10">
        <v>0.0374</v>
      </c>
    </row>
    <row r="5177" spans="1:10">
      <c r="A5177" s="7" t="s">
        <v>5210</v>
      </c>
      <c r="B5177" s="7" t="s">
        <v>7044</v>
      </c>
      <c r="C5177" s="8">
        <f>QS.CONTEXT.CREATE("market.5175",A5177,"USD","SOFR")</f>
        <v/>
      </c>
      <c r="D5177" s="8">
        <f>QS.CONTEXT.ADD.CURVE(C5177,"SOFR",$K$2:$K$7,$L$2:$L$7,,,"Actual360","LogLinear",TRUE)</f>
        <v/>
      </c>
      <c r="E5177" s="8">
        <f>QS.INSTRUMENT.SWAP("swap.5175",C5177,H5177,B5177,"USD","SOFR",I5177,J5177,0,"Actual360","Simple","Annual","Annual","Annual")</f>
        <v/>
      </c>
      <c r="F5177" s="8">
        <f>QS.TRADE.CREATE("trade.5175",C5177,E5177,A5177,"Receive")</f>
        <v/>
      </c>
      <c r="G5177" s="5"/>
      <c r="H5177" s="7" t="s">
        <v>5217</v>
      </c>
      <c r="I5177" s="9">
        <v>1517500</v>
      </c>
      <c r="J5177" s="10">
        <v>0.03750000000000001</v>
      </c>
    </row>
    <row r="5178" spans="1:10">
      <c r="A5178" s="7" t="s">
        <v>5211</v>
      </c>
      <c r="B5178" s="7" t="s">
        <v>7045</v>
      </c>
      <c r="C5178" s="8">
        <f>QS.CONTEXT.CREATE("market.5176",A5178,"USD","SOFR")</f>
        <v/>
      </c>
      <c r="D5178" s="8">
        <f>QS.CONTEXT.ADD.CURVE(C5178,"SOFR",$K$2:$K$7,$L$2:$L$7,,,"Actual360","LogLinear",TRUE)</f>
        <v/>
      </c>
      <c r="E5178" s="8">
        <f>QS.INSTRUMENT.SWAP("swap.5176",C5178,H5178,B5178,"USD","SOFR",I5178,J5178,0,"Actual360","Simple","Annual","Annual","Annual")</f>
        <v/>
      </c>
      <c r="F5178" s="8">
        <f>QS.TRADE.CREATE("trade.5176",C5178,E5178,A5178,"Receive")</f>
        <v/>
      </c>
      <c r="G5178" s="5"/>
      <c r="H5178" s="7" t="s">
        <v>5218</v>
      </c>
      <c r="I5178" s="9">
        <v>1517600</v>
      </c>
      <c r="J5178" s="10">
        <v>0.0376</v>
      </c>
    </row>
    <row r="5179" spans="1:10">
      <c r="A5179" s="7" t="s">
        <v>5212</v>
      </c>
      <c r="B5179" s="7" t="s">
        <v>7046</v>
      </c>
      <c r="C5179" s="8">
        <f>QS.CONTEXT.CREATE("market.5177",A5179,"USD","SOFR")</f>
        <v/>
      </c>
      <c r="D5179" s="8">
        <f>QS.CONTEXT.ADD.CURVE(C5179,"SOFR",$K$2:$K$7,$L$2:$L$7,,,"Actual360","LogLinear",TRUE)</f>
        <v/>
      </c>
      <c r="E5179" s="8">
        <f>QS.INSTRUMENT.SWAP("swap.5177",C5179,H5179,B5179,"USD","SOFR",I5179,J5179,0,"Actual360","Simple","Annual","Annual","Annual")</f>
        <v/>
      </c>
      <c r="F5179" s="8">
        <f>QS.TRADE.CREATE("trade.5177",C5179,E5179,A5179,"Receive")</f>
        <v/>
      </c>
      <c r="G5179" s="5"/>
      <c r="H5179" s="7" t="s">
        <v>5219</v>
      </c>
      <c r="I5179" s="9">
        <v>1517700</v>
      </c>
      <c r="J5179" s="10">
        <v>0.0377</v>
      </c>
    </row>
    <row r="5180" spans="1:10">
      <c r="A5180" s="7" t="s">
        <v>5213</v>
      </c>
      <c r="B5180" s="7" t="s">
        <v>7047</v>
      </c>
      <c r="C5180" s="8">
        <f>QS.CONTEXT.CREATE("market.5178",A5180,"USD","SOFR")</f>
        <v/>
      </c>
      <c r="D5180" s="8">
        <f>QS.CONTEXT.ADD.CURVE(C5180,"SOFR",$K$2:$K$7,$L$2:$L$7,,,"Actual360","LogLinear",TRUE)</f>
        <v/>
      </c>
      <c r="E5180" s="8">
        <f>QS.INSTRUMENT.SWAP("swap.5178",C5180,H5180,B5180,"USD","SOFR",I5180,J5180,0,"Actual360","Simple","Annual","Annual","Annual")</f>
        <v/>
      </c>
      <c r="F5180" s="8">
        <f>QS.TRADE.CREATE("trade.5178",C5180,E5180,A5180,"Receive")</f>
        <v/>
      </c>
      <c r="G5180" s="5"/>
      <c r="H5180" s="7" t="s">
        <v>5220</v>
      </c>
      <c r="I5180" s="9">
        <v>1517800</v>
      </c>
      <c r="J5180" s="10">
        <v>0.0378</v>
      </c>
    </row>
    <row r="5181" spans="1:10">
      <c r="A5181" s="7" t="s">
        <v>5214</v>
      </c>
      <c r="B5181" s="7" t="s">
        <v>7048</v>
      </c>
      <c r="C5181" s="8">
        <f>QS.CONTEXT.CREATE("market.5179",A5181,"USD","SOFR")</f>
        <v/>
      </c>
      <c r="D5181" s="8">
        <f>QS.CONTEXT.ADD.CURVE(C5181,"SOFR",$K$2:$K$7,$L$2:$L$7,,,"Actual360","LogLinear",TRUE)</f>
        <v/>
      </c>
      <c r="E5181" s="8">
        <f>QS.INSTRUMENT.SWAP("swap.5179",C5181,H5181,B5181,"USD","SOFR",I5181,J5181,0,"Actual360","Simple","Annual","Annual","Annual")</f>
        <v/>
      </c>
      <c r="F5181" s="8">
        <f>QS.TRADE.CREATE("trade.5179",C5181,E5181,A5181,"Receive")</f>
        <v/>
      </c>
      <c r="G5181" s="5"/>
      <c r="H5181" s="7" t="s">
        <v>5221</v>
      </c>
      <c r="I5181" s="9">
        <v>1517900</v>
      </c>
      <c r="J5181" s="10">
        <v>0.0379</v>
      </c>
    </row>
    <row r="5182" spans="1:10">
      <c r="A5182" s="7" t="s">
        <v>5215</v>
      </c>
      <c r="B5182" s="7" t="s">
        <v>7049</v>
      </c>
      <c r="C5182" s="8">
        <f>QS.CONTEXT.CREATE("market.5180",A5182,"USD","SOFR")</f>
        <v/>
      </c>
      <c r="D5182" s="8">
        <f>QS.CONTEXT.ADD.CURVE(C5182,"SOFR",$K$2:$K$7,$L$2:$L$7,,,"Actual360","LogLinear",TRUE)</f>
        <v/>
      </c>
      <c r="E5182" s="8">
        <f>QS.INSTRUMENT.SWAP("swap.5180",C5182,H5182,B5182,"USD","SOFR",I5182,J5182,0,"Actual360","Simple","Annual","Annual","Annual")</f>
        <v/>
      </c>
      <c r="F5182" s="8">
        <f>QS.TRADE.CREATE("trade.5180",C5182,E5182,A5182,"Receive")</f>
        <v/>
      </c>
      <c r="G5182" s="5"/>
      <c r="H5182" s="7" t="s">
        <v>5222</v>
      </c>
      <c r="I5182" s="9">
        <v>1518000</v>
      </c>
      <c r="J5182" s="10">
        <v>0.03800000000000001</v>
      </c>
    </row>
    <row r="5183" spans="1:10">
      <c r="A5183" s="7" t="s">
        <v>5216</v>
      </c>
      <c r="B5183" s="7" t="s">
        <v>7050</v>
      </c>
      <c r="C5183" s="8">
        <f>QS.CONTEXT.CREATE("market.5181",A5183,"USD","SOFR")</f>
        <v/>
      </c>
      <c r="D5183" s="8">
        <f>QS.CONTEXT.ADD.CURVE(C5183,"SOFR",$K$2:$K$7,$L$2:$L$7,,,"Actual360","LogLinear",TRUE)</f>
        <v/>
      </c>
      <c r="E5183" s="8">
        <f>QS.INSTRUMENT.SWAP("swap.5181",C5183,H5183,B5183,"USD","SOFR",I5183,J5183,0,"Actual360","Simple","Annual","Annual","Annual")</f>
        <v/>
      </c>
      <c r="F5183" s="8">
        <f>QS.TRADE.CREATE("trade.5181",C5183,E5183,A5183,"Receive")</f>
        <v/>
      </c>
      <c r="G5183" s="5"/>
      <c r="H5183" s="7" t="s">
        <v>5223</v>
      </c>
      <c r="I5183" s="9">
        <v>1518100</v>
      </c>
      <c r="J5183" s="10">
        <v>0.0381</v>
      </c>
    </row>
    <row r="5184" spans="1:10">
      <c r="A5184" s="7" t="s">
        <v>5217</v>
      </c>
      <c r="B5184" s="7" t="s">
        <v>7051</v>
      </c>
      <c r="C5184" s="8">
        <f>QS.CONTEXT.CREATE("market.5182",A5184,"USD","SOFR")</f>
        <v/>
      </c>
      <c r="D5184" s="8">
        <f>QS.CONTEXT.ADD.CURVE(C5184,"SOFR",$K$2:$K$7,$L$2:$L$7,,,"Actual360","LogLinear",TRUE)</f>
        <v/>
      </c>
      <c r="E5184" s="8">
        <f>QS.INSTRUMENT.SWAP("swap.5182",C5184,H5184,B5184,"USD","SOFR",I5184,J5184,0,"Actual360","Simple","Annual","Annual","Annual")</f>
        <v/>
      </c>
      <c r="F5184" s="8">
        <f>QS.TRADE.CREATE("trade.5182",C5184,E5184,A5184,"Receive")</f>
        <v/>
      </c>
      <c r="G5184" s="5"/>
      <c r="H5184" s="7" t="s">
        <v>5224</v>
      </c>
      <c r="I5184" s="9">
        <v>1518200</v>
      </c>
      <c r="J5184" s="10">
        <v>0.0382</v>
      </c>
    </row>
    <row r="5185" spans="1:10">
      <c r="A5185" s="7" t="s">
        <v>5218</v>
      </c>
      <c r="B5185" s="7" t="s">
        <v>7052</v>
      </c>
      <c r="C5185" s="8">
        <f>QS.CONTEXT.CREATE("market.5183",A5185,"USD","SOFR")</f>
        <v/>
      </c>
      <c r="D5185" s="8">
        <f>QS.CONTEXT.ADD.CURVE(C5185,"SOFR",$K$2:$K$7,$L$2:$L$7,,,"Actual360","LogLinear",TRUE)</f>
        <v/>
      </c>
      <c r="E5185" s="8">
        <f>QS.INSTRUMENT.SWAP("swap.5183",C5185,H5185,B5185,"USD","SOFR",I5185,J5185,0,"Actual360","Simple","Annual","Annual","Annual")</f>
        <v/>
      </c>
      <c r="F5185" s="8">
        <f>QS.TRADE.CREATE("trade.5183",C5185,E5185,A5185,"Receive")</f>
        <v/>
      </c>
      <c r="G5185" s="5"/>
      <c r="H5185" s="7" t="s">
        <v>5225</v>
      </c>
      <c r="I5185" s="9">
        <v>1518300</v>
      </c>
      <c r="J5185" s="10">
        <v>0.0383</v>
      </c>
    </row>
    <row r="5186" spans="1:10">
      <c r="A5186" s="7" t="s">
        <v>5219</v>
      </c>
      <c r="B5186" s="7" t="s">
        <v>7053</v>
      </c>
      <c r="C5186" s="8">
        <f>QS.CONTEXT.CREATE("market.5184",A5186,"USD","SOFR")</f>
        <v/>
      </c>
      <c r="D5186" s="8">
        <f>QS.CONTEXT.ADD.CURVE(C5186,"SOFR",$K$2:$K$7,$L$2:$L$7,,,"Actual360","LogLinear",TRUE)</f>
        <v/>
      </c>
      <c r="E5186" s="8">
        <f>QS.INSTRUMENT.SWAP("swap.5184",C5186,H5186,B5186,"USD","SOFR",I5186,J5186,0,"Actual360","Simple","Annual","Annual","Annual")</f>
        <v/>
      </c>
      <c r="F5186" s="8">
        <f>QS.TRADE.CREATE("trade.5184",C5186,E5186,A5186,"Receive")</f>
        <v/>
      </c>
      <c r="G5186" s="5"/>
      <c r="H5186" s="7" t="s">
        <v>5226</v>
      </c>
      <c r="I5186" s="9">
        <v>1518400</v>
      </c>
      <c r="J5186" s="10">
        <v>0.0384</v>
      </c>
    </row>
    <row r="5187" spans="1:10">
      <c r="A5187" s="7" t="s">
        <v>5220</v>
      </c>
      <c r="B5187" s="7" t="s">
        <v>7054</v>
      </c>
      <c r="C5187" s="8">
        <f>QS.CONTEXT.CREATE("market.5185",A5187,"USD","SOFR")</f>
        <v/>
      </c>
      <c r="D5187" s="8">
        <f>QS.CONTEXT.ADD.CURVE(C5187,"SOFR",$K$2:$K$7,$L$2:$L$7,,,"Actual360","LogLinear",TRUE)</f>
        <v/>
      </c>
      <c r="E5187" s="8">
        <f>QS.INSTRUMENT.SWAP("swap.5185",C5187,H5187,B5187,"USD","SOFR",I5187,J5187,0,"Actual360","Simple","Annual","Annual","Annual")</f>
        <v/>
      </c>
      <c r="F5187" s="8">
        <f>QS.TRADE.CREATE("trade.5185",C5187,E5187,A5187,"Receive")</f>
        <v/>
      </c>
      <c r="G5187" s="5"/>
      <c r="H5187" s="7" t="s">
        <v>5227</v>
      </c>
      <c r="I5187" s="9">
        <v>1518500</v>
      </c>
      <c r="J5187" s="10">
        <v>0.03850000000000001</v>
      </c>
    </row>
    <row r="5188" spans="1:10">
      <c r="A5188" s="7" t="s">
        <v>5221</v>
      </c>
      <c r="B5188" s="7" t="s">
        <v>7055</v>
      </c>
      <c r="C5188" s="8">
        <f>QS.CONTEXT.CREATE("market.5186",A5188,"USD","SOFR")</f>
        <v/>
      </c>
      <c r="D5188" s="8">
        <f>QS.CONTEXT.ADD.CURVE(C5188,"SOFR",$K$2:$K$7,$L$2:$L$7,,,"Actual360","LogLinear",TRUE)</f>
        <v/>
      </c>
      <c r="E5188" s="8">
        <f>QS.INSTRUMENT.SWAP("swap.5186",C5188,H5188,B5188,"USD","SOFR",I5188,J5188,0,"Actual360","Simple","Annual","Annual","Annual")</f>
        <v/>
      </c>
      <c r="F5188" s="8">
        <f>QS.TRADE.CREATE("trade.5186",C5188,E5188,A5188,"Receive")</f>
        <v/>
      </c>
      <c r="G5188" s="5"/>
      <c r="H5188" s="7" t="s">
        <v>5228</v>
      </c>
      <c r="I5188" s="9">
        <v>1518600</v>
      </c>
      <c r="J5188" s="10">
        <v>0.0386</v>
      </c>
    </row>
    <row r="5189" spans="1:10">
      <c r="A5189" s="7" t="s">
        <v>5222</v>
      </c>
      <c r="B5189" s="7" t="s">
        <v>7056</v>
      </c>
      <c r="C5189" s="8">
        <f>QS.CONTEXT.CREATE("market.5187",A5189,"USD","SOFR")</f>
        <v/>
      </c>
      <c r="D5189" s="8">
        <f>QS.CONTEXT.ADD.CURVE(C5189,"SOFR",$K$2:$K$7,$L$2:$L$7,,,"Actual360","LogLinear",TRUE)</f>
        <v/>
      </c>
      <c r="E5189" s="8">
        <f>QS.INSTRUMENT.SWAP("swap.5187",C5189,H5189,B5189,"USD","SOFR",I5189,J5189,0,"Actual360","Simple","Annual","Annual","Annual")</f>
        <v/>
      </c>
      <c r="F5189" s="8">
        <f>QS.TRADE.CREATE("trade.5187",C5189,E5189,A5189,"Receive")</f>
        <v/>
      </c>
      <c r="G5189" s="5"/>
      <c r="H5189" s="7" t="s">
        <v>5229</v>
      </c>
      <c r="I5189" s="9">
        <v>1518700</v>
      </c>
      <c r="J5189" s="10">
        <v>0.03870000000000001</v>
      </c>
    </row>
    <row r="5190" spans="1:10">
      <c r="A5190" s="7" t="s">
        <v>5223</v>
      </c>
      <c r="B5190" s="7" t="s">
        <v>7057</v>
      </c>
      <c r="C5190" s="8">
        <f>QS.CONTEXT.CREATE("market.5188",A5190,"USD","SOFR")</f>
        <v/>
      </c>
      <c r="D5190" s="8">
        <f>QS.CONTEXT.ADD.CURVE(C5190,"SOFR",$K$2:$K$7,$L$2:$L$7,,,"Actual360","LogLinear",TRUE)</f>
        <v/>
      </c>
      <c r="E5190" s="8">
        <f>QS.INSTRUMENT.SWAP("swap.5188",C5190,H5190,B5190,"USD","SOFR",I5190,J5190,0,"Actual360","Simple","Annual","Annual","Annual")</f>
        <v/>
      </c>
      <c r="F5190" s="8">
        <f>QS.TRADE.CREATE("trade.5188",C5190,E5190,A5190,"Receive")</f>
        <v/>
      </c>
      <c r="G5190" s="5"/>
      <c r="H5190" s="7" t="s">
        <v>5230</v>
      </c>
      <c r="I5190" s="9">
        <v>1518800</v>
      </c>
      <c r="J5190" s="10">
        <v>0.0388</v>
      </c>
    </row>
    <row r="5191" spans="1:10">
      <c r="A5191" s="7" t="s">
        <v>5224</v>
      </c>
      <c r="B5191" s="7" t="s">
        <v>7058</v>
      </c>
      <c r="C5191" s="8">
        <f>QS.CONTEXT.CREATE("market.5189",A5191,"USD","SOFR")</f>
        <v/>
      </c>
      <c r="D5191" s="8">
        <f>QS.CONTEXT.ADD.CURVE(C5191,"SOFR",$K$2:$K$7,$L$2:$L$7,,,"Actual360","LogLinear",TRUE)</f>
        <v/>
      </c>
      <c r="E5191" s="8">
        <f>QS.INSTRUMENT.SWAP("swap.5189",C5191,H5191,B5191,"USD","SOFR",I5191,J5191,0,"Actual360","Simple","Annual","Annual","Annual")</f>
        <v/>
      </c>
      <c r="F5191" s="8">
        <f>QS.TRADE.CREATE("trade.5189",C5191,E5191,A5191,"Receive")</f>
        <v/>
      </c>
      <c r="G5191" s="5"/>
      <c r="H5191" s="7" t="s">
        <v>5231</v>
      </c>
      <c r="I5191" s="9">
        <v>1518900</v>
      </c>
      <c r="J5191" s="10">
        <v>0.0389</v>
      </c>
    </row>
    <row r="5192" spans="1:10">
      <c r="A5192" s="7" t="s">
        <v>5225</v>
      </c>
      <c r="B5192" s="7" t="s">
        <v>7059</v>
      </c>
      <c r="C5192" s="8">
        <f>QS.CONTEXT.CREATE("market.5190",A5192,"USD","SOFR")</f>
        <v/>
      </c>
      <c r="D5192" s="8">
        <f>QS.CONTEXT.ADD.CURVE(C5192,"SOFR",$K$2:$K$7,$L$2:$L$7,,,"Actual360","LogLinear",TRUE)</f>
        <v/>
      </c>
      <c r="E5192" s="8">
        <f>QS.INSTRUMENT.SWAP("swap.5190",C5192,H5192,B5192,"USD","SOFR",I5192,J5192,0,"Actual360","Simple","Annual","Annual","Annual")</f>
        <v/>
      </c>
      <c r="F5192" s="8">
        <f>QS.TRADE.CREATE("trade.5190",C5192,E5192,A5192,"Receive")</f>
        <v/>
      </c>
      <c r="G5192" s="5"/>
      <c r="H5192" s="7" t="s">
        <v>5232</v>
      </c>
      <c r="I5192" s="9">
        <v>1519000</v>
      </c>
      <c r="J5192" s="10">
        <v>0.03900000000000001</v>
      </c>
    </row>
    <row r="5193" spans="1:10">
      <c r="A5193" s="7" t="s">
        <v>5226</v>
      </c>
      <c r="B5193" s="7" t="s">
        <v>7060</v>
      </c>
      <c r="C5193" s="8">
        <f>QS.CONTEXT.CREATE("market.5191",A5193,"USD","SOFR")</f>
        <v/>
      </c>
      <c r="D5193" s="8">
        <f>QS.CONTEXT.ADD.CURVE(C5193,"SOFR",$K$2:$K$7,$L$2:$L$7,,,"Actual360","LogLinear",TRUE)</f>
        <v/>
      </c>
      <c r="E5193" s="8">
        <f>QS.INSTRUMENT.SWAP("swap.5191",C5193,H5193,B5193,"USD","SOFR",I5193,J5193,0,"Actual360","Simple","Annual","Annual","Annual")</f>
        <v/>
      </c>
      <c r="F5193" s="8">
        <f>QS.TRADE.CREATE("trade.5191",C5193,E5193,A5193,"Receive")</f>
        <v/>
      </c>
      <c r="G5193" s="5"/>
      <c r="H5193" s="7" t="s">
        <v>5233</v>
      </c>
      <c r="I5193" s="9">
        <v>1519100</v>
      </c>
      <c r="J5193" s="10">
        <v>0.0391</v>
      </c>
    </row>
    <row r="5194" spans="1:10">
      <c r="A5194" s="7" t="s">
        <v>5227</v>
      </c>
      <c r="B5194" s="7" t="s">
        <v>7061</v>
      </c>
      <c r="C5194" s="8">
        <f>QS.CONTEXT.CREATE("market.5192",A5194,"USD","SOFR")</f>
        <v/>
      </c>
      <c r="D5194" s="8">
        <f>QS.CONTEXT.ADD.CURVE(C5194,"SOFR",$K$2:$K$7,$L$2:$L$7,,,"Actual360","LogLinear",TRUE)</f>
        <v/>
      </c>
      <c r="E5194" s="8">
        <f>QS.INSTRUMENT.SWAP("swap.5192",C5194,H5194,B5194,"USD","SOFR",I5194,J5194,0,"Actual360","Simple","Annual","Annual","Annual")</f>
        <v/>
      </c>
      <c r="F5194" s="8">
        <f>QS.TRADE.CREATE("trade.5192",C5194,E5194,A5194,"Receive")</f>
        <v/>
      </c>
      <c r="G5194" s="5"/>
      <c r="H5194" s="7" t="s">
        <v>5234</v>
      </c>
      <c r="I5194" s="9">
        <v>1519200</v>
      </c>
      <c r="J5194" s="10">
        <v>0.03920000000000001</v>
      </c>
    </row>
    <row r="5195" spans="1:10">
      <c r="A5195" s="7" t="s">
        <v>5228</v>
      </c>
      <c r="B5195" s="7" t="s">
        <v>7062</v>
      </c>
      <c r="C5195" s="8">
        <f>QS.CONTEXT.CREATE("market.5193",A5195,"USD","SOFR")</f>
        <v/>
      </c>
      <c r="D5195" s="8">
        <f>QS.CONTEXT.ADD.CURVE(C5195,"SOFR",$K$2:$K$7,$L$2:$L$7,,,"Actual360","LogLinear",TRUE)</f>
        <v/>
      </c>
      <c r="E5195" s="8">
        <f>QS.INSTRUMENT.SWAP("swap.5193",C5195,H5195,B5195,"USD","SOFR",I5195,J5195,0,"Actual360","Simple","Annual","Annual","Annual")</f>
        <v/>
      </c>
      <c r="F5195" s="8">
        <f>QS.TRADE.CREATE("trade.5193",C5195,E5195,A5195,"Receive")</f>
        <v/>
      </c>
      <c r="G5195" s="5"/>
      <c r="H5195" s="7" t="s">
        <v>5235</v>
      </c>
      <c r="I5195" s="9">
        <v>1519300</v>
      </c>
      <c r="J5195" s="10">
        <v>0.0393</v>
      </c>
    </row>
    <row r="5196" spans="1:10">
      <c r="A5196" s="7" t="s">
        <v>5229</v>
      </c>
      <c r="B5196" s="7" t="s">
        <v>7063</v>
      </c>
      <c r="C5196" s="8">
        <f>QS.CONTEXT.CREATE("market.5194",A5196,"USD","SOFR")</f>
        <v/>
      </c>
      <c r="D5196" s="8">
        <f>QS.CONTEXT.ADD.CURVE(C5196,"SOFR",$K$2:$K$7,$L$2:$L$7,,,"Actual360","LogLinear",TRUE)</f>
        <v/>
      </c>
      <c r="E5196" s="8">
        <f>QS.INSTRUMENT.SWAP("swap.5194",C5196,H5196,B5196,"USD","SOFR",I5196,J5196,0,"Actual360","Simple","Annual","Annual","Annual")</f>
        <v/>
      </c>
      <c r="F5196" s="8">
        <f>QS.TRADE.CREATE("trade.5194",C5196,E5196,A5196,"Receive")</f>
        <v/>
      </c>
      <c r="G5196" s="5"/>
      <c r="H5196" s="7" t="s">
        <v>5236</v>
      </c>
      <c r="I5196" s="9">
        <v>1519400</v>
      </c>
      <c r="J5196" s="10">
        <v>0.0394</v>
      </c>
    </row>
    <row r="5197" spans="1:10">
      <c r="A5197" s="7" t="s">
        <v>5230</v>
      </c>
      <c r="B5197" s="7" t="s">
        <v>7064</v>
      </c>
      <c r="C5197" s="8">
        <f>QS.CONTEXT.CREATE("market.5195",A5197,"USD","SOFR")</f>
        <v/>
      </c>
      <c r="D5197" s="8">
        <f>QS.CONTEXT.ADD.CURVE(C5197,"SOFR",$K$2:$K$7,$L$2:$L$7,,,"Actual360","LogLinear",TRUE)</f>
        <v/>
      </c>
      <c r="E5197" s="8">
        <f>QS.INSTRUMENT.SWAP("swap.5195",C5197,H5197,B5197,"USD","SOFR",I5197,J5197,0,"Actual360","Simple","Annual","Annual","Annual")</f>
        <v/>
      </c>
      <c r="F5197" s="8">
        <f>QS.TRADE.CREATE("trade.5195",C5197,E5197,A5197,"Receive")</f>
        <v/>
      </c>
      <c r="G5197" s="5"/>
      <c r="H5197" s="7" t="s">
        <v>5237</v>
      </c>
      <c r="I5197" s="9">
        <v>1519500</v>
      </c>
      <c r="J5197" s="10">
        <v>0.03950000000000001</v>
      </c>
    </row>
    <row r="5198" spans="1:10">
      <c r="A5198" s="7" t="s">
        <v>5231</v>
      </c>
      <c r="B5198" s="7" t="s">
        <v>7065</v>
      </c>
      <c r="C5198" s="8">
        <f>QS.CONTEXT.CREATE("market.5196",A5198,"USD","SOFR")</f>
        <v/>
      </c>
      <c r="D5198" s="8">
        <f>QS.CONTEXT.ADD.CURVE(C5198,"SOFR",$K$2:$K$7,$L$2:$L$7,,,"Actual360","LogLinear",TRUE)</f>
        <v/>
      </c>
      <c r="E5198" s="8">
        <f>QS.INSTRUMENT.SWAP("swap.5196",C5198,H5198,B5198,"USD","SOFR",I5198,J5198,0,"Actual360","Simple","Annual","Annual","Annual")</f>
        <v/>
      </c>
      <c r="F5198" s="8">
        <f>QS.TRADE.CREATE("trade.5196",C5198,E5198,A5198,"Receive")</f>
        <v/>
      </c>
      <c r="G5198" s="5"/>
      <c r="H5198" s="7" t="s">
        <v>5238</v>
      </c>
      <c r="I5198" s="9">
        <v>1519600</v>
      </c>
      <c r="J5198" s="10">
        <v>0.0396</v>
      </c>
    </row>
    <row r="5199" spans="1:10">
      <c r="A5199" s="7" t="s">
        <v>5232</v>
      </c>
      <c r="B5199" s="7" t="s">
        <v>7066</v>
      </c>
      <c r="C5199" s="8">
        <f>QS.CONTEXT.CREATE("market.5197",A5199,"USD","SOFR")</f>
        <v/>
      </c>
      <c r="D5199" s="8">
        <f>QS.CONTEXT.ADD.CURVE(C5199,"SOFR",$K$2:$K$7,$L$2:$L$7,,,"Actual360","LogLinear",TRUE)</f>
        <v/>
      </c>
      <c r="E5199" s="8">
        <f>QS.INSTRUMENT.SWAP("swap.5197",C5199,H5199,B5199,"USD","SOFR",I5199,J5199,0,"Actual360","Simple","Annual","Annual","Annual")</f>
        <v/>
      </c>
      <c r="F5199" s="8">
        <f>QS.TRADE.CREATE("trade.5197",C5199,E5199,A5199,"Receive")</f>
        <v/>
      </c>
      <c r="G5199" s="5"/>
      <c r="H5199" s="7" t="s">
        <v>5239</v>
      </c>
      <c r="I5199" s="9">
        <v>1519700</v>
      </c>
      <c r="J5199" s="10">
        <v>0.03970000000000001</v>
      </c>
    </row>
    <row r="5200" spans="1:10">
      <c r="A5200" s="7" t="s">
        <v>5233</v>
      </c>
      <c r="B5200" s="7" t="s">
        <v>7067</v>
      </c>
      <c r="C5200" s="8">
        <f>QS.CONTEXT.CREATE("market.5198",A5200,"USD","SOFR")</f>
        <v/>
      </c>
      <c r="D5200" s="8">
        <f>QS.CONTEXT.ADD.CURVE(C5200,"SOFR",$K$2:$K$7,$L$2:$L$7,,,"Actual360","LogLinear",TRUE)</f>
        <v/>
      </c>
      <c r="E5200" s="8">
        <f>QS.INSTRUMENT.SWAP("swap.5198",C5200,H5200,B5200,"USD","SOFR",I5200,J5200,0,"Actual360","Simple","Annual","Annual","Annual")</f>
        <v/>
      </c>
      <c r="F5200" s="8">
        <f>QS.TRADE.CREATE("trade.5198",C5200,E5200,A5200,"Receive")</f>
        <v/>
      </c>
      <c r="G5200" s="5"/>
      <c r="H5200" s="7" t="s">
        <v>5240</v>
      </c>
      <c r="I5200" s="9">
        <v>1519800</v>
      </c>
      <c r="J5200" s="10">
        <v>0.0398</v>
      </c>
    </row>
    <row r="5201" spans="1:10">
      <c r="A5201" s="7" t="s">
        <v>5234</v>
      </c>
      <c r="B5201" s="7" t="s">
        <v>7068</v>
      </c>
      <c r="C5201" s="8">
        <f>QS.CONTEXT.CREATE("market.5199",A5201,"USD","SOFR")</f>
        <v/>
      </c>
      <c r="D5201" s="8">
        <f>QS.CONTEXT.ADD.CURVE(C5201,"SOFR",$K$2:$K$7,$L$2:$L$7,,,"Actual360","LogLinear",TRUE)</f>
        <v/>
      </c>
      <c r="E5201" s="8">
        <f>QS.INSTRUMENT.SWAP("swap.5199",C5201,H5201,B5201,"USD","SOFR",I5201,J5201,0,"Actual360","Simple","Annual","Annual","Annual")</f>
        <v/>
      </c>
      <c r="F5201" s="8">
        <f>QS.TRADE.CREATE("trade.5199",C5201,E5201,A5201,"Receive")</f>
        <v/>
      </c>
      <c r="G5201" s="5"/>
      <c r="H5201" s="7" t="s">
        <v>5241</v>
      </c>
      <c r="I5201" s="9">
        <v>1519900</v>
      </c>
      <c r="J5201" s="10">
        <v>0.0399</v>
      </c>
    </row>
    <row r="5202" spans="1:10">
      <c r="A5202" s="7" t="s">
        <v>5235</v>
      </c>
      <c r="B5202" s="7" t="s">
        <v>7069</v>
      </c>
      <c r="C5202" s="8">
        <f>QS.CONTEXT.CREATE("market.5200",A5202,"USD","SOFR")</f>
        <v/>
      </c>
      <c r="D5202" s="8">
        <f>QS.CONTEXT.ADD.CURVE(C5202,"SOFR",$K$2:$K$7,$L$2:$L$7,,,"Actual360","LogLinear",TRUE)</f>
        <v/>
      </c>
      <c r="E5202" s="8">
        <f>QS.INSTRUMENT.SWAP("swap.5200",C5202,H5202,B5202,"USD","SOFR",I5202,J5202,0,"Actual360","Simple","Annual","Annual","Annual")</f>
        <v/>
      </c>
      <c r="F5202" s="8">
        <f>QS.TRADE.CREATE("trade.5200",C5202,E5202,A5202,"Receive")</f>
        <v/>
      </c>
      <c r="G5202" s="5"/>
      <c r="H5202" s="7" t="s">
        <v>5242</v>
      </c>
      <c r="I5202" s="9">
        <v>1520000</v>
      </c>
      <c r="J5202" s="10">
        <v>0.035</v>
      </c>
    </row>
    <row r="5203" spans="1:10">
      <c r="A5203" s="7" t="s">
        <v>5236</v>
      </c>
      <c r="B5203" s="7" t="s">
        <v>7070</v>
      </c>
      <c r="C5203" s="8">
        <f>QS.CONTEXT.CREATE("market.5201",A5203,"USD","SOFR")</f>
        <v/>
      </c>
      <c r="D5203" s="8">
        <f>QS.CONTEXT.ADD.CURVE(C5203,"SOFR",$K$2:$K$7,$L$2:$L$7,,,"Actual360","LogLinear",TRUE)</f>
        <v/>
      </c>
      <c r="E5203" s="8">
        <f>QS.INSTRUMENT.SWAP("swap.5201",C5203,H5203,B5203,"USD","SOFR",I5203,J5203,0,"Actual360","Simple","Annual","Annual","Annual")</f>
        <v/>
      </c>
      <c r="F5203" s="8">
        <f>QS.TRADE.CREATE("trade.5201",C5203,E5203,A5203,"Receive")</f>
        <v/>
      </c>
      <c r="G5203" s="5"/>
      <c r="H5203" s="7" t="s">
        <v>5243</v>
      </c>
      <c r="I5203" s="9">
        <v>1520100</v>
      </c>
      <c r="J5203" s="10">
        <v>0.03510000000000001</v>
      </c>
    </row>
    <row r="5204" spans="1:10">
      <c r="A5204" s="7" t="s">
        <v>5237</v>
      </c>
      <c r="B5204" s="7" t="s">
        <v>7071</v>
      </c>
      <c r="C5204" s="8">
        <f>QS.CONTEXT.CREATE("market.5202",A5204,"USD","SOFR")</f>
        <v/>
      </c>
      <c r="D5204" s="8">
        <f>QS.CONTEXT.ADD.CURVE(C5204,"SOFR",$K$2:$K$7,$L$2:$L$7,,,"Actual360","LogLinear",TRUE)</f>
        <v/>
      </c>
      <c r="E5204" s="8">
        <f>QS.INSTRUMENT.SWAP("swap.5202",C5204,H5204,B5204,"USD","SOFR",I5204,J5204,0,"Actual360","Simple","Annual","Annual","Annual")</f>
        <v/>
      </c>
      <c r="F5204" s="8">
        <f>QS.TRADE.CREATE("trade.5202",C5204,E5204,A5204,"Receive")</f>
        <v/>
      </c>
      <c r="G5204" s="5"/>
      <c r="H5204" s="7" t="s">
        <v>5244</v>
      </c>
      <c r="I5204" s="9">
        <v>1520200</v>
      </c>
      <c r="J5204" s="10">
        <v>0.0352</v>
      </c>
    </row>
    <row r="5205" spans="1:10">
      <c r="A5205" s="7" t="s">
        <v>5238</v>
      </c>
      <c r="B5205" s="7" t="s">
        <v>7072</v>
      </c>
      <c r="C5205" s="8">
        <f>QS.CONTEXT.CREATE("market.5203",A5205,"USD","SOFR")</f>
        <v/>
      </c>
      <c r="D5205" s="8">
        <f>QS.CONTEXT.ADD.CURVE(C5205,"SOFR",$K$2:$K$7,$L$2:$L$7,,,"Actual360","LogLinear",TRUE)</f>
        <v/>
      </c>
      <c r="E5205" s="8">
        <f>QS.INSTRUMENT.SWAP("swap.5203",C5205,H5205,B5205,"USD","SOFR",I5205,J5205,0,"Actual360","Simple","Annual","Annual","Annual")</f>
        <v/>
      </c>
      <c r="F5205" s="8">
        <f>QS.TRADE.CREATE("trade.5203",C5205,E5205,A5205,"Receive")</f>
        <v/>
      </c>
      <c r="G5205" s="5"/>
      <c r="H5205" s="7" t="s">
        <v>5245</v>
      </c>
      <c r="I5205" s="9">
        <v>1520300</v>
      </c>
      <c r="J5205" s="10">
        <v>0.0353</v>
      </c>
    </row>
    <row r="5206" spans="1:10">
      <c r="A5206" s="7" t="s">
        <v>5239</v>
      </c>
      <c r="B5206" s="7" t="s">
        <v>7073</v>
      </c>
      <c r="C5206" s="8">
        <f>QS.CONTEXT.CREATE("market.5204",A5206,"USD","SOFR")</f>
        <v/>
      </c>
      <c r="D5206" s="8">
        <f>QS.CONTEXT.ADD.CURVE(C5206,"SOFR",$K$2:$K$7,$L$2:$L$7,,,"Actual360","LogLinear",TRUE)</f>
        <v/>
      </c>
      <c r="E5206" s="8">
        <f>QS.INSTRUMENT.SWAP("swap.5204",C5206,H5206,B5206,"USD","SOFR",I5206,J5206,0,"Actual360","Simple","Annual","Annual","Annual")</f>
        <v/>
      </c>
      <c r="F5206" s="8">
        <f>QS.TRADE.CREATE("trade.5204",C5206,E5206,A5206,"Receive")</f>
        <v/>
      </c>
      <c r="G5206" s="5"/>
      <c r="H5206" s="7" t="s">
        <v>5246</v>
      </c>
      <c r="I5206" s="9">
        <v>1520400</v>
      </c>
      <c r="J5206" s="10">
        <v>0.0354</v>
      </c>
    </row>
    <row r="5207" spans="1:10">
      <c r="A5207" s="7" t="s">
        <v>5240</v>
      </c>
      <c r="B5207" s="7" t="s">
        <v>7074</v>
      </c>
      <c r="C5207" s="8">
        <f>QS.CONTEXT.CREATE("market.5205",A5207,"USD","SOFR")</f>
        <v/>
      </c>
      <c r="D5207" s="8">
        <f>QS.CONTEXT.ADD.CURVE(C5207,"SOFR",$K$2:$K$7,$L$2:$L$7,,,"Actual360","LogLinear",TRUE)</f>
        <v/>
      </c>
      <c r="E5207" s="8">
        <f>QS.INSTRUMENT.SWAP("swap.5205",C5207,H5207,B5207,"USD","SOFR",I5207,J5207,0,"Actual360","Simple","Annual","Annual","Annual")</f>
        <v/>
      </c>
      <c r="F5207" s="8">
        <f>QS.TRADE.CREATE("trade.5205",C5207,E5207,A5207,"Receive")</f>
        <v/>
      </c>
      <c r="G5207" s="5"/>
      <c r="H5207" s="7" t="s">
        <v>5247</v>
      </c>
      <c r="I5207" s="9">
        <v>1520500</v>
      </c>
      <c r="J5207" s="10">
        <v>0.0355</v>
      </c>
    </row>
    <row r="5208" spans="1:10">
      <c r="A5208" s="7" t="s">
        <v>5241</v>
      </c>
      <c r="B5208" s="7" t="s">
        <v>7075</v>
      </c>
      <c r="C5208" s="8">
        <f>QS.CONTEXT.CREATE("market.5206",A5208,"USD","SOFR")</f>
        <v/>
      </c>
      <c r="D5208" s="8">
        <f>QS.CONTEXT.ADD.CURVE(C5208,"SOFR",$K$2:$K$7,$L$2:$L$7,,,"Actual360","LogLinear",TRUE)</f>
        <v/>
      </c>
      <c r="E5208" s="8">
        <f>QS.INSTRUMENT.SWAP("swap.5206",C5208,H5208,B5208,"USD","SOFR",I5208,J5208,0,"Actual360","Simple","Annual","Annual","Annual")</f>
        <v/>
      </c>
      <c r="F5208" s="8">
        <f>QS.TRADE.CREATE("trade.5206",C5208,E5208,A5208,"Receive")</f>
        <v/>
      </c>
      <c r="G5208" s="5"/>
      <c r="H5208" s="7" t="s">
        <v>5248</v>
      </c>
      <c r="I5208" s="9">
        <v>1520600</v>
      </c>
      <c r="J5208" s="10">
        <v>0.03560000000000001</v>
      </c>
    </row>
    <row r="5209" spans="1:10">
      <c r="A5209" s="7" t="s">
        <v>5242</v>
      </c>
      <c r="B5209" s="7" t="s">
        <v>7076</v>
      </c>
      <c r="C5209" s="8">
        <f>QS.CONTEXT.CREATE("market.5207",A5209,"USD","SOFR")</f>
        <v/>
      </c>
      <c r="D5209" s="8">
        <f>QS.CONTEXT.ADD.CURVE(C5209,"SOFR",$K$2:$K$7,$L$2:$L$7,,,"Actual360","LogLinear",TRUE)</f>
        <v/>
      </c>
      <c r="E5209" s="8">
        <f>QS.INSTRUMENT.SWAP("swap.5207",C5209,H5209,B5209,"USD","SOFR",I5209,J5209,0,"Actual360","Simple","Annual","Annual","Annual")</f>
        <v/>
      </c>
      <c r="F5209" s="8">
        <f>QS.TRADE.CREATE("trade.5207",C5209,E5209,A5209,"Receive")</f>
        <v/>
      </c>
      <c r="G5209" s="5"/>
      <c r="H5209" s="7" t="s">
        <v>5249</v>
      </c>
      <c r="I5209" s="9">
        <v>1520700</v>
      </c>
      <c r="J5209" s="10">
        <v>0.0357</v>
      </c>
    </row>
    <row r="5210" spans="1:10">
      <c r="A5210" s="7" t="s">
        <v>5243</v>
      </c>
      <c r="B5210" s="7" t="s">
        <v>7077</v>
      </c>
      <c r="C5210" s="8">
        <f>QS.CONTEXT.CREATE("market.5208",A5210,"USD","SOFR")</f>
        <v/>
      </c>
      <c r="D5210" s="8">
        <f>QS.CONTEXT.ADD.CURVE(C5210,"SOFR",$K$2:$K$7,$L$2:$L$7,,,"Actual360","LogLinear",TRUE)</f>
        <v/>
      </c>
      <c r="E5210" s="8">
        <f>QS.INSTRUMENT.SWAP("swap.5208",C5210,H5210,B5210,"USD","SOFR",I5210,J5210,0,"Actual360","Simple","Annual","Annual","Annual")</f>
        <v/>
      </c>
      <c r="F5210" s="8">
        <f>QS.TRADE.CREATE("trade.5208",C5210,E5210,A5210,"Receive")</f>
        <v/>
      </c>
      <c r="G5210" s="5"/>
      <c r="H5210" s="7" t="s">
        <v>5250</v>
      </c>
      <c r="I5210" s="9">
        <v>1520800</v>
      </c>
      <c r="J5210" s="10">
        <v>0.03580000000000001</v>
      </c>
    </row>
    <row r="5211" spans="1:10">
      <c r="A5211" s="7" t="s">
        <v>5244</v>
      </c>
      <c r="B5211" s="7" t="s">
        <v>7078</v>
      </c>
      <c r="C5211" s="8">
        <f>QS.CONTEXT.CREATE("market.5209",A5211,"USD","SOFR")</f>
        <v/>
      </c>
      <c r="D5211" s="8">
        <f>QS.CONTEXT.ADD.CURVE(C5211,"SOFR",$K$2:$K$7,$L$2:$L$7,,,"Actual360","LogLinear",TRUE)</f>
        <v/>
      </c>
      <c r="E5211" s="8">
        <f>QS.INSTRUMENT.SWAP("swap.5209",C5211,H5211,B5211,"USD","SOFR",I5211,J5211,0,"Actual360","Simple","Annual","Annual","Annual")</f>
        <v/>
      </c>
      <c r="F5211" s="8">
        <f>QS.TRADE.CREATE("trade.5209",C5211,E5211,A5211,"Receive")</f>
        <v/>
      </c>
      <c r="G5211" s="5"/>
      <c r="H5211" s="7" t="s">
        <v>5251</v>
      </c>
      <c r="I5211" s="9">
        <v>1520900</v>
      </c>
      <c r="J5211" s="10">
        <v>0.0359</v>
      </c>
    </row>
    <row r="5212" spans="1:10">
      <c r="A5212" s="7" t="s">
        <v>5245</v>
      </c>
      <c r="B5212" s="7" t="s">
        <v>7079</v>
      </c>
      <c r="C5212" s="8">
        <f>QS.CONTEXT.CREATE("market.5210",A5212,"USD","SOFR")</f>
        <v/>
      </c>
      <c r="D5212" s="8">
        <f>QS.CONTEXT.ADD.CURVE(C5212,"SOFR",$K$2:$K$7,$L$2:$L$7,,,"Actual360","LogLinear",TRUE)</f>
        <v/>
      </c>
      <c r="E5212" s="8">
        <f>QS.INSTRUMENT.SWAP("swap.5210",C5212,H5212,B5212,"USD","SOFR",I5212,J5212,0,"Actual360","Simple","Annual","Annual","Annual")</f>
        <v/>
      </c>
      <c r="F5212" s="8">
        <f>QS.TRADE.CREATE("trade.5210",C5212,E5212,A5212,"Receive")</f>
        <v/>
      </c>
      <c r="G5212" s="5"/>
      <c r="H5212" s="7" t="s">
        <v>5252</v>
      </c>
      <c r="I5212" s="9">
        <v>1521000</v>
      </c>
      <c r="J5212" s="10">
        <v>0.036</v>
      </c>
    </row>
    <row r="5213" spans="1:10">
      <c r="A5213" s="7" t="s">
        <v>5246</v>
      </c>
      <c r="B5213" s="7" t="s">
        <v>7080</v>
      </c>
      <c r="C5213" s="8">
        <f>QS.CONTEXT.CREATE("market.5211",A5213,"USD","SOFR")</f>
        <v/>
      </c>
      <c r="D5213" s="8">
        <f>QS.CONTEXT.ADD.CURVE(C5213,"SOFR",$K$2:$K$7,$L$2:$L$7,,,"Actual360","LogLinear",TRUE)</f>
        <v/>
      </c>
      <c r="E5213" s="8">
        <f>QS.INSTRUMENT.SWAP("swap.5211",C5213,H5213,B5213,"USD","SOFR",I5213,J5213,0,"Actual360","Simple","Annual","Annual","Annual")</f>
        <v/>
      </c>
      <c r="F5213" s="8">
        <f>QS.TRADE.CREATE("trade.5211",C5213,E5213,A5213,"Receive")</f>
        <v/>
      </c>
      <c r="G5213" s="5"/>
      <c r="H5213" s="7" t="s">
        <v>5253</v>
      </c>
      <c r="I5213" s="9">
        <v>1521100</v>
      </c>
      <c r="J5213" s="10">
        <v>0.0361</v>
      </c>
    </row>
    <row r="5214" spans="1:10">
      <c r="A5214" s="7" t="s">
        <v>5247</v>
      </c>
      <c r="B5214" s="7" t="s">
        <v>7081</v>
      </c>
      <c r="C5214" s="8">
        <f>QS.CONTEXT.CREATE("market.5212",A5214,"USD","SOFR")</f>
        <v/>
      </c>
      <c r="D5214" s="8">
        <f>QS.CONTEXT.ADD.CURVE(C5214,"SOFR",$K$2:$K$7,$L$2:$L$7,,,"Actual360","LogLinear",TRUE)</f>
        <v/>
      </c>
      <c r="E5214" s="8">
        <f>QS.INSTRUMENT.SWAP("swap.5212",C5214,H5214,B5214,"USD","SOFR",I5214,J5214,0,"Actual360","Simple","Annual","Annual","Annual")</f>
        <v/>
      </c>
      <c r="F5214" s="8">
        <f>QS.TRADE.CREATE("trade.5212",C5214,E5214,A5214,"Receive")</f>
        <v/>
      </c>
      <c r="G5214" s="5"/>
      <c r="H5214" s="7" t="s">
        <v>5254</v>
      </c>
      <c r="I5214" s="9">
        <v>1521200</v>
      </c>
      <c r="J5214" s="10">
        <v>0.0362</v>
      </c>
    </row>
    <row r="5215" spans="1:10">
      <c r="A5215" s="7" t="s">
        <v>5248</v>
      </c>
      <c r="B5215" s="7" t="s">
        <v>7082</v>
      </c>
      <c r="C5215" s="8">
        <f>QS.CONTEXT.CREATE("market.5213",A5215,"USD","SOFR")</f>
        <v/>
      </c>
      <c r="D5215" s="8">
        <f>QS.CONTEXT.ADD.CURVE(C5215,"SOFR",$K$2:$K$7,$L$2:$L$7,,,"Actual360","LogLinear",TRUE)</f>
        <v/>
      </c>
      <c r="E5215" s="8">
        <f>QS.INSTRUMENT.SWAP("swap.5213",C5215,H5215,B5215,"USD","SOFR",I5215,J5215,0,"Actual360","Simple","Annual","Annual","Annual")</f>
        <v/>
      </c>
      <c r="F5215" s="8">
        <f>QS.TRADE.CREATE("trade.5213",C5215,E5215,A5215,"Receive")</f>
        <v/>
      </c>
      <c r="G5215" s="5"/>
      <c r="H5215" s="7" t="s">
        <v>5255</v>
      </c>
      <c r="I5215" s="9">
        <v>1521300</v>
      </c>
      <c r="J5215" s="10">
        <v>0.03630000000000001</v>
      </c>
    </row>
    <row r="5216" spans="1:10">
      <c r="A5216" s="7" t="s">
        <v>5249</v>
      </c>
      <c r="B5216" s="7" t="s">
        <v>7083</v>
      </c>
      <c r="C5216" s="8">
        <f>QS.CONTEXT.CREATE("market.5214",A5216,"USD","SOFR")</f>
        <v/>
      </c>
      <c r="D5216" s="8">
        <f>QS.CONTEXT.ADD.CURVE(C5216,"SOFR",$K$2:$K$7,$L$2:$L$7,,,"Actual360","LogLinear",TRUE)</f>
        <v/>
      </c>
      <c r="E5216" s="8">
        <f>QS.INSTRUMENT.SWAP("swap.5214",C5216,H5216,B5216,"USD","SOFR",I5216,J5216,0,"Actual360","Simple","Annual","Annual","Annual")</f>
        <v/>
      </c>
      <c r="F5216" s="8">
        <f>QS.TRADE.CREATE("trade.5214",C5216,E5216,A5216,"Receive")</f>
        <v/>
      </c>
      <c r="G5216" s="5"/>
      <c r="H5216" s="7" t="s">
        <v>5256</v>
      </c>
      <c r="I5216" s="9">
        <v>1521400</v>
      </c>
      <c r="J5216" s="10">
        <v>0.0364</v>
      </c>
    </row>
    <row r="5217" spans="1:10">
      <c r="A5217" s="7" t="s">
        <v>5250</v>
      </c>
      <c r="B5217" s="7" t="s">
        <v>7084</v>
      </c>
      <c r="C5217" s="8">
        <f>QS.CONTEXT.CREATE("market.5215",A5217,"USD","SOFR")</f>
        <v/>
      </c>
      <c r="D5217" s="8">
        <f>QS.CONTEXT.ADD.CURVE(C5217,"SOFR",$K$2:$K$7,$L$2:$L$7,,,"Actual360","LogLinear",TRUE)</f>
        <v/>
      </c>
      <c r="E5217" s="8">
        <f>QS.INSTRUMENT.SWAP("swap.5215",C5217,H5217,B5217,"USD","SOFR",I5217,J5217,0,"Actual360","Simple","Annual","Annual","Annual")</f>
        <v/>
      </c>
      <c r="F5217" s="8">
        <f>QS.TRADE.CREATE("trade.5215",C5217,E5217,A5217,"Receive")</f>
        <v/>
      </c>
      <c r="G5217" s="5"/>
      <c r="H5217" s="7" t="s">
        <v>5257</v>
      </c>
      <c r="I5217" s="9">
        <v>1521500</v>
      </c>
      <c r="J5217" s="10">
        <v>0.0365</v>
      </c>
    </row>
    <row r="5218" spans="1:10">
      <c r="A5218" s="7" t="s">
        <v>5251</v>
      </c>
      <c r="B5218" s="7" t="s">
        <v>7085</v>
      </c>
      <c r="C5218" s="8">
        <f>QS.CONTEXT.CREATE("market.5216",A5218,"USD","SOFR")</f>
        <v/>
      </c>
      <c r="D5218" s="8">
        <f>QS.CONTEXT.ADD.CURVE(C5218,"SOFR",$K$2:$K$7,$L$2:$L$7,,,"Actual360","LogLinear",TRUE)</f>
        <v/>
      </c>
      <c r="E5218" s="8">
        <f>QS.INSTRUMENT.SWAP("swap.5216",C5218,H5218,B5218,"USD","SOFR",I5218,J5218,0,"Actual360","Simple","Annual","Annual","Annual")</f>
        <v/>
      </c>
      <c r="F5218" s="8">
        <f>QS.TRADE.CREATE("trade.5216",C5218,E5218,A5218,"Receive")</f>
        <v/>
      </c>
      <c r="G5218" s="5"/>
      <c r="H5218" s="7" t="s">
        <v>5258</v>
      </c>
      <c r="I5218" s="9">
        <v>1521600</v>
      </c>
      <c r="J5218" s="10">
        <v>0.0366</v>
      </c>
    </row>
    <row r="5219" spans="1:10">
      <c r="A5219" s="7" t="s">
        <v>5252</v>
      </c>
      <c r="B5219" s="7" t="s">
        <v>7086</v>
      </c>
      <c r="C5219" s="8">
        <f>QS.CONTEXT.CREATE("market.5217",A5219,"USD","SOFR")</f>
        <v/>
      </c>
      <c r="D5219" s="8">
        <f>QS.CONTEXT.ADD.CURVE(C5219,"SOFR",$K$2:$K$7,$L$2:$L$7,,,"Actual360","LogLinear",TRUE)</f>
        <v/>
      </c>
      <c r="E5219" s="8">
        <f>QS.INSTRUMENT.SWAP("swap.5217",C5219,H5219,B5219,"USD","SOFR",I5219,J5219,0,"Actual360","Simple","Annual","Annual","Annual")</f>
        <v/>
      </c>
      <c r="F5219" s="8">
        <f>QS.TRADE.CREATE("trade.5217",C5219,E5219,A5219,"Receive")</f>
        <v/>
      </c>
      <c r="G5219" s="5"/>
      <c r="H5219" s="7" t="s">
        <v>5259</v>
      </c>
      <c r="I5219" s="9">
        <v>1521700</v>
      </c>
      <c r="J5219" s="10">
        <v>0.0367</v>
      </c>
    </row>
    <row r="5220" spans="1:10">
      <c r="A5220" s="7" t="s">
        <v>5253</v>
      </c>
      <c r="B5220" s="7" t="s">
        <v>7087</v>
      </c>
      <c r="C5220" s="8">
        <f>QS.CONTEXT.CREATE("market.5218",A5220,"USD","SOFR")</f>
        <v/>
      </c>
      <c r="D5220" s="8">
        <f>QS.CONTEXT.ADD.CURVE(C5220,"SOFR",$K$2:$K$7,$L$2:$L$7,,,"Actual360","LogLinear",TRUE)</f>
        <v/>
      </c>
      <c r="E5220" s="8">
        <f>QS.INSTRUMENT.SWAP("swap.5218",C5220,H5220,B5220,"USD","SOFR",I5220,J5220,0,"Actual360","Simple","Annual","Annual","Annual")</f>
        <v/>
      </c>
      <c r="F5220" s="8">
        <f>QS.TRADE.CREATE("trade.5218",C5220,E5220,A5220,"Receive")</f>
        <v/>
      </c>
      <c r="G5220" s="5"/>
      <c r="H5220" s="7" t="s">
        <v>5260</v>
      </c>
      <c r="I5220" s="9">
        <v>1521800</v>
      </c>
      <c r="J5220" s="10">
        <v>0.03680000000000001</v>
      </c>
    </row>
    <row r="5221" spans="1:10">
      <c r="A5221" s="7" t="s">
        <v>5254</v>
      </c>
      <c r="B5221" s="7" t="s">
        <v>7088</v>
      </c>
      <c r="C5221" s="8">
        <f>QS.CONTEXT.CREATE("market.5219",A5221,"USD","SOFR")</f>
        <v/>
      </c>
      <c r="D5221" s="8">
        <f>QS.CONTEXT.ADD.CURVE(C5221,"SOFR",$K$2:$K$7,$L$2:$L$7,,,"Actual360","LogLinear",TRUE)</f>
        <v/>
      </c>
      <c r="E5221" s="8">
        <f>QS.INSTRUMENT.SWAP("swap.5219",C5221,H5221,B5221,"USD","SOFR",I5221,J5221,0,"Actual360","Simple","Annual","Annual","Annual")</f>
        <v/>
      </c>
      <c r="F5221" s="8">
        <f>QS.TRADE.CREATE("trade.5219",C5221,E5221,A5221,"Receive")</f>
        <v/>
      </c>
      <c r="G5221" s="5"/>
      <c r="H5221" s="7" t="s">
        <v>5261</v>
      </c>
      <c r="I5221" s="9">
        <v>1521900</v>
      </c>
      <c r="J5221" s="10">
        <v>0.0369</v>
      </c>
    </row>
    <row r="5222" spans="1:10">
      <c r="A5222" s="7" t="s">
        <v>5255</v>
      </c>
      <c r="B5222" s="7" t="s">
        <v>7089</v>
      </c>
      <c r="C5222" s="8">
        <f>QS.CONTEXT.CREATE("market.5220",A5222,"USD","SOFR")</f>
        <v/>
      </c>
      <c r="D5222" s="8">
        <f>QS.CONTEXT.ADD.CURVE(C5222,"SOFR",$K$2:$K$7,$L$2:$L$7,,,"Actual360","LogLinear",TRUE)</f>
        <v/>
      </c>
      <c r="E5222" s="8">
        <f>QS.INSTRUMENT.SWAP("swap.5220",C5222,H5222,B5222,"USD","SOFR",I5222,J5222,0,"Actual360","Simple","Annual","Annual","Annual")</f>
        <v/>
      </c>
      <c r="F5222" s="8">
        <f>QS.TRADE.CREATE("trade.5220",C5222,E5222,A5222,"Receive")</f>
        <v/>
      </c>
      <c r="G5222" s="5"/>
      <c r="H5222" s="7" t="s">
        <v>5262</v>
      </c>
      <c r="I5222" s="9">
        <v>1522000</v>
      </c>
      <c r="J5222" s="10">
        <v>0.03700000000000001</v>
      </c>
    </row>
    <row r="5223" spans="1:10">
      <c r="A5223" s="7" t="s">
        <v>5256</v>
      </c>
      <c r="B5223" s="7" t="s">
        <v>7090</v>
      </c>
      <c r="C5223" s="8">
        <f>QS.CONTEXT.CREATE("market.5221",A5223,"USD","SOFR")</f>
        <v/>
      </c>
      <c r="D5223" s="8">
        <f>QS.CONTEXT.ADD.CURVE(C5223,"SOFR",$K$2:$K$7,$L$2:$L$7,,,"Actual360","LogLinear",TRUE)</f>
        <v/>
      </c>
      <c r="E5223" s="8">
        <f>QS.INSTRUMENT.SWAP("swap.5221",C5223,H5223,B5223,"USD","SOFR",I5223,J5223,0,"Actual360","Simple","Annual","Annual","Annual")</f>
        <v/>
      </c>
      <c r="F5223" s="8">
        <f>QS.TRADE.CREATE("trade.5221",C5223,E5223,A5223,"Receive")</f>
        <v/>
      </c>
      <c r="G5223" s="5"/>
      <c r="H5223" s="7" t="s">
        <v>5263</v>
      </c>
      <c r="I5223" s="9">
        <v>1522100</v>
      </c>
      <c r="J5223" s="10">
        <v>0.0371</v>
      </c>
    </row>
    <row r="5224" spans="1:10">
      <c r="A5224" s="7" t="s">
        <v>5257</v>
      </c>
      <c r="B5224" s="7" t="s">
        <v>7091</v>
      </c>
      <c r="C5224" s="8">
        <f>QS.CONTEXT.CREATE("market.5222",A5224,"USD","SOFR")</f>
        <v/>
      </c>
      <c r="D5224" s="8">
        <f>QS.CONTEXT.ADD.CURVE(C5224,"SOFR",$K$2:$K$7,$L$2:$L$7,,,"Actual360","LogLinear",TRUE)</f>
        <v/>
      </c>
      <c r="E5224" s="8">
        <f>QS.INSTRUMENT.SWAP("swap.5222",C5224,H5224,B5224,"USD","SOFR",I5224,J5224,0,"Actual360","Simple","Annual","Annual","Annual")</f>
        <v/>
      </c>
      <c r="F5224" s="8">
        <f>QS.TRADE.CREATE("trade.5222",C5224,E5224,A5224,"Receive")</f>
        <v/>
      </c>
      <c r="G5224" s="5"/>
      <c r="H5224" s="7" t="s">
        <v>5264</v>
      </c>
      <c r="I5224" s="9">
        <v>1522200</v>
      </c>
      <c r="J5224" s="10">
        <v>0.0372</v>
      </c>
    </row>
    <row r="5225" spans="1:10">
      <c r="A5225" s="7" t="s">
        <v>5258</v>
      </c>
      <c r="B5225" s="7" t="s">
        <v>7092</v>
      </c>
      <c r="C5225" s="8">
        <f>QS.CONTEXT.CREATE("market.5223",A5225,"USD","SOFR")</f>
        <v/>
      </c>
      <c r="D5225" s="8">
        <f>QS.CONTEXT.ADD.CURVE(C5225,"SOFR",$K$2:$K$7,$L$2:$L$7,,,"Actual360","LogLinear",TRUE)</f>
        <v/>
      </c>
      <c r="E5225" s="8">
        <f>QS.INSTRUMENT.SWAP("swap.5223",C5225,H5225,B5225,"USD","SOFR",I5225,J5225,0,"Actual360","Simple","Annual","Annual","Annual")</f>
        <v/>
      </c>
      <c r="F5225" s="8">
        <f>QS.TRADE.CREATE("trade.5223",C5225,E5225,A5225,"Receive")</f>
        <v/>
      </c>
      <c r="G5225" s="5"/>
      <c r="H5225" s="7" t="s">
        <v>5265</v>
      </c>
      <c r="I5225" s="9">
        <v>1522300</v>
      </c>
      <c r="J5225" s="10">
        <v>0.0373</v>
      </c>
    </row>
    <row r="5226" spans="1:10">
      <c r="A5226" s="7" t="s">
        <v>5259</v>
      </c>
      <c r="B5226" s="7" t="s">
        <v>7093</v>
      </c>
      <c r="C5226" s="8">
        <f>QS.CONTEXT.CREATE("market.5224",A5226,"USD","SOFR")</f>
        <v/>
      </c>
      <c r="D5226" s="8">
        <f>QS.CONTEXT.ADD.CURVE(C5226,"SOFR",$K$2:$K$7,$L$2:$L$7,,,"Actual360","LogLinear",TRUE)</f>
        <v/>
      </c>
      <c r="E5226" s="8">
        <f>QS.INSTRUMENT.SWAP("swap.5224",C5226,H5226,B5226,"USD","SOFR",I5226,J5226,0,"Actual360","Simple","Annual","Annual","Annual")</f>
        <v/>
      </c>
      <c r="F5226" s="8">
        <f>QS.TRADE.CREATE("trade.5224",C5226,E5226,A5226,"Receive")</f>
        <v/>
      </c>
      <c r="G5226" s="5"/>
      <c r="H5226" s="7" t="s">
        <v>5266</v>
      </c>
      <c r="I5226" s="9">
        <v>1522400</v>
      </c>
      <c r="J5226" s="10">
        <v>0.0374</v>
      </c>
    </row>
    <row r="5227" spans="1:10">
      <c r="A5227" s="7" t="s">
        <v>5260</v>
      </c>
      <c r="B5227" s="7" t="s">
        <v>7094</v>
      </c>
      <c r="C5227" s="8">
        <f>QS.CONTEXT.CREATE("market.5225",A5227,"USD","SOFR")</f>
        <v/>
      </c>
      <c r="D5227" s="8">
        <f>QS.CONTEXT.ADD.CURVE(C5227,"SOFR",$K$2:$K$7,$L$2:$L$7,,,"Actual360","LogLinear",TRUE)</f>
        <v/>
      </c>
      <c r="E5227" s="8">
        <f>QS.INSTRUMENT.SWAP("swap.5225",C5227,H5227,B5227,"USD","SOFR",I5227,J5227,0,"Actual360","Simple","Annual","Annual","Annual")</f>
        <v/>
      </c>
      <c r="F5227" s="8">
        <f>QS.TRADE.CREATE("trade.5225",C5227,E5227,A5227,"Receive")</f>
        <v/>
      </c>
      <c r="G5227" s="5"/>
      <c r="H5227" s="7" t="s">
        <v>5267</v>
      </c>
      <c r="I5227" s="9">
        <v>1522500</v>
      </c>
      <c r="J5227" s="10">
        <v>0.03750000000000001</v>
      </c>
    </row>
    <row r="5228" spans="1:10">
      <c r="A5228" s="7" t="s">
        <v>5261</v>
      </c>
      <c r="B5228" s="7" t="s">
        <v>7095</v>
      </c>
      <c r="C5228" s="8">
        <f>QS.CONTEXT.CREATE("market.5226",A5228,"USD","SOFR")</f>
        <v/>
      </c>
      <c r="D5228" s="8">
        <f>QS.CONTEXT.ADD.CURVE(C5228,"SOFR",$K$2:$K$7,$L$2:$L$7,,,"Actual360","LogLinear",TRUE)</f>
        <v/>
      </c>
      <c r="E5228" s="8">
        <f>QS.INSTRUMENT.SWAP("swap.5226",C5228,H5228,B5228,"USD","SOFR",I5228,J5228,0,"Actual360","Simple","Annual","Annual","Annual")</f>
        <v/>
      </c>
      <c r="F5228" s="8">
        <f>QS.TRADE.CREATE("trade.5226",C5228,E5228,A5228,"Receive")</f>
        <v/>
      </c>
      <c r="G5228" s="5"/>
      <c r="H5228" s="7" t="s">
        <v>5268</v>
      </c>
      <c r="I5228" s="9">
        <v>1522600</v>
      </c>
      <c r="J5228" s="10">
        <v>0.0376</v>
      </c>
    </row>
    <row r="5229" spans="1:10">
      <c r="A5229" s="7" t="s">
        <v>5262</v>
      </c>
      <c r="B5229" s="7" t="s">
        <v>7096</v>
      </c>
      <c r="C5229" s="8">
        <f>QS.CONTEXT.CREATE("market.5227",A5229,"USD","SOFR")</f>
        <v/>
      </c>
      <c r="D5229" s="8">
        <f>QS.CONTEXT.ADD.CURVE(C5229,"SOFR",$K$2:$K$7,$L$2:$L$7,,,"Actual360","LogLinear",TRUE)</f>
        <v/>
      </c>
      <c r="E5229" s="8">
        <f>QS.INSTRUMENT.SWAP("swap.5227",C5229,H5229,B5229,"USD","SOFR",I5229,J5229,0,"Actual360","Simple","Annual","Annual","Annual")</f>
        <v/>
      </c>
      <c r="F5229" s="8">
        <f>QS.TRADE.CREATE("trade.5227",C5229,E5229,A5229,"Receive")</f>
        <v/>
      </c>
      <c r="G5229" s="5"/>
      <c r="H5229" s="7" t="s">
        <v>5269</v>
      </c>
      <c r="I5229" s="9">
        <v>1522700</v>
      </c>
      <c r="J5229" s="10">
        <v>0.0377</v>
      </c>
    </row>
    <row r="5230" spans="1:10">
      <c r="A5230" s="7" t="s">
        <v>5263</v>
      </c>
      <c r="B5230" s="7" t="s">
        <v>7097</v>
      </c>
      <c r="C5230" s="8">
        <f>QS.CONTEXT.CREATE("market.5228",A5230,"USD","SOFR")</f>
        <v/>
      </c>
      <c r="D5230" s="8">
        <f>QS.CONTEXT.ADD.CURVE(C5230,"SOFR",$K$2:$K$7,$L$2:$L$7,,,"Actual360","LogLinear",TRUE)</f>
        <v/>
      </c>
      <c r="E5230" s="8">
        <f>QS.INSTRUMENT.SWAP("swap.5228",C5230,H5230,B5230,"USD","SOFR",I5230,J5230,0,"Actual360","Simple","Annual","Annual","Annual")</f>
        <v/>
      </c>
      <c r="F5230" s="8">
        <f>QS.TRADE.CREATE("trade.5228",C5230,E5230,A5230,"Receive")</f>
        <v/>
      </c>
      <c r="G5230" s="5"/>
      <c r="H5230" s="7" t="s">
        <v>5270</v>
      </c>
      <c r="I5230" s="9">
        <v>1522800</v>
      </c>
      <c r="J5230" s="10">
        <v>0.0378</v>
      </c>
    </row>
    <row r="5231" spans="1:10">
      <c r="A5231" s="7" t="s">
        <v>5264</v>
      </c>
      <c r="B5231" s="7" t="s">
        <v>7098</v>
      </c>
      <c r="C5231" s="8">
        <f>QS.CONTEXT.CREATE("market.5229",A5231,"USD","SOFR")</f>
        <v/>
      </c>
      <c r="D5231" s="8">
        <f>QS.CONTEXT.ADD.CURVE(C5231,"SOFR",$K$2:$K$7,$L$2:$L$7,,,"Actual360","LogLinear",TRUE)</f>
        <v/>
      </c>
      <c r="E5231" s="8">
        <f>QS.INSTRUMENT.SWAP("swap.5229",C5231,H5231,B5231,"USD","SOFR",I5231,J5231,0,"Actual360","Simple","Annual","Annual","Annual")</f>
        <v/>
      </c>
      <c r="F5231" s="8">
        <f>QS.TRADE.CREATE("trade.5229",C5231,E5231,A5231,"Receive")</f>
        <v/>
      </c>
      <c r="G5231" s="5"/>
      <c r="H5231" s="7" t="s">
        <v>5271</v>
      </c>
      <c r="I5231" s="9">
        <v>1522900</v>
      </c>
      <c r="J5231" s="10">
        <v>0.0379</v>
      </c>
    </row>
    <row r="5232" spans="1:10">
      <c r="A5232" s="7" t="s">
        <v>5265</v>
      </c>
      <c r="B5232" s="7" t="s">
        <v>7099</v>
      </c>
      <c r="C5232" s="8">
        <f>QS.CONTEXT.CREATE("market.5230",A5232,"USD","SOFR")</f>
        <v/>
      </c>
      <c r="D5232" s="8">
        <f>QS.CONTEXT.ADD.CURVE(C5232,"SOFR",$K$2:$K$7,$L$2:$L$7,,,"Actual360","LogLinear",TRUE)</f>
        <v/>
      </c>
      <c r="E5232" s="8">
        <f>QS.INSTRUMENT.SWAP("swap.5230",C5232,H5232,B5232,"USD","SOFR",I5232,J5232,0,"Actual360","Simple","Annual","Annual","Annual")</f>
        <v/>
      </c>
      <c r="F5232" s="8">
        <f>QS.TRADE.CREATE("trade.5230",C5232,E5232,A5232,"Receive")</f>
        <v/>
      </c>
      <c r="G5232" s="5"/>
      <c r="H5232" s="7" t="s">
        <v>5272</v>
      </c>
      <c r="I5232" s="9">
        <v>1523000</v>
      </c>
      <c r="J5232" s="10">
        <v>0.03800000000000001</v>
      </c>
    </row>
    <row r="5233" spans="1:10">
      <c r="A5233" s="7" t="s">
        <v>5266</v>
      </c>
      <c r="B5233" s="7" t="s">
        <v>7100</v>
      </c>
      <c r="C5233" s="8">
        <f>QS.CONTEXT.CREATE("market.5231",A5233,"USD","SOFR")</f>
        <v/>
      </c>
      <c r="D5233" s="8">
        <f>QS.CONTEXT.ADD.CURVE(C5233,"SOFR",$K$2:$K$7,$L$2:$L$7,,,"Actual360","LogLinear",TRUE)</f>
        <v/>
      </c>
      <c r="E5233" s="8">
        <f>QS.INSTRUMENT.SWAP("swap.5231",C5233,H5233,B5233,"USD","SOFR",I5233,J5233,0,"Actual360","Simple","Annual","Annual","Annual")</f>
        <v/>
      </c>
      <c r="F5233" s="8">
        <f>QS.TRADE.CREATE("trade.5231",C5233,E5233,A5233,"Receive")</f>
        <v/>
      </c>
      <c r="G5233" s="5"/>
      <c r="H5233" s="7" t="s">
        <v>5273</v>
      </c>
      <c r="I5233" s="9">
        <v>1523100</v>
      </c>
      <c r="J5233" s="10">
        <v>0.0381</v>
      </c>
    </row>
    <row r="5234" spans="1:10">
      <c r="A5234" s="7" t="s">
        <v>5267</v>
      </c>
      <c r="B5234" s="7" t="s">
        <v>7101</v>
      </c>
      <c r="C5234" s="8">
        <f>QS.CONTEXT.CREATE("market.5232",A5234,"USD","SOFR")</f>
        <v/>
      </c>
      <c r="D5234" s="8">
        <f>QS.CONTEXT.ADD.CURVE(C5234,"SOFR",$K$2:$K$7,$L$2:$L$7,,,"Actual360","LogLinear",TRUE)</f>
        <v/>
      </c>
      <c r="E5234" s="8">
        <f>QS.INSTRUMENT.SWAP("swap.5232",C5234,H5234,B5234,"USD","SOFR",I5234,J5234,0,"Actual360","Simple","Annual","Annual","Annual")</f>
        <v/>
      </c>
      <c r="F5234" s="8">
        <f>QS.TRADE.CREATE("trade.5232",C5234,E5234,A5234,"Receive")</f>
        <v/>
      </c>
      <c r="G5234" s="5"/>
      <c r="H5234" s="7" t="s">
        <v>5274</v>
      </c>
      <c r="I5234" s="9">
        <v>1523200</v>
      </c>
      <c r="J5234" s="10">
        <v>0.0382</v>
      </c>
    </row>
    <row r="5235" spans="1:10">
      <c r="A5235" s="7" t="s">
        <v>5268</v>
      </c>
      <c r="B5235" s="7" t="s">
        <v>7102</v>
      </c>
      <c r="C5235" s="8">
        <f>QS.CONTEXT.CREATE("market.5233",A5235,"USD","SOFR")</f>
        <v/>
      </c>
      <c r="D5235" s="8">
        <f>QS.CONTEXT.ADD.CURVE(C5235,"SOFR",$K$2:$K$7,$L$2:$L$7,,,"Actual360","LogLinear",TRUE)</f>
        <v/>
      </c>
      <c r="E5235" s="8">
        <f>QS.INSTRUMENT.SWAP("swap.5233",C5235,H5235,B5235,"USD","SOFR",I5235,J5235,0,"Actual360","Simple","Annual","Annual","Annual")</f>
        <v/>
      </c>
      <c r="F5235" s="8">
        <f>QS.TRADE.CREATE("trade.5233",C5235,E5235,A5235,"Receive")</f>
        <v/>
      </c>
      <c r="G5235" s="5"/>
      <c r="H5235" s="7" t="s">
        <v>5275</v>
      </c>
      <c r="I5235" s="9">
        <v>1523300</v>
      </c>
      <c r="J5235" s="10">
        <v>0.0383</v>
      </c>
    </row>
    <row r="5236" spans="1:10">
      <c r="A5236" s="7" t="s">
        <v>5269</v>
      </c>
      <c r="B5236" s="7" t="s">
        <v>7103</v>
      </c>
      <c r="C5236" s="8">
        <f>QS.CONTEXT.CREATE("market.5234",A5236,"USD","SOFR")</f>
        <v/>
      </c>
      <c r="D5236" s="8">
        <f>QS.CONTEXT.ADD.CURVE(C5236,"SOFR",$K$2:$K$7,$L$2:$L$7,,,"Actual360","LogLinear",TRUE)</f>
        <v/>
      </c>
      <c r="E5236" s="8">
        <f>QS.INSTRUMENT.SWAP("swap.5234",C5236,H5236,B5236,"USD","SOFR",I5236,J5236,0,"Actual360","Simple","Annual","Annual","Annual")</f>
        <v/>
      </c>
      <c r="F5236" s="8">
        <f>QS.TRADE.CREATE("trade.5234",C5236,E5236,A5236,"Receive")</f>
        <v/>
      </c>
      <c r="G5236" s="5"/>
      <c r="H5236" s="7" t="s">
        <v>5276</v>
      </c>
      <c r="I5236" s="9">
        <v>1523400</v>
      </c>
      <c r="J5236" s="10">
        <v>0.0384</v>
      </c>
    </row>
    <row r="5237" spans="1:10">
      <c r="A5237" s="7" t="s">
        <v>5270</v>
      </c>
      <c r="B5237" s="7" t="s">
        <v>7104</v>
      </c>
      <c r="C5237" s="8">
        <f>QS.CONTEXT.CREATE("market.5235",A5237,"USD","SOFR")</f>
        <v/>
      </c>
      <c r="D5237" s="8">
        <f>QS.CONTEXT.ADD.CURVE(C5237,"SOFR",$K$2:$K$7,$L$2:$L$7,,,"Actual360","LogLinear",TRUE)</f>
        <v/>
      </c>
      <c r="E5237" s="8">
        <f>QS.INSTRUMENT.SWAP("swap.5235",C5237,H5237,B5237,"USD","SOFR",I5237,J5237,0,"Actual360","Simple","Annual","Annual","Annual")</f>
        <v/>
      </c>
      <c r="F5237" s="8">
        <f>QS.TRADE.CREATE("trade.5235",C5237,E5237,A5237,"Receive")</f>
        <v/>
      </c>
      <c r="G5237" s="5"/>
      <c r="H5237" s="7" t="s">
        <v>5277</v>
      </c>
      <c r="I5237" s="9">
        <v>1523500</v>
      </c>
      <c r="J5237" s="10">
        <v>0.03850000000000001</v>
      </c>
    </row>
    <row r="5238" spans="1:10">
      <c r="A5238" s="7" t="s">
        <v>5271</v>
      </c>
      <c r="B5238" s="7" t="s">
        <v>7105</v>
      </c>
      <c r="C5238" s="8">
        <f>QS.CONTEXT.CREATE("market.5236",A5238,"USD","SOFR")</f>
        <v/>
      </c>
      <c r="D5238" s="8">
        <f>QS.CONTEXT.ADD.CURVE(C5238,"SOFR",$K$2:$K$7,$L$2:$L$7,,,"Actual360","LogLinear",TRUE)</f>
        <v/>
      </c>
      <c r="E5238" s="8">
        <f>QS.INSTRUMENT.SWAP("swap.5236",C5238,H5238,B5238,"USD","SOFR",I5238,J5238,0,"Actual360","Simple","Annual","Annual","Annual")</f>
        <v/>
      </c>
      <c r="F5238" s="8">
        <f>QS.TRADE.CREATE("trade.5236",C5238,E5238,A5238,"Receive")</f>
        <v/>
      </c>
      <c r="G5238" s="5"/>
      <c r="H5238" s="7" t="s">
        <v>5278</v>
      </c>
      <c r="I5238" s="9">
        <v>1523600</v>
      </c>
      <c r="J5238" s="10">
        <v>0.0386</v>
      </c>
    </row>
    <row r="5239" spans="1:10">
      <c r="A5239" s="7" t="s">
        <v>5272</v>
      </c>
      <c r="B5239" s="7" t="s">
        <v>7106</v>
      </c>
      <c r="C5239" s="8">
        <f>QS.CONTEXT.CREATE("market.5237",A5239,"USD","SOFR")</f>
        <v/>
      </c>
      <c r="D5239" s="8">
        <f>QS.CONTEXT.ADD.CURVE(C5239,"SOFR",$K$2:$K$7,$L$2:$L$7,,,"Actual360","LogLinear",TRUE)</f>
        <v/>
      </c>
      <c r="E5239" s="8">
        <f>QS.INSTRUMENT.SWAP("swap.5237",C5239,H5239,B5239,"USD","SOFR",I5239,J5239,0,"Actual360","Simple","Annual","Annual","Annual")</f>
        <v/>
      </c>
      <c r="F5239" s="8">
        <f>QS.TRADE.CREATE("trade.5237",C5239,E5239,A5239,"Receive")</f>
        <v/>
      </c>
      <c r="G5239" s="5"/>
      <c r="H5239" s="7" t="s">
        <v>5279</v>
      </c>
      <c r="I5239" s="9">
        <v>1523700</v>
      </c>
      <c r="J5239" s="10">
        <v>0.03870000000000001</v>
      </c>
    </row>
    <row r="5240" spans="1:10">
      <c r="A5240" s="7" t="s">
        <v>5273</v>
      </c>
      <c r="B5240" s="7" t="s">
        <v>7107</v>
      </c>
      <c r="C5240" s="8">
        <f>QS.CONTEXT.CREATE("market.5238",A5240,"USD","SOFR")</f>
        <v/>
      </c>
      <c r="D5240" s="8">
        <f>QS.CONTEXT.ADD.CURVE(C5240,"SOFR",$K$2:$K$7,$L$2:$L$7,,,"Actual360","LogLinear",TRUE)</f>
        <v/>
      </c>
      <c r="E5240" s="8">
        <f>QS.INSTRUMENT.SWAP("swap.5238",C5240,H5240,B5240,"USD","SOFR",I5240,J5240,0,"Actual360","Simple","Annual","Annual","Annual")</f>
        <v/>
      </c>
      <c r="F5240" s="8">
        <f>QS.TRADE.CREATE("trade.5238",C5240,E5240,A5240,"Receive")</f>
        <v/>
      </c>
      <c r="G5240" s="5"/>
      <c r="H5240" s="7" t="s">
        <v>5280</v>
      </c>
      <c r="I5240" s="9">
        <v>1523800</v>
      </c>
      <c r="J5240" s="10">
        <v>0.0388</v>
      </c>
    </row>
    <row r="5241" spans="1:10">
      <c r="A5241" s="7" t="s">
        <v>5274</v>
      </c>
      <c r="B5241" s="7" t="s">
        <v>7108</v>
      </c>
      <c r="C5241" s="8">
        <f>QS.CONTEXT.CREATE("market.5239",A5241,"USD","SOFR")</f>
        <v/>
      </c>
      <c r="D5241" s="8">
        <f>QS.CONTEXT.ADD.CURVE(C5241,"SOFR",$K$2:$K$7,$L$2:$L$7,,,"Actual360","LogLinear",TRUE)</f>
        <v/>
      </c>
      <c r="E5241" s="8">
        <f>QS.INSTRUMENT.SWAP("swap.5239",C5241,H5241,B5241,"USD","SOFR",I5241,J5241,0,"Actual360","Simple","Annual","Annual","Annual")</f>
        <v/>
      </c>
      <c r="F5241" s="8">
        <f>QS.TRADE.CREATE("trade.5239",C5241,E5241,A5241,"Receive")</f>
        <v/>
      </c>
      <c r="G5241" s="5"/>
      <c r="H5241" s="7" t="s">
        <v>5281</v>
      </c>
      <c r="I5241" s="9">
        <v>1523900</v>
      </c>
      <c r="J5241" s="10">
        <v>0.0389</v>
      </c>
    </row>
    <row r="5242" spans="1:10">
      <c r="A5242" s="7" t="s">
        <v>5275</v>
      </c>
      <c r="B5242" s="7" t="s">
        <v>7109</v>
      </c>
      <c r="C5242" s="8">
        <f>QS.CONTEXT.CREATE("market.5240",A5242,"USD","SOFR")</f>
        <v/>
      </c>
      <c r="D5242" s="8">
        <f>QS.CONTEXT.ADD.CURVE(C5242,"SOFR",$K$2:$K$7,$L$2:$L$7,,,"Actual360","LogLinear",TRUE)</f>
        <v/>
      </c>
      <c r="E5242" s="8">
        <f>QS.INSTRUMENT.SWAP("swap.5240",C5242,H5242,B5242,"USD","SOFR",I5242,J5242,0,"Actual360","Simple","Annual","Annual","Annual")</f>
        <v/>
      </c>
      <c r="F5242" s="8">
        <f>QS.TRADE.CREATE("trade.5240",C5242,E5242,A5242,"Receive")</f>
        <v/>
      </c>
      <c r="G5242" s="5"/>
      <c r="H5242" s="7" t="s">
        <v>5282</v>
      </c>
      <c r="I5242" s="9">
        <v>1524000</v>
      </c>
      <c r="J5242" s="10">
        <v>0.03900000000000001</v>
      </c>
    </row>
    <row r="5243" spans="1:10">
      <c r="A5243" s="7" t="s">
        <v>5276</v>
      </c>
      <c r="B5243" s="7" t="s">
        <v>7110</v>
      </c>
      <c r="C5243" s="8">
        <f>QS.CONTEXT.CREATE("market.5241",A5243,"USD","SOFR")</f>
        <v/>
      </c>
      <c r="D5243" s="8">
        <f>QS.CONTEXT.ADD.CURVE(C5243,"SOFR",$K$2:$K$7,$L$2:$L$7,,,"Actual360","LogLinear",TRUE)</f>
        <v/>
      </c>
      <c r="E5243" s="8">
        <f>QS.INSTRUMENT.SWAP("swap.5241",C5243,H5243,B5243,"USD","SOFR",I5243,J5243,0,"Actual360","Simple","Annual","Annual","Annual")</f>
        <v/>
      </c>
      <c r="F5243" s="8">
        <f>QS.TRADE.CREATE("trade.5241",C5243,E5243,A5243,"Receive")</f>
        <v/>
      </c>
      <c r="G5243" s="5"/>
      <c r="H5243" s="7" t="s">
        <v>5283</v>
      </c>
      <c r="I5243" s="9">
        <v>1524100</v>
      </c>
      <c r="J5243" s="10">
        <v>0.0391</v>
      </c>
    </row>
    <row r="5244" spans="1:10">
      <c r="A5244" s="7" t="s">
        <v>5277</v>
      </c>
      <c r="B5244" s="7" t="s">
        <v>7111</v>
      </c>
      <c r="C5244" s="8">
        <f>QS.CONTEXT.CREATE("market.5242",A5244,"USD","SOFR")</f>
        <v/>
      </c>
      <c r="D5244" s="8">
        <f>QS.CONTEXT.ADD.CURVE(C5244,"SOFR",$K$2:$K$7,$L$2:$L$7,,,"Actual360","LogLinear",TRUE)</f>
        <v/>
      </c>
      <c r="E5244" s="8">
        <f>QS.INSTRUMENT.SWAP("swap.5242",C5244,H5244,B5244,"USD","SOFR",I5244,J5244,0,"Actual360","Simple","Annual","Annual","Annual")</f>
        <v/>
      </c>
      <c r="F5244" s="8">
        <f>QS.TRADE.CREATE("trade.5242",C5244,E5244,A5244,"Receive")</f>
        <v/>
      </c>
      <c r="G5244" s="5"/>
      <c r="H5244" s="7" t="s">
        <v>5284</v>
      </c>
      <c r="I5244" s="9">
        <v>1524200</v>
      </c>
      <c r="J5244" s="10">
        <v>0.03920000000000001</v>
      </c>
    </row>
    <row r="5245" spans="1:10">
      <c r="A5245" s="7" t="s">
        <v>5278</v>
      </c>
      <c r="B5245" s="7" t="s">
        <v>7112</v>
      </c>
      <c r="C5245" s="8">
        <f>QS.CONTEXT.CREATE("market.5243",A5245,"USD","SOFR")</f>
        <v/>
      </c>
      <c r="D5245" s="8">
        <f>QS.CONTEXT.ADD.CURVE(C5245,"SOFR",$K$2:$K$7,$L$2:$L$7,,,"Actual360","LogLinear",TRUE)</f>
        <v/>
      </c>
      <c r="E5245" s="8">
        <f>QS.INSTRUMENT.SWAP("swap.5243",C5245,H5245,B5245,"USD","SOFR",I5245,J5245,0,"Actual360","Simple","Annual","Annual","Annual")</f>
        <v/>
      </c>
      <c r="F5245" s="8">
        <f>QS.TRADE.CREATE("trade.5243",C5245,E5245,A5245,"Receive")</f>
        <v/>
      </c>
      <c r="G5245" s="5"/>
      <c r="H5245" s="7" t="s">
        <v>5285</v>
      </c>
      <c r="I5245" s="9">
        <v>1524300</v>
      </c>
      <c r="J5245" s="10">
        <v>0.0393</v>
      </c>
    </row>
    <row r="5246" spans="1:10">
      <c r="A5246" s="7" t="s">
        <v>5279</v>
      </c>
      <c r="B5246" s="7" t="s">
        <v>7113</v>
      </c>
      <c r="C5246" s="8">
        <f>QS.CONTEXT.CREATE("market.5244",A5246,"USD","SOFR")</f>
        <v/>
      </c>
      <c r="D5246" s="8">
        <f>QS.CONTEXT.ADD.CURVE(C5246,"SOFR",$K$2:$K$7,$L$2:$L$7,,,"Actual360","LogLinear",TRUE)</f>
        <v/>
      </c>
      <c r="E5246" s="8">
        <f>QS.INSTRUMENT.SWAP("swap.5244",C5246,H5246,B5246,"USD","SOFR",I5246,J5246,0,"Actual360","Simple","Annual","Annual","Annual")</f>
        <v/>
      </c>
      <c r="F5246" s="8">
        <f>QS.TRADE.CREATE("trade.5244",C5246,E5246,A5246,"Receive")</f>
        <v/>
      </c>
      <c r="G5246" s="5"/>
      <c r="H5246" s="7" t="s">
        <v>5286</v>
      </c>
      <c r="I5246" s="9">
        <v>1524400</v>
      </c>
      <c r="J5246" s="10">
        <v>0.0394</v>
      </c>
    </row>
    <row r="5247" spans="1:10">
      <c r="A5247" s="7" t="s">
        <v>5280</v>
      </c>
      <c r="B5247" s="7" t="s">
        <v>7114</v>
      </c>
      <c r="C5247" s="8">
        <f>QS.CONTEXT.CREATE("market.5245",A5247,"USD","SOFR")</f>
        <v/>
      </c>
      <c r="D5247" s="8">
        <f>QS.CONTEXT.ADD.CURVE(C5247,"SOFR",$K$2:$K$7,$L$2:$L$7,,,"Actual360","LogLinear",TRUE)</f>
        <v/>
      </c>
      <c r="E5247" s="8">
        <f>QS.INSTRUMENT.SWAP("swap.5245",C5247,H5247,B5247,"USD","SOFR",I5247,J5247,0,"Actual360","Simple","Annual","Annual","Annual")</f>
        <v/>
      </c>
      <c r="F5247" s="8">
        <f>QS.TRADE.CREATE("trade.5245",C5247,E5247,A5247,"Receive")</f>
        <v/>
      </c>
      <c r="G5247" s="5"/>
      <c r="H5247" s="7" t="s">
        <v>5287</v>
      </c>
      <c r="I5247" s="9">
        <v>1524500</v>
      </c>
      <c r="J5247" s="10">
        <v>0.03950000000000001</v>
      </c>
    </row>
    <row r="5248" spans="1:10">
      <c r="A5248" s="7" t="s">
        <v>5281</v>
      </c>
      <c r="B5248" s="7" t="s">
        <v>7115</v>
      </c>
      <c r="C5248" s="8">
        <f>QS.CONTEXT.CREATE("market.5246",A5248,"USD","SOFR")</f>
        <v/>
      </c>
      <c r="D5248" s="8">
        <f>QS.CONTEXT.ADD.CURVE(C5248,"SOFR",$K$2:$K$7,$L$2:$L$7,,,"Actual360","LogLinear",TRUE)</f>
        <v/>
      </c>
      <c r="E5248" s="8">
        <f>QS.INSTRUMENT.SWAP("swap.5246",C5248,H5248,B5248,"USD","SOFR",I5248,J5248,0,"Actual360","Simple","Annual","Annual","Annual")</f>
        <v/>
      </c>
      <c r="F5248" s="8">
        <f>QS.TRADE.CREATE("trade.5246",C5248,E5248,A5248,"Receive")</f>
        <v/>
      </c>
      <c r="G5248" s="5"/>
      <c r="H5248" s="7" t="s">
        <v>5288</v>
      </c>
      <c r="I5248" s="9">
        <v>1524600</v>
      </c>
      <c r="J5248" s="10">
        <v>0.0396</v>
      </c>
    </row>
    <row r="5249" spans="1:10">
      <c r="A5249" s="7" t="s">
        <v>5282</v>
      </c>
      <c r="B5249" s="7" t="s">
        <v>7116</v>
      </c>
      <c r="C5249" s="8">
        <f>QS.CONTEXT.CREATE("market.5247",A5249,"USD","SOFR")</f>
        <v/>
      </c>
      <c r="D5249" s="8">
        <f>QS.CONTEXT.ADD.CURVE(C5249,"SOFR",$K$2:$K$7,$L$2:$L$7,,,"Actual360","LogLinear",TRUE)</f>
        <v/>
      </c>
      <c r="E5249" s="8">
        <f>QS.INSTRUMENT.SWAP("swap.5247",C5249,H5249,B5249,"USD","SOFR",I5249,J5249,0,"Actual360","Simple","Annual","Annual","Annual")</f>
        <v/>
      </c>
      <c r="F5249" s="8">
        <f>QS.TRADE.CREATE("trade.5247",C5249,E5249,A5249,"Receive")</f>
        <v/>
      </c>
      <c r="G5249" s="5"/>
      <c r="H5249" s="7" t="s">
        <v>5289</v>
      </c>
      <c r="I5249" s="9">
        <v>1524700</v>
      </c>
      <c r="J5249" s="10">
        <v>0.03970000000000001</v>
      </c>
    </row>
    <row r="5250" spans="1:10">
      <c r="A5250" s="7" t="s">
        <v>5283</v>
      </c>
      <c r="B5250" s="7" t="s">
        <v>7117</v>
      </c>
      <c r="C5250" s="8">
        <f>QS.CONTEXT.CREATE("market.5248",A5250,"USD","SOFR")</f>
        <v/>
      </c>
      <c r="D5250" s="8">
        <f>QS.CONTEXT.ADD.CURVE(C5250,"SOFR",$K$2:$K$7,$L$2:$L$7,,,"Actual360","LogLinear",TRUE)</f>
        <v/>
      </c>
      <c r="E5250" s="8">
        <f>QS.INSTRUMENT.SWAP("swap.5248",C5250,H5250,B5250,"USD","SOFR",I5250,J5250,0,"Actual360","Simple","Annual","Annual","Annual")</f>
        <v/>
      </c>
      <c r="F5250" s="8">
        <f>QS.TRADE.CREATE("trade.5248",C5250,E5250,A5250,"Receive")</f>
        <v/>
      </c>
      <c r="G5250" s="5"/>
      <c r="H5250" s="7" t="s">
        <v>5290</v>
      </c>
      <c r="I5250" s="9">
        <v>1524800</v>
      </c>
      <c r="J5250" s="10">
        <v>0.0398</v>
      </c>
    </row>
    <row r="5251" spans="1:10">
      <c r="A5251" s="7" t="s">
        <v>5284</v>
      </c>
      <c r="B5251" s="7" t="s">
        <v>7118</v>
      </c>
      <c r="C5251" s="8">
        <f>QS.CONTEXT.CREATE("market.5249",A5251,"USD","SOFR")</f>
        <v/>
      </c>
      <c r="D5251" s="8">
        <f>QS.CONTEXT.ADD.CURVE(C5251,"SOFR",$K$2:$K$7,$L$2:$L$7,,,"Actual360","LogLinear",TRUE)</f>
        <v/>
      </c>
      <c r="E5251" s="8">
        <f>QS.INSTRUMENT.SWAP("swap.5249",C5251,H5251,B5251,"USD","SOFR",I5251,J5251,0,"Actual360","Simple","Annual","Annual","Annual")</f>
        <v/>
      </c>
      <c r="F5251" s="8">
        <f>QS.TRADE.CREATE("trade.5249",C5251,E5251,A5251,"Receive")</f>
        <v/>
      </c>
      <c r="G5251" s="5"/>
      <c r="H5251" s="7" t="s">
        <v>5291</v>
      </c>
      <c r="I5251" s="9">
        <v>1524900</v>
      </c>
      <c r="J5251" s="10">
        <v>0.0399</v>
      </c>
    </row>
    <row r="5252" spans="1:10">
      <c r="A5252" s="7" t="s">
        <v>5285</v>
      </c>
      <c r="B5252" s="7" t="s">
        <v>7119</v>
      </c>
      <c r="C5252" s="8">
        <f>QS.CONTEXT.CREATE("market.5250",A5252,"USD","SOFR")</f>
        <v/>
      </c>
      <c r="D5252" s="8">
        <f>QS.CONTEXT.ADD.CURVE(C5252,"SOFR",$K$2:$K$7,$L$2:$L$7,,,"Actual360","LogLinear",TRUE)</f>
        <v/>
      </c>
      <c r="E5252" s="8">
        <f>QS.INSTRUMENT.SWAP("swap.5250",C5252,H5252,B5252,"USD","SOFR",I5252,J5252,0,"Actual360","Simple","Annual","Annual","Annual")</f>
        <v/>
      </c>
      <c r="F5252" s="8">
        <f>QS.TRADE.CREATE("trade.5250",C5252,E5252,A5252,"Receive")</f>
        <v/>
      </c>
      <c r="G5252" s="5"/>
      <c r="H5252" s="7" t="s">
        <v>5292</v>
      </c>
      <c r="I5252" s="9">
        <v>1525000</v>
      </c>
      <c r="J5252" s="10">
        <v>0.035</v>
      </c>
    </row>
    <row r="5253" spans="1:10">
      <c r="A5253" s="7" t="s">
        <v>5286</v>
      </c>
      <c r="B5253" s="7" t="s">
        <v>7120</v>
      </c>
      <c r="C5253" s="8">
        <f>QS.CONTEXT.CREATE("market.5251",A5253,"USD","SOFR")</f>
        <v/>
      </c>
      <c r="D5253" s="8">
        <f>QS.CONTEXT.ADD.CURVE(C5253,"SOFR",$K$2:$K$7,$L$2:$L$7,,,"Actual360","LogLinear",TRUE)</f>
        <v/>
      </c>
      <c r="E5253" s="8">
        <f>QS.INSTRUMENT.SWAP("swap.5251",C5253,H5253,B5253,"USD","SOFR",I5253,J5253,0,"Actual360","Simple","Annual","Annual","Annual")</f>
        <v/>
      </c>
      <c r="F5253" s="8">
        <f>QS.TRADE.CREATE("trade.5251",C5253,E5253,A5253,"Receive")</f>
        <v/>
      </c>
      <c r="G5253" s="5"/>
      <c r="H5253" s="7" t="s">
        <v>5293</v>
      </c>
      <c r="I5253" s="9">
        <v>1525100</v>
      </c>
      <c r="J5253" s="10">
        <v>0.03510000000000001</v>
      </c>
    </row>
    <row r="5254" spans="1:10">
      <c r="A5254" s="7" t="s">
        <v>5287</v>
      </c>
      <c r="B5254" s="7" t="s">
        <v>7121</v>
      </c>
      <c r="C5254" s="8">
        <f>QS.CONTEXT.CREATE("market.5252",A5254,"USD","SOFR")</f>
        <v/>
      </c>
      <c r="D5254" s="8">
        <f>QS.CONTEXT.ADD.CURVE(C5254,"SOFR",$K$2:$K$7,$L$2:$L$7,,,"Actual360","LogLinear",TRUE)</f>
        <v/>
      </c>
      <c r="E5254" s="8">
        <f>QS.INSTRUMENT.SWAP("swap.5252",C5254,H5254,B5254,"USD","SOFR",I5254,J5254,0,"Actual360","Simple","Annual","Annual","Annual")</f>
        <v/>
      </c>
      <c r="F5254" s="8">
        <f>QS.TRADE.CREATE("trade.5252",C5254,E5254,A5254,"Receive")</f>
        <v/>
      </c>
      <c r="G5254" s="5"/>
      <c r="H5254" s="7" t="s">
        <v>5294</v>
      </c>
      <c r="I5254" s="9">
        <v>1525200</v>
      </c>
      <c r="J5254" s="10">
        <v>0.0352</v>
      </c>
    </row>
    <row r="5255" spans="1:10">
      <c r="A5255" s="7" t="s">
        <v>5288</v>
      </c>
      <c r="B5255" s="7" t="s">
        <v>7122</v>
      </c>
      <c r="C5255" s="8">
        <f>QS.CONTEXT.CREATE("market.5253",A5255,"USD","SOFR")</f>
        <v/>
      </c>
      <c r="D5255" s="8">
        <f>QS.CONTEXT.ADD.CURVE(C5255,"SOFR",$K$2:$K$7,$L$2:$L$7,,,"Actual360","LogLinear",TRUE)</f>
        <v/>
      </c>
      <c r="E5255" s="8">
        <f>QS.INSTRUMENT.SWAP("swap.5253",C5255,H5255,B5255,"USD","SOFR",I5255,J5255,0,"Actual360","Simple","Annual","Annual","Annual")</f>
        <v/>
      </c>
      <c r="F5255" s="8">
        <f>QS.TRADE.CREATE("trade.5253",C5255,E5255,A5255,"Receive")</f>
        <v/>
      </c>
      <c r="G5255" s="5"/>
      <c r="H5255" s="7" t="s">
        <v>5295</v>
      </c>
      <c r="I5255" s="9">
        <v>1525300</v>
      </c>
      <c r="J5255" s="10">
        <v>0.0353</v>
      </c>
    </row>
    <row r="5256" spans="1:10">
      <c r="A5256" s="7" t="s">
        <v>5289</v>
      </c>
      <c r="B5256" s="7" t="s">
        <v>7123</v>
      </c>
      <c r="C5256" s="8">
        <f>QS.CONTEXT.CREATE("market.5254",A5256,"USD","SOFR")</f>
        <v/>
      </c>
      <c r="D5256" s="8">
        <f>QS.CONTEXT.ADD.CURVE(C5256,"SOFR",$K$2:$K$7,$L$2:$L$7,,,"Actual360","LogLinear",TRUE)</f>
        <v/>
      </c>
      <c r="E5256" s="8">
        <f>QS.INSTRUMENT.SWAP("swap.5254",C5256,H5256,B5256,"USD","SOFR",I5256,J5256,0,"Actual360","Simple","Annual","Annual","Annual")</f>
        <v/>
      </c>
      <c r="F5256" s="8">
        <f>QS.TRADE.CREATE("trade.5254",C5256,E5256,A5256,"Receive")</f>
        <v/>
      </c>
      <c r="G5256" s="5"/>
      <c r="H5256" s="7" t="s">
        <v>5296</v>
      </c>
      <c r="I5256" s="9">
        <v>1525400</v>
      </c>
      <c r="J5256" s="10">
        <v>0.0354</v>
      </c>
    </row>
    <row r="5257" spans="1:10">
      <c r="A5257" s="7" t="s">
        <v>5290</v>
      </c>
      <c r="B5257" s="7" t="s">
        <v>7124</v>
      </c>
      <c r="C5257" s="8">
        <f>QS.CONTEXT.CREATE("market.5255",A5257,"USD","SOFR")</f>
        <v/>
      </c>
      <c r="D5257" s="8">
        <f>QS.CONTEXT.ADD.CURVE(C5257,"SOFR",$K$2:$K$7,$L$2:$L$7,,,"Actual360","LogLinear",TRUE)</f>
        <v/>
      </c>
      <c r="E5257" s="8">
        <f>QS.INSTRUMENT.SWAP("swap.5255",C5257,H5257,B5257,"USD","SOFR",I5257,J5257,0,"Actual360","Simple","Annual","Annual","Annual")</f>
        <v/>
      </c>
      <c r="F5257" s="8">
        <f>QS.TRADE.CREATE("trade.5255",C5257,E5257,A5257,"Receive")</f>
        <v/>
      </c>
      <c r="G5257" s="5"/>
      <c r="H5257" s="7" t="s">
        <v>5297</v>
      </c>
      <c r="I5257" s="9">
        <v>1525500</v>
      </c>
      <c r="J5257" s="10">
        <v>0.0355</v>
      </c>
    </row>
    <row r="5258" spans="1:10">
      <c r="A5258" s="7" t="s">
        <v>5291</v>
      </c>
      <c r="B5258" s="7" t="s">
        <v>7125</v>
      </c>
      <c r="C5258" s="8">
        <f>QS.CONTEXT.CREATE("market.5256",A5258,"USD","SOFR")</f>
        <v/>
      </c>
      <c r="D5258" s="8">
        <f>QS.CONTEXT.ADD.CURVE(C5258,"SOFR",$K$2:$K$7,$L$2:$L$7,,,"Actual360","LogLinear",TRUE)</f>
        <v/>
      </c>
      <c r="E5258" s="8">
        <f>QS.INSTRUMENT.SWAP("swap.5256",C5258,H5258,B5258,"USD","SOFR",I5258,J5258,0,"Actual360","Simple","Annual","Annual","Annual")</f>
        <v/>
      </c>
      <c r="F5258" s="8">
        <f>QS.TRADE.CREATE("trade.5256",C5258,E5258,A5258,"Receive")</f>
        <v/>
      </c>
      <c r="G5258" s="5"/>
      <c r="H5258" s="7" t="s">
        <v>5298</v>
      </c>
      <c r="I5258" s="9">
        <v>1525600</v>
      </c>
      <c r="J5258" s="10">
        <v>0.03560000000000001</v>
      </c>
    </row>
    <row r="5259" spans="1:10">
      <c r="A5259" s="7" t="s">
        <v>5292</v>
      </c>
      <c r="B5259" s="7" t="s">
        <v>7126</v>
      </c>
      <c r="C5259" s="8">
        <f>QS.CONTEXT.CREATE("market.5257",A5259,"USD","SOFR")</f>
        <v/>
      </c>
      <c r="D5259" s="8">
        <f>QS.CONTEXT.ADD.CURVE(C5259,"SOFR",$K$2:$K$7,$L$2:$L$7,,,"Actual360","LogLinear",TRUE)</f>
        <v/>
      </c>
      <c r="E5259" s="8">
        <f>QS.INSTRUMENT.SWAP("swap.5257",C5259,H5259,B5259,"USD","SOFR",I5259,J5259,0,"Actual360","Simple","Annual","Annual","Annual")</f>
        <v/>
      </c>
      <c r="F5259" s="8">
        <f>QS.TRADE.CREATE("trade.5257",C5259,E5259,A5259,"Receive")</f>
        <v/>
      </c>
      <c r="G5259" s="5"/>
      <c r="H5259" s="7" t="s">
        <v>5299</v>
      </c>
      <c r="I5259" s="9">
        <v>1525700</v>
      </c>
      <c r="J5259" s="10">
        <v>0.0357</v>
      </c>
    </row>
    <row r="5260" spans="1:10">
      <c r="A5260" s="7" t="s">
        <v>5293</v>
      </c>
      <c r="B5260" s="7" t="s">
        <v>7127</v>
      </c>
      <c r="C5260" s="8">
        <f>QS.CONTEXT.CREATE("market.5258",A5260,"USD","SOFR")</f>
        <v/>
      </c>
      <c r="D5260" s="8">
        <f>QS.CONTEXT.ADD.CURVE(C5260,"SOFR",$K$2:$K$7,$L$2:$L$7,,,"Actual360","LogLinear",TRUE)</f>
        <v/>
      </c>
      <c r="E5260" s="8">
        <f>QS.INSTRUMENT.SWAP("swap.5258",C5260,H5260,B5260,"USD","SOFR",I5260,J5260,0,"Actual360","Simple","Annual","Annual","Annual")</f>
        <v/>
      </c>
      <c r="F5260" s="8">
        <f>QS.TRADE.CREATE("trade.5258",C5260,E5260,A5260,"Receive")</f>
        <v/>
      </c>
      <c r="G5260" s="5"/>
      <c r="H5260" s="7" t="s">
        <v>5300</v>
      </c>
      <c r="I5260" s="9">
        <v>1525800</v>
      </c>
      <c r="J5260" s="10">
        <v>0.03580000000000001</v>
      </c>
    </row>
    <row r="5261" spans="1:10">
      <c r="A5261" s="7" t="s">
        <v>5294</v>
      </c>
      <c r="B5261" s="7" t="s">
        <v>7128</v>
      </c>
      <c r="C5261" s="8">
        <f>QS.CONTEXT.CREATE("market.5259",A5261,"USD","SOFR")</f>
        <v/>
      </c>
      <c r="D5261" s="8">
        <f>QS.CONTEXT.ADD.CURVE(C5261,"SOFR",$K$2:$K$7,$L$2:$L$7,,,"Actual360","LogLinear",TRUE)</f>
        <v/>
      </c>
      <c r="E5261" s="8">
        <f>QS.INSTRUMENT.SWAP("swap.5259",C5261,H5261,B5261,"USD","SOFR",I5261,J5261,0,"Actual360","Simple","Annual","Annual","Annual")</f>
        <v/>
      </c>
      <c r="F5261" s="8">
        <f>QS.TRADE.CREATE("trade.5259",C5261,E5261,A5261,"Receive")</f>
        <v/>
      </c>
      <c r="G5261" s="5"/>
      <c r="H5261" s="7" t="s">
        <v>5301</v>
      </c>
      <c r="I5261" s="9">
        <v>1525900</v>
      </c>
      <c r="J5261" s="10">
        <v>0.0359</v>
      </c>
    </row>
    <row r="5262" spans="1:10">
      <c r="A5262" s="7" t="s">
        <v>5295</v>
      </c>
      <c r="B5262" s="7" t="s">
        <v>7129</v>
      </c>
      <c r="C5262" s="8">
        <f>QS.CONTEXT.CREATE("market.5260",A5262,"USD","SOFR")</f>
        <v/>
      </c>
      <c r="D5262" s="8">
        <f>QS.CONTEXT.ADD.CURVE(C5262,"SOFR",$K$2:$K$7,$L$2:$L$7,,,"Actual360","LogLinear",TRUE)</f>
        <v/>
      </c>
      <c r="E5262" s="8">
        <f>QS.INSTRUMENT.SWAP("swap.5260",C5262,H5262,B5262,"USD","SOFR",I5262,J5262,0,"Actual360","Simple","Annual","Annual","Annual")</f>
        <v/>
      </c>
      <c r="F5262" s="8">
        <f>QS.TRADE.CREATE("trade.5260",C5262,E5262,A5262,"Receive")</f>
        <v/>
      </c>
      <c r="G5262" s="5"/>
      <c r="H5262" s="7" t="s">
        <v>5302</v>
      </c>
      <c r="I5262" s="9">
        <v>1526000</v>
      </c>
      <c r="J5262" s="10">
        <v>0.036</v>
      </c>
    </row>
    <row r="5263" spans="1:10">
      <c r="A5263" s="7" t="s">
        <v>5296</v>
      </c>
      <c r="B5263" s="7" t="s">
        <v>7130</v>
      </c>
      <c r="C5263" s="8">
        <f>QS.CONTEXT.CREATE("market.5261",A5263,"USD","SOFR")</f>
        <v/>
      </c>
      <c r="D5263" s="8">
        <f>QS.CONTEXT.ADD.CURVE(C5263,"SOFR",$K$2:$K$7,$L$2:$L$7,,,"Actual360","LogLinear",TRUE)</f>
        <v/>
      </c>
      <c r="E5263" s="8">
        <f>QS.INSTRUMENT.SWAP("swap.5261",C5263,H5263,B5263,"USD","SOFR",I5263,J5263,0,"Actual360","Simple","Annual","Annual","Annual")</f>
        <v/>
      </c>
      <c r="F5263" s="8">
        <f>QS.TRADE.CREATE("trade.5261",C5263,E5263,A5263,"Receive")</f>
        <v/>
      </c>
      <c r="G5263" s="5"/>
      <c r="H5263" s="7" t="s">
        <v>5303</v>
      </c>
      <c r="I5263" s="9">
        <v>1526100</v>
      </c>
      <c r="J5263" s="10">
        <v>0.0361</v>
      </c>
    </row>
    <row r="5264" spans="1:10">
      <c r="A5264" s="7" t="s">
        <v>5297</v>
      </c>
      <c r="B5264" s="7" t="s">
        <v>7131</v>
      </c>
      <c r="C5264" s="8">
        <f>QS.CONTEXT.CREATE("market.5262",A5264,"USD","SOFR")</f>
        <v/>
      </c>
      <c r="D5264" s="8">
        <f>QS.CONTEXT.ADD.CURVE(C5264,"SOFR",$K$2:$K$7,$L$2:$L$7,,,"Actual360","LogLinear",TRUE)</f>
        <v/>
      </c>
      <c r="E5264" s="8">
        <f>QS.INSTRUMENT.SWAP("swap.5262",C5264,H5264,B5264,"USD","SOFR",I5264,J5264,0,"Actual360","Simple","Annual","Annual","Annual")</f>
        <v/>
      </c>
      <c r="F5264" s="8">
        <f>QS.TRADE.CREATE("trade.5262",C5264,E5264,A5264,"Receive")</f>
        <v/>
      </c>
      <c r="G5264" s="5"/>
      <c r="H5264" s="7" t="s">
        <v>5304</v>
      </c>
      <c r="I5264" s="9">
        <v>1526200</v>
      </c>
      <c r="J5264" s="10">
        <v>0.0362</v>
      </c>
    </row>
    <row r="5265" spans="1:10">
      <c r="A5265" s="7" t="s">
        <v>5298</v>
      </c>
      <c r="B5265" s="7" t="s">
        <v>7132</v>
      </c>
      <c r="C5265" s="8">
        <f>QS.CONTEXT.CREATE("market.5263",A5265,"USD","SOFR")</f>
        <v/>
      </c>
      <c r="D5265" s="8">
        <f>QS.CONTEXT.ADD.CURVE(C5265,"SOFR",$K$2:$K$7,$L$2:$L$7,,,"Actual360","LogLinear",TRUE)</f>
        <v/>
      </c>
      <c r="E5265" s="8">
        <f>QS.INSTRUMENT.SWAP("swap.5263",C5265,H5265,B5265,"USD","SOFR",I5265,J5265,0,"Actual360","Simple","Annual","Annual","Annual")</f>
        <v/>
      </c>
      <c r="F5265" s="8">
        <f>QS.TRADE.CREATE("trade.5263",C5265,E5265,A5265,"Receive")</f>
        <v/>
      </c>
      <c r="G5265" s="5"/>
      <c r="H5265" s="7" t="s">
        <v>5305</v>
      </c>
      <c r="I5265" s="9">
        <v>1526300</v>
      </c>
      <c r="J5265" s="10">
        <v>0.03630000000000001</v>
      </c>
    </row>
    <row r="5266" spans="1:10">
      <c r="A5266" s="7" t="s">
        <v>5299</v>
      </c>
      <c r="B5266" s="7" t="s">
        <v>7133</v>
      </c>
      <c r="C5266" s="8">
        <f>QS.CONTEXT.CREATE("market.5264",A5266,"USD","SOFR")</f>
        <v/>
      </c>
      <c r="D5266" s="8">
        <f>QS.CONTEXT.ADD.CURVE(C5266,"SOFR",$K$2:$K$7,$L$2:$L$7,,,"Actual360","LogLinear",TRUE)</f>
        <v/>
      </c>
      <c r="E5266" s="8">
        <f>QS.INSTRUMENT.SWAP("swap.5264",C5266,H5266,B5266,"USD","SOFR",I5266,J5266,0,"Actual360","Simple","Annual","Annual","Annual")</f>
        <v/>
      </c>
      <c r="F5266" s="8">
        <f>QS.TRADE.CREATE("trade.5264",C5266,E5266,A5266,"Receive")</f>
        <v/>
      </c>
      <c r="G5266" s="5"/>
      <c r="H5266" s="7" t="s">
        <v>5306</v>
      </c>
      <c r="I5266" s="9">
        <v>1526400</v>
      </c>
      <c r="J5266" s="10">
        <v>0.0364</v>
      </c>
    </row>
    <row r="5267" spans="1:10">
      <c r="A5267" s="7" t="s">
        <v>5300</v>
      </c>
      <c r="B5267" s="7" t="s">
        <v>7134</v>
      </c>
      <c r="C5267" s="8">
        <f>QS.CONTEXT.CREATE("market.5265",A5267,"USD","SOFR")</f>
        <v/>
      </c>
      <c r="D5267" s="8">
        <f>QS.CONTEXT.ADD.CURVE(C5267,"SOFR",$K$2:$K$7,$L$2:$L$7,,,"Actual360","LogLinear",TRUE)</f>
        <v/>
      </c>
      <c r="E5267" s="8">
        <f>QS.INSTRUMENT.SWAP("swap.5265",C5267,H5267,B5267,"USD","SOFR",I5267,J5267,0,"Actual360","Simple","Annual","Annual","Annual")</f>
        <v/>
      </c>
      <c r="F5267" s="8">
        <f>QS.TRADE.CREATE("trade.5265",C5267,E5267,A5267,"Receive")</f>
        <v/>
      </c>
      <c r="G5267" s="5"/>
      <c r="H5267" s="7" t="s">
        <v>5307</v>
      </c>
      <c r="I5267" s="9">
        <v>1526500</v>
      </c>
      <c r="J5267" s="10">
        <v>0.0365</v>
      </c>
    </row>
    <row r="5268" spans="1:10">
      <c r="A5268" s="7" t="s">
        <v>5301</v>
      </c>
      <c r="B5268" s="7" t="s">
        <v>7135</v>
      </c>
      <c r="C5268" s="8">
        <f>QS.CONTEXT.CREATE("market.5266",A5268,"USD","SOFR")</f>
        <v/>
      </c>
      <c r="D5268" s="8">
        <f>QS.CONTEXT.ADD.CURVE(C5268,"SOFR",$K$2:$K$7,$L$2:$L$7,,,"Actual360","LogLinear",TRUE)</f>
        <v/>
      </c>
      <c r="E5268" s="8">
        <f>QS.INSTRUMENT.SWAP("swap.5266",C5268,H5268,B5268,"USD","SOFR",I5268,J5268,0,"Actual360","Simple","Annual","Annual","Annual")</f>
        <v/>
      </c>
      <c r="F5268" s="8">
        <f>QS.TRADE.CREATE("trade.5266",C5268,E5268,A5268,"Receive")</f>
        <v/>
      </c>
      <c r="G5268" s="5"/>
      <c r="H5268" s="7" t="s">
        <v>5308</v>
      </c>
      <c r="I5268" s="9">
        <v>1526600</v>
      </c>
      <c r="J5268" s="10">
        <v>0.0366</v>
      </c>
    </row>
    <row r="5269" spans="1:10">
      <c r="A5269" s="7" t="s">
        <v>5302</v>
      </c>
      <c r="B5269" s="7" t="s">
        <v>7136</v>
      </c>
      <c r="C5269" s="8">
        <f>QS.CONTEXT.CREATE("market.5267",A5269,"USD","SOFR")</f>
        <v/>
      </c>
      <c r="D5269" s="8">
        <f>QS.CONTEXT.ADD.CURVE(C5269,"SOFR",$K$2:$K$7,$L$2:$L$7,,,"Actual360","LogLinear",TRUE)</f>
        <v/>
      </c>
      <c r="E5269" s="8">
        <f>QS.INSTRUMENT.SWAP("swap.5267",C5269,H5269,B5269,"USD","SOFR",I5269,J5269,0,"Actual360","Simple","Annual","Annual","Annual")</f>
        <v/>
      </c>
      <c r="F5269" s="8">
        <f>QS.TRADE.CREATE("trade.5267",C5269,E5269,A5269,"Receive")</f>
        <v/>
      </c>
      <c r="G5269" s="5"/>
      <c r="H5269" s="7" t="s">
        <v>5309</v>
      </c>
      <c r="I5269" s="9">
        <v>1526700</v>
      </c>
      <c r="J5269" s="10">
        <v>0.0367</v>
      </c>
    </row>
    <row r="5270" spans="1:10">
      <c r="A5270" s="7" t="s">
        <v>5303</v>
      </c>
      <c r="B5270" s="7" t="s">
        <v>7137</v>
      </c>
      <c r="C5270" s="8">
        <f>QS.CONTEXT.CREATE("market.5268",A5270,"USD","SOFR")</f>
        <v/>
      </c>
      <c r="D5270" s="8">
        <f>QS.CONTEXT.ADD.CURVE(C5270,"SOFR",$K$2:$K$7,$L$2:$L$7,,,"Actual360","LogLinear",TRUE)</f>
        <v/>
      </c>
      <c r="E5270" s="8">
        <f>QS.INSTRUMENT.SWAP("swap.5268",C5270,H5270,B5270,"USD","SOFR",I5270,J5270,0,"Actual360","Simple","Annual","Annual","Annual")</f>
        <v/>
      </c>
      <c r="F5270" s="8">
        <f>QS.TRADE.CREATE("trade.5268",C5270,E5270,A5270,"Receive")</f>
        <v/>
      </c>
      <c r="G5270" s="5"/>
      <c r="H5270" s="7" t="s">
        <v>5310</v>
      </c>
      <c r="I5270" s="9">
        <v>1526800</v>
      </c>
      <c r="J5270" s="10">
        <v>0.03680000000000001</v>
      </c>
    </row>
    <row r="5271" spans="1:10">
      <c r="A5271" s="7" t="s">
        <v>5304</v>
      </c>
      <c r="B5271" s="7" t="s">
        <v>7138</v>
      </c>
      <c r="C5271" s="8">
        <f>QS.CONTEXT.CREATE("market.5269",A5271,"USD","SOFR")</f>
        <v/>
      </c>
      <c r="D5271" s="8">
        <f>QS.CONTEXT.ADD.CURVE(C5271,"SOFR",$K$2:$K$7,$L$2:$L$7,,,"Actual360","LogLinear",TRUE)</f>
        <v/>
      </c>
      <c r="E5271" s="8">
        <f>QS.INSTRUMENT.SWAP("swap.5269",C5271,H5271,B5271,"USD","SOFR",I5271,J5271,0,"Actual360","Simple","Annual","Annual","Annual")</f>
        <v/>
      </c>
      <c r="F5271" s="8">
        <f>QS.TRADE.CREATE("trade.5269",C5271,E5271,A5271,"Receive")</f>
        <v/>
      </c>
      <c r="G5271" s="5"/>
      <c r="H5271" s="7" t="s">
        <v>5311</v>
      </c>
      <c r="I5271" s="9">
        <v>1526900</v>
      </c>
      <c r="J5271" s="10">
        <v>0.0369</v>
      </c>
    </row>
    <row r="5272" spans="1:10">
      <c r="A5272" s="7" t="s">
        <v>5305</v>
      </c>
      <c r="B5272" s="7" t="s">
        <v>7139</v>
      </c>
      <c r="C5272" s="8">
        <f>QS.CONTEXT.CREATE("market.5270",A5272,"USD","SOFR")</f>
        <v/>
      </c>
      <c r="D5272" s="8">
        <f>QS.CONTEXT.ADD.CURVE(C5272,"SOFR",$K$2:$K$7,$L$2:$L$7,,,"Actual360","LogLinear",TRUE)</f>
        <v/>
      </c>
      <c r="E5272" s="8">
        <f>QS.INSTRUMENT.SWAP("swap.5270",C5272,H5272,B5272,"USD","SOFR",I5272,J5272,0,"Actual360","Simple","Annual","Annual","Annual")</f>
        <v/>
      </c>
      <c r="F5272" s="8">
        <f>QS.TRADE.CREATE("trade.5270",C5272,E5272,A5272,"Receive")</f>
        <v/>
      </c>
      <c r="G5272" s="5"/>
      <c r="H5272" s="7" t="s">
        <v>5312</v>
      </c>
      <c r="I5272" s="9">
        <v>1527000</v>
      </c>
      <c r="J5272" s="10">
        <v>0.03700000000000001</v>
      </c>
    </row>
    <row r="5273" spans="1:10">
      <c r="A5273" s="7" t="s">
        <v>5306</v>
      </c>
      <c r="B5273" s="7" t="s">
        <v>7140</v>
      </c>
      <c r="C5273" s="8">
        <f>QS.CONTEXT.CREATE("market.5271",A5273,"USD","SOFR")</f>
        <v/>
      </c>
      <c r="D5273" s="8">
        <f>QS.CONTEXT.ADD.CURVE(C5273,"SOFR",$K$2:$K$7,$L$2:$L$7,,,"Actual360","LogLinear",TRUE)</f>
        <v/>
      </c>
      <c r="E5273" s="8">
        <f>QS.INSTRUMENT.SWAP("swap.5271",C5273,H5273,B5273,"USD","SOFR",I5273,J5273,0,"Actual360","Simple","Annual","Annual","Annual")</f>
        <v/>
      </c>
      <c r="F5273" s="8">
        <f>QS.TRADE.CREATE("trade.5271",C5273,E5273,A5273,"Receive")</f>
        <v/>
      </c>
      <c r="G5273" s="5"/>
      <c r="H5273" s="7" t="s">
        <v>5313</v>
      </c>
      <c r="I5273" s="9">
        <v>1527100</v>
      </c>
      <c r="J5273" s="10">
        <v>0.0371</v>
      </c>
    </row>
    <row r="5274" spans="1:10">
      <c r="A5274" s="7" t="s">
        <v>5307</v>
      </c>
      <c r="B5274" s="7" t="s">
        <v>7141</v>
      </c>
      <c r="C5274" s="8">
        <f>QS.CONTEXT.CREATE("market.5272",A5274,"USD","SOFR")</f>
        <v/>
      </c>
      <c r="D5274" s="8">
        <f>QS.CONTEXT.ADD.CURVE(C5274,"SOFR",$K$2:$K$7,$L$2:$L$7,,,"Actual360","LogLinear",TRUE)</f>
        <v/>
      </c>
      <c r="E5274" s="8">
        <f>QS.INSTRUMENT.SWAP("swap.5272",C5274,H5274,B5274,"USD","SOFR",I5274,J5274,0,"Actual360","Simple","Annual","Annual","Annual")</f>
        <v/>
      </c>
      <c r="F5274" s="8">
        <f>QS.TRADE.CREATE("trade.5272",C5274,E5274,A5274,"Receive")</f>
        <v/>
      </c>
      <c r="G5274" s="5"/>
      <c r="H5274" s="7" t="s">
        <v>5314</v>
      </c>
      <c r="I5274" s="9">
        <v>1527200</v>
      </c>
      <c r="J5274" s="10">
        <v>0.0372</v>
      </c>
    </row>
    <row r="5275" spans="1:10">
      <c r="A5275" s="7" t="s">
        <v>5308</v>
      </c>
      <c r="B5275" s="7" t="s">
        <v>7142</v>
      </c>
      <c r="C5275" s="8">
        <f>QS.CONTEXT.CREATE("market.5273",A5275,"USD","SOFR")</f>
        <v/>
      </c>
      <c r="D5275" s="8">
        <f>QS.CONTEXT.ADD.CURVE(C5275,"SOFR",$K$2:$K$7,$L$2:$L$7,,,"Actual360","LogLinear",TRUE)</f>
        <v/>
      </c>
      <c r="E5275" s="8">
        <f>QS.INSTRUMENT.SWAP("swap.5273",C5275,H5275,B5275,"USD","SOFR",I5275,J5275,0,"Actual360","Simple","Annual","Annual","Annual")</f>
        <v/>
      </c>
      <c r="F5275" s="8">
        <f>QS.TRADE.CREATE("trade.5273",C5275,E5275,A5275,"Receive")</f>
        <v/>
      </c>
      <c r="G5275" s="5"/>
      <c r="H5275" s="7" t="s">
        <v>5315</v>
      </c>
      <c r="I5275" s="9">
        <v>1527300</v>
      </c>
      <c r="J5275" s="10">
        <v>0.0373</v>
      </c>
    </row>
    <row r="5276" spans="1:10">
      <c r="A5276" s="7" t="s">
        <v>5309</v>
      </c>
      <c r="B5276" s="7" t="s">
        <v>7143</v>
      </c>
      <c r="C5276" s="8">
        <f>QS.CONTEXT.CREATE("market.5274",A5276,"USD","SOFR")</f>
        <v/>
      </c>
      <c r="D5276" s="8">
        <f>QS.CONTEXT.ADD.CURVE(C5276,"SOFR",$K$2:$K$7,$L$2:$L$7,,,"Actual360","LogLinear",TRUE)</f>
        <v/>
      </c>
      <c r="E5276" s="8">
        <f>QS.INSTRUMENT.SWAP("swap.5274",C5276,H5276,B5276,"USD","SOFR",I5276,J5276,0,"Actual360","Simple","Annual","Annual","Annual")</f>
        <v/>
      </c>
      <c r="F5276" s="8">
        <f>QS.TRADE.CREATE("trade.5274",C5276,E5276,A5276,"Receive")</f>
        <v/>
      </c>
      <c r="G5276" s="5"/>
      <c r="H5276" s="7" t="s">
        <v>5316</v>
      </c>
      <c r="I5276" s="9">
        <v>1527400</v>
      </c>
      <c r="J5276" s="10">
        <v>0.0374</v>
      </c>
    </row>
    <row r="5277" spans="1:10">
      <c r="A5277" s="7" t="s">
        <v>5310</v>
      </c>
      <c r="B5277" s="7" t="s">
        <v>7144</v>
      </c>
      <c r="C5277" s="8">
        <f>QS.CONTEXT.CREATE("market.5275",A5277,"USD","SOFR")</f>
        <v/>
      </c>
      <c r="D5277" s="8">
        <f>QS.CONTEXT.ADD.CURVE(C5277,"SOFR",$K$2:$K$7,$L$2:$L$7,,,"Actual360","LogLinear",TRUE)</f>
        <v/>
      </c>
      <c r="E5277" s="8">
        <f>QS.INSTRUMENT.SWAP("swap.5275",C5277,H5277,B5277,"USD","SOFR",I5277,J5277,0,"Actual360","Simple","Annual","Annual","Annual")</f>
        <v/>
      </c>
      <c r="F5277" s="8">
        <f>QS.TRADE.CREATE("trade.5275",C5277,E5277,A5277,"Receive")</f>
        <v/>
      </c>
      <c r="G5277" s="5"/>
      <c r="H5277" s="7" t="s">
        <v>5317</v>
      </c>
      <c r="I5277" s="9">
        <v>1527500</v>
      </c>
      <c r="J5277" s="10">
        <v>0.03750000000000001</v>
      </c>
    </row>
    <row r="5278" spans="1:10">
      <c r="A5278" s="7" t="s">
        <v>5311</v>
      </c>
      <c r="B5278" s="7" t="s">
        <v>7145</v>
      </c>
      <c r="C5278" s="8">
        <f>QS.CONTEXT.CREATE("market.5276",A5278,"USD","SOFR")</f>
        <v/>
      </c>
      <c r="D5278" s="8">
        <f>QS.CONTEXT.ADD.CURVE(C5278,"SOFR",$K$2:$K$7,$L$2:$L$7,,,"Actual360","LogLinear",TRUE)</f>
        <v/>
      </c>
      <c r="E5278" s="8">
        <f>QS.INSTRUMENT.SWAP("swap.5276",C5278,H5278,B5278,"USD","SOFR",I5278,J5278,0,"Actual360","Simple","Annual","Annual","Annual")</f>
        <v/>
      </c>
      <c r="F5278" s="8">
        <f>QS.TRADE.CREATE("trade.5276",C5278,E5278,A5278,"Receive")</f>
        <v/>
      </c>
      <c r="G5278" s="5"/>
      <c r="H5278" s="7" t="s">
        <v>5318</v>
      </c>
      <c r="I5278" s="9">
        <v>1527600</v>
      </c>
      <c r="J5278" s="10">
        <v>0.0376</v>
      </c>
    </row>
    <row r="5279" spans="1:10">
      <c r="A5279" s="7" t="s">
        <v>5312</v>
      </c>
      <c r="B5279" s="7" t="s">
        <v>7146</v>
      </c>
      <c r="C5279" s="8">
        <f>QS.CONTEXT.CREATE("market.5277",A5279,"USD","SOFR")</f>
        <v/>
      </c>
      <c r="D5279" s="8">
        <f>QS.CONTEXT.ADD.CURVE(C5279,"SOFR",$K$2:$K$7,$L$2:$L$7,,,"Actual360","LogLinear",TRUE)</f>
        <v/>
      </c>
      <c r="E5279" s="8">
        <f>QS.INSTRUMENT.SWAP("swap.5277",C5279,H5279,B5279,"USD","SOFR",I5279,J5279,0,"Actual360","Simple","Annual","Annual","Annual")</f>
        <v/>
      </c>
      <c r="F5279" s="8">
        <f>QS.TRADE.CREATE("trade.5277",C5279,E5279,A5279,"Receive")</f>
        <v/>
      </c>
      <c r="G5279" s="5"/>
      <c r="H5279" s="7" t="s">
        <v>5319</v>
      </c>
      <c r="I5279" s="9">
        <v>1527700</v>
      </c>
      <c r="J5279" s="10">
        <v>0.0377</v>
      </c>
    </row>
    <row r="5280" spans="1:10">
      <c r="A5280" s="7" t="s">
        <v>5313</v>
      </c>
      <c r="B5280" s="7" t="s">
        <v>7147</v>
      </c>
      <c r="C5280" s="8">
        <f>QS.CONTEXT.CREATE("market.5278",A5280,"USD","SOFR")</f>
        <v/>
      </c>
      <c r="D5280" s="8">
        <f>QS.CONTEXT.ADD.CURVE(C5280,"SOFR",$K$2:$K$7,$L$2:$L$7,,,"Actual360","LogLinear",TRUE)</f>
        <v/>
      </c>
      <c r="E5280" s="8">
        <f>QS.INSTRUMENT.SWAP("swap.5278",C5280,H5280,B5280,"USD","SOFR",I5280,J5280,0,"Actual360","Simple","Annual","Annual","Annual")</f>
        <v/>
      </c>
      <c r="F5280" s="8">
        <f>QS.TRADE.CREATE("trade.5278",C5280,E5280,A5280,"Receive")</f>
        <v/>
      </c>
      <c r="G5280" s="5"/>
      <c r="H5280" s="7" t="s">
        <v>5320</v>
      </c>
      <c r="I5280" s="9">
        <v>1527800</v>
      </c>
      <c r="J5280" s="10">
        <v>0.0378</v>
      </c>
    </row>
    <row r="5281" spans="1:10">
      <c r="A5281" s="7" t="s">
        <v>5314</v>
      </c>
      <c r="B5281" s="7" t="s">
        <v>7148</v>
      </c>
      <c r="C5281" s="8">
        <f>QS.CONTEXT.CREATE("market.5279",A5281,"USD","SOFR")</f>
        <v/>
      </c>
      <c r="D5281" s="8">
        <f>QS.CONTEXT.ADD.CURVE(C5281,"SOFR",$K$2:$K$7,$L$2:$L$7,,,"Actual360","LogLinear",TRUE)</f>
        <v/>
      </c>
      <c r="E5281" s="8">
        <f>QS.INSTRUMENT.SWAP("swap.5279",C5281,H5281,B5281,"USD","SOFR",I5281,J5281,0,"Actual360","Simple","Annual","Annual","Annual")</f>
        <v/>
      </c>
      <c r="F5281" s="8">
        <f>QS.TRADE.CREATE("trade.5279",C5281,E5281,A5281,"Receive")</f>
        <v/>
      </c>
      <c r="G5281" s="5"/>
      <c r="H5281" s="7" t="s">
        <v>5321</v>
      </c>
      <c r="I5281" s="9">
        <v>1527900</v>
      </c>
      <c r="J5281" s="10">
        <v>0.0379</v>
      </c>
    </row>
    <row r="5282" spans="1:10">
      <c r="A5282" s="7" t="s">
        <v>5315</v>
      </c>
      <c r="B5282" s="7" t="s">
        <v>7149</v>
      </c>
      <c r="C5282" s="8">
        <f>QS.CONTEXT.CREATE("market.5280",A5282,"USD","SOFR")</f>
        <v/>
      </c>
      <c r="D5282" s="8">
        <f>QS.CONTEXT.ADD.CURVE(C5282,"SOFR",$K$2:$K$7,$L$2:$L$7,,,"Actual360","LogLinear",TRUE)</f>
        <v/>
      </c>
      <c r="E5282" s="8">
        <f>QS.INSTRUMENT.SWAP("swap.5280",C5282,H5282,B5282,"USD","SOFR",I5282,J5282,0,"Actual360","Simple","Annual","Annual","Annual")</f>
        <v/>
      </c>
      <c r="F5282" s="8">
        <f>QS.TRADE.CREATE("trade.5280",C5282,E5282,A5282,"Receive")</f>
        <v/>
      </c>
      <c r="G5282" s="5"/>
      <c r="H5282" s="7" t="s">
        <v>5322</v>
      </c>
      <c r="I5282" s="9">
        <v>1528000</v>
      </c>
      <c r="J5282" s="10">
        <v>0.03800000000000001</v>
      </c>
    </row>
    <row r="5283" spans="1:10">
      <c r="A5283" s="7" t="s">
        <v>5316</v>
      </c>
      <c r="B5283" s="7" t="s">
        <v>7150</v>
      </c>
      <c r="C5283" s="8">
        <f>QS.CONTEXT.CREATE("market.5281",A5283,"USD","SOFR")</f>
        <v/>
      </c>
      <c r="D5283" s="8">
        <f>QS.CONTEXT.ADD.CURVE(C5283,"SOFR",$K$2:$K$7,$L$2:$L$7,,,"Actual360","LogLinear",TRUE)</f>
        <v/>
      </c>
      <c r="E5283" s="8">
        <f>QS.INSTRUMENT.SWAP("swap.5281",C5283,H5283,B5283,"USD","SOFR",I5283,J5283,0,"Actual360","Simple","Annual","Annual","Annual")</f>
        <v/>
      </c>
      <c r="F5283" s="8">
        <f>QS.TRADE.CREATE("trade.5281",C5283,E5283,A5283,"Receive")</f>
        <v/>
      </c>
      <c r="G5283" s="5"/>
      <c r="H5283" s="7" t="s">
        <v>5323</v>
      </c>
      <c r="I5283" s="9">
        <v>1528100</v>
      </c>
      <c r="J5283" s="10">
        <v>0.0381</v>
      </c>
    </row>
    <row r="5284" spans="1:10">
      <c r="A5284" s="7" t="s">
        <v>5317</v>
      </c>
      <c r="B5284" s="7" t="s">
        <v>7151</v>
      </c>
      <c r="C5284" s="8">
        <f>QS.CONTEXT.CREATE("market.5282",A5284,"USD","SOFR")</f>
        <v/>
      </c>
      <c r="D5284" s="8">
        <f>QS.CONTEXT.ADD.CURVE(C5284,"SOFR",$K$2:$K$7,$L$2:$L$7,,,"Actual360","LogLinear",TRUE)</f>
        <v/>
      </c>
      <c r="E5284" s="8">
        <f>QS.INSTRUMENT.SWAP("swap.5282",C5284,H5284,B5284,"USD","SOFR",I5284,J5284,0,"Actual360","Simple","Annual","Annual","Annual")</f>
        <v/>
      </c>
      <c r="F5284" s="8">
        <f>QS.TRADE.CREATE("trade.5282",C5284,E5284,A5284,"Receive")</f>
        <v/>
      </c>
      <c r="G5284" s="5"/>
      <c r="H5284" s="7" t="s">
        <v>5324</v>
      </c>
      <c r="I5284" s="9">
        <v>1528200</v>
      </c>
      <c r="J5284" s="10">
        <v>0.0382</v>
      </c>
    </row>
    <row r="5285" spans="1:10">
      <c r="A5285" s="7" t="s">
        <v>5318</v>
      </c>
      <c r="B5285" s="7" t="s">
        <v>7152</v>
      </c>
      <c r="C5285" s="8">
        <f>QS.CONTEXT.CREATE("market.5283",A5285,"USD","SOFR")</f>
        <v/>
      </c>
      <c r="D5285" s="8">
        <f>QS.CONTEXT.ADD.CURVE(C5285,"SOFR",$K$2:$K$7,$L$2:$L$7,,,"Actual360","LogLinear",TRUE)</f>
        <v/>
      </c>
      <c r="E5285" s="8">
        <f>QS.INSTRUMENT.SWAP("swap.5283",C5285,H5285,B5285,"USD","SOFR",I5285,J5285,0,"Actual360","Simple","Annual","Annual","Annual")</f>
        <v/>
      </c>
      <c r="F5285" s="8">
        <f>QS.TRADE.CREATE("trade.5283",C5285,E5285,A5285,"Receive")</f>
        <v/>
      </c>
      <c r="G5285" s="5"/>
      <c r="H5285" s="7" t="s">
        <v>5325</v>
      </c>
      <c r="I5285" s="9">
        <v>1528300</v>
      </c>
      <c r="J5285" s="10">
        <v>0.0383</v>
      </c>
    </row>
    <row r="5286" spans="1:10">
      <c r="A5286" s="7" t="s">
        <v>5319</v>
      </c>
      <c r="B5286" s="7" t="s">
        <v>7153</v>
      </c>
      <c r="C5286" s="8">
        <f>QS.CONTEXT.CREATE("market.5284",A5286,"USD","SOFR")</f>
        <v/>
      </c>
      <c r="D5286" s="8">
        <f>QS.CONTEXT.ADD.CURVE(C5286,"SOFR",$K$2:$K$7,$L$2:$L$7,,,"Actual360","LogLinear",TRUE)</f>
        <v/>
      </c>
      <c r="E5286" s="8">
        <f>QS.INSTRUMENT.SWAP("swap.5284",C5286,H5286,B5286,"USD","SOFR",I5286,J5286,0,"Actual360","Simple","Annual","Annual","Annual")</f>
        <v/>
      </c>
      <c r="F5286" s="8">
        <f>QS.TRADE.CREATE("trade.5284",C5286,E5286,A5286,"Receive")</f>
        <v/>
      </c>
      <c r="G5286" s="5"/>
      <c r="H5286" s="7" t="s">
        <v>5326</v>
      </c>
      <c r="I5286" s="9">
        <v>1528400</v>
      </c>
      <c r="J5286" s="10">
        <v>0.0384</v>
      </c>
    </row>
    <row r="5287" spans="1:10">
      <c r="A5287" s="7" t="s">
        <v>5320</v>
      </c>
      <c r="B5287" s="7" t="s">
        <v>7154</v>
      </c>
      <c r="C5287" s="8">
        <f>QS.CONTEXT.CREATE("market.5285",A5287,"USD","SOFR")</f>
        <v/>
      </c>
      <c r="D5287" s="8">
        <f>QS.CONTEXT.ADD.CURVE(C5287,"SOFR",$K$2:$K$7,$L$2:$L$7,,,"Actual360","LogLinear",TRUE)</f>
        <v/>
      </c>
      <c r="E5287" s="8">
        <f>QS.INSTRUMENT.SWAP("swap.5285",C5287,H5287,B5287,"USD","SOFR",I5287,J5287,0,"Actual360","Simple","Annual","Annual","Annual")</f>
        <v/>
      </c>
      <c r="F5287" s="8">
        <f>QS.TRADE.CREATE("trade.5285",C5287,E5287,A5287,"Receive")</f>
        <v/>
      </c>
      <c r="G5287" s="5"/>
      <c r="H5287" s="7" t="s">
        <v>5327</v>
      </c>
      <c r="I5287" s="9">
        <v>1528500</v>
      </c>
      <c r="J5287" s="10">
        <v>0.03850000000000001</v>
      </c>
    </row>
    <row r="5288" spans="1:10">
      <c r="A5288" s="7" t="s">
        <v>5321</v>
      </c>
      <c r="B5288" s="7" t="s">
        <v>7155</v>
      </c>
      <c r="C5288" s="8">
        <f>QS.CONTEXT.CREATE("market.5286",A5288,"USD","SOFR")</f>
        <v/>
      </c>
      <c r="D5288" s="8">
        <f>QS.CONTEXT.ADD.CURVE(C5288,"SOFR",$K$2:$K$7,$L$2:$L$7,,,"Actual360","LogLinear",TRUE)</f>
        <v/>
      </c>
      <c r="E5288" s="8">
        <f>QS.INSTRUMENT.SWAP("swap.5286",C5288,H5288,B5288,"USD","SOFR",I5288,J5288,0,"Actual360","Simple","Annual","Annual","Annual")</f>
        <v/>
      </c>
      <c r="F5288" s="8">
        <f>QS.TRADE.CREATE("trade.5286",C5288,E5288,A5288,"Receive")</f>
        <v/>
      </c>
      <c r="G5288" s="5"/>
      <c r="H5288" s="7" t="s">
        <v>5328</v>
      </c>
      <c r="I5288" s="9">
        <v>1528600</v>
      </c>
      <c r="J5288" s="10">
        <v>0.0386</v>
      </c>
    </row>
    <row r="5289" spans="1:10">
      <c r="A5289" s="7" t="s">
        <v>5322</v>
      </c>
      <c r="B5289" s="7" t="s">
        <v>7156</v>
      </c>
      <c r="C5289" s="8">
        <f>QS.CONTEXT.CREATE("market.5287",A5289,"USD","SOFR")</f>
        <v/>
      </c>
      <c r="D5289" s="8">
        <f>QS.CONTEXT.ADD.CURVE(C5289,"SOFR",$K$2:$K$7,$L$2:$L$7,,,"Actual360","LogLinear",TRUE)</f>
        <v/>
      </c>
      <c r="E5289" s="8">
        <f>QS.INSTRUMENT.SWAP("swap.5287",C5289,H5289,B5289,"USD","SOFR",I5289,J5289,0,"Actual360","Simple","Annual","Annual","Annual")</f>
        <v/>
      </c>
      <c r="F5289" s="8">
        <f>QS.TRADE.CREATE("trade.5287",C5289,E5289,A5289,"Receive")</f>
        <v/>
      </c>
      <c r="G5289" s="5"/>
      <c r="H5289" s="7" t="s">
        <v>5329</v>
      </c>
      <c r="I5289" s="9">
        <v>1528700</v>
      </c>
      <c r="J5289" s="10">
        <v>0.03870000000000001</v>
      </c>
    </row>
    <row r="5290" spans="1:10">
      <c r="A5290" s="7" t="s">
        <v>5323</v>
      </c>
      <c r="B5290" s="7" t="s">
        <v>7157</v>
      </c>
      <c r="C5290" s="8">
        <f>QS.CONTEXT.CREATE("market.5288",A5290,"USD","SOFR")</f>
        <v/>
      </c>
      <c r="D5290" s="8">
        <f>QS.CONTEXT.ADD.CURVE(C5290,"SOFR",$K$2:$K$7,$L$2:$L$7,,,"Actual360","LogLinear",TRUE)</f>
        <v/>
      </c>
      <c r="E5290" s="8">
        <f>QS.INSTRUMENT.SWAP("swap.5288",C5290,H5290,B5290,"USD","SOFR",I5290,J5290,0,"Actual360","Simple","Annual","Annual","Annual")</f>
        <v/>
      </c>
      <c r="F5290" s="8">
        <f>QS.TRADE.CREATE("trade.5288",C5290,E5290,A5290,"Receive")</f>
        <v/>
      </c>
      <c r="G5290" s="5"/>
      <c r="H5290" s="7" t="s">
        <v>5330</v>
      </c>
      <c r="I5290" s="9">
        <v>1528800</v>
      </c>
      <c r="J5290" s="10">
        <v>0.0388</v>
      </c>
    </row>
    <row r="5291" spans="1:10">
      <c r="A5291" s="7" t="s">
        <v>5324</v>
      </c>
      <c r="B5291" s="7" t="s">
        <v>7158</v>
      </c>
      <c r="C5291" s="8">
        <f>QS.CONTEXT.CREATE("market.5289",A5291,"USD","SOFR")</f>
        <v/>
      </c>
      <c r="D5291" s="8">
        <f>QS.CONTEXT.ADD.CURVE(C5291,"SOFR",$K$2:$K$7,$L$2:$L$7,,,"Actual360","LogLinear",TRUE)</f>
        <v/>
      </c>
      <c r="E5291" s="8">
        <f>QS.INSTRUMENT.SWAP("swap.5289",C5291,H5291,B5291,"USD","SOFR",I5291,J5291,0,"Actual360","Simple","Annual","Annual","Annual")</f>
        <v/>
      </c>
      <c r="F5291" s="8">
        <f>QS.TRADE.CREATE("trade.5289",C5291,E5291,A5291,"Receive")</f>
        <v/>
      </c>
      <c r="G5291" s="5"/>
      <c r="H5291" s="7" t="s">
        <v>5331</v>
      </c>
      <c r="I5291" s="9">
        <v>1528900</v>
      </c>
      <c r="J5291" s="10">
        <v>0.0389</v>
      </c>
    </row>
    <row r="5292" spans="1:10">
      <c r="A5292" s="7" t="s">
        <v>5325</v>
      </c>
      <c r="B5292" s="7" t="s">
        <v>7159</v>
      </c>
      <c r="C5292" s="8">
        <f>QS.CONTEXT.CREATE("market.5290",A5292,"USD","SOFR")</f>
        <v/>
      </c>
      <c r="D5292" s="8">
        <f>QS.CONTEXT.ADD.CURVE(C5292,"SOFR",$K$2:$K$7,$L$2:$L$7,,,"Actual360","LogLinear",TRUE)</f>
        <v/>
      </c>
      <c r="E5292" s="8">
        <f>QS.INSTRUMENT.SWAP("swap.5290",C5292,H5292,B5292,"USD","SOFR",I5292,J5292,0,"Actual360","Simple","Annual","Annual","Annual")</f>
        <v/>
      </c>
      <c r="F5292" s="8">
        <f>QS.TRADE.CREATE("trade.5290",C5292,E5292,A5292,"Receive")</f>
        <v/>
      </c>
      <c r="G5292" s="5"/>
      <c r="H5292" s="7" t="s">
        <v>5332</v>
      </c>
      <c r="I5292" s="9">
        <v>1529000</v>
      </c>
      <c r="J5292" s="10">
        <v>0.03900000000000001</v>
      </c>
    </row>
    <row r="5293" spans="1:10">
      <c r="A5293" s="7" t="s">
        <v>5326</v>
      </c>
      <c r="B5293" s="7" t="s">
        <v>7160</v>
      </c>
      <c r="C5293" s="8">
        <f>QS.CONTEXT.CREATE("market.5291",A5293,"USD","SOFR")</f>
        <v/>
      </c>
      <c r="D5293" s="8">
        <f>QS.CONTEXT.ADD.CURVE(C5293,"SOFR",$K$2:$K$7,$L$2:$L$7,,,"Actual360","LogLinear",TRUE)</f>
        <v/>
      </c>
      <c r="E5293" s="8">
        <f>QS.INSTRUMENT.SWAP("swap.5291",C5293,H5293,B5293,"USD","SOFR",I5293,J5293,0,"Actual360","Simple","Annual","Annual","Annual")</f>
        <v/>
      </c>
      <c r="F5293" s="8">
        <f>QS.TRADE.CREATE("trade.5291",C5293,E5293,A5293,"Receive")</f>
        <v/>
      </c>
      <c r="G5293" s="5"/>
      <c r="H5293" s="7" t="s">
        <v>5333</v>
      </c>
      <c r="I5293" s="9">
        <v>1529100</v>
      </c>
      <c r="J5293" s="10">
        <v>0.0391</v>
      </c>
    </row>
    <row r="5294" spans="1:10">
      <c r="A5294" s="7" t="s">
        <v>5327</v>
      </c>
      <c r="B5294" s="7" t="s">
        <v>7161</v>
      </c>
      <c r="C5294" s="8">
        <f>QS.CONTEXT.CREATE("market.5292",A5294,"USD","SOFR")</f>
        <v/>
      </c>
      <c r="D5294" s="8">
        <f>QS.CONTEXT.ADD.CURVE(C5294,"SOFR",$K$2:$K$7,$L$2:$L$7,,,"Actual360","LogLinear",TRUE)</f>
        <v/>
      </c>
      <c r="E5294" s="8">
        <f>QS.INSTRUMENT.SWAP("swap.5292",C5294,H5294,B5294,"USD","SOFR",I5294,J5294,0,"Actual360","Simple","Annual","Annual","Annual")</f>
        <v/>
      </c>
      <c r="F5294" s="8">
        <f>QS.TRADE.CREATE("trade.5292",C5294,E5294,A5294,"Receive")</f>
        <v/>
      </c>
      <c r="G5294" s="5"/>
      <c r="H5294" s="7" t="s">
        <v>5334</v>
      </c>
      <c r="I5294" s="9">
        <v>1529200</v>
      </c>
      <c r="J5294" s="10">
        <v>0.03920000000000001</v>
      </c>
    </row>
    <row r="5295" spans="1:10">
      <c r="A5295" s="7" t="s">
        <v>5328</v>
      </c>
      <c r="B5295" s="7" t="s">
        <v>7162</v>
      </c>
      <c r="C5295" s="8">
        <f>QS.CONTEXT.CREATE("market.5293",A5295,"USD","SOFR")</f>
        <v/>
      </c>
      <c r="D5295" s="8">
        <f>QS.CONTEXT.ADD.CURVE(C5295,"SOFR",$K$2:$K$7,$L$2:$L$7,,,"Actual360","LogLinear",TRUE)</f>
        <v/>
      </c>
      <c r="E5295" s="8">
        <f>QS.INSTRUMENT.SWAP("swap.5293",C5295,H5295,B5295,"USD","SOFR",I5295,J5295,0,"Actual360","Simple","Annual","Annual","Annual")</f>
        <v/>
      </c>
      <c r="F5295" s="8">
        <f>QS.TRADE.CREATE("trade.5293",C5295,E5295,A5295,"Receive")</f>
        <v/>
      </c>
      <c r="G5295" s="5"/>
      <c r="H5295" s="7" t="s">
        <v>5335</v>
      </c>
      <c r="I5295" s="9">
        <v>1529300</v>
      </c>
      <c r="J5295" s="10">
        <v>0.0393</v>
      </c>
    </row>
    <row r="5296" spans="1:10">
      <c r="A5296" s="7" t="s">
        <v>5329</v>
      </c>
      <c r="B5296" s="7" t="s">
        <v>7163</v>
      </c>
      <c r="C5296" s="8">
        <f>QS.CONTEXT.CREATE("market.5294",A5296,"USD","SOFR")</f>
        <v/>
      </c>
      <c r="D5296" s="8">
        <f>QS.CONTEXT.ADD.CURVE(C5296,"SOFR",$K$2:$K$7,$L$2:$L$7,,,"Actual360","LogLinear",TRUE)</f>
        <v/>
      </c>
      <c r="E5296" s="8">
        <f>QS.INSTRUMENT.SWAP("swap.5294",C5296,H5296,B5296,"USD","SOFR",I5296,J5296,0,"Actual360","Simple","Annual","Annual","Annual")</f>
        <v/>
      </c>
      <c r="F5296" s="8">
        <f>QS.TRADE.CREATE("trade.5294",C5296,E5296,A5296,"Receive")</f>
        <v/>
      </c>
      <c r="G5296" s="5"/>
      <c r="H5296" s="7" t="s">
        <v>5336</v>
      </c>
      <c r="I5296" s="9">
        <v>1529400</v>
      </c>
      <c r="J5296" s="10">
        <v>0.0394</v>
      </c>
    </row>
    <row r="5297" spans="1:10">
      <c r="A5297" s="7" t="s">
        <v>5330</v>
      </c>
      <c r="B5297" s="7" t="s">
        <v>7164</v>
      </c>
      <c r="C5297" s="8">
        <f>QS.CONTEXT.CREATE("market.5295",A5297,"USD","SOFR")</f>
        <v/>
      </c>
      <c r="D5297" s="8">
        <f>QS.CONTEXT.ADD.CURVE(C5297,"SOFR",$K$2:$K$7,$L$2:$L$7,,,"Actual360","LogLinear",TRUE)</f>
        <v/>
      </c>
      <c r="E5297" s="8">
        <f>QS.INSTRUMENT.SWAP("swap.5295",C5297,H5297,B5297,"USD","SOFR",I5297,J5297,0,"Actual360","Simple","Annual","Annual","Annual")</f>
        <v/>
      </c>
      <c r="F5297" s="8">
        <f>QS.TRADE.CREATE("trade.5295",C5297,E5297,A5297,"Receive")</f>
        <v/>
      </c>
      <c r="G5297" s="5"/>
      <c r="H5297" s="7" t="s">
        <v>5337</v>
      </c>
      <c r="I5297" s="9">
        <v>1529500</v>
      </c>
      <c r="J5297" s="10">
        <v>0.03950000000000001</v>
      </c>
    </row>
    <row r="5298" spans="1:10">
      <c r="A5298" s="7" t="s">
        <v>5331</v>
      </c>
      <c r="B5298" s="7" t="s">
        <v>7165</v>
      </c>
      <c r="C5298" s="8">
        <f>QS.CONTEXT.CREATE("market.5296",A5298,"USD","SOFR")</f>
        <v/>
      </c>
      <c r="D5298" s="8">
        <f>QS.CONTEXT.ADD.CURVE(C5298,"SOFR",$K$2:$K$7,$L$2:$L$7,,,"Actual360","LogLinear",TRUE)</f>
        <v/>
      </c>
      <c r="E5298" s="8">
        <f>QS.INSTRUMENT.SWAP("swap.5296",C5298,H5298,B5298,"USD","SOFR",I5298,J5298,0,"Actual360","Simple","Annual","Annual","Annual")</f>
        <v/>
      </c>
      <c r="F5298" s="8">
        <f>QS.TRADE.CREATE("trade.5296",C5298,E5298,A5298,"Receive")</f>
        <v/>
      </c>
      <c r="G5298" s="5"/>
      <c r="H5298" s="7" t="s">
        <v>5338</v>
      </c>
      <c r="I5298" s="9">
        <v>1529600</v>
      </c>
      <c r="J5298" s="10">
        <v>0.0396</v>
      </c>
    </row>
    <row r="5299" spans="1:10">
      <c r="A5299" s="7" t="s">
        <v>5332</v>
      </c>
      <c r="B5299" s="7" t="s">
        <v>7166</v>
      </c>
      <c r="C5299" s="8">
        <f>QS.CONTEXT.CREATE("market.5297",A5299,"USD","SOFR")</f>
        <v/>
      </c>
      <c r="D5299" s="8">
        <f>QS.CONTEXT.ADD.CURVE(C5299,"SOFR",$K$2:$K$7,$L$2:$L$7,,,"Actual360","LogLinear",TRUE)</f>
        <v/>
      </c>
      <c r="E5299" s="8">
        <f>QS.INSTRUMENT.SWAP("swap.5297",C5299,H5299,B5299,"USD","SOFR",I5299,J5299,0,"Actual360","Simple","Annual","Annual","Annual")</f>
        <v/>
      </c>
      <c r="F5299" s="8">
        <f>QS.TRADE.CREATE("trade.5297",C5299,E5299,A5299,"Receive")</f>
        <v/>
      </c>
      <c r="G5299" s="5"/>
      <c r="H5299" s="7" t="s">
        <v>5339</v>
      </c>
      <c r="I5299" s="9">
        <v>1529700</v>
      </c>
      <c r="J5299" s="10">
        <v>0.03970000000000001</v>
      </c>
    </row>
    <row r="5300" spans="1:10">
      <c r="A5300" s="7" t="s">
        <v>5333</v>
      </c>
      <c r="B5300" s="7" t="s">
        <v>7167</v>
      </c>
      <c r="C5300" s="8">
        <f>QS.CONTEXT.CREATE("market.5298",A5300,"USD","SOFR")</f>
        <v/>
      </c>
      <c r="D5300" s="8">
        <f>QS.CONTEXT.ADD.CURVE(C5300,"SOFR",$K$2:$K$7,$L$2:$L$7,,,"Actual360","LogLinear",TRUE)</f>
        <v/>
      </c>
      <c r="E5300" s="8">
        <f>QS.INSTRUMENT.SWAP("swap.5298",C5300,H5300,B5300,"USD","SOFR",I5300,J5300,0,"Actual360","Simple","Annual","Annual","Annual")</f>
        <v/>
      </c>
      <c r="F5300" s="8">
        <f>QS.TRADE.CREATE("trade.5298",C5300,E5300,A5300,"Receive")</f>
        <v/>
      </c>
      <c r="G5300" s="5"/>
      <c r="H5300" s="7" t="s">
        <v>5340</v>
      </c>
      <c r="I5300" s="9">
        <v>1529800</v>
      </c>
      <c r="J5300" s="10">
        <v>0.0398</v>
      </c>
    </row>
    <row r="5301" spans="1:10">
      <c r="A5301" s="7" t="s">
        <v>5334</v>
      </c>
      <c r="B5301" s="7" t="s">
        <v>7168</v>
      </c>
      <c r="C5301" s="8">
        <f>QS.CONTEXT.CREATE("market.5299",A5301,"USD","SOFR")</f>
        <v/>
      </c>
      <c r="D5301" s="8">
        <f>QS.CONTEXT.ADD.CURVE(C5301,"SOFR",$K$2:$K$7,$L$2:$L$7,,,"Actual360","LogLinear",TRUE)</f>
        <v/>
      </c>
      <c r="E5301" s="8">
        <f>QS.INSTRUMENT.SWAP("swap.5299",C5301,H5301,B5301,"USD","SOFR",I5301,J5301,0,"Actual360","Simple","Annual","Annual","Annual")</f>
        <v/>
      </c>
      <c r="F5301" s="8">
        <f>QS.TRADE.CREATE("trade.5299",C5301,E5301,A5301,"Receive")</f>
        <v/>
      </c>
      <c r="G5301" s="5"/>
      <c r="H5301" s="7" t="s">
        <v>5341</v>
      </c>
      <c r="I5301" s="9">
        <v>1529900</v>
      </c>
      <c r="J5301" s="10">
        <v>0.0399</v>
      </c>
    </row>
    <row r="5302" spans="1:10">
      <c r="A5302" s="7" t="s">
        <v>5335</v>
      </c>
      <c r="B5302" s="7" t="s">
        <v>7169</v>
      </c>
      <c r="C5302" s="8">
        <f>QS.CONTEXT.CREATE("market.5300",A5302,"USD","SOFR")</f>
        <v/>
      </c>
      <c r="D5302" s="8">
        <f>QS.CONTEXT.ADD.CURVE(C5302,"SOFR",$K$2:$K$7,$L$2:$L$7,,,"Actual360","LogLinear",TRUE)</f>
        <v/>
      </c>
      <c r="E5302" s="8">
        <f>QS.INSTRUMENT.SWAP("swap.5300",C5302,H5302,B5302,"USD","SOFR",I5302,J5302,0,"Actual360","Simple","Annual","Annual","Annual")</f>
        <v/>
      </c>
      <c r="F5302" s="8">
        <f>QS.TRADE.CREATE("trade.5300",C5302,E5302,A5302,"Receive")</f>
        <v/>
      </c>
      <c r="G5302" s="5"/>
      <c r="H5302" s="7" t="s">
        <v>5342</v>
      </c>
      <c r="I5302" s="9">
        <v>1530000</v>
      </c>
      <c r="J5302" s="10">
        <v>0.035</v>
      </c>
    </row>
    <row r="5303" spans="1:10">
      <c r="A5303" s="7" t="s">
        <v>5336</v>
      </c>
      <c r="B5303" s="7" t="s">
        <v>7170</v>
      </c>
      <c r="C5303" s="8">
        <f>QS.CONTEXT.CREATE("market.5301",A5303,"USD","SOFR")</f>
        <v/>
      </c>
      <c r="D5303" s="8">
        <f>QS.CONTEXT.ADD.CURVE(C5303,"SOFR",$K$2:$K$7,$L$2:$L$7,,,"Actual360","LogLinear",TRUE)</f>
        <v/>
      </c>
      <c r="E5303" s="8">
        <f>QS.INSTRUMENT.SWAP("swap.5301",C5303,H5303,B5303,"USD","SOFR",I5303,J5303,0,"Actual360","Simple","Annual","Annual","Annual")</f>
        <v/>
      </c>
      <c r="F5303" s="8">
        <f>QS.TRADE.CREATE("trade.5301",C5303,E5303,A5303,"Receive")</f>
        <v/>
      </c>
      <c r="G5303" s="5"/>
      <c r="H5303" s="7" t="s">
        <v>5343</v>
      </c>
      <c r="I5303" s="9">
        <v>1530100</v>
      </c>
      <c r="J5303" s="10">
        <v>0.03510000000000001</v>
      </c>
    </row>
    <row r="5304" spans="1:10">
      <c r="A5304" s="7" t="s">
        <v>5337</v>
      </c>
      <c r="B5304" s="7" t="s">
        <v>7171</v>
      </c>
      <c r="C5304" s="8">
        <f>QS.CONTEXT.CREATE("market.5302",A5304,"USD","SOFR")</f>
        <v/>
      </c>
      <c r="D5304" s="8">
        <f>QS.CONTEXT.ADD.CURVE(C5304,"SOFR",$K$2:$K$7,$L$2:$L$7,,,"Actual360","LogLinear",TRUE)</f>
        <v/>
      </c>
      <c r="E5304" s="8">
        <f>QS.INSTRUMENT.SWAP("swap.5302",C5304,H5304,B5304,"USD","SOFR",I5304,J5304,0,"Actual360","Simple","Annual","Annual","Annual")</f>
        <v/>
      </c>
      <c r="F5304" s="8">
        <f>QS.TRADE.CREATE("trade.5302",C5304,E5304,A5304,"Receive")</f>
        <v/>
      </c>
      <c r="G5304" s="5"/>
      <c r="H5304" s="7" t="s">
        <v>5344</v>
      </c>
      <c r="I5304" s="9">
        <v>1530200</v>
      </c>
      <c r="J5304" s="10">
        <v>0.0352</v>
      </c>
    </row>
    <row r="5305" spans="1:10">
      <c r="A5305" s="7" t="s">
        <v>5338</v>
      </c>
      <c r="B5305" s="7" t="s">
        <v>7172</v>
      </c>
      <c r="C5305" s="8">
        <f>QS.CONTEXT.CREATE("market.5303",A5305,"USD","SOFR")</f>
        <v/>
      </c>
      <c r="D5305" s="8">
        <f>QS.CONTEXT.ADD.CURVE(C5305,"SOFR",$K$2:$K$7,$L$2:$L$7,,,"Actual360","LogLinear",TRUE)</f>
        <v/>
      </c>
      <c r="E5305" s="8">
        <f>QS.INSTRUMENT.SWAP("swap.5303",C5305,H5305,B5305,"USD","SOFR",I5305,J5305,0,"Actual360","Simple","Annual","Annual","Annual")</f>
        <v/>
      </c>
      <c r="F5305" s="8">
        <f>QS.TRADE.CREATE("trade.5303",C5305,E5305,A5305,"Receive")</f>
        <v/>
      </c>
      <c r="G5305" s="5"/>
      <c r="H5305" s="7" t="s">
        <v>5345</v>
      </c>
      <c r="I5305" s="9">
        <v>1530300</v>
      </c>
      <c r="J5305" s="10">
        <v>0.0353</v>
      </c>
    </row>
    <row r="5306" spans="1:10">
      <c r="A5306" s="7" t="s">
        <v>5339</v>
      </c>
      <c r="B5306" s="7" t="s">
        <v>7173</v>
      </c>
      <c r="C5306" s="8">
        <f>QS.CONTEXT.CREATE("market.5304",A5306,"USD","SOFR")</f>
        <v/>
      </c>
      <c r="D5306" s="8">
        <f>QS.CONTEXT.ADD.CURVE(C5306,"SOFR",$K$2:$K$7,$L$2:$L$7,,,"Actual360","LogLinear",TRUE)</f>
        <v/>
      </c>
      <c r="E5306" s="8">
        <f>QS.INSTRUMENT.SWAP("swap.5304",C5306,H5306,B5306,"USD","SOFR",I5306,J5306,0,"Actual360","Simple","Annual","Annual","Annual")</f>
        <v/>
      </c>
      <c r="F5306" s="8">
        <f>QS.TRADE.CREATE("trade.5304",C5306,E5306,A5306,"Receive")</f>
        <v/>
      </c>
      <c r="G5306" s="5"/>
      <c r="H5306" s="7" t="s">
        <v>5346</v>
      </c>
      <c r="I5306" s="9">
        <v>1530400</v>
      </c>
      <c r="J5306" s="10">
        <v>0.0354</v>
      </c>
    </row>
    <row r="5307" spans="1:10">
      <c r="A5307" s="7" t="s">
        <v>5340</v>
      </c>
      <c r="B5307" s="7" t="s">
        <v>7174</v>
      </c>
      <c r="C5307" s="8">
        <f>QS.CONTEXT.CREATE("market.5305",A5307,"USD","SOFR")</f>
        <v/>
      </c>
      <c r="D5307" s="8">
        <f>QS.CONTEXT.ADD.CURVE(C5307,"SOFR",$K$2:$K$7,$L$2:$L$7,,,"Actual360","LogLinear",TRUE)</f>
        <v/>
      </c>
      <c r="E5307" s="8">
        <f>QS.INSTRUMENT.SWAP("swap.5305",C5307,H5307,B5307,"USD","SOFR",I5307,J5307,0,"Actual360","Simple","Annual","Annual","Annual")</f>
        <v/>
      </c>
      <c r="F5307" s="8">
        <f>QS.TRADE.CREATE("trade.5305",C5307,E5307,A5307,"Receive")</f>
        <v/>
      </c>
      <c r="G5307" s="5"/>
      <c r="H5307" s="7" t="s">
        <v>5347</v>
      </c>
      <c r="I5307" s="9">
        <v>1530500</v>
      </c>
      <c r="J5307" s="10">
        <v>0.0355</v>
      </c>
    </row>
    <row r="5308" spans="1:10">
      <c r="A5308" s="7" t="s">
        <v>5341</v>
      </c>
      <c r="B5308" s="7" t="s">
        <v>7175</v>
      </c>
      <c r="C5308" s="8">
        <f>QS.CONTEXT.CREATE("market.5306",A5308,"USD","SOFR")</f>
        <v/>
      </c>
      <c r="D5308" s="8">
        <f>QS.CONTEXT.ADD.CURVE(C5308,"SOFR",$K$2:$K$7,$L$2:$L$7,,,"Actual360","LogLinear",TRUE)</f>
        <v/>
      </c>
      <c r="E5308" s="8">
        <f>QS.INSTRUMENT.SWAP("swap.5306",C5308,H5308,B5308,"USD","SOFR",I5308,J5308,0,"Actual360","Simple","Annual","Annual","Annual")</f>
        <v/>
      </c>
      <c r="F5308" s="8">
        <f>QS.TRADE.CREATE("trade.5306",C5308,E5308,A5308,"Receive")</f>
        <v/>
      </c>
      <c r="G5308" s="5"/>
      <c r="H5308" s="7" t="s">
        <v>5348</v>
      </c>
      <c r="I5308" s="9">
        <v>1530600</v>
      </c>
      <c r="J5308" s="10">
        <v>0.03560000000000001</v>
      </c>
    </row>
    <row r="5309" spans="1:10">
      <c r="A5309" s="7" t="s">
        <v>5342</v>
      </c>
      <c r="B5309" s="7" t="s">
        <v>7176</v>
      </c>
      <c r="C5309" s="8">
        <f>QS.CONTEXT.CREATE("market.5307",A5309,"USD","SOFR")</f>
        <v/>
      </c>
      <c r="D5309" s="8">
        <f>QS.CONTEXT.ADD.CURVE(C5309,"SOFR",$K$2:$K$7,$L$2:$L$7,,,"Actual360","LogLinear",TRUE)</f>
        <v/>
      </c>
      <c r="E5309" s="8">
        <f>QS.INSTRUMENT.SWAP("swap.5307",C5309,H5309,B5309,"USD","SOFR",I5309,J5309,0,"Actual360","Simple","Annual","Annual","Annual")</f>
        <v/>
      </c>
      <c r="F5309" s="8">
        <f>QS.TRADE.CREATE("trade.5307",C5309,E5309,A5309,"Receive")</f>
        <v/>
      </c>
      <c r="G5309" s="5"/>
      <c r="H5309" s="7" t="s">
        <v>5349</v>
      </c>
      <c r="I5309" s="9">
        <v>1530700</v>
      </c>
      <c r="J5309" s="10">
        <v>0.0357</v>
      </c>
    </row>
    <row r="5310" spans="1:10">
      <c r="A5310" s="7" t="s">
        <v>5343</v>
      </c>
      <c r="B5310" s="7" t="s">
        <v>7177</v>
      </c>
      <c r="C5310" s="8">
        <f>QS.CONTEXT.CREATE("market.5308",A5310,"USD","SOFR")</f>
        <v/>
      </c>
      <c r="D5310" s="8">
        <f>QS.CONTEXT.ADD.CURVE(C5310,"SOFR",$K$2:$K$7,$L$2:$L$7,,,"Actual360","LogLinear",TRUE)</f>
        <v/>
      </c>
      <c r="E5310" s="8">
        <f>QS.INSTRUMENT.SWAP("swap.5308",C5310,H5310,B5310,"USD","SOFR",I5310,J5310,0,"Actual360","Simple","Annual","Annual","Annual")</f>
        <v/>
      </c>
      <c r="F5310" s="8">
        <f>QS.TRADE.CREATE("trade.5308",C5310,E5310,A5310,"Receive")</f>
        <v/>
      </c>
      <c r="G5310" s="5"/>
      <c r="H5310" s="7" t="s">
        <v>5350</v>
      </c>
      <c r="I5310" s="9">
        <v>1530800</v>
      </c>
      <c r="J5310" s="10">
        <v>0.03580000000000001</v>
      </c>
    </row>
    <row r="5311" spans="1:10">
      <c r="A5311" s="7" t="s">
        <v>5344</v>
      </c>
      <c r="B5311" s="7" t="s">
        <v>7178</v>
      </c>
      <c r="C5311" s="8">
        <f>QS.CONTEXT.CREATE("market.5309",A5311,"USD","SOFR")</f>
        <v/>
      </c>
      <c r="D5311" s="8">
        <f>QS.CONTEXT.ADD.CURVE(C5311,"SOFR",$K$2:$K$7,$L$2:$L$7,,,"Actual360","LogLinear",TRUE)</f>
        <v/>
      </c>
      <c r="E5311" s="8">
        <f>QS.INSTRUMENT.SWAP("swap.5309",C5311,H5311,B5311,"USD","SOFR",I5311,J5311,0,"Actual360","Simple","Annual","Annual","Annual")</f>
        <v/>
      </c>
      <c r="F5311" s="8">
        <f>QS.TRADE.CREATE("trade.5309",C5311,E5311,A5311,"Receive")</f>
        <v/>
      </c>
      <c r="G5311" s="5"/>
      <c r="H5311" s="7" t="s">
        <v>5351</v>
      </c>
      <c r="I5311" s="9">
        <v>1530900</v>
      </c>
      <c r="J5311" s="10">
        <v>0.0359</v>
      </c>
    </row>
    <row r="5312" spans="1:10">
      <c r="A5312" s="7" t="s">
        <v>5345</v>
      </c>
      <c r="B5312" s="7" t="s">
        <v>7179</v>
      </c>
      <c r="C5312" s="8">
        <f>QS.CONTEXT.CREATE("market.5310",A5312,"USD","SOFR")</f>
        <v/>
      </c>
      <c r="D5312" s="8">
        <f>QS.CONTEXT.ADD.CURVE(C5312,"SOFR",$K$2:$K$7,$L$2:$L$7,,,"Actual360","LogLinear",TRUE)</f>
        <v/>
      </c>
      <c r="E5312" s="8">
        <f>QS.INSTRUMENT.SWAP("swap.5310",C5312,H5312,B5312,"USD","SOFR",I5312,J5312,0,"Actual360","Simple","Annual","Annual","Annual")</f>
        <v/>
      </c>
      <c r="F5312" s="8">
        <f>QS.TRADE.CREATE("trade.5310",C5312,E5312,A5312,"Receive")</f>
        <v/>
      </c>
      <c r="G5312" s="5"/>
      <c r="H5312" s="7" t="s">
        <v>5352</v>
      </c>
      <c r="I5312" s="9">
        <v>1531000</v>
      </c>
      <c r="J5312" s="10">
        <v>0.036</v>
      </c>
    </row>
    <row r="5313" spans="1:10">
      <c r="A5313" s="7" t="s">
        <v>5346</v>
      </c>
      <c r="B5313" s="7" t="s">
        <v>7180</v>
      </c>
      <c r="C5313" s="8">
        <f>QS.CONTEXT.CREATE("market.5311",A5313,"USD","SOFR")</f>
        <v/>
      </c>
      <c r="D5313" s="8">
        <f>QS.CONTEXT.ADD.CURVE(C5313,"SOFR",$K$2:$K$7,$L$2:$L$7,,,"Actual360","LogLinear",TRUE)</f>
        <v/>
      </c>
      <c r="E5313" s="8">
        <f>QS.INSTRUMENT.SWAP("swap.5311",C5313,H5313,B5313,"USD","SOFR",I5313,J5313,0,"Actual360","Simple","Annual","Annual","Annual")</f>
        <v/>
      </c>
      <c r="F5313" s="8">
        <f>QS.TRADE.CREATE("trade.5311",C5313,E5313,A5313,"Receive")</f>
        <v/>
      </c>
      <c r="G5313" s="5"/>
      <c r="H5313" s="7" t="s">
        <v>5353</v>
      </c>
      <c r="I5313" s="9">
        <v>1531100</v>
      </c>
      <c r="J5313" s="10">
        <v>0.0361</v>
      </c>
    </row>
    <row r="5314" spans="1:10">
      <c r="A5314" s="7" t="s">
        <v>5347</v>
      </c>
      <c r="B5314" s="7" t="s">
        <v>7181</v>
      </c>
      <c r="C5314" s="8">
        <f>QS.CONTEXT.CREATE("market.5312",A5314,"USD","SOFR")</f>
        <v/>
      </c>
      <c r="D5314" s="8">
        <f>QS.CONTEXT.ADD.CURVE(C5314,"SOFR",$K$2:$K$7,$L$2:$L$7,,,"Actual360","LogLinear",TRUE)</f>
        <v/>
      </c>
      <c r="E5314" s="8">
        <f>QS.INSTRUMENT.SWAP("swap.5312",C5314,H5314,B5314,"USD","SOFR",I5314,J5314,0,"Actual360","Simple","Annual","Annual","Annual")</f>
        <v/>
      </c>
      <c r="F5314" s="8">
        <f>QS.TRADE.CREATE("trade.5312",C5314,E5314,A5314,"Receive")</f>
        <v/>
      </c>
      <c r="G5314" s="5"/>
      <c r="H5314" s="7" t="s">
        <v>5354</v>
      </c>
      <c r="I5314" s="9">
        <v>1531200</v>
      </c>
      <c r="J5314" s="10">
        <v>0.0362</v>
      </c>
    </row>
    <row r="5315" spans="1:10">
      <c r="A5315" s="7" t="s">
        <v>5348</v>
      </c>
      <c r="B5315" s="7" t="s">
        <v>7182</v>
      </c>
      <c r="C5315" s="8">
        <f>QS.CONTEXT.CREATE("market.5313",A5315,"USD","SOFR")</f>
        <v/>
      </c>
      <c r="D5315" s="8">
        <f>QS.CONTEXT.ADD.CURVE(C5315,"SOFR",$K$2:$K$7,$L$2:$L$7,,,"Actual360","LogLinear",TRUE)</f>
        <v/>
      </c>
      <c r="E5315" s="8">
        <f>QS.INSTRUMENT.SWAP("swap.5313",C5315,H5315,B5315,"USD","SOFR",I5315,J5315,0,"Actual360","Simple","Annual","Annual","Annual")</f>
        <v/>
      </c>
      <c r="F5315" s="8">
        <f>QS.TRADE.CREATE("trade.5313",C5315,E5315,A5315,"Receive")</f>
        <v/>
      </c>
      <c r="G5315" s="5"/>
      <c r="H5315" s="7" t="s">
        <v>5355</v>
      </c>
      <c r="I5315" s="9">
        <v>1531300</v>
      </c>
      <c r="J5315" s="10">
        <v>0.03630000000000001</v>
      </c>
    </row>
    <row r="5316" spans="1:10">
      <c r="A5316" s="7" t="s">
        <v>5349</v>
      </c>
      <c r="B5316" s="7" t="s">
        <v>7183</v>
      </c>
      <c r="C5316" s="8">
        <f>QS.CONTEXT.CREATE("market.5314",A5316,"USD","SOFR")</f>
        <v/>
      </c>
      <c r="D5316" s="8">
        <f>QS.CONTEXT.ADD.CURVE(C5316,"SOFR",$K$2:$K$7,$L$2:$L$7,,,"Actual360","LogLinear",TRUE)</f>
        <v/>
      </c>
      <c r="E5316" s="8">
        <f>QS.INSTRUMENT.SWAP("swap.5314",C5316,H5316,B5316,"USD","SOFR",I5316,J5316,0,"Actual360","Simple","Annual","Annual","Annual")</f>
        <v/>
      </c>
      <c r="F5316" s="8">
        <f>QS.TRADE.CREATE("trade.5314",C5316,E5316,A5316,"Receive")</f>
        <v/>
      </c>
      <c r="G5316" s="5"/>
      <c r="H5316" s="7" t="s">
        <v>5356</v>
      </c>
      <c r="I5316" s="9">
        <v>1531400</v>
      </c>
      <c r="J5316" s="10">
        <v>0.0364</v>
      </c>
    </row>
    <row r="5317" spans="1:10">
      <c r="A5317" s="7" t="s">
        <v>5350</v>
      </c>
      <c r="B5317" s="7" t="s">
        <v>7184</v>
      </c>
      <c r="C5317" s="8">
        <f>QS.CONTEXT.CREATE("market.5315",A5317,"USD","SOFR")</f>
        <v/>
      </c>
      <c r="D5317" s="8">
        <f>QS.CONTEXT.ADD.CURVE(C5317,"SOFR",$K$2:$K$7,$L$2:$L$7,,,"Actual360","LogLinear",TRUE)</f>
        <v/>
      </c>
      <c r="E5317" s="8">
        <f>QS.INSTRUMENT.SWAP("swap.5315",C5317,H5317,B5317,"USD","SOFR",I5317,J5317,0,"Actual360","Simple","Annual","Annual","Annual")</f>
        <v/>
      </c>
      <c r="F5317" s="8">
        <f>QS.TRADE.CREATE("trade.5315",C5317,E5317,A5317,"Receive")</f>
        <v/>
      </c>
      <c r="G5317" s="5"/>
      <c r="H5317" s="7" t="s">
        <v>5357</v>
      </c>
      <c r="I5317" s="9">
        <v>1531500</v>
      </c>
      <c r="J5317" s="10">
        <v>0.0365</v>
      </c>
    </row>
    <row r="5318" spans="1:10">
      <c r="A5318" s="7" t="s">
        <v>5351</v>
      </c>
      <c r="B5318" s="7" t="s">
        <v>7185</v>
      </c>
      <c r="C5318" s="8">
        <f>QS.CONTEXT.CREATE("market.5316",A5318,"USD","SOFR")</f>
        <v/>
      </c>
      <c r="D5318" s="8">
        <f>QS.CONTEXT.ADD.CURVE(C5318,"SOFR",$K$2:$K$7,$L$2:$L$7,,,"Actual360","LogLinear",TRUE)</f>
        <v/>
      </c>
      <c r="E5318" s="8">
        <f>QS.INSTRUMENT.SWAP("swap.5316",C5318,H5318,B5318,"USD","SOFR",I5318,J5318,0,"Actual360","Simple","Annual","Annual","Annual")</f>
        <v/>
      </c>
      <c r="F5318" s="8">
        <f>QS.TRADE.CREATE("trade.5316",C5318,E5318,A5318,"Receive")</f>
        <v/>
      </c>
      <c r="G5318" s="5"/>
      <c r="H5318" s="7" t="s">
        <v>5358</v>
      </c>
      <c r="I5318" s="9">
        <v>1531600</v>
      </c>
      <c r="J5318" s="10">
        <v>0.0366</v>
      </c>
    </row>
    <row r="5319" spans="1:10">
      <c r="A5319" s="7" t="s">
        <v>5352</v>
      </c>
      <c r="B5319" s="7" t="s">
        <v>7186</v>
      </c>
      <c r="C5319" s="8">
        <f>QS.CONTEXT.CREATE("market.5317",A5319,"USD","SOFR")</f>
        <v/>
      </c>
      <c r="D5319" s="8">
        <f>QS.CONTEXT.ADD.CURVE(C5319,"SOFR",$K$2:$K$7,$L$2:$L$7,,,"Actual360","LogLinear",TRUE)</f>
        <v/>
      </c>
      <c r="E5319" s="8">
        <f>QS.INSTRUMENT.SWAP("swap.5317",C5319,H5319,B5319,"USD","SOFR",I5319,J5319,0,"Actual360","Simple","Annual","Annual","Annual")</f>
        <v/>
      </c>
      <c r="F5319" s="8">
        <f>QS.TRADE.CREATE("trade.5317",C5319,E5319,A5319,"Receive")</f>
        <v/>
      </c>
      <c r="G5319" s="5"/>
      <c r="H5319" s="7" t="s">
        <v>5359</v>
      </c>
      <c r="I5319" s="9">
        <v>1531700</v>
      </c>
      <c r="J5319" s="10">
        <v>0.0367</v>
      </c>
    </row>
    <row r="5320" spans="1:10">
      <c r="A5320" s="7" t="s">
        <v>5353</v>
      </c>
      <c r="B5320" s="7" t="s">
        <v>7187</v>
      </c>
      <c r="C5320" s="8">
        <f>QS.CONTEXT.CREATE("market.5318",A5320,"USD","SOFR")</f>
        <v/>
      </c>
      <c r="D5320" s="8">
        <f>QS.CONTEXT.ADD.CURVE(C5320,"SOFR",$K$2:$K$7,$L$2:$L$7,,,"Actual360","LogLinear",TRUE)</f>
        <v/>
      </c>
      <c r="E5320" s="8">
        <f>QS.INSTRUMENT.SWAP("swap.5318",C5320,H5320,B5320,"USD","SOFR",I5320,J5320,0,"Actual360","Simple","Annual","Annual","Annual")</f>
        <v/>
      </c>
      <c r="F5320" s="8">
        <f>QS.TRADE.CREATE("trade.5318",C5320,E5320,A5320,"Receive")</f>
        <v/>
      </c>
      <c r="G5320" s="5"/>
      <c r="H5320" s="7" t="s">
        <v>5360</v>
      </c>
      <c r="I5320" s="9">
        <v>1531800</v>
      </c>
      <c r="J5320" s="10">
        <v>0.03680000000000001</v>
      </c>
    </row>
    <row r="5321" spans="1:10">
      <c r="A5321" s="7" t="s">
        <v>5354</v>
      </c>
      <c r="B5321" s="7" t="s">
        <v>7188</v>
      </c>
      <c r="C5321" s="8">
        <f>QS.CONTEXT.CREATE("market.5319",A5321,"USD","SOFR")</f>
        <v/>
      </c>
      <c r="D5321" s="8">
        <f>QS.CONTEXT.ADD.CURVE(C5321,"SOFR",$K$2:$K$7,$L$2:$L$7,,,"Actual360","LogLinear",TRUE)</f>
        <v/>
      </c>
      <c r="E5321" s="8">
        <f>QS.INSTRUMENT.SWAP("swap.5319",C5321,H5321,B5321,"USD","SOFR",I5321,J5321,0,"Actual360","Simple","Annual","Annual","Annual")</f>
        <v/>
      </c>
      <c r="F5321" s="8">
        <f>QS.TRADE.CREATE("trade.5319",C5321,E5321,A5321,"Receive")</f>
        <v/>
      </c>
      <c r="G5321" s="5"/>
      <c r="H5321" s="7" t="s">
        <v>5361</v>
      </c>
      <c r="I5321" s="9">
        <v>1531900</v>
      </c>
      <c r="J5321" s="10">
        <v>0.0369</v>
      </c>
    </row>
    <row r="5322" spans="1:10">
      <c r="A5322" s="7" t="s">
        <v>5355</v>
      </c>
      <c r="B5322" s="7" t="s">
        <v>7189</v>
      </c>
      <c r="C5322" s="8">
        <f>QS.CONTEXT.CREATE("market.5320",A5322,"USD","SOFR")</f>
        <v/>
      </c>
      <c r="D5322" s="8">
        <f>QS.CONTEXT.ADD.CURVE(C5322,"SOFR",$K$2:$K$7,$L$2:$L$7,,,"Actual360","LogLinear",TRUE)</f>
        <v/>
      </c>
      <c r="E5322" s="8">
        <f>QS.INSTRUMENT.SWAP("swap.5320",C5322,H5322,B5322,"USD","SOFR",I5322,J5322,0,"Actual360","Simple","Annual","Annual","Annual")</f>
        <v/>
      </c>
      <c r="F5322" s="8">
        <f>QS.TRADE.CREATE("trade.5320",C5322,E5322,A5322,"Receive")</f>
        <v/>
      </c>
      <c r="G5322" s="5"/>
      <c r="H5322" s="7" t="s">
        <v>5362</v>
      </c>
      <c r="I5322" s="9">
        <v>1532000</v>
      </c>
      <c r="J5322" s="10">
        <v>0.03700000000000001</v>
      </c>
    </row>
    <row r="5323" spans="1:10">
      <c r="A5323" s="7" t="s">
        <v>5356</v>
      </c>
      <c r="B5323" s="7" t="s">
        <v>7190</v>
      </c>
      <c r="C5323" s="8">
        <f>QS.CONTEXT.CREATE("market.5321",A5323,"USD","SOFR")</f>
        <v/>
      </c>
      <c r="D5323" s="8">
        <f>QS.CONTEXT.ADD.CURVE(C5323,"SOFR",$K$2:$K$7,$L$2:$L$7,,,"Actual360","LogLinear",TRUE)</f>
        <v/>
      </c>
      <c r="E5323" s="8">
        <f>QS.INSTRUMENT.SWAP("swap.5321",C5323,H5323,B5323,"USD","SOFR",I5323,J5323,0,"Actual360","Simple","Annual","Annual","Annual")</f>
        <v/>
      </c>
      <c r="F5323" s="8">
        <f>QS.TRADE.CREATE("trade.5321",C5323,E5323,A5323,"Receive")</f>
        <v/>
      </c>
      <c r="G5323" s="5"/>
      <c r="H5323" s="7" t="s">
        <v>5363</v>
      </c>
      <c r="I5323" s="9">
        <v>1532100</v>
      </c>
      <c r="J5323" s="10">
        <v>0.0371</v>
      </c>
    </row>
    <row r="5324" spans="1:10">
      <c r="A5324" s="7" t="s">
        <v>5357</v>
      </c>
      <c r="B5324" s="7" t="s">
        <v>7191</v>
      </c>
      <c r="C5324" s="8">
        <f>QS.CONTEXT.CREATE("market.5322",A5324,"USD","SOFR")</f>
        <v/>
      </c>
      <c r="D5324" s="8">
        <f>QS.CONTEXT.ADD.CURVE(C5324,"SOFR",$K$2:$K$7,$L$2:$L$7,,,"Actual360","LogLinear",TRUE)</f>
        <v/>
      </c>
      <c r="E5324" s="8">
        <f>QS.INSTRUMENT.SWAP("swap.5322",C5324,H5324,B5324,"USD","SOFR",I5324,J5324,0,"Actual360","Simple","Annual","Annual","Annual")</f>
        <v/>
      </c>
      <c r="F5324" s="8">
        <f>QS.TRADE.CREATE("trade.5322",C5324,E5324,A5324,"Receive")</f>
        <v/>
      </c>
      <c r="G5324" s="5"/>
      <c r="H5324" s="7" t="s">
        <v>5364</v>
      </c>
      <c r="I5324" s="9">
        <v>1532200</v>
      </c>
      <c r="J5324" s="10">
        <v>0.0372</v>
      </c>
    </row>
    <row r="5325" spans="1:10">
      <c r="A5325" s="7" t="s">
        <v>5358</v>
      </c>
      <c r="B5325" s="7" t="s">
        <v>7192</v>
      </c>
      <c r="C5325" s="8">
        <f>QS.CONTEXT.CREATE("market.5323",A5325,"USD","SOFR")</f>
        <v/>
      </c>
      <c r="D5325" s="8">
        <f>QS.CONTEXT.ADD.CURVE(C5325,"SOFR",$K$2:$K$7,$L$2:$L$7,,,"Actual360","LogLinear",TRUE)</f>
        <v/>
      </c>
      <c r="E5325" s="8">
        <f>QS.INSTRUMENT.SWAP("swap.5323",C5325,H5325,B5325,"USD","SOFR",I5325,J5325,0,"Actual360","Simple","Annual","Annual","Annual")</f>
        <v/>
      </c>
      <c r="F5325" s="8">
        <f>QS.TRADE.CREATE("trade.5323",C5325,E5325,A5325,"Receive")</f>
        <v/>
      </c>
      <c r="G5325" s="5"/>
      <c r="H5325" s="7" t="s">
        <v>5365</v>
      </c>
      <c r="I5325" s="9">
        <v>1532300</v>
      </c>
      <c r="J5325" s="10">
        <v>0.0373</v>
      </c>
    </row>
    <row r="5326" spans="1:10">
      <c r="A5326" s="7" t="s">
        <v>5359</v>
      </c>
      <c r="B5326" s="7" t="s">
        <v>7193</v>
      </c>
      <c r="C5326" s="8">
        <f>QS.CONTEXT.CREATE("market.5324",A5326,"USD","SOFR")</f>
        <v/>
      </c>
      <c r="D5326" s="8">
        <f>QS.CONTEXT.ADD.CURVE(C5326,"SOFR",$K$2:$K$7,$L$2:$L$7,,,"Actual360","LogLinear",TRUE)</f>
        <v/>
      </c>
      <c r="E5326" s="8">
        <f>QS.INSTRUMENT.SWAP("swap.5324",C5326,H5326,B5326,"USD","SOFR",I5326,J5326,0,"Actual360","Simple","Annual","Annual","Annual")</f>
        <v/>
      </c>
      <c r="F5326" s="8">
        <f>QS.TRADE.CREATE("trade.5324",C5326,E5326,A5326,"Receive")</f>
        <v/>
      </c>
      <c r="G5326" s="5"/>
      <c r="H5326" s="7" t="s">
        <v>5366</v>
      </c>
      <c r="I5326" s="9">
        <v>1532400</v>
      </c>
      <c r="J5326" s="10">
        <v>0.0374</v>
      </c>
    </row>
    <row r="5327" spans="1:10">
      <c r="A5327" s="7" t="s">
        <v>5360</v>
      </c>
      <c r="B5327" s="7" t="s">
        <v>7194</v>
      </c>
      <c r="C5327" s="8">
        <f>QS.CONTEXT.CREATE("market.5325",A5327,"USD","SOFR")</f>
        <v/>
      </c>
      <c r="D5327" s="8">
        <f>QS.CONTEXT.ADD.CURVE(C5327,"SOFR",$K$2:$K$7,$L$2:$L$7,,,"Actual360","LogLinear",TRUE)</f>
        <v/>
      </c>
      <c r="E5327" s="8">
        <f>QS.INSTRUMENT.SWAP("swap.5325",C5327,H5327,B5327,"USD","SOFR",I5327,J5327,0,"Actual360","Simple","Annual","Annual","Annual")</f>
        <v/>
      </c>
      <c r="F5327" s="8">
        <f>QS.TRADE.CREATE("trade.5325",C5327,E5327,A5327,"Receive")</f>
        <v/>
      </c>
      <c r="G5327" s="5"/>
      <c r="H5327" s="7" t="s">
        <v>5367</v>
      </c>
      <c r="I5327" s="9">
        <v>1532500</v>
      </c>
      <c r="J5327" s="10">
        <v>0.03750000000000001</v>
      </c>
    </row>
    <row r="5328" spans="1:10">
      <c r="A5328" s="7" t="s">
        <v>5361</v>
      </c>
      <c r="B5328" s="7" t="s">
        <v>7195</v>
      </c>
      <c r="C5328" s="8">
        <f>QS.CONTEXT.CREATE("market.5326",A5328,"USD","SOFR")</f>
        <v/>
      </c>
      <c r="D5328" s="8">
        <f>QS.CONTEXT.ADD.CURVE(C5328,"SOFR",$K$2:$K$7,$L$2:$L$7,,,"Actual360","LogLinear",TRUE)</f>
        <v/>
      </c>
      <c r="E5328" s="8">
        <f>QS.INSTRUMENT.SWAP("swap.5326",C5328,H5328,B5328,"USD","SOFR",I5328,J5328,0,"Actual360","Simple","Annual","Annual","Annual")</f>
        <v/>
      </c>
      <c r="F5328" s="8">
        <f>QS.TRADE.CREATE("trade.5326",C5328,E5328,A5328,"Receive")</f>
        <v/>
      </c>
      <c r="G5328" s="5"/>
      <c r="H5328" s="7" t="s">
        <v>5368</v>
      </c>
      <c r="I5328" s="9">
        <v>1532600</v>
      </c>
      <c r="J5328" s="10">
        <v>0.0376</v>
      </c>
    </row>
    <row r="5329" spans="1:10">
      <c r="A5329" s="7" t="s">
        <v>5362</v>
      </c>
      <c r="B5329" s="7" t="s">
        <v>7196</v>
      </c>
      <c r="C5329" s="8">
        <f>QS.CONTEXT.CREATE("market.5327",A5329,"USD","SOFR")</f>
        <v/>
      </c>
      <c r="D5329" s="8">
        <f>QS.CONTEXT.ADD.CURVE(C5329,"SOFR",$K$2:$K$7,$L$2:$L$7,,,"Actual360","LogLinear",TRUE)</f>
        <v/>
      </c>
      <c r="E5329" s="8">
        <f>QS.INSTRUMENT.SWAP("swap.5327",C5329,H5329,B5329,"USD","SOFR",I5329,J5329,0,"Actual360","Simple","Annual","Annual","Annual")</f>
        <v/>
      </c>
      <c r="F5329" s="8">
        <f>QS.TRADE.CREATE("trade.5327",C5329,E5329,A5329,"Receive")</f>
        <v/>
      </c>
      <c r="G5329" s="5"/>
      <c r="H5329" s="7" t="s">
        <v>5369</v>
      </c>
      <c r="I5329" s="9">
        <v>1532700</v>
      </c>
      <c r="J5329" s="10">
        <v>0.0377</v>
      </c>
    </row>
    <row r="5330" spans="1:10">
      <c r="A5330" s="7" t="s">
        <v>5363</v>
      </c>
      <c r="B5330" s="7" t="s">
        <v>7197</v>
      </c>
      <c r="C5330" s="8">
        <f>QS.CONTEXT.CREATE("market.5328",A5330,"USD","SOFR")</f>
        <v/>
      </c>
      <c r="D5330" s="8">
        <f>QS.CONTEXT.ADD.CURVE(C5330,"SOFR",$K$2:$K$7,$L$2:$L$7,,,"Actual360","LogLinear",TRUE)</f>
        <v/>
      </c>
      <c r="E5330" s="8">
        <f>QS.INSTRUMENT.SWAP("swap.5328",C5330,H5330,B5330,"USD","SOFR",I5330,J5330,0,"Actual360","Simple","Annual","Annual","Annual")</f>
        <v/>
      </c>
      <c r="F5330" s="8">
        <f>QS.TRADE.CREATE("trade.5328",C5330,E5330,A5330,"Receive")</f>
        <v/>
      </c>
      <c r="G5330" s="5"/>
      <c r="H5330" s="7" t="s">
        <v>5370</v>
      </c>
      <c r="I5330" s="9">
        <v>1532800</v>
      </c>
      <c r="J5330" s="10">
        <v>0.0378</v>
      </c>
    </row>
    <row r="5331" spans="1:10">
      <c r="A5331" s="7" t="s">
        <v>5364</v>
      </c>
      <c r="B5331" s="7" t="s">
        <v>7198</v>
      </c>
      <c r="C5331" s="8">
        <f>QS.CONTEXT.CREATE("market.5329",A5331,"USD","SOFR")</f>
        <v/>
      </c>
      <c r="D5331" s="8">
        <f>QS.CONTEXT.ADD.CURVE(C5331,"SOFR",$K$2:$K$7,$L$2:$L$7,,,"Actual360","LogLinear",TRUE)</f>
        <v/>
      </c>
      <c r="E5331" s="8">
        <f>QS.INSTRUMENT.SWAP("swap.5329",C5331,H5331,B5331,"USD","SOFR",I5331,J5331,0,"Actual360","Simple","Annual","Annual","Annual")</f>
        <v/>
      </c>
      <c r="F5331" s="8">
        <f>QS.TRADE.CREATE("trade.5329",C5331,E5331,A5331,"Receive")</f>
        <v/>
      </c>
      <c r="G5331" s="5"/>
      <c r="H5331" s="7" t="s">
        <v>5371</v>
      </c>
      <c r="I5331" s="9">
        <v>1532900</v>
      </c>
      <c r="J5331" s="10">
        <v>0.0379</v>
      </c>
    </row>
    <row r="5332" spans="1:10">
      <c r="A5332" s="7" t="s">
        <v>5365</v>
      </c>
      <c r="B5332" s="7" t="s">
        <v>7199</v>
      </c>
      <c r="C5332" s="8">
        <f>QS.CONTEXT.CREATE("market.5330",A5332,"USD","SOFR")</f>
        <v/>
      </c>
      <c r="D5332" s="8">
        <f>QS.CONTEXT.ADD.CURVE(C5332,"SOFR",$K$2:$K$7,$L$2:$L$7,,,"Actual360","LogLinear",TRUE)</f>
        <v/>
      </c>
      <c r="E5332" s="8">
        <f>QS.INSTRUMENT.SWAP("swap.5330",C5332,H5332,B5332,"USD","SOFR",I5332,J5332,0,"Actual360","Simple","Annual","Annual","Annual")</f>
        <v/>
      </c>
      <c r="F5332" s="8">
        <f>QS.TRADE.CREATE("trade.5330",C5332,E5332,A5332,"Receive")</f>
        <v/>
      </c>
      <c r="G5332" s="5"/>
      <c r="H5332" s="7" t="s">
        <v>5372</v>
      </c>
      <c r="I5332" s="9">
        <v>1533000</v>
      </c>
      <c r="J5332" s="10">
        <v>0.03800000000000001</v>
      </c>
    </row>
    <row r="5333" spans="1:10">
      <c r="A5333" s="7" t="s">
        <v>5366</v>
      </c>
      <c r="B5333" s="7" t="s">
        <v>7200</v>
      </c>
      <c r="C5333" s="8">
        <f>QS.CONTEXT.CREATE("market.5331",A5333,"USD","SOFR")</f>
        <v/>
      </c>
      <c r="D5333" s="8">
        <f>QS.CONTEXT.ADD.CURVE(C5333,"SOFR",$K$2:$K$7,$L$2:$L$7,,,"Actual360","LogLinear",TRUE)</f>
        <v/>
      </c>
      <c r="E5333" s="8">
        <f>QS.INSTRUMENT.SWAP("swap.5331",C5333,H5333,B5333,"USD","SOFR",I5333,J5333,0,"Actual360","Simple","Annual","Annual","Annual")</f>
        <v/>
      </c>
      <c r="F5333" s="8">
        <f>QS.TRADE.CREATE("trade.5331",C5333,E5333,A5333,"Receive")</f>
        <v/>
      </c>
      <c r="G5333" s="5"/>
      <c r="H5333" s="7" t="s">
        <v>5373</v>
      </c>
      <c r="I5333" s="9">
        <v>1533100</v>
      </c>
      <c r="J5333" s="10">
        <v>0.0381</v>
      </c>
    </row>
    <row r="5334" spans="1:10">
      <c r="A5334" s="7" t="s">
        <v>5367</v>
      </c>
      <c r="B5334" s="7" t="s">
        <v>7201</v>
      </c>
      <c r="C5334" s="8">
        <f>QS.CONTEXT.CREATE("market.5332",A5334,"USD","SOFR")</f>
        <v/>
      </c>
      <c r="D5334" s="8">
        <f>QS.CONTEXT.ADD.CURVE(C5334,"SOFR",$K$2:$K$7,$L$2:$L$7,,,"Actual360","LogLinear",TRUE)</f>
        <v/>
      </c>
      <c r="E5334" s="8">
        <f>QS.INSTRUMENT.SWAP("swap.5332",C5334,H5334,B5334,"USD","SOFR",I5334,J5334,0,"Actual360","Simple","Annual","Annual","Annual")</f>
        <v/>
      </c>
      <c r="F5334" s="8">
        <f>QS.TRADE.CREATE("trade.5332",C5334,E5334,A5334,"Receive")</f>
        <v/>
      </c>
      <c r="G5334" s="5"/>
      <c r="H5334" s="7" t="s">
        <v>5374</v>
      </c>
      <c r="I5334" s="9">
        <v>1533200</v>
      </c>
      <c r="J5334" s="10">
        <v>0.0382</v>
      </c>
    </row>
    <row r="5335" spans="1:10">
      <c r="A5335" s="7" t="s">
        <v>5368</v>
      </c>
      <c r="B5335" s="7" t="s">
        <v>7202</v>
      </c>
      <c r="C5335" s="8">
        <f>QS.CONTEXT.CREATE("market.5333",A5335,"USD","SOFR")</f>
        <v/>
      </c>
      <c r="D5335" s="8">
        <f>QS.CONTEXT.ADD.CURVE(C5335,"SOFR",$K$2:$K$7,$L$2:$L$7,,,"Actual360","LogLinear",TRUE)</f>
        <v/>
      </c>
      <c r="E5335" s="8">
        <f>QS.INSTRUMENT.SWAP("swap.5333",C5335,H5335,B5335,"USD","SOFR",I5335,J5335,0,"Actual360","Simple","Annual","Annual","Annual")</f>
        <v/>
      </c>
      <c r="F5335" s="8">
        <f>QS.TRADE.CREATE("trade.5333",C5335,E5335,A5335,"Receive")</f>
        <v/>
      </c>
      <c r="G5335" s="5"/>
      <c r="H5335" s="7" t="s">
        <v>5375</v>
      </c>
      <c r="I5335" s="9">
        <v>1533300</v>
      </c>
      <c r="J5335" s="10">
        <v>0.0383</v>
      </c>
    </row>
    <row r="5336" spans="1:10">
      <c r="A5336" s="7" t="s">
        <v>5369</v>
      </c>
      <c r="B5336" s="7" t="s">
        <v>7203</v>
      </c>
      <c r="C5336" s="8">
        <f>QS.CONTEXT.CREATE("market.5334",A5336,"USD","SOFR")</f>
        <v/>
      </c>
      <c r="D5336" s="8">
        <f>QS.CONTEXT.ADD.CURVE(C5336,"SOFR",$K$2:$K$7,$L$2:$L$7,,,"Actual360","LogLinear",TRUE)</f>
        <v/>
      </c>
      <c r="E5336" s="8">
        <f>QS.INSTRUMENT.SWAP("swap.5334",C5336,H5336,B5336,"USD","SOFR",I5336,J5336,0,"Actual360","Simple","Annual","Annual","Annual")</f>
        <v/>
      </c>
      <c r="F5336" s="8">
        <f>QS.TRADE.CREATE("trade.5334",C5336,E5336,A5336,"Receive")</f>
        <v/>
      </c>
      <c r="G5336" s="5"/>
      <c r="H5336" s="7" t="s">
        <v>5376</v>
      </c>
      <c r="I5336" s="9">
        <v>1533400</v>
      </c>
      <c r="J5336" s="10">
        <v>0.0384</v>
      </c>
    </row>
    <row r="5337" spans="1:10">
      <c r="A5337" s="7" t="s">
        <v>5370</v>
      </c>
      <c r="B5337" s="7" t="s">
        <v>7204</v>
      </c>
      <c r="C5337" s="8">
        <f>QS.CONTEXT.CREATE("market.5335",A5337,"USD","SOFR")</f>
        <v/>
      </c>
      <c r="D5337" s="8">
        <f>QS.CONTEXT.ADD.CURVE(C5337,"SOFR",$K$2:$K$7,$L$2:$L$7,,,"Actual360","LogLinear",TRUE)</f>
        <v/>
      </c>
      <c r="E5337" s="8">
        <f>QS.INSTRUMENT.SWAP("swap.5335",C5337,H5337,B5337,"USD","SOFR",I5337,J5337,0,"Actual360","Simple","Annual","Annual","Annual")</f>
        <v/>
      </c>
      <c r="F5337" s="8">
        <f>QS.TRADE.CREATE("trade.5335",C5337,E5337,A5337,"Receive")</f>
        <v/>
      </c>
      <c r="G5337" s="5"/>
      <c r="H5337" s="7" t="s">
        <v>5377</v>
      </c>
      <c r="I5337" s="9">
        <v>1533500</v>
      </c>
      <c r="J5337" s="10">
        <v>0.03850000000000001</v>
      </c>
    </row>
    <row r="5338" spans="1:10">
      <c r="A5338" s="7" t="s">
        <v>5371</v>
      </c>
      <c r="B5338" s="7" t="s">
        <v>7205</v>
      </c>
      <c r="C5338" s="8">
        <f>QS.CONTEXT.CREATE("market.5336",A5338,"USD","SOFR")</f>
        <v/>
      </c>
      <c r="D5338" s="8">
        <f>QS.CONTEXT.ADD.CURVE(C5338,"SOFR",$K$2:$K$7,$L$2:$L$7,,,"Actual360","LogLinear",TRUE)</f>
        <v/>
      </c>
      <c r="E5338" s="8">
        <f>QS.INSTRUMENT.SWAP("swap.5336",C5338,H5338,B5338,"USD","SOFR",I5338,J5338,0,"Actual360","Simple","Annual","Annual","Annual")</f>
        <v/>
      </c>
      <c r="F5338" s="8">
        <f>QS.TRADE.CREATE("trade.5336",C5338,E5338,A5338,"Receive")</f>
        <v/>
      </c>
      <c r="G5338" s="5"/>
      <c r="H5338" s="7" t="s">
        <v>5378</v>
      </c>
      <c r="I5338" s="9">
        <v>1533600</v>
      </c>
      <c r="J5338" s="10">
        <v>0.0386</v>
      </c>
    </row>
    <row r="5339" spans="1:10">
      <c r="A5339" s="7" t="s">
        <v>5372</v>
      </c>
      <c r="B5339" s="7" t="s">
        <v>7206</v>
      </c>
      <c r="C5339" s="8">
        <f>QS.CONTEXT.CREATE("market.5337",A5339,"USD","SOFR")</f>
        <v/>
      </c>
      <c r="D5339" s="8">
        <f>QS.CONTEXT.ADD.CURVE(C5339,"SOFR",$K$2:$K$7,$L$2:$L$7,,,"Actual360","LogLinear",TRUE)</f>
        <v/>
      </c>
      <c r="E5339" s="8">
        <f>QS.INSTRUMENT.SWAP("swap.5337",C5339,H5339,B5339,"USD","SOFR",I5339,J5339,0,"Actual360","Simple","Annual","Annual","Annual")</f>
        <v/>
      </c>
      <c r="F5339" s="8">
        <f>QS.TRADE.CREATE("trade.5337",C5339,E5339,A5339,"Receive")</f>
        <v/>
      </c>
      <c r="G5339" s="5"/>
      <c r="H5339" s="7" t="s">
        <v>5379</v>
      </c>
      <c r="I5339" s="9">
        <v>1533700</v>
      </c>
      <c r="J5339" s="10">
        <v>0.03870000000000001</v>
      </c>
    </row>
    <row r="5340" spans="1:10">
      <c r="A5340" s="7" t="s">
        <v>5373</v>
      </c>
      <c r="B5340" s="7" t="s">
        <v>7207</v>
      </c>
      <c r="C5340" s="8">
        <f>QS.CONTEXT.CREATE("market.5338",A5340,"USD","SOFR")</f>
        <v/>
      </c>
      <c r="D5340" s="8">
        <f>QS.CONTEXT.ADD.CURVE(C5340,"SOFR",$K$2:$K$7,$L$2:$L$7,,,"Actual360","LogLinear",TRUE)</f>
        <v/>
      </c>
      <c r="E5340" s="8">
        <f>QS.INSTRUMENT.SWAP("swap.5338",C5340,H5340,B5340,"USD","SOFR",I5340,J5340,0,"Actual360","Simple","Annual","Annual","Annual")</f>
        <v/>
      </c>
      <c r="F5340" s="8">
        <f>QS.TRADE.CREATE("trade.5338",C5340,E5340,A5340,"Receive")</f>
        <v/>
      </c>
      <c r="G5340" s="5"/>
      <c r="H5340" s="7" t="s">
        <v>5380</v>
      </c>
      <c r="I5340" s="9">
        <v>1533800</v>
      </c>
      <c r="J5340" s="10">
        <v>0.0388</v>
      </c>
    </row>
    <row r="5341" spans="1:10">
      <c r="A5341" s="7" t="s">
        <v>5374</v>
      </c>
      <c r="B5341" s="7" t="s">
        <v>7208</v>
      </c>
      <c r="C5341" s="8">
        <f>QS.CONTEXT.CREATE("market.5339",A5341,"USD","SOFR")</f>
        <v/>
      </c>
      <c r="D5341" s="8">
        <f>QS.CONTEXT.ADD.CURVE(C5341,"SOFR",$K$2:$K$7,$L$2:$L$7,,,"Actual360","LogLinear",TRUE)</f>
        <v/>
      </c>
      <c r="E5341" s="8">
        <f>QS.INSTRUMENT.SWAP("swap.5339",C5341,H5341,B5341,"USD","SOFR",I5341,J5341,0,"Actual360","Simple","Annual","Annual","Annual")</f>
        <v/>
      </c>
      <c r="F5341" s="8">
        <f>QS.TRADE.CREATE("trade.5339",C5341,E5341,A5341,"Receive")</f>
        <v/>
      </c>
      <c r="G5341" s="5"/>
      <c r="H5341" s="7" t="s">
        <v>5381</v>
      </c>
      <c r="I5341" s="9">
        <v>1533900</v>
      </c>
      <c r="J5341" s="10">
        <v>0.0389</v>
      </c>
    </row>
    <row r="5342" spans="1:10">
      <c r="A5342" s="7" t="s">
        <v>5375</v>
      </c>
      <c r="B5342" s="7" t="s">
        <v>7209</v>
      </c>
      <c r="C5342" s="8">
        <f>QS.CONTEXT.CREATE("market.5340",A5342,"USD","SOFR")</f>
        <v/>
      </c>
      <c r="D5342" s="8">
        <f>QS.CONTEXT.ADD.CURVE(C5342,"SOFR",$K$2:$K$7,$L$2:$L$7,,,"Actual360","LogLinear",TRUE)</f>
        <v/>
      </c>
      <c r="E5342" s="8">
        <f>QS.INSTRUMENT.SWAP("swap.5340",C5342,H5342,B5342,"USD","SOFR",I5342,J5342,0,"Actual360","Simple","Annual","Annual","Annual")</f>
        <v/>
      </c>
      <c r="F5342" s="8">
        <f>QS.TRADE.CREATE("trade.5340",C5342,E5342,A5342,"Receive")</f>
        <v/>
      </c>
      <c r="G5342" s="5"/>
      <c r="H5342" s="7" t="s">
        <v>5382</v>
      </c>
      <c r="I5342" s="9">
        <v>1534000</v>
      </c>
      <c r="J5342" s="10">
        <v>0.03900000000000001</v>
      </c>
    </row>
    <row r="5343" spans="1:10">
      <c r="A5343" s="7" t="s">
        <v>5376</v>
      </c>
      <c r="B5343" s="7" t="s">
        <v>7210</v>
      </c>
      <c r="C5343" s="8">
        <f>QS.CONTEXT.CREATE("market.5341",A5343,"USD","SOFR")</f>
        <v/>
      </c>
      <c r="D5343" s="8">
        <f>QS.CONTEXT.ADD.CURVE(C5343,"SOFR",$K$2:$K$7,$L$2:$L$7,,,"Actual360","LogLinear",TRUE)</f>
        <v/>
      </c>
      <c r="E5343" s="8">
        <f>QS.INSTRUMENT.SWAP("swap.5341",C5343,H5343,B5343,"USD","SOFR",I5343,J5343,0,"Actual360","Simple","Annual","Annual","Annual")</f>
        <v/>
      </c>
      <c r="F5343" s="8">
        <f>QS.TRADE.CREATE("trade.5341",C5343,E5343,A5343,"Receive")</f>
        <v/>
      </c>
      <c r="G5343" s="5"/>
      <c r="H5343" s="7" t="s">
        <v>5383</v>
      </c>
      <c r="I5343" s="9">
        <v>1534100</v>
      </c>
      <c r="J5343" s="10">
        <v>0.0391</v>
      </c>
    </row>
    <row r="5344" spans="1:10">
      <c r="A5344" s="7" t="s">
        <v>5377</v>
      </c>
      <c r="B5344" s="7" t="s">
        <v>7211</v>
      </c>
      <c r="C5344" s="8">
        <f>QS.CONTEXT.CREATE("market.5342",A5344,"USD","SOFR")</f>
        <v/>
      </c>
      <c r="D5344" s="8">
        <f>QS.CONTEXT.ADD.CURVE(C5344,"SOFR",$K$2:$K$7,$L$2:$L$7,,,"Actual360","LogLinear",TRUE)</f>
        <v/>
      </c>
      <c r="E5344" s="8">
        <f>QS.INSTRUMENT.SWAP("swap.5342",C5344,H5344,B5344,"USD","SOFR",I5344,J5344,0,"Actual360","Simple","Annual","Annual","Annual")</f>
        <v/>
      </c>
      <c r="F5344" s="8">
        <f>QS.TRADE.CREATE("trade.5342",C5344,E5344,A5344,"Receive")</f>
        <v/>
      </c>
      <c r="G5344" s="5"/>
      <c r="H5344" s="7" t="s">
        <v>5384</v>
      </c>
      <c r="I5344" s="9">
        <v>1534200</v>
      </c>
      <c r="J5344" s="10">
        <v>0.03920000000000001</v>
      </c>
    </row>
    <row r="5345" spans="1:10">
      <c r="A5345" s="7" t="s">
        <v>5378</v>
      </c>
      <c r="B5345" s="7" t="s">
        <v>7212</v>
      </c>
      <c r="C5345" s="8">
        <f>QS.CONTEXT.CREATE("market.5343",A5345,"USD","SOFR")</f>
        <v/>
      </c>
      <c r="D5345" s="8">
        <f>QS.CONTEXT.ADD.CURVE(C5345,"SOFR",$K$2:$K$7,$L$2:$L$7,,,"Actual360","LogLinear",TRUE)</f>
        <v/>
      </c>
      <c r="E5345" s="8">
        <f>QS.INSTRUMENT.SWAP("swap.5343",C5345,H5345,B5345,"USD","SOFR",I5345,J5345,0,"Actual360","Simple","Annual","Annual","Annual")</f>
        <v/>
      </c>
      <c r="F5345" s="8">
        <f>QS.TRADE.CREATE("trade.5343",C5345,E5345,A5345,"Receive")</f>
        <v/>
      </c>
      <c r="G5345" s="5"/>
      <c r="H5345" s="7" t="s">
        <v>5385</v>
      </c>
      <c r="I5345" s="9">
        <v>1534300</v>
      </c>
      <c r="J5345" s="10">
        <v>0.0393</v>
      </c>
    </row>
    <row r="5346" spans="1:10">
      <c r="A5346" s="7" t="s">
        <v>5379</v>
      </c>
      <c r="B5346" s="7" t="s">
        <v>7213</v>
      </c>
      <c r="C5346" s="8">
        <f>QS.CONTEXT.CREATE("market.5344",A5346,"USD","SOFR")</f>
        <v/>
      </c>
      <c r="D5346" s="8">
        <f>QS.CONTEXT.ADD.CURVE(C5346,"SOFR",$K$2:$K$7,$L$2:$L$7,,,"Actual360","LogLinear",TRUE)</f>
        <v/>
      </c>
      <c r="E5346" s="8">
        <f>QS.INSTRUMENT.SWAP("swap.5344",C5346,H5346,B5346,"USD","SOFR",I5346,J5346,0,"Actual360","Simple","Annual","Annual","Annual")</f>
        <v/>
      </c>
      <c r="F5346" s="8">
        <f>QS.TRADE.CREATE("trade.5344",C5346,E5346,A5346,"Receive")</f>
        <v/>
      </c>
      <c r="G5346" s="5"/>
      <c r="H5346" s="7" t="s">
        <v>5386</v>
      </c>
      <c r="I5346" s="9">
        <v>1534400</v>
      </c>
      <c r="J5346" s="10">
        <v>0.0394</v>
      </c>
    </row>
    <row r="5347" spans="1:10">
      <c r="A5347" s="7" t="s">
        <v>5380</v>
      </c>
      <c r="B5347" s="7" t="s">
        <v>7214</v>
      </c>
      <c r="C5347" s="8">
        <f>QS.CONTEXT.CREATE("market.5345",A5347,"USD","SOFR")</f>
        <v/>
      </c>
      <c r="D5347" s="8">
        <f>QS.CONTEXT.ADD.CURVE(C5347,"SOFR",$K$2:$K$7,$L$2:$L$7,,,"Actual360","LogLinear",TRUE)</f>
        <v/>
      </c>
      <c r="E5347" s="8">
        <f>QS.INSTRUMENT.SWAP("swap.5345",C5347,H5347,B5347,"USD","SOFR",I5347,J5347,0,"Actual360","Simple","Annual","Annual","Annual")</f>
        <v/>
      </c>
      <c r="F5347" s="8">
        <f>QS.TRADE.CREATE("trade.5345",C5347,E5347,A5347,"Receive")</f>
        <v/>
      </c>
      <c r="G5347" s="5"/>
      <c r="H5347" s="7" t="s">
        <v>5387</v>
      </c>
      <c r="I5347" s="9">
        <v>1534500</v>
      </c>
      <c r="J5347" s="10">
        <v>0.03950000000000001</v>
      </c>
    </row>
    <row r="5348" spans="1:10">
      <c r="A5348" s="7" t="s">
        <v>5381</v>
      </c>
      <c r="B5348" s="7" t="s">
        <v>7215</v>
      </c>
      <c r="C5348" s="8">
        <f>QS.CONTEXT.CREATE("market.5346",A5348,"USD","SOFR")</f>
        <v/>
      </c>
      <c r="D5348" s="8">
        <f>QS.CONTEXT.ADD.CURVE(C5348,"SOFR",$K$2:$K$7,$L$2:$L$7,,,"Actual360","LogLinear",TRUE)</f>
        <v/>
      </c>
      <c r="E5348" s="8">
        <f>QS.INSTRUMENT.SWAP("swap.5346",C5348,H5348,B5348,"USD","SOFR",I5348,J5348,0,"Actual360","Simple","Annual","Annual","Annual")</f>
        <v/>
      </c>
      <c r="F5348" s="8">
        <f>QS.TRADE.CREATE("trade.5346",C5348,E5348,A5348,"Receive")</f>
        <v/>
      </c>
      <c r="G5348" s="5"/>
      <c r="H5348" s="7" t="s">
        <v>5388</v>
      </c>
      <c r="I5348" s="9">
        <v>1534600</v>
      </c>
      <c r="J5348" s="10">
        <v>0.0396</v>
      </c>
    </row>
    <row r="5349" spans="1:10">
      <c r="A5349" s="7" t="s">
        <v>5382</v>
      </c>
      <c r="B5349" s="7" t="s">
        <v>7216</v>
      </c>
      <c r="C5349" s="8">
        <f>QS.CONTEXT.CREATE("market.5347",A5349,"USD","SOFR")</f>
        <v/>
      </c>
      <c r="D5349" s="8">
        <f>QS.CONTEXT.ADD.CURVE(C5349,"SOFR",$K$2:$K$7,$L$2:$L$7,,,"Actual360","LogLinear",TRUE)</f>
        <v/>
      </c>
      <c r="E5349" s="8">
        <f>QS.INSTRUMENT.SWAP("swap.5347",C5349,H5349,B5349,"USD","SOFR",I5349,J5349,0,"Actual360","Simple","Annual","Annual","Annual")</f>
        <v/>
      </c>
      <c r="F5349" s="8">
        <f>QS.TRADE.CREATE("trade.5347",C5349,E5349,A5349,"Receive")</f>
        <v/>
      </c>
      <c r="G5349" s="5"/>
      <c r="H5349" s="7" t="s">
        <v>5389</v>
      </c>
      <c r="I5349" s="9">
        <v>1534700</v>
      </c>
      <c r="J5349" s="10">
        <v>0.03970000000000001</v>
      </c>
    </row>
    <row r="5350" spans="1:10">
      <c r="A5350" s="7" t="s">
        <v>5383</v>
      </c>
      <c r="B5350" s="7" t="s">
        <v>7217</v>
      </c>
      <c r="C5350" s="8">
        <f>QS.CONTEXT.CREATE("market.5348",A5350,"USD","SOFR")</f>
        <v/>
      </c>
      <c r="D5350" s="8">
        <f>QS.CONTEXT.ADD.CURVE(C5350,"SOFR",$K$2:$K$7,$L$2:$L$7,,,"Actual360","LogLinear",TRUE)</f>
        <v/>
      </c>
      <c r="E5350" s="8">
        <f>QS.INSTRUMENT.SWAP("swap.5348",C5350,H5350,B5350,"USD","SOFR",I5350,J5350,0,"Actual360","Simple","Annual","Annual","Annual")</f>
        <v/>
      </c>
      <c r="F5350" s="8">
        <f>QS.TRADE.CREATE("trade.5348",C5350,E5350,A5350,"Receive")</f>
        <v/>
      </c>
      <c r="G5350" s="5"/>
      <c r="H5350" s="7" t="s">
        <v>5390</v>
      </c>
      <c r="I5350" s="9">
        <v>1534800</v>
      </c>
      <c r="J5350" s="10">
        <v>0.0398</v>
      </c>
    </row>
    <row r="5351" spans="1:10">
      <c r="A5351" s="7" t="s">
        <v>5384</v>
      </c>
      <c r="B5351" s="7" t="s">
        <v>7218</v>
      </c>
      <c r="C5351" s="8">
        <f>QS.CONTEXT.CREATE("market.5349",A5351,"USD","SOFR")</f>
        <v/>
      </c>
      <c r="D5351" s="8">
        <f>QS.CONTEXT.ADD.CURVE(C5351,"SOFR",$K$2:$K$7,$L$2:$L$7,,,"Actual360","LogLinear",TRUE)</f>
        <v/>
      </c>
      <c r="E5351" s="8">
        <f>QS.INSTRUMENT.SWAP("swap.5349",C5351,H5351,B5351,"USD","SOFR",I5351,J5351,0,"Actual360","Simple","Annual","Annual","Annual")</f>
        <v/>
      </c>
      <c r="F5351" s="8">
        <f>QS.TRADE.CREATE("trade.5349",C5351,E5351,A5351,"Receive")</f>
        <v/>
      </c>
      <c r="G5351" s="5"/>
      <c r="H5351" s="7" t="s">
        <v>5391</v>
      </c>
      <c r="I5351" s="9">
        <v>1534900</v>
      </c>
      <c r="J5351" s="10">
        <v>0.0399</v>
      </c>
    </row>
    <row r="5352" spans="1:10">
      <c r="A5352" s="7" t="s">
        <v>5385</v>
      </c>
      <c r="B5352" s="7" t="s">
        <v>7219</v>
      </c>
      <c r="C5352" s="8">
        <f>QS.CONTEXT.CREATE("market.5350",A5352,"USD","SOFR")</f>
        <v/>
      </c>
      <c r="D5352" s="8">
        <f>QS.CONTEXT.ADD.CURVE(C5352,"SOFR",$K$2:$K$7,$L$2:$L$7,,,"Actual360","LogLinear",TRUE)</f>
        <v/>
      </c>
      <c r="E5352" s="8">
        <f>QS.INSTRUMENT.SWAP("swap.5350",C5352,H5352,B5352,"USD","SOFR",I5352,J5352,0,"Actual360","Simple","Annual","Annual","Annual")</f>
        <v/>
      </c>
      <c r="F5352" s="8">
        <f>QS.TRADE.CREATE("trade.5350",C5352,E5352,A5352,"Receive")</f>
        <v/>
      </c>
      <c r="G5352" s="5"/>
      <c r="H5352" s="7" t="s">
        <v>5392</v>
      </c>
      <c r="I5352" s="9">
        <v>1535000</v>
      </c>
      <c r="J5352" s="10">
        <v>0.035</v>
      </c>
    </row>
    <row r="5353" spans="1:10">
      <c r="A5353" s="7" t="s">
        <v>5386</v>
      </c>
      <c r="B5353" s="7" t="s">
        <v>7220</v>
      </c>
      <c r="C5353" s="8">
        <f>QS.CONTEXT.CREATE("market.5351",A5353,"USD","SOFR")</f>
        <v/>
      </c>
      <c r="D5353" s="8">
        <f>QS.CONTEXT.ADD.CURVE(C5353,"SOFR",$K$2:$K$7,$L$2:$L$7,,,"Actual360","LogLinear",TRUE)</f>
        <v/>
      </c>
      <c r="E5353" s="8">
        <f>QS.INSTRUMENT.SWAP("swap.5351",C5353,H5353,B5353,"USD","SOFR",I5353,J5353,0,"Actual360","Simple","Annual","Annual","Annual")</f>
        <v/>
      </c>
      <c r="F5353" s="8">
        <f>QS.TRADE.CREATE("trade.5351",C5353,E5353,A5353,"Receive")</f>
        <v/>
      </c>
      <c r="G5353" s="5"/>
      <c r="H5353" s="7" t="s">
        <v>5393</v>
      </c>
      <c r="I5353" s="9">
        <v>1535100</v>
      </c>
      <c r="J5353" s="10">
        <v>0.03510000000000001</v>
      </c>
    </row>
    <row r="5354" spans="1:10">
      <c r="A5354" s="7" t="s">
        <v>5387</v>
      </c>
      <c r="B5354" s="7" t="s">
        <v>7221</v>
      </c>
      <c r="C5354" s="8">
        <f>QS.CONTEXT.CREATE("market.5352",A5354,"USD","SOFR")</f>
        <v/>
      </c>
      <c r="D5354" s="8">
        <f>QS.CONTEXT.ADD.CURVE(C5354,"SOFR",$K$2:$K$7,$L$2:$L$7,,,"Actual360","LogLinear",TRUE)</f>
        <v/>
      </c>
      <c r="E5354" s="8">
        <f>QS.INSTRUMENT.SWAP("swap.5352",C5354,H5354,B5354,"USD","SOFR",I5354,J5354,0,"Actual360","Simple","Annual","Annual","Annual")</f>
        <v/>
      </c>
      <c r="F5354" s="8">
        <f>QS.TRADE.CREATE("trade.5352",C5354,E5354,A5354,"Receive")</f>
        <v/>
      </c>
      <c r="G5354" s="5"/>
      <c r="H5354" s="7" t="s">
        <v>5394</v>
      </c>
      <c r="I5354" s="9">
        <v>1535200</v>
      </c>
      <c r="J5354" s="10">
        <v>0.0352</v>
      </c>
    </row>
    <row r="5355" spans="1:10">
      <c r="A5355" s="7" t="s">
        <v>5388</v>
      </c>
      <c r="B5355" s="7" t="s">
        <v>7222</v>
      </c>
      <c r="C5355" s="8">
        <f>QS.CONTEXT.CREATE("market.5353",A5355,"USD","SOFR")</f>
        <v/>
      </c>
      <c r="D5355" s="8">
        <f>QS.CONTEXT.ADD.CURVE(C5355,"SOFR",$K$2:$K$7,$L$2:$L$7,,,"Actual360","LogLinear",TRUE)</f>
        <v/>
      </c>
      <c r="E5355" s="8">
        <f>QS.INSTRUMENT.SWAP("swap.5353",C5355,H5355,B5355,"USD","SOFR",I5355,J5355,0,"Actual360","Simple","Annual","Annual","Annual")</f>
        <v/>
      </c>
      <c r="F5355" s="8">
        <f>QS.TRADE.CREATE("trade.5353",C5355,E5355,A5355,"Receive")</f>
        <v/>
      </c>
      <c r="G5355" s="5"/>
      <c r="H5355" s="7" t="s">
        <v>5395</v>
      </c>
      <c r="I5355" s="9">
        <v>1535300</v>
      </c>
      <c r="J5355" s="10">
        <v>0.0353</v>
      </c>
    </row>
    <row r="5356" spans="1:10">
      <c r="A5356" s="7" t="s">
        <v>5389</v>
      </c>
      <c r="B5356" s="7" t="s">
        <v>7223</v>
      </c>
      <c r="C5356" s="8">
        <f>QS.CONTEXT.CREATE("market.5354",A5356,"USD","SOFR")</f>
        <v/>
      </c>
      <c r="D5356" s="8">
        <f>QS.CONTEXT.ADD.CURVE(C5356,"SOFR",$K$2:$K$7,$L$2:$L$7,,,"Actual360","LogLinear",TRUE)</f>
        <v/>
      </c>
      <c r="E5356" s="8">
        <f>QS.INSTRUMENT.SWAP("swap.5354",C5356,H5356,B5356,"USD","SOFR",I5356,J5356,0,"Actual360","Simple","Annual","Annual","Annual")</f>
        <v/>
      </c>
      <c r="F5356" s="8">
        <f>QS.TRADE.CREATE("trade.5354",C5356,E5356,A5356,"Receive")</f>
        <v/>
      </c>
      <c r="G5356" s="5"/>
      <c r="H5356" s="7" t="s">
        <v>5396</v>
      </c>
      <c r="I5356" s="9">
        <v>1535400</v>
      </c>
      <c r="J5356" s="10">
        <v>0.0354</v>
      </c>
    </row>
    <row r="5357" spans="1:10">
      <c r="A5357" s="7" t="s">
        <v>5390</v>
      </c>
      <c r="B5357" s="7" t="s">
        <v>7224</v>
      </c>
      <c r="C5357" s="8">
        <f>QS.CONTEXT.CREATE("market.5355",A5357,"USD","SOFR")</f>
        <v/>
      </c>
      <c r="D5357" s="8">
        <f>QS.CONTEXT.ADD.CURVE(C5357,"SOFR",$K$2:$K$7,$L$2:$L$7,,,"Actual360","LogLinear",TRUE)</f>
        <v/>
      </c>
      <c r="E5357" s="8">
        <f>QS.INSTRUMENT.SWAP("swap.5355",C5357,H5357,B5357,"USD","SOFR",I5357,J5357,0,"Actual360","Simple","Annual","Annual","Annual")</f>
        <v/>
      </c>
      <c r="F5357" s="8">
        <f>QS.TRADE.CREATE("trade.5355",C5357,E5357,A5357,"Receive")</f>
        <v/>
      </c>
      <c r="G5357" s="5"/>
      <c r="H5357" s="7" t="s">
        <v>5397</v>
      </c>
      <c r="I5357" s="9">
        <v>1535500</v>
      </c>
      <c r="J5357" s="10">
        <v>0.0355</v>
      </c>
    </row>
    <row r="5358" spans="1:10">
      <c r="A5358" s="7" t="s">
        <v>5391</v>
      </c>
      <c r="B5358" s="7" t="s">
        <v>7225</v>
      </c>
      <c r="C5358" s="8">
        <f>QS.CONTEXT.CREATE("market.5356",A5358,"USD","SOFR")</f>
        <v/>
      </c>
      <c r="D5358" s="8">
        <f>QS.CONTEXT.ADD.CURVE(C5358,"SOFR",$K$2:$K$7,$L$2:$L$7,,,"Actual360","LogLinear",TRUE)</f>
        <v/>
      </c>
      <c r="E5358" s="8">
        <f>QS.INSTRUMENT.SWAP("swap.5356",C5358,H5358,B5358,"USD","SOFR",I5358,J5358,0,"Actual360","Simple","Annual","Annual","Annual")</f>
        <v/>
      </c>
      <c r="F5358" s="8">
        <f>QS.TRADE.CREATE("trade.5356",C5358,E5358,A5358,"Receive")</f>
        <v/>
      </c>
      <c r="G5358" s="5"/>
      <c r="H5358" s="7" t="s">
        <v>5398</v>
      </c>
      <c r="I5358" s="9">
        <v>1535600</v>
      </c>
      <c r="J5358" s="10">
        <v>0.03560000000000001</v>
      </c>
    </row>
    <row r="5359" spans="1:10">
      <c r="A5359" s="7" t="s">
        <v>5392</v>
      </c>
      <c r="B5359" s="7" t="s">
        <v>7226</v>
      </c>
      <c r="C5359" s="8">
        <f>QS.CONTEXT.CREATE("market.5357",A5359,"USD","SOFR")</f>
        <v/>
      </c>
      <c r="D5359" s="8">
        <f>QS.CONTEXT.ADD.CURVE(C5359,"SOFR",$K$2:$K$7,$L$2:$L$7,,,"Actual360","LogLinear",TRUE)</f>
        <v/>
      </c>
      <c r="E5359" s="8">
        <f>QS.INSTRUMENT.SWAP("swap.5357",C5359,H5359,B5359,"USD","SOFR",I5359,J5359,0,"Actual360","Simple","Annual","Annual","Annual")</f>
        <v/>
      </c>
      <c r="F5359" s="8">
        <f>QS.TRADE.CREATE("trade.5357",C5359,E5359,A5359,"Receive")</f>
        <v/>
      </c>
      <c r="G5359" s="5"/>
      <c r="H5359" s="7" t="s">
        <v>5399</v>
      </c>
      <c r="I5359" s="9">
        <v>1535700</v>
      </c>
      <c r="J5359" s="10">
        <v>0.0357</v>
      </c>
    </row>
    <row r="5360" spans="1:10">
      <c r="A5360" s="7" t="s">
        <v>5393</v>
      </c>
      <c r="B5360" s="7" t="s">
        <v>7227</v>
      </c>
      <c r="C5360" s="8">
        <f>QS.CONTEXT.CREATE("market.5358",A5360,"USD","SOFR")</f>
        <v/>
      </c>
      <c r="D5360" s="8">
        <f>QS.CONTEXT.ADD.CURVE(C5360,"SOFR",$K$2:$K$7,$L$2:$L$7,,,"Actual360","LogLinear",TRUE)</f>
        <v/>
      </c>
      <c r="E5360" s="8">
        <f>QS.INSTRUMENT.SWAP("swap.5358",C5360,H5360,B5360,"USD","SOFR",I5360,J5360,0,"Actual360","Simple","Annual","Annual","Annual")</f>
        <v/>
      </c>
      <c r="F5360" s="8">
        <f>QS.TRADE.CREATE("trade.5358",C5360,E5360,A5360,"Receive")</f>
        <v/>
      </c>
      <c r="G5360" s="5"/>
      <c r="H5360" s="7" t="s">
        <v>5400</v>
      </c>
      <c r="I5360" s="9">
        <v>1535800</v>
      </c>
      <c r="J5360" s="10">
        <v>0.03580000000000001</v>
      </c>
    </row>
    <row r="5361" spans="1:10">
      <c r="A5361" s="7" t="s">
        <v>5394</v>
      </c>
      <c r="B5361" s="7" t="s">
        <v>7228</v>
      </c>
      <c r="C5361" s="8">
        <f>QS.CONTEXT.CREATE("market.5359",A5361,"USD","SOFR")</f>
        <v/>
      </c>
      <c r="D5361" s="8">
        <f>QS.CONTEXT.ADD.CURVE(C5361,"SOFR",$K$2:$K$7,$L$2:$L$7,,,"Actual360","LogLinear",TRUE)</f>
        <v/>
      </c>
      <c r="E5361" s="8">
        <f>QS.INSTRUMENT.SWAP("swap.5359",C5361,H5361,B5361,"USD","SOFR",I5361,J5361,0,"Actual360","Simple","Annual","Annual","Annual")</f>
        <v/>
      </c>
      <c r="F5361" s="8">
        <f>QS.TRADE.CREATE("trade.5359",C5361,E5361,A5361,"Receive")</f>
        <v/>
      </c>
      <c r="G5361" s="5"/>
      <c r="H5361" s="7" t="s">
        <v>5401</v>
      </c>
      <c r="I5361" s="9">
        <v>1535900</v>
      </c>
      <c r="J5361" s="10">
        <v>0.0359</v>
      </c>
    </row>
    <row r="5362" spans="1:10">
      <c r="A5362" s="7" t="s">
        <v>5395</v>
      </c>
      <c r="B5362" s="7" t="s">
        <v>7229</v>
      </c>
      <c r="C5362" s="8">
        <f>QS.CONTEXT.CREATE("market.5360",A5362,"USD","SOFR")</f>
        <v/>
      </c>
      <c r="D5362" s="8">
        <f>QS.CONTEXT.ADD.CURVE(C5362,"SOFR",$K$2:$K$7,$L$2:$L$7,,,"Actual360","LogLinear",TRUE)</f>
        <v/>
      </c>
      <c r="E5362" s="8">
        <f>QS.INSTRUMENT.SWAP("swap.5360",C5362,H5362,B5362,"USD","SOFR",I5362,J5362,0,"Actual360","Simple","Annual","Annual","Annual")</f>
        <v/>
      </c>
      <c r="F5362" s="8">
        <f>QS.TRADE.CREATE("trade.5360",C5362,E5362,A5362,"Receive")</f>
        <v/>
      </c>
      <c r="G5362" s="5"/>
      <c r="H5362" s="7" t="s">
        <v>5402</v>
      </c>
      <c r="I5362" s="9">
        <v>1536000</v>
      </c>
      <c r="J5362" s="10">
        <v>0.036</v>
      </c>
    </row>
    <row r="5363" spans="1:10">
      <c r="A5363" s="7" t="s">
        <v>5396</v>
      </c>
      <c r="B5363" s="7" t="s">
        <v>7230</v>
      </c>
      <c r="C5363" s="8">
        <f>QS.CONTEXT.CREATE("market.5361",A5363,"USD","SOFR")</f>
        <v/>
      </c>
      <c r="D5363" s="8">
        <f>QS.CONTEXT.ADD.CURVE(C5363,"SOFR",$K$2:$K$7,$L$2:$L$7,,,"Actual360","LogLinear",TRUE)</f>
        <v/>
      </c>
      <c r="E5363" s="8">
        <f>QS.INSTRUMENT.SWAP("swap.5361",C5363,H5363,B5363,"USD","SOFR",I5363,J5363,0,"Actual360","Simple","Annual","Annual","Annual")</f>
        <v/>
      </c>
      <c r="F5363" s="8">
        <f>QS.TRADE.CREATE("trade.5361",C5363,E5363,A5363,"Receive")</f>
        <v/>
      </c>
      <c r="G5363" s="5"/>
      <c r="H5363" s="7" t="s">
        <v>5403</v>
      </c>
      <c r="I5363" s="9">
        <v>1536100</v>
      </c>
      <c r="J5363" s="10">
        <v>0.0361</v>
      </c>
    </row>
    <row r="5364" spans="1:10">
      <c r="A5364" s="7" t="s">
        <v>5397</v>
      </c>
      <c r="B5364" s="7" t="s">
        <v>7231</v>
      </c>
      <c r="C5364" s="8">
        <f>QS.CONTEXT.CREATE("market.5362",A5364,"USD","SOFR")</f>
        <v/>
      </c>
      <c r="D5364" s="8">
        <f>QS.CONTEXT.ADD.CURVE(C5364,"SOFR",$K$2:$K$7,$L$2:$L$7,,,"Actual360","LogLinear",TRUE)</f>
        <v/>
      </c>
      <c r="E5364" s="8">
        <f>QS.INSTRUMENT.SWAP("swap.5362",C5364,H5364,B5364,"USD","SOFR",I5364,J5364,0,"Actual360","Simple","Annual","Annual","Annual")</f>
        <v/>
      </c>
      <c r="F5364" s="8">
        <f>QS.TRADE.CREATE("trade.5362",C5364,E5364,A5364,"Receive")</f>
        <v/>
      </c>
      <c r="G5364" s="5"/>
      <c r="H5364" s="7" t="s">
        <v>5404</v>
      </c>
      <c r="I5364" s="9">
        <v>1536200</v>
      </c>
      <c r="J5364" s="10">
        <v>0.0362</v>
      </c>
    </row>
    <row r="5365" spans="1:10">
      <c r="A5365" s="7" t="s">
        <v>5398</v>
      </c>
      <c r="B5365" s="7" t="s">
        <v>7232</v>
      </c>
      <c r="C5365" s="8">
        <f>QS.CONTEXT.CREATE("market.5363",A5365,"USD","SOFR")</f>
        <v/>
      </c>
      <c r="D5365" s="8">
        <f>QS.CONTEXT.ADD.CURVE(C5365,"SOFR",$K$2:$K$7,$L$2:$L$7,,,"Actual360","LogLinear",TRUE)</f>
        <v/>
      </c>
      <c r="E5365" s="8">
        <f>QS.INSTRUMENT.SWAP("swap.5363",C5365,H5365,B5365,"USD","SOFR",I5365,J5365,0,"Actual360","Simple","Annual","Annual","Annual")</f>
        <v/>
      </c>
      <c r="F5365" s="8">
        <f>QS.TRADE.CREATE("trade.5363",C5365,E5365,A5365,"Receive")</f>
        <v/>
      </c>
      <c r="G5365" s="5"/>
      <c r="H5365" s="7" t="s">
        <v>5405</v>
      </c>
      <c r="I5365" s="9">
        <v>1536300</v>
      </c>
      <c r="J5365" s="10">
        <v>0.03630000000000001</v>
      </c>
    </row>
    <row r="5366" spans="1:10">
      <c r="A5366" s="7" t="s">
        <v>5399</v>
      </c>
      <c r="B5366" s="7" t="s">
        <v>7233</v>
      </c>
      <c r="C5366" s="8">
        <f>QS.CONTEXT.CREATE("market.5364",A5366,"USD","SOFR")</f>
        <v/>
      </c>
      <c r="D5366" s="8">
        <f>QS.CONTEXT.ADD.CURVE(C5366,"SOFR",$K$2:$K$7,$L$2:$L$7,,,"Actual360","LogLinear",TRUE)</f>
        <v/>
      </c>
      <c r="E5366" s="8">
        <f>QS.INSTRUMENT.SWAP("swap.5364",C5366,H5366,B5366,"USD","SOFR",I5366,J5366,0,"Actual360","Simple","Annual","Annual","Annual")</f>
        <v/>
      </c>
      <c r="F5366" s="8">
        <f>QS.TRADE.CREATE("trade.5364",C5366,E5366,A5366,"Receive")</f>
        <v/>
      </c>
      <c r="G5366" s="5"/>
      <c r="H5366" s="7" t="s">
        <v>5406</v>
      </c>
      <c r="I5366" s="9">
        <v>1536400</v>
      </c>
      <c r="J5366" s="10">
        <v>0.0364</v>
      </c>
    </row>
    <row r="5367" spans="1:10">
      <c r="A5367" s="7" t="s">
        <v>5400</v>
      </c>
      <c r="B5367" s="7" t="s">
        <v>7234</v>
      </c>
      <c r="C5367" s="8">
        <f>QS.CONTEXT.CREATE("market.5365",A5367,"USD","SOFR")</f>
        <v/>
      </c>
      <c r="D5367" s="8">
        <f>QS.CONTEXT.ADD.CURVE(C5367,"SOFR",$K$2:$K$7,$L$2:$L$7,,,"Actual360","LogLinear",TRUE)</f>
        <v/>
      </c>
      <c r="E5367" s="8">
        <f>QS.INSTRUMENT.SWAP("swap.5365",C5367,H5367,B5367,"USD","SOFR",I5367,J5367,0,"Actual360","Simple","Annual","Annual","Annual")</f>
        <v/>
      </c>
      <c r="F5367" s="8">
        <f>QS.TRADE.CREATE("trade.5365",C5367,E5367,A5367,"Receive")</f>
        <v/>
      </c>
      <c r="G5367" s="5"/>
      <c r="H5367" s="7" t="s">
        <v>5407</v>
      </c>
      <c r="I5367" s="9">
        <v>1536500</v>
      </c>
      <c r="J5367" s="10">
        <v>0.0365</v>
      </c>
    </row>
    <row r="5368" spans="1:10">
      <c r="A5368" s="7" t="s">
        <v>5401</v>
      </c>
      <c r="B5368" s="7" t="s">
        <v>7235</v>
      </c>
      <c r="C5368" s="8">
        <f>QS.CONTEXT.CREATE("market.5366",A5368,"USD","SOFR")</f>
        <v/>
      </c>
      <c r="D5368" s="8">
        <f>QS.CONTEXT.ADD.CURVE(C5368,"SOFR",$K$2:$K$7,$L$2:$L$7,,,"Actual360","LogLinear",TRUE)</f>
        <v/>
      </c>
      <c r="E5368" s="8">
        <f>QS.INSTRUMENT.SWAP("swap.5366",C5368,H5368,B5368,"USD","SOFR",I5368,J5368,0,"Actual360","Simple","Annual","Annual","Annual")</f>
        <v/>
      </c>
      <c r="F5368" s="8">
        <f>QS.TRADE.CREATE("trade.5366",C5368,E5368,A5368,"Receive")</f>
        <v/>
      </c>
      <c r="G5368" s="5"/>
      <c r="H5368" s="7" t="s">
        <v>5408</v>
      </c>
      <c r="I5368" s="9">
        <v>1536600</v>
      </c>
      <c r="J5368" s="10">
        <v>0.0366</v>
      </c>
    </row>
    <row r="5369" spans="1:10">
      <c r="A5369" s="7" t="s">
        <v>5402</v>
      </c>
      <c r="B5369" s="7" t="s">
        <v>7236</v>
      </c>
      <c r="C5369" s="8">
        <f>QS.CONTEXT.CREATE("market.5367",A5369,"USD","SOFR")</f>
        <v/>
      </c>
      <c r="D5369" s="8">
        <f>QS.CONTEXT.ADD.CURVE(C5369,"SOFR",$K$2:$K$7,$L$2:$L$7,,,"Actual360","LogLinear",TRUE)</f>
        <v/>
      </c>
      <c r="E5369" s="8">
        <f>QS.INSTRUMENT.SWAP("swap.5367",C5369,H5369,B5369,"USD","SOFR",I5369,J5369,0,"Actual360","Simple","Annual","Annual","Annual")</f>
        <v/>
      </c>
      <c r="F5369" s="8">
        <f>QS.TRADE.CREATE("trade.5367",C5369,E5369,A5369,"Receive")</f>
        <v/>
      </c>
      <c r="G5369" s="5"/>
      <c r="H5369" s="7" t="s">
        <v>5409</v>
      </c>
      <c r="I5369" s="9">
        <v>1536700</v>
      </c>
      <c r="J5369" s="10">
        <v>0.0367</v>
      </c>
    </row>
    <row r="5370" spans="1:10">
      <c r="A5370" s="7" t="s">
        <v>5403</v>
      </c>
      <c r="B5370" s="7" t="s">
        <v>7237</v>
      </c>
      <c r="C5370" s="8">
        <f>QS.CONTEXT.CREATE("market.5368",A5370,"USD","SOFR")</f>
        <v/>
      </c>
      <c r="D5370" s="8">
        <f>QS.CONTEXT.ADD.CURVE(C5370,"SOFR",$K$2:$K$7,$L$2:$L$7,,,"Actual360","LogLinear",TRUE)</f>
        <v/>
      </c>
      <c r="E5370" s="8">
        <f>QS.INSTRUMENT.SWAP("swap.5368",C5370,H5370,B5370,"USD","SOFR",I5370,J5370,0,"Actual360","Simple","Annual","Annual","Annual")</f>
        <v/>
      </c>
      <c r="F5370" s="8">
        <f>QS.TRADE.CREATE("trade.5368",C5370,E5370,A5370,"Receive")</f>
        <v/>
      </c>
      <c r="G5370" s="5"/>
      <c r="H5370" s="7" t="s">
        <v>5410</v>
      </c>
      <c r="I5370" s="9">
        <v>1536800</v>
      </c>
      <c r="J5370" s="10">
        <v>0.03680000000000001</v>
      </c>
    </row>
    <row r="5371" spans="1:10">
      <c r="A5371" s="7" t="s">
        <v>5404</v>
      </c>
      <c r="B5371" s="7" t="s">
        <v>7238</v>
      </c>
      <c r="C5371" s="8">
        <f>QS.CONTEXT.CREATE("market.5369",A5371,"USD","SOFR")</f>
        <v/>
      </c>
      <c r="D5371" s="8">
        <f>QS.CONTEXT.ADD.CURVE(C5371,"SOFR",$K$2:$K$7,$L$2:$L$7,,,"Actual360","LogLinear",TRUE)</f>
        <v/>
      </c>
      <c r="E5371" s="8">
        <f>QS.INSTRUMENT.SWAP("swap.5369",C5371,H5371,B5371,"USD","SOFR",I5371,J5371,0,"Actual360","Simple","Annual","Annual","Annual")</f>
        <v/>
      </c>
      <c r="F5371" s="8">
        <f>QS.TRADE.CREATE("trade.5369",C5371,E5371,A5371,"Receive")</f>
        <v/>
      </c>
      <c r="G5371" s="5"/>
      <c r="H5371" s="7" t="s">
        <v>5411</v>
      </c>
      <c r="I5371" s="9">
        <v>1536900</v>
      </c>
      <c r="J5371" s="10">
        <v>0.0369</v>
      </c>
    </row>
    <row r="5372" spans="1:10">
      <c r="A5372" s="7" t="s">
        <v>5405</v>
      </c>
      <c r="B5372" s="7" t="s">
        <v>7239</v>
      </c>
      <c r="C5372" s="8">
        <f>QS.CONTEXT.CREATE("market.5370",A5372,"USD","SOFR")</f>
        <v/>
      </c>
      <c r="D5372" s="8">
        <f>QS.CONTEXT.ADD.CURVE(C5372,"SOFR",$K$2:$K$7,$L$2:$L$7,,,"Actual360","LogLinear",TRUE)</f>
        <v/>
      </c>
      <c r="E5372" s="8">
        <f>QS.INSTRUMENT.SWAP("swap.5370",C5372,H5372,B5372,"USD","SOFR",I5372,J5372,0,"Actual360","Simple","Annual","Annual","Annual")</f>
        <v/>
      </c>
      <c r="F5372" s="8">
        <f>QS.TRADE.CREATE("trade.5370",C5372,E5372,A5372,"Receive")</f>
        <v/>
      </c>
      <c r="G5372" s="5"/>
      <c r="H5372" s="7" t="s">
        <v>5412</v>
      </c>
      <c r="I5372" s="9">
        <v>1537000</v>
      </c>
      <c r="J5372" s="10">
        <v>0.03700000000000001</v>
      </c>
    </row>
    <row r="5373" spans="1:10">
      <c r="A5373" s="7" t="s">
        <v>5406</v>
      </c>
      <c r="B5373" s="7" t="s">
        <v>7240</v>
      </c>
      <c r="C5373" s="8">
        <f>QS.CONTEXT.CREATE("market.5371",A5373,"USD","SOFR")</f>
        <v/>
      </c>
      <c r="D5373" s="8">
        <f>QS.CONTEXT.ADD.CURVE(C5373,"SOFR",$K$2:$K$7,$L$2:$L$7,,,"Actual360","LogLinear",TRUE)</f>
        <v/>
      </c>
      <c r="E5373" s="8">
        <f>QS.INSTRUMENT.SWAP("swap.5371",C5373,H5373,B5373,"USD","SOFR",I5373,J5373,0,"Actual360","Simple","Annual","Annual","Annual")</f>
        <v/>
      </c>
      <c r="F5373" s="8">
        <f>QS.TRADE.CREATE("trade.5371",C5373,E5373,A5373,"Receive")</f>
        <v/>
      </c>
      <c r="G5373" s="5"/>
      <c r="H5373" s="7" t="s">
        <v>5413</v>
      </c>
      <c r="I5373" s="9">
        <v>1537100</v>
      </c>
      <c r="J5373" s="10">
        <v>0.0371</v>
      </c>
    </row>
    <row r="5374" spans="1:10">
      <c r="A5374" s="7" t="s">
        <v>5407</v>
      </c>
      <c r="B5374" s="7" t="s">
        <v>7241</v>
      </c>
      <c r="C5374" s="8">
        <f>QS.CONTEXT.CREATE("market.5372",A5374,"USD","SOFR")</f>
        <v/>
      </c>
      <c r="D5374" s="8">
        <f>QS.CONTEXT.ADD.CURVE(C5374,"SOFR",$K$2:$K$7,$L$2:$L$7,,,"Actual360","LogLinear",TRUE)</f>
        <v/>
      </c>
      <c r="E5374" s="8">
        <f>QS.INSTRUMENT.SWAP("swap.5372",C5374,H5374,B5374,"USD","SOFR",I5374,J5374,0,"Actual360","Simple","Annual","Annual","Annual")</f>
        <v/>
      </c>
      <c r="F5374" s="8">
        <f>QS.TRADE.CREATE("trade.5372",C5374,E5374,A5374,"Receive")</f>
        <v/>
      </c>
      <c r="G5374" s="5"/>
      <c r="H5374" s="7" t="s">
        <v>5414</v>
      </c>
      <c r="I5374" s="9">
        <v>1537200</v>
      </c>
      <c r="J5374" s="10">
        <v>0.0372</v>
      </c>
    </row>
    <row r="5375" spans="1:10">
      <c r="A5375" s="7" t="s">
        <v>5408</v>
      </c>
      <c r="B5375" s="7" t="s">
        <v>7242</v>
      </c>
      <c r="C5375" s="8">
        <f>QS.CONTEXT.CREATE("market.5373",A5375,"USD","SOFR")</f>
        <v/>
      </c>
      <c r="D5375" s="8">
        <f>QS.CONTEXT.ADD.CURVE(C5375,"SOFR",$K$2:$K$7,$L$2:$L$7,,,"Actual360","LogLinear",TRUE)</f>
        <v/>
      </c>
      <c r="E5375" s="8">
        <f>QS.INSTRUMENT.SWAP("swap.5373",C5375,H5375,B5375,"USD","SOFR",I5375,J5375,0,"Actual360","Simple","Annual","Annual","Annual")</f>
        <v/>
      </c>
      <c r="F5375" s="8">
        <f>QS.TRADE.CREATE("trade.5373",C5375,E5375,A5375,"Receive")</f>
        <v/>
      </c>
      <c r="G5375" s="5"/>
      <c r="H5375" s="7" t="s">
        <v>5415</v>
      </c>
      <c r="I5375" s="9">
        <v>1537300</v>
      </c>
      <c r="J5375" s="10">
        <v>0.0373</v>
      </c>
    </row>
    <row r="5376" spans="1:10">
      <c r="A5376" s="7" t="s">
        <v>5409</v>
      </c>
      <c r="B5376" s="7" t="s">
        <v>7243</v>
      </c>
      <c r="C5376" s="8">
        <f>QS.CONTEXT.CREATE("market.5374",A5376,"USD","SOFR")</f>
        <v/>
      </c>
      <c r="D5376" s="8">
        <f>QS.CONTEXT.ADD.CURVE(C5376,"SOFR",$K$2:$K$7,$L$2:$L$7,,,"Actual360","LogLinear",TRUE)</f>
        <v/>
      </c>
      <c r="E5376" s="8">
        <f>QS.INSTRUMENT.SWAP("swap.5374",C5376,H5376,B5376,"USD","SOFR",I5376,J5376,0,"Actual360","Simple","Annual","Annual","Annual")</f>
        <v/>
      </c>
      <c r="F5376" s="8">
        <f>QS.TRADE.CREATE("trade.5374",C5376,E5376,A5376,"Receive")</f>
        <v/>
      </c>
      <c r="G5376" s="5"/>
      <c r="H5376" s="7" t="s">
        <v>5416</v>
      </c>
      <c r="I5376" s="9">
        <v>1537400</v>
      </c>
      <c r="J5376" s="10">
        <v>0.0374</v>
      </c>
    </row>
    <row r="5377" spans="1:10">
      <c r="A5377" s="7" t="s">
        <v>5410</v>
      </c>
      <c r="B5377" s="7" t="s">
        <v>7244</v>
      </c>
      <c r="C5377" s="8">
        <f>QS.CONTEXT.CREATE("market.5375",A5377,"USD","SOFR")</f>
        <v/>
      </c>
      <c r="D5377" s="8">
        <f>QS.CONTEXT.ADD.CURVE(C5377,"SOFR",$K$2:$K$7,$L$2:$L$7,,,"Actual360","LogLinear",TRUE)</f>
        <v/>
      </c>
      <c r="E5377" s="8">
        <f>QS.INSTRUMENT.SWAP("swap.5375",C5377,H5377,B5377,"USD","SOFR",I5377,J5377,0,"Actual360","Simple","Annual","Annual","Annual")</f>
        <v/>
      </c>
      <c r="F5377" s="8">
        <f>QS.TRADE.CREATE("trade.5375",C5377,E5377,A5377,"Receive")</f>
        <v/>
      </c>
      <c r="G5377" s="5"/>
      <c r="H5377" s="7" t="s">
        <v>5417</v>
      </c>
      <c r="I5377" s="9">
        <v>1537500</v>
      </c>
      <c r="J5377" s="10">
        <v>0.03750000000000001</v>
      </c>
    </row>
    <row r="5378" spans="1:10">
      <c r="A5378" s="7" t="s">
        <v>5411</v>
      </c>
      <c r="B5378" s="7" t="s">
        <v>7245</v>
      </c>
      <c r="C5378" s="8">
        <f>QS.CONTEXT.CREATE("market.5376",A5378,"USD","SOFR")</f>
        <v/>
      </c>
      <c r="D5378" s="8">
        <f>QS.CONTEXT.ADD.CURVE(C5378,"SOFR",$K$2:$K$7,$L$2:$L$7,,,"Actual360","LogLinear",TRUE)</f>
        <v/>
      </c>
      <c r="E5378" s="8">
        <f>QS.INSTRUMENT.SWAP("swap.5376",C5378,H5378,B5378,"USD","SOFR",I5378,J5378,0,"Actual360","Simple","Annual","Annual","Annual")</f>
        <v/>
      </c>
      <c r="F5378" s="8">
        <f>QS.TRADE.CREATE("trade.5376",C5378,E5378,A5378,"Receive")</f>
        <v/>
      </c>
      <c r="G5378" s="5"/>
      <c r="H5378" s="7" t="s">
        <v>5418</v>
      </c>
      <c r="I5378" s="9">
        <v>1537600</v>
      </c>
      <c r="J5378" s="10">
        <v>0.0376</v>
      </c>
    </row>
    <row r="5379" spans="1:10">
      <c r="A5379" s="7" t="s">
        <v>5412</v>
      </c>
      <c r="B5379" s="7" t="s">
        <v>7246</v>
      </c>
      <c r="C5379" s="8">
        <f>QS.CONTEXT.CREATE("market.5377",A5379,"USD","SOFR")</f>
        <v/>
      </c>
      <c r="D5379" s="8">
        <f>QS.CONTEXT.ADD.CURVE(C5379,"SOFR",$K$2:$K$7,$L$2:$L$7,,,"Actual360","LogLinear",TRUE)</f>
        <v/>
      </c>
      <c r="E5379" s="8">
        <f>QS.INSTRUMENT.SWAP("swap.5377",C5379,H5379,B5379,"USD","SOFR",I5379,J5379,0,"Actual360","Simple","Annual","Annual","Annual")</f>
        <v/>
      </c>
      <c r="F5379" s="8">
        <f>QS.TRADE.CREATE("trade.5377",C5379,E5379,A5379,"Receive")</f>
        <v/>
      </c>
      <c r="G5379" s="5"/>
      <c r="H5379" s="7" t="s">
        <v>5419</v>
      </c>
      <c r="I5379" s="9">
        <v>1537700</v>
      </c>
      <c r="J5379" s="10">
        <v>0.0377</v>
      </c>
    </row>
    <row r="5380" spans="1:10">
      <c r="A5380" s="7" t="s">
        <v>5413</v>
      </c>
      <c r="B5380" s="7" t="s">
        <v>7247</v>
      </c>
      <c r="C5380" s="8">
        <f>QS.CONTEXT.CREATE("market.5378",A5380,"USD","SOFR")</f>
        <v/>
      </c>
      <c r="D5380" s="8">
        <f>QS.CONTEXT.ADD.CURVE(C5380,"SOFR",$K$2:$K$7,$L$2:$L$7,,,"Actual360","LogLinear",TRUE)</f>
        <v/>
      </c>
      <c r="E5380" s="8">
        <f>QS.INSTRUMENT.SWAP("swap.5378",C5380,H5380,B5380,"USD","SOFR",I5380,J5380,0,"Actual360","Simple","Annual","Annual","Annual")</f>
        <v/>
      </c>
      <c r="F5380" s="8">
        <f>QS.TRADE.CREATE("trade.5378",C5380,E5380,A5380,"Receive")</f>
        <v/>
      </c>
      <c r="G5380" s="5"/>
      <c r="H5380" s="7" t="s">
        <v>5420</v>
      </c>
      <c r="I5380" s="9">
        <v>1537800</v>
      </c>
      <c r="J5380" s="10">
        <v>0.0378</v>
      </c>
    </row>
    <row r="5381" spans="1:10">
      <c r="A5381" s="7" t="s">
        <v>5414</v>
      </c>
      <c r="B5381" s="7" t="s">
        <v>7248</v>
      </c>
      <c r="C5381" s="8">
        <f>QS.CONTEXT.CREATE("market.5379",A5381,"USD","SOFR")</f>
        <v/>
      </c>
      <c r="D5381" s="8">
        <f>QS.CONTEXT.ADD.CURVE(C5381,"SOFR",$K$2:$K$7,$L$2:$L$7,,,"Actual360","LogLinear",TRUE)</f>
        <v/>
      </c>
      <c r="E5381" s="8">
        <f>QS.INSTRUMENT.SWAP("swap.5379",C5381,H5381,B5381,"USD","SOFR",I5381,J5381,0,"Actual360","Simple","Annual","Annual","Annual")</f>
        <v/>
      </c>
      <c r="F5381" s="8">
        <f>QS.TRADE.CREATE("trade.5379",C5381,E5381,A5381,"Receive")</f>
        <v/>
      </c>
      <c r="G5381" s="5"/>
      <c r="H5381" s="7" t="s">
        <v>5421</v>
      </c>
      <c r="I5381" s="9">
        <v>1537900</v>
      </c>
      <c r="J5381" s="10">
        <v>0.0379</v>
      </c>
    </row>
    <row r="5382" spans="1:10">
      <c r="A5382" s="7" t="s">
        <v>5415</v>
      </c>
      <c r="B5382" s="7" t="s">
        <v>7249</v>
      </c>
      <c r="C5382" s="8">
        <f>QS.CONTEXT.CREATE("market.5380",A5382,"USD","SOFR")</f>
        <v/>
      </c>
      <c r="D5382" s="8">
        <f>QS.CONTEXT.ADD.CURVE(C5382,"SOFR",$K$2:$K$7,$L$2:$L$7,,,"Actual360","LogLinear",TRUE)</f>
        <v/>
      </c>
      <c r="E5382" s="8">
        <f>QS.INSTRUMENT.SWAP("swap.5380",C5382,H5382,B5382,"USD","SOFR",I5382,J5382,0,"Actual360","Simple","Annual","Annual","Annual")</f>
        <v/>
      </c>
      <c r="F5382" s="8">
        <f>QS.TRADE.CREATE("trade.5380",C5382,E5382,A5382,"Receive")</f>
        <v/>
      </c>
      <c r="G5382" s="5"/>
      <c r="H5382" s="7" t="s">
        <v>5422</v>
      </c>
      <c r="I5382" s="9">
        <v>1538000</v>
      </c>
      <c r="J5382" s="10">
        <v>0.03800000000000001</v>
      </c>
    </row>
    <row r="5383" spans="1:10">
      <c r="A5383" s="7" t="s">
        <v>5416</v>
      </c>
      <c r="B5383" s="7" t="s">
        <v>7250</v>
      </c>
      <c r="C5383" s="8">
        <f>QS.CONTEXT.CREATE("market.5381",A5383,"USD","SOFR")</f>
        <v/>
      </c>
      <c r="D5383" s="8">
        <f>QS.CONTEXT.ADD.CURVE(C5383,"SOFR",$K$2:$K$7,$L$2:$L$7,,,"Actual360","LogLinear",TRUE)</f>
        <v/>
      </c>
      <c r="E5383" s="8">
        <f>QS.INSTRUMENT.SWAP("swap.5381",C5383,H5383,B5383,"USD","SOFR",I5383,J5383,0,"Actual360","Simple","Annual","Annual","Annual")</f>
        <v/>
      </c>
      <c r="F5383" s="8">
        <f>QS.TRADE.CREATE("trade.5381",C5383,E5383,A5383,"Receive")</f>
        <v/>
      </c>
      <c r="G5383" s="5"/>
      <c r="H5383" s="7" t="s">
        <v>5423</v>
      </c>
      <c r="I5383" s="9">
        <v>1538100</v>
      </c>
      <c r="J5383" s="10">
        <v>0.0381</v>
      </c>
    </row>
    <row r="5384" spans="1:10">
      <c r="A5384" s="7" t="s">
        <v>5417</v>
      </c>
      <c r="B5384" s="7" t="s">
        <v>7251</v>
      </c>
      <c r="C5384" s="8">
        <f>QS.CONTEXT.CREATE("market.5382",A5384,"USD","SOFR")</f>
        <v/>
      </c>
      <c r="D5384" s="8">
        <f>QS.CONTEXT.ADD.CURVE(C5384,"SOFR",$K$2:$K$7,$L$2:$L$7,,,"Actual360","LogLinear",TRUE)</f>
        <v/>
      </c>
      <c r="E5384" s="8">
        <f>QS.INSTRUMENT.SWAP("swap.5382",C5384,H5384,B5384,"USD","SOFR",I5384,J5384,0,"Actual360","Simple","Annual","Annual","Annual")</f>
        <v/>
      </c>
      <c r="F5384" s="8">
        <f>QS.TRADE.CREATE("trade.5382",C5384,E5384,A5384,"Receive")</f>
        <v/>
      </c>
      <c r="G5384" s="5"/>
      <c r="H5384" s="7" t="s">
        <v>5424</v>
      </c>
      <c r="I5384" s="9">
        <v>1538200</v>
      </c>
      <c r="J5384" s="10">
        <v>0.0382</v>
      </c>
    </row>
    <row r="5385" spans="1:10">
      <c r="A5385" s="7" t="s">
        <v>5418</v>
      </c>
      <c r="B5385" s="7" t="s">
        <v>7252</v>
      </c>
      <c r="C5385" s="8">
        <f>QS.CONTEXT.CREATE("market.5383",A5385,"USD","SOFR")</f>
        <v/>
      </c>
      <c r="D5385" s="8">
        <f>QS.CONTEXT.ADD.CURVE(C5385,"SOFR",$K$2:$K$7,$L$2:$L$7,,,"Actual360","LogLinear",TRUE)</f>
        <v/>
      </c>
      <c r="E5385" s="8">
        <f>QS.INSTRUMENT.SWAP("swap.5383",C5385,H5385,B5385,"USD","SOFR",I5385,J5385,0,"Actual360","Simple","Annual","Annual","Annual")</f>
        <v/>
      </c>
      <c r="F5385" s="8">
        <f>QS.TRADE.CREATE("trade.5383",C5385,E5385,A5385,"Receive")</f>
        <v/>
      </c>
      <c r="G5385" s="5"/>
      <c r="H5385" s="7" t="s">
        <v>5425</v>
      </c>
      <c r="I5385" s="9">
        <v>1538300</v>
      </c>
      <c r="J5385" s="10">
        <v>0.0383</v>
      </c>
    </row>
    <row r="5386" spans="1:10">
      <c r="A5386" s="7" t="s">
        <v>5419</v>
      </c>
      <c r="B5386" s="7" t="s">
        <v>7253</v>
      </c>
      <c r="C5386" s="8">
        <f>QS.CONTEXT.CREATE("market.5384",A5386,"USD","SOFR")</f>
        <v/>
      </c>
      <c r="D5386" s="8">
        <f>QS.CONTEXT.ADD.CURVE(C5386,"SOFR",$K$2:$K$7,$L$2:$L$7,,,"Actual360","LogLinear",TRUE)</f>
        <v/>
      </c>
      <c r="E5386" s="8">
        <f>QS.INSTRUMENT.SWAP("swap.5384",C5386,H5386,B5386,"USD","SOFR",I5386,J5386,0,"Actual360","Simple","Annual","Annual","Annual")</f>
        <v/>
      </c>
      <c r="F5386" s="8">
        <f>QS.TRADE.CREATE("trade.5384",C5386,E5386,A5386,"Receive")</f>
        <v/>
      </c>
      <c r="G5386" s="5"/>
      <c r="H5386" s="7" t="s">
        <v>5426</v>
      </c>
      <c r="I5386" s="9">
        <v>1538400</v>
      </c>
      <c r="J5386" s="10">
        <v>0.0384</v>
      </c>
    </row>
    <row r="5387" spans="1:10">
      <c r="A5387" s="7" t="s">
        <v>5420</v>
      </c>
      <c r="B5387" s="7" t="s">
        <v>7254</v>
      </c>
      <c r="C5387" s="8">
        <f>QS.CONTEXT.CREATE("market.5385",A5387,"USD","SOFR")</f>
        <v/>
      </c>
      <c r="D5387" s="8">
        <f>QS.CONTEXT.ADD.CURVE(C5387,"SOFR",$K$2:$K$7,$L$2:$L$7,,,"Actual360","LogLinear",TRUE)</f>
        <v/>
      </c>
      <c r="E5387" s="8">
        <f>QS.INSTRUMENT.SWAP("swap.5385",C5387,H5387,B5387,"USD","SOFR",I5387,J5387,0,"Actual360","Simple","Annual","Annual","Annual")</f>
        <v/>
      </c>
      <c r="F5387" s="8">
        <f>QS.TRADE.CREATE("trade.5385",C5387,E5387,A5387,"Receive")</f>
        <v/>
      </c>
      <c r="G5387" s="5"/>
      <c r="H5387" s="7" t="s">
        <v>5427</v>
      </c>
      <c r="I5387" s="9">
        <v>1538500</v>
      </c>
      <c r="J5387" s="10">
        <v>0.03850000000000001</v>
      </c>
    </row>
    <row r="5388" spans="1:10">
      <c r="A5388" s="7" t="s">
        <v>5421</v>
      </c>
      <c r="B5388" s="7" t="s">
        <v>7255</v>
      </c>
      <c r="C5388" s="8">
        <f>QS.CONTEXT.CREATE("market.5386",A5388,"USD","SOFR")</f>
        <v/>
      </c>
      <c r="D5388" s="8">
        <f>QS.CONTEXT.ADD.CURVE(C5388,"SOFR",$K$2:$K$7,$L$2:$L$7,,,"Actual360","LogLinear",TRUE)</f>
        <v/>
      </c>
      <c r="E5388" s="8">
        <f>QS.INSTRUMENT.SWAP("swap.5386",C5388,H5388,B5388,"USD","SOFR",I5388,J5388,0,"Actual360","Simple","Annual","Annual","Annual")</f>
        <v/>
      </c>
      <c r="F5388" s="8">
        <f>QS.TRADE.CREATE("trade.5386",C5388,E5388,A5388,"Receive")</f>
        <v/>
      </c>
      <c r="G5388" s="5"/>
      <c r="H5388" s="7" t="s">
        <v>5428</v>
      </c>
      <c r="I5388" s="9">
        <v>1538600</v>
      </c>
      <c r="J5388" s="10">
        <v>0.0386</v>
      </c>
    </row>
    <row r="5389" spans="1:10">
      <c r="A5389" s="7" t="s">
        <v>5422</v>
      </c>
      <c r="B5389" s="7" t="s">
        <v>7256</v>
      </c>
      <c r="C5389" s="8">
        <f>QS.CONTEXT.CREATE("market.5387",A5389,"USD","SOFR")</f>
        <v/>
      </c>
      <c r="D5389" s="8">
        <f>QS.CONTEXT.ADD.CURVE(C5389,"SOFR",$K$2:$K$7,$L$2:$L$7,,,"Actual360","LogLinear",TRUE)</f>
        <v/>
      </c>
      <c r="E5389" s="8">
        <f>QS.INSTRUMENT.SWAP("swap.5387",C5389,H5389,B5389,"USD","SOFR",I5389,J5389,0,"Actual360","Simple","Annual","Annual","Annual")</f>
        <v/>
      </c>
      <c r="F5389" s="8">
        <f>QS.TRADE.CREATE("trade.5387",C5389,E5389,A5389,"Receive")</f>
        <v/>
      </c>
      <c r="G5389" s="5"/>
      <c r="H5389" s="7" t="s">
        <v>5429</v>
      </c>
      <c r="I5389" s="9">
        <v>1538700</v>
      </c>
      <c r="J5389" s="10">
        <v>0.03870000000000001</v>
      </c>
    </row>
    <row r="5390" spans="1:10">
      <c r="A5390" s="7" t="s">
        <v>5423</v>
      </c>
      <c r="B5390" s="7" t="s">
        <v>7257</v>
      </c>
      <c r="C5390" s="8">
        <f>QS.CONTEXT.CREATE("market.5388",A5390,"USD","SOFR")</f>
        <v/>
      </c>
      <c r="D5390" s="8">
        <f>QS.CONTEXT.ADD.CURVE(C5390,"SOFR",$K$2:$K$7,$L$2:$L$7,,,"Actual360","LogLinear",TRUE)</f>
        <v/>
      </c>
      <c r="E5390" s="8">
        <f>QS.INSTRUMENT.SWAP("swap.5388",C5390,H5390,B5390,"USD","SOFR",I5390,J5390,0,"Actual360","Simple","Annual","Annual","Annual")</f>
        <v/>
      </c>
      <c r="F5390" s="8">
        <f>QS.TRADE.CREATE("trade.5388",C5390,E5390,A5390,"Receive")</f>
        <v/>
      </c>
      <c r="G5390" s="5"/>
      <c r="H5390" s="7" t="s">
        <v>5430</v>
      </c>
      <c r="I5390" s="9">
        <v>1538800</v>
      </c>
      <c r="J5390" s="10">
        <v>0.0388</v>
      </c>
    </row>
    <row r="5391" spans="1:10">
      <c r="A5391" s="7" t="s">
        <v>5424</v>
      </c>
      <c r="B5391" s="7" t="s">
        <v>7258</v>
      </c>
      <c r="C5391" s="8">
        <f>QS.CONTEXT.CREATE("market.5389",A5391,"USD","SOFR")</f>
        <v/>
      </c>
      <c r="D5391" s="8">
        <f>QS.CONTEXT.ADD.CURVE(C5391,"SOFR",$K$2:$K$7,$L$2:$L$7,,,"Actual360","LogLinear",TRUE)</f>
        <v/>
      </c>
      <c r="E5391" s="8">
        <f>QS.INSTRUMENT.SWAP("swap.5389",C5391,H5391,B5391,"USD","SOFR",I5391,J5391,0,"Actual360","Simple","Annual","Annual","Annual")</f>
        <v/>
      </c>
      <c r="F5391" s="8">
        <f>QS.TRADE.CREATE("trade.5389",C5391,E5391,A5391,"Receive")</f>
        <v/>
      </c>
      <c r="G5391" s="5"/>
      <c r="H5391" s="7" t="s">
        <v>5431</v>
      </c>
      <c r="I5391" s="9">
        <v>1538900</v>
      </c>
      <c r="J5391" s="10">
        <v>0.0389</v>
      </c>
    </row>
    <row r="5392" spans="1:10">
      <c r="A5392" s="7" t="s">
        <v>5425</v>
      </c>
      <c r="B5392" s="7" t="s">
        <v>7259</v>
      </c>
      <c r="C5392" s="8">
        <f>QS.CONTEXT.CREATE("market.5390",A5392,"USD","SOFR")</f>
        <v/>
      </c>
      <c r="D5392" s="8">
        <f>QS.CONTEXT.ADD.CURVE(C5392,"SOFR",$K$2:$K$7,$L$2:$L$7,,,"Actual360","LogLinear",TRUE)</f>
        <v/>
      </c>
      <c r="E5392" s="8">
        <f>QS.INSTRUMENT.SWAP("swap.5390",C5392,H5392,B5392,"USD","SOFR",I5392,J5392,0,"Actual360","Simple","Annual","Annual","Annual")</f>
        <v/>
      </c>
      <c r="F5392" s="8">
        <f>QS.TRADE.CREATE("trade.5390",C5392,E5392,A5392,"Receive")</f>
        <v/>
      </c>
      <c r="G5392" s="5"/>
      <c r="H5392" s="7" t="s">
        <v>5432</v>
      </c>
      <c r="I5392" s="9">
        <v>1539000</v>
      </c>
      <c r="J5392" s="10">
        <v>0.03900000000000001</v>
      </c>
    </row>
    <row r="5393" spans="1:10">
      <c r="A5393" s="7" t="s">
        <v>5426</v>
      </c>
      <c r="B5393" s="7" t="s">
        <v>7260</v>
      </c>
      <c r="C5393" s="8">
        <f>QS.CONTEXT.CREATE("market.5391",A5393,"USD","SOFR")</f>
        <v/>
      </c>
      <c r="D5393" s="8">
        <f>QS.CONTEXT.ADD.CURVE(C5393,"SOFR",$K$2:$K$7,$L$2:$L$7,,,"Actual360","LogLinear",TRUE)</f>
        <v/>
      </c>
      <c r="E5393" s="8">
        <f>QS.INSTRUMENT.SWAP("swap.5391",C5393,H5393,B5393,"USD","SOFR",I5393,J5393,0,"Actual360","Simple","Annual","Annual","Annual")</f>
        <v/>
      </c>
      <c r="F5393" s="8">
        <f>QS.TRADE.CREATE("trade.5391",C5393,E5393,A5393,"Receive")</f>
        <v/>
      </c>
      <c r="G5393" s="5"/>
      <c r="H5393" s="7" t="s">
        <v>5433</v>
      </c>
      <c r="I5393" s="9">
        <v>1539100</v>
      </c>
      <c r="J5393" s="10">
        <v>0.0391</v>
      </c>
    </row>
    <row r="5394" spans="1:10">
      <c r="A5394" s="7" t="s">
        <v>5427</v>
      </c>
      <c r="B5394" s="7" t="s">
        <v>7261</v>
      </c>
      <c r="C5394" s="8">
        <f>QS.CONTEXT.CREATE("market.5392",A5394,"USD","SOFR")</f>
        <v/>
      </c>
      <c r="D5394" s="8">
        <f>QS.CONTEXT.ADD.CURVE(C5394,"SOFR",$K$2:$K$7,$L$2:$L$7,,,"Actual360","LogLinear",TRUE)</f>
        <v/>
      </c>
      <c r="E5394" s="8">
        <f>QS.INSTRUMENT.SWAP("swap.5392",C5394,H5394,B5394,"USD","SOFR",I5394,J5394,0,"Actual360","Simple","Annual","Annual","Annual")</f>
        <v/>
      </c>
      <c r="F5394" s="8">
        <f>QS.TRADE.CREATE("trade.5392",C5394,E5394,A5394,"Receive")</f>
        <v/>
      </c>
      <c r="G5394" s="5"/>
      <c r="H5394" s="7" t="s">
        <v>5434</v>
      </c>
      <c r="I5394" s="9">
        <v>1539200</v>
      </c>
      <c r="J5394" s="10">
        <v>0.03920000000000001</v>
      </c>
    </row>
    <row r="5395" spans="1:10">
      <c r="A5395" s="7" t="s">
        <v>5428</v>
      </c>
      <c r="B5395" s="7" t="s">
        <v>7262</v>
      </c>
      <c r="C5395" s="8">
        <f>QS.CONTEXT.CREATE("market.5393",A5395,"USD","SOFR")</f>
        <v/>
      </c>
      <c r="D5395" s="8">
        <f>QS.CONTEXT.ADD.CURVE(C5395,"SOFR",$K$2:$K$7,$L$2:$L$7,,,"Actual360","LogLinear",TRUE)</f>
        <v/>
      </c>
      <c r="E5395" s="8">
        <f>QS.INSTRUMENT.SWAP("swap.5393",C5395,H5395,B5395,"USD","SOFR",I5395,J5395,0,"Actual360","Simple","Annual","Annual","Annual")</f>
        <v/>
      </c>
      <c r="F5395" s="8">
        <f>QS.TRADE.CREATE("trade.5393",C5395,E5395,A5395,"Receive")</f>
        <v/>
      </c>
      <c r="G5395" s="5"/>
      <c r="H5395" s="7" t="s">
        <v>5435</v>
      </c>
      <c r="I5395" s="9">
        <v>1539300</v>
      </c>
      <c r="J5395" s="10">
        <v>0.0393</v>
      </c>
    </row>
    <row r="5396" spans="1:10">
      <c r="A5396" s="7" t="s">
        <v>5429</v>
      </c>
      <c r="B5396" s="7" t="s">
        <v>7263</v>
      </c>
      <c r="C5396" s="8">
        <f>QS.CONTEXT.CREATE("market.5394",A5396,"USD","SOFR")</f>
        <v/>
      </c>
      <c r="D5396" s="8">
        <f>QS.CONTEXT.ADD.CURVE(C5396,"SOFR",$K$2:$K$7,$L$2:$L$7,,,"Actual360","LogLinear",TRUE)</f>
        <v/>
      </c>
      <c r="E5396" s="8">
        <f>QS.INSTRUMENT.SWAP("swap.5394",C5396,H5396,B5396,"USD","SOFR",I5396,J5396,0,"Actual360","Simple","Annual","Annual","Annual")</f>
        <v/>
      </c>
      <c r="F5396" s="8">
        <f>QS.TRADE.CREATE("trade.5394",C5396,E5396,A5396,"Receive")</f>
        <v/>
      </c>
      <c r="G5396" s="5"/>
      <c r="H5396" s="7" t="s">
        <v>5436</v>
      </c>
      <c r="I5396" s="9">
        <v>1539400</v>
      </c>
      <c r="J5396" s="10">
        <v>0.0394</v>
      </c>
    </row>
    <row r="5397" spans="1:10">
      <c r="A5397" s="7" t="s">
        <v>5430</v>
      </c>
      <c r="B5397" s="7" t="s">
        <v>7264</v>
      </c>
      <c r="C5397" s="8">
        <f>QS.CONTEXT.CREATE("market.5395",A5397,"USD","SOFR")</f>
        <v/>
      </c>
      <c r="D5397" s="8">
        <f>QS.CONTEXT.ADD.CURVE(C5397,"SOFR",$K$2:$K$7,$L$2:$L$7,,,"Actual360","LogLinear",TRUE)</f>
        <v/>
      </c>
      <c r="E5397" s="8">
        <f>QS.INSTRUMENT.SWAP("swap.5395",C5397,H5397,B5397,"USD","SOFR",I5397,J5397,0,"Actual360","Simple","Annual","Annual","Annual")</f>
        <v/>
      </c>
      <c r="F5397" s="8">
        <f>QS.TRADE.CREATE("trade.5395",C5397,E5397,A5397,"Receive")</f>
        <v/>
      </c>
      <c r="G5397" s="5"/>
      <c r="H5397" s="7" t="s">
        <v>5437</v>
      </c>
      <c r="I5397" s="9">
        <v>1539500</v>
      </c>
      <c r="J5397" s="10">
        <v>0.03950000000000001</v>
      </c>
    </row>
    <row r="5398" spans="1:10">
      <c r="A5398" s="7" t="s">
        <v>5431</v>
      </c>
      <c r="B5398" s="7" t="s">
        <v>7265</v>
      </c>
      <c r="C5398" s="8">
        <f>QS.CONTEXT.CREATE("market.5396",A5398,"USD","SOFR")</f>
        <v/>
      </c>
      <c r="D5398" s="8">
        <f>QS.CONTEXT.ADD.CURVE(C5398,"SOFR",$K$2:$K$7,$L$2:$L$7,,,"Actual360","LogLinear",TRUE)</f>
        <v/>
      </c>
      <c r="E5398" s="8">
        <f>QS.INSTRUMENT.SWAP("swap.5396",C5398,H5398,B5398,"USD","SOFR",I5398,J5398,0,"Actual360","Simple","Annual","Annual","Annual")</f>
        <v/>
      </c>
      <c r="F5398" s="8">
        <f>QS.TRADE.CREATE("trade.5396",C5398,E5398,A5398,"Receive")</f>
        <v/>
      </c>
      <c r="G5398" s="5"/>
      <c r="H5398" s="7" t="s">
        <v>5438</v>
      </c>
      <c r="I5398" s="9">
        <v>1539600</v>
      </c>
      <c r="J5398" s="10">
        <v>0.0396</v>
      </c>
    </row>
    <row r="5399" spans="1:10">
      <c r="A5399" s="7" t="s">
        <v>5432</v>
      </c>
      <c r="B5399" s="7" t="s">
        <v>7266</v>
      </c>
      <c r="C5399" s="8">
        <f>QS.CONTEXT.CREATE("market.5397",A5399,"USD","SOFR")</f>
        <v/>
      </c>
      <c r="D5399" s="8">
        <f>QS.CONTEXT.ADD.CURVE(C5399,"SOFR",$K$2:$K$7,$L$2:$L$7,,,"Actual360","LogLinear",TRUE)</f>
        <v/>
      </c>
      <c r="E5399" s="8">
        <f>QS.INSTRUMENT.SWAP("swap.5397",C5399,H5399,B5399,"USD","SOFR",I5399,J5399,0,"Actual360","Simple","Annual","Annual","Annual")</f>
        <v/>
      </c>
      <c r="F5399" s="8">
        <f>QS.TRADE.CREATE("trade.5397",C5399,E5399,A5399,"Receive")</f>
        <v/>
      </c>
      <c r="G5399" s="5"/>
      <c r="H5399" s="7" t="s">
        <v>5439</v>
      </c>
      <c r="I5399" s="9">
        <v>1539700</v>
      </c>
      <c r="J5399" s="10">
        <v>0.03970000000000001</v>
      </c>
    </row>
    <row r="5400" spans="1:10">
      <c r="A5400" s="7" t="s">
        <v>5433</v>
      </c>
      <c r="B5400" s="7" t="s">
        <v>7267</v>
      </c>
      <c r="C5400" s="8">
        <f>QS.CONTEXT.CREATE("market.5398",A5400,"USD","SOFR")</f>
        <v/>
      </c>
      <c r="D5400" s="8">
        <f>QS.CONTEXT.ADD.CURVE(C5400,"SOFR",$K$2:$K$7,$L$2:$L$7,,,"Actual360","LogLinear",TRUE)</f>
        <v/>
      </c>
      <c r="E5400" s="8">
        <f>QS.INSTRUMENT.SWAP("swap.5398",C5400,H5400,B5400,"USD","SOFR",I5400,J5400,0,"Actual360","Simple","Annual","Annual","Annual")</f>
        <v/>
      </c>
      <c r="F5400" s="8">
        <f>QS.TRADE.CREATE("trade.5398",C5400,E5400,A5400,"Receive")</f>
        <v/>
      </c>
      <c r="G5400" s="5"/>
      <c r="H5400" s="7" t="s">
        <v>5440</v>
      </c>
      <c r="I5400" s="9">
        <v>1539800</v>
      </c>
      <c r="J5400" s="10">
        <v>0.0398</v>
      </c>
    </row>
    <row r="5401" spans="1:10">
      <c r="A5401" s="7" t="s">
        <v>5434</v>
      </c>
      <c r="B5401" s="7" t="s">
        <v>7268</v>
      </c>
      <c r="C5401" s="8">
        <f>QS.CONTEXT.CREATE("market.5399",A5401,"USD","SOFR")</f>
        <v/>
      </c>
      <c r="D5401" s="8">
        <f>QS.CONTEXT.ADD.CURVE(C5401,"SOFR",$K$2:$K$7,$L$2:$L$7,,,"Actual360","LogLinear",TRUE)</f>
        <v/>
      </c>
      <c r="E5401" s="8">
        <f>QS.INSTRUMENT.SWAP("swap.5399",C5401,H5401,B5401,"USD","SOFR",I5401,J5401,0,"Actual360","Simple","Annual","Annual","Annual")</f>
        <v/>
      </c>
      <c r="F5401" s="8">
        <f>QS.TRADE.CREATE("trade.5399",C5401,E5401,A5401,"Receive")</f>
        <v/>
      </c>
      <c r="G5401" s="5"/>
      <c r="H5401" s="7" t="s">
        <v>5441</v>
      </c>
      <c r="I5401" s="9">
        <v>1539900</v>
      </c>
      <c r="J5401" s="10">
        <v>0.0399</v>
      </c>
    </row>
    <row r="5402" spans="1:10">
      <c r="A5402" s="7" t="s">
        <v>5435</v>
      </c>
      <c r="B5402" s="7" t="s">
        <v>7269</v>
      </c>
      <c r="C5402" s="8">
        <f>QS.CONTEXT.CREATE("market.5400",A5402,"USD","SOFR")</f>
        <v/>
      </c>
      <c r="D5402" s="8">
        <f>QS.CONTEXT.ADD.CURVE(C5402,"SOFR",$K$2:$K$7,$L$2:$L$7,,,"Actual360","LogLinear",TRUE)</f>
        <v/>
      </c>
      <c r="E5402" s="8">
        <f>QS.INSTRUMENT.SWAP("swap.5400",C5402,H5402,B5402,"USD","SOFR",I5402,J5402,0,"Actual360","Simple","Annual","Annual","Annual")</f>
        <v/>
      </c>
      <c r="F5402" s="8">
        <f>QS.TRADE.CREATE("trade.5400",C5402,E5402,A5402,"Receive")</f>
        <v/>
      </c>
      <c r="G5402" s="5"/>
      <c r="H5402" s="7" t="s">
        <v>5442</v>
      </c>
      <c r="I5402" s="9">
        <v>1540000</v>
      </c>
      <c r="J5402" s="10">
        <v>0.035</v>
      </c>
    </row>
    <row r="5403" spans="1:10">
      <c r="A5403" s="7" t="s">
        <v>5436</v>
      </c>
      <c r="B5403" s="7" t="s">
        <v>7270</v>
      </c>
      <c r="C5403" s="8">
        <f>QS.CONTEXT.CREATE("market.5401",A5403,"USD","SOFR")</f>
        <v/>
      </c>
      <c r="D5403" s="8">
        <f>QS.CONTEXT.ADD.CURVE(C5403,"SOFR",$K$2:$K$7,$L$2:$L$7,,,"Actual360","LogLinear",TRUE)</f>
        <v/>
      </c>
      <c r="E5403" s="8">
        <f>QS.INSTRUMENT.SWAP("swap.5401",C5403,H5403,B5403,"USD","SOFR",I5403,J5403,0,"Actual360","Simple","Annual","Annual","Annual")</f>
        <v/>
      </c>
      <c r="F5403" s="8">
        <f>QS.TRADE.CREATE("trade.5401",C5403,E5403,A5403,"Receive")</f>
        <v/>
      </c>
      <c r="G5403" s="5"/>
      <c r="H5403" s="7" t="s">
        <v>5443</v>
      </c>
      <c r="I5403" s="9">
        <v>1540100</v>
      </c>
      <c r="J5403" s="10">
        <v>0.03510000000000001</v>
      </c>
    </row>
    <row r="5404" spans="1:10">
      <c r="A5404" s="7" t="s">
        <v>5437</v>
      </c>
      <c r="B5404" s="7" t="s">
        <v>7271</v>
      </c>
      <c r="C5404" s="8">
        <f>QS.CONTEXT.CREATE("market.5402",A5404,"USD","SOFR")</f>
        <v/>
      </c>
      <c r="D5404" s="8">
        <f>QS.CONTEXT.ADD.CURVE(C5404,"SOFR",$K$2:$K$7,$L$2:$L$7,,,"Actual360","LogLinear",TRUE)</f>
        <v/>
      </c>
      <c r="E5404" s="8">
        <f>QS.INSTRUMENT.SWAP("swap.5402",C5404,H5404,B5404,"USD","SOFR",I5404,J5404,0,"Actual360","Simple","Annual","Annual","Annual")</f>
        <v/>
      </c>
      <c r="F5404" s="8">
        <f>QS.TRADE.CREATE("trade.5402",C5404,E5404,A5404,"Receive")</f>
        <v/>
      </c>
      <c r="G5404" s="5"/>
      <c r="H5404" s="7" t="s">
        <v>5444</v>
      </c>
      <c r="I5404" s="9">
        <v>1540200</v>
      </c>
      <c r="J5404" s="10">
        <v>0.0352</v>
      </c>
    </row>
    <row r="5405" spans="1:10">
      <c r="A5405" s="7" t="s">
        <v>5438</v>
      </c>
      <c r="B5405" s="7" t="s">
        <v>7272</v>
      </c>
      <c r="C5405" s="8">
        <f>QS.CONTEXT.CREATE("market.5403",A5405,"USD","SOFR")</f>
        <v/>
      </c>
      <c r="D5405" s="8">
        <f>QS.CONTEXT.ADD.CURVE(C5405,"SOFR",$K$2:$K$7,$L$2:$L$7,,,"Actual360","LogLinear",TRUE)</f>
        <v/>
      </c>
      <c r="E5405" s="8">
        <f>QS.INSTRUMENT.SWAP("swap.5403",C5405,H5405,B5405,"USD","SOFR",I5405,J5405,0,"Actual360","Simple","Annual","Annual","Annual")</f>
        <v/>
      </c>
      <c r="F5405" s="8">
        <f>QS.TRADE.CREATE("trade.5403",C5405,E5405,A5405,"Receive")</f>
        <v/>
      </c>
      <c r="G5405" s="5"/>
      <c r="H5405" s="7" t="s">
        <v>5445</v>
      </c>
      <c r="I5405" s="9">
        <v>1540300</v>
      </c>
      <c r="J5405" s="10">
        <v>0.0353</v>
      </c>
    </row>
    <row r="5406" spans="1:10">
      <c r="A5406" s="7" t="s">
        <v>5439</v>
      </c>
      <c r="B5406" s="7" t="s">
        <v>7273</v>
      </c>
      <c r="C5406" s="8">
        <f>QS.CONTEXT.CREATE("market.5404",A5406,"USD","SOFR")</f>
        <v/>
      </c>
      <c r="D5406" s="8">
        <f>QS.CONTEXT.ADD.CURVE(C5406,"SOFR",$K$2:$K$7,$L$2:$L$7,,,"Actual360","LogLinear",TRUE)</f>
        <v/>
      </c>
      <c r="E5406" s="8">
        <f>QS.INSTRUMENT.SWAP("swap.5404",C5406,H5406,B5406,"USD","SOFR",I5406,J5406,0,"Actual360","Simple","Annual","Annual","Annual")</f>
        <v/>
      </c>
      <c r="F5406" s="8">
        <f>QS.TRADE.CREATE("trade.5404",C5406,E5406,A5406,"Receive")</f>
        <v/>
      </c>
      <c r="G5406" s="5"/>
      <c r="H5406" s="7" t="s">
        <v>5446</v>
      </c>
      <c r="I5406" s="9">
        <v>1540400</v>
      </c>
      <c r="J5406" s="10">
        <v>0.0354</v>
      </c>
    </row>
    <row r="5407" spans="1:10">
      <c r="A5407" s="7" t="s">
        <v>5440</v>
      </c>
      <c r="B5407" s="7" t="s">
        <v>7274</v>
      </c>
      <c r="C5407" s="8">
        <f>QS.CONTEXT.CREATE("market.5405",A5407,"USD","SOFR")</f>
        <v/>
      </c>
      <c r="D5407" s="8">
        <f>QS.CONTEXT.ADD.CURVE(C5407,"SOFR",$K$2:$K$7,$L$2:$L$7,,,"Actual360","LogLinear",TRUE)</f>
        <v/>
      </c>
      <c r="E5407" s="8">
        <f>QS.INSTRUMENT.SWAP("swap.5405",C5407,H5407,B5407,"USD","SOFR",I5407,J5407,0,"Actual360","Simple","Annual","Annual","Annual")</f>
        <v/>
      </c>
      <c r="F5407" s="8">
        <f>QS.TRADE.CREATE("trade.5405",C5407,E5407,A5407,"Receive")</f>
        <v/>
      </c>
      <c r="G5407" s="5"/>
      <c r="H5407" s="7" t="s">
        <v>5447</v>
      </c>
      <c r="I5407" s="9">
        <v>1540500</v>
      </c>
      <c r="J5407" s="10">
        <v>0.0355</v>
      </c>
    </row>
    <row r="5408" spans="1:10">
      <c r="A5408" s="7" t="s">
        <v>5441</v>
      </c>
      <c r="B5408" s="7" t="s">
        <v>7275</v>
      </c>
      <c r="C5408" s="8">
        <f>QS.CONTEXT.CREATE("market.5406",A5408,"USD","SOFR")</f>
        <v/>
      </c>
      <c r="D5408" s="8">
        <f>QS.CONTEXT.ADD.CURVE(C5408,"SOFR",$K$2:$K$7,$L$2:$L$7,,,"Actual360","LogLinear",TRUE)</f>
        <v/>
      </c>
      <c r="E5408" s="8">
        <f>QS.INSTRUMENT.SWAP("swap.5406",C5408,H5408,B5408,"USD","SOFR",I5408,J5408,0,"Actual360","Simple","Annual","Annual","Annual")</f>
        <v/>
      </c>
      <c r="F5408" s="8">
        <f>QS.TRADE.CREATE("trade.5406",C5408,E5408,A5408,"Receive")</f>
        <v/>
      </c>
      <c r="G5408" s="5"/>
      <c r="H5408" s="7" t="s">
        <v>5448</v>
      </c>
      <c r="I5408" s="9">
        <v>1540600</v>
      </c>
      <c r="J5408" s="10">
        <v>0.03560000000000001</v>
      </c>
    </row>
    <row r="5409" spans="1:10">
      <c r="A5409" s="7" t="s">
        <v>5442</v>
      </c>
      <c r="B5409" s="7" t="s">
        <v>7276</v>
      </c>
      <c r="C5409" s="8">
        <f>QS.CONTEXT.CREATE("market.5407",A5409,"USD","SOFR")</f>
        <v/>
      </c>
      <c r="D5409" s="8">
        <f>QS.CONTEXT.ADD.CURVE(C5409,"SOFR",$K$2:$K$7,$L$2:$L$7,,,"Actual360","LogLinear",TRUE)</f>
        <v/>
      </c>
      <c r="E5409" s="8">
        <f>QS.INSTRUMENT.SWAP("swap.5407",C5409,H5409,B5409,"USD","SOFR",I5409,J5409,0,"Actual360","Simple","Annual","Annual","Annual")</f>
        <v/>
      </c>
      <c r="F5409" s="8">
        <f>QS.TRADE.CREATE("trade.5407",C5409,E5409,A5409,"Receive")</f>
        <v/>
      </c>
      <c r="G5409" s="5"/>
      <c r="H5409" s="7" t="s">
        <v>5449</v>
      </c>
      <c r="I5409" s="9">
        <v>1540700</v>
      </c>
      <c r="J5409" s="10">
        <v>0.0357</v>
      </c>
    </row>
    <row r="5410" spans="1:10">
      <c r="A5410" s="7" t="s">
        <v>5443</v>
      </c>
      <c r="B5410" s="7" t="s">
        <v>7277</v>
      </c>
      <c r="C5410" s="8">
        <f>QS.CONTEXT.CREATE("market.5408",A5410,"USD","SOFR")</f>
        <v/>
      </c>
      <c r="D5410" s="8">
        <f>QS.CONTEXT.ADD.CURVE(C5410,"SOFR",$K$2:$K$7,$L$2:$L$7,,,"Actual360","LogLinear",TRUE)</f>
        <v/>
      </c>
      <c r="E5410" s="8">
        <f>QS.INSTRUMENT.SWAP("swap.5408",C5410,H5410,B5410,"USD","SOFR",I5410,J5410,0,"Actual360","Simple","Annual","Annual","Annual")</f>
        <v/>
      </c>
      <c r="F5410" s="8">
        <f>QS.TRADE.CREATE("trade.5408",C5410,E5410,A5410,"Receive")</f>
        <v/>
      </c>
      <c r="G5410" s="5"/>
      <c r="H5410" s="7" t="s">
        <v>5450</v>
      </c>
      <c r="I5410" s="9">
        <v>1540800</v>
      </c>
      <c r="J5410" s="10">
        <v>0.03580000000000001</v>
      </c>
    </row>
    <row r="5411" spans="1:10">
      <c r="A5411" s="7" t="s">
        <v>5444</v>
      </c>
      <c r="B5411" s="7" t="s">
        <v>7278</v>
      </c>
      <c r="C5411" s="8">
        <f>QS.CONTEXT.CREATE("market.5409",A5411,"USD","SOFR")</f>
        <v/>
      </c>
      <c r="D5411" s="8">
        <f>QS.CONTEXT.ADD.CURVE(C5411,"SOFR",$K$2:$K$7,$L$2:$L$7,,,"Actual360","LogLinear",TRUE)</f>
        <v/>
      </c>
      <c r="E5411" s="8">
        <f>QS.INSTRUMENT.SWAP("swap.5409",C5411,H5411,B5411,"USD","SOFR",I5411,J5411,0,"Actual360","Simple","Annual","Annual","Annual")</f>
        <v/>
      </c>
      <c r="F5411" s="8">
        <f>QS.TRADE.CREATE("trade.5409",C5411,E5411,A5411,"Receive")</f>
        <v/>
      </c>
      <c r="G5411" s="5"/>
      <c r="H5411" s="7" t="s">
        <v>5451</v>
      </c>
      <c r="I5411" s="9">
        <v>1540900</v>
      </c>
      <c r="J5411" s="10">
        <v>0.0359</v>
      </c>
    </row>
    <row r="5412" spans="1:10">
      <c r="A5412" s="7" t="s">
        <v>5445</v>
      </c>
      <c r="B5412" s="7" t="s">
        <v>7279</v>
      </c>
      <c r="C5412" s="8">
        <f>QS.CONTEXT.CREATE("market.5410",A5412,"USD","SOFR")</f>
        <v/>
      </c>
      <c r="D5412" s="8">
        <f>QS.CONTEXT.ADD.CURVE(C5412,"SOFR",$K$2:$K$7,$L$2:$L$7,,,"Actual360","LogLinear",TRUE)</f>
        <v/>
      </c>
      <c r="E5412" s="8">
        <f>QS.INSTRUMENT.SWAP("swap.5410",C5412,H5412,B5412,"USD","SOFR",I5412,J5412,0,"Actual360","Simple","Annual","Annual","Annual")</f>
        <v/>
      </c>
      <c r="F5412" s="8">
        <f>QS.TRADE.CREATE("trade.5410",C5412,E5412,A5412,"Receive")</f>
        <v/>
      </c>
      <c r="G5412" s="5"/>
      <c r="H5412" s="7" t="s">
        <v>5452</v>
      </c>
      <c r="I5412" s="9">
        <v>1541000</v>
      </c>
      <c r="J5412" s="10">
        <v>0.036</v>
      </c>
    </row>
    <row r="5413" spans="1:10">
      <c r="A5413" s="7" t="s">
        <v>5446</v>
      </c>
      <c r="B5413" s="7" t="s">
        <v>7280</v>
      </c>
      <c r="C5413" s="8">
        <f>QS.CONTEXT.CREATE("market.5411",A5413,"USD","SOFR")</f>
        <v/>
      </c>
      <c r="D5413" s="8">
        <f>QS.CONTEXT.ADD.CURVE(C5413,"SOFR",$K$2:$K$7,$L$2:$L$7,,,"Actual360","LogLinear",TRUE)</f>
        <v/>
      </c>
      <c r="E5413" s="8">
        <f>QS.INSTRUMENT.SWAP("swap.5411",C5413,H5413,B5413,"USD","SOFR",I5413,J5413,0,"Actual360","Simple","Annual","Annual","Annual")</f>
        <v/>
      </c>
      <c r="F5413" s="8">
        <f>QS.TRADE.CREATE("trade.5411",C5413,E5413,A5413,"Receive")</f>
        <v/>
      </c>
      <c r="G5413" s="5"/>
      <c r="H5413" s="7" t="s">
        <v>5453</v>
      </c>
      <c r="I5413" s="9">
        <v>1541100</v>
      </c>
      <c r="J5413" s="10">
        <v>0.0361</v>
      </c>
    </row>
    <row r="5414" spans="1:10">
      <c r="A5414" s="7" t="s">
        <v>5447</v>
      </c>
      <c r="B5414" s="7" t="s">
        <v>7281</v>
      </c>
      <c r="C5414" s="8">
        <f>QS.CONTEXT.CREATE("market.5412",A5414,"USD","SOFR")</f>
        <v/>
      </c>
      <c r="D5414" s="8">
        <f>QS.CONTEXT.ADD.CURVE(C5414,"SOFR",$K$2:$K$7,$L$2:$L$7,,,"Actual360","LogLinear",TRUE)</f>
        <v/>
      </c>
      <c r="E5414" s="8">
        <f>QS.INSTRUMENT.SWAP("swap.5412",C5414,H5414,B5414,"USD","SOFR",I5414,J5414,0,"Actual360","Simple","Annual","Annual","Annual")</f>
        <v/>
      </c>
      <c r="F5414" s="8">
        <f>QS.TRADE.CREATE("trade.5412",C5414,E5414,A5414,"Receive")</f>
        <v/>
      </c>
      <c r="G5414" s="5"/>
      <c r="H5414" s="7" t="s">
        <v>5454</v>
      </c>
      <c r="I5414" s="9">
        <v>1541200</v>
      </c>
      <c r="J5414" s="10">
        <v>0.0362</v>
      </c>
    </row>
    <row r="5415" spans="1:10">
      <c r="A5415" s="7" t="s">
        <v>5448</v>
      </c>
      <c r="B5415" s="7" t="s">
        <v>7282</v>
      </c>
      <c r="C5415" s="8">
        <f>QS.CONTEXT.CREATE("market.5413",A5415,"USD","SOFR")</f>
        <v/>
      </c>
      <c r="D5415" s="8">
        <f>QS.CONTEXT.ADD.CURVE(C5415,"SOFR",$K$2:$K$7,$L$2:$L$7,,,"Actual360","LogLinear",TRUE)</f>
        <v/>
      </c>
      <c r="E5415" s="8">
        <f>QS.INSTRUMENT.SWAP("swap.5413",C5415,H5415,B5415,"USD","SOFR",I5415,J5415,0,"Actual360","Simple","Annual","Annual","Annual")</f>
        <v/>
      </c>
      <c r="F5415" s="8">
        <f>QS.TRADE.CREATE("trade.5413",C5415,E5415,A5415,"Receive")</f>
        <v/>
      </c>
      <c r="G5415" s="5"/>
      <c r="H5415" s="7" t="s">
        <v>5455</v>
      </c>
      <c r="I5415" s="9">
        <v>1541300</v>
      </c>
      <c r="J5415" s="10">
        <v>0.03630000000000001</v>
      </c>
    </row>
    <row r="5416" spans="1:10">
      <c r="A5416" s="7" t="s">
        <v>5449</v>
      </c>
      <c r="B5416" s="7" t="s">
        <v>7283</v>
      </c>
      <c r="C5416" s="8">
        <f>QS.CONTEXT.CREATE("market.5414",A5416,"USD","SOFR")</f>
        <v/>
      </c>
      <c r="D5416" s="8">
        <f>QS.CONTEXT.ADD.CURVE(C5416,"SOFR",$K$2:$K$7,$L$2:$L$7,,,"Actual360","LogLinear",TRUE)</f>
        <v/>
      </c>
      <c r="E5416" s="8">
        <f>QS.INSTRUMENT.SWAP("swap.5414",C5416,H5416,B5416,"USD","SOFR",I5416,J5416,0,"Actual360","Simple","Annual","Annual","Annual")</f>
        <v/>
      </c>
      <c r="F5416" s="8">
        <f>QS.TRADE.CREATE("trade.5414",C5416,E5416,A5416,"Receive")</f>
        <v/>
      </c>
      <c r="G5416" s="5"/>
      <c r="H5416" s="7" t="s">
        <v>5456</v>
      </c>
      <c r="I5416" s="9">
        <v>1541400</v>
      </c>
      <c r="J5416" s="10">
        <v>0.0364</v>
      </c>
    </row>
    <row r="5417" spans="1:10">
      <c r="A5417" s="7" t="s">
        <v>5450</v>
      </c>
      <c r="B5417" s="7" t="s">
        <v>7284</v>
      </c>
      <c r="C5417" s="8">
        <f>QS.CONTEXT.CREATE("market.5415",A5417,"USD","SOFR")</f>
        <v/>
      </c>
      <c r="D5417" s="8">
        <f>QS.CONTEXT.ADD.CURVE(C5417,"SOFR",$K$2:$K$7,$L$2:$L$7,,,"Actual360","LogLinear",TRUE)</f>
        <v/>
      </c>
      <c r="E5417" s="8">
        <f>QS.INSTRUMENT.SWAP("swap.5415",C5417,H5417,B5417,"USD","SOFR",I5417,J5417,0,"Actual360","Simple","Annual","Annual","Annual")</f>
        <v/>
      </c>
      <c r="F5417" s="8">
        <f>QS.TRADE.CREATE("trade.5415",C5417,E5417,A5417,"Receive")</f>
        <v/>
      </c>
      <c r="G5417" s="5"/>
      <c r="H5417" s="7" t="s">
        <v>5457</v>
      </c>
      <c r="I5417" s="9">
        <v>1541500</v>
      </c>
      <c r="J5417" s="10">
        <v>0.0365</v>
      </c>
    </row>
    <row r="5418" spans="1:10">
      <c r="A5418" s="7" t="s">
        <v>5451</v>
      </c>
      <c r="B5418" s="7" t="s">
        <v>7285</v>
      </c>
      <c r="C5418" s="8">
        <f>QS.CONTEXT.CREATE("market.5416",A5418,"USD","SOFR")</f>
        <v/>
      </c>
      <c r="D5418" s="8">
        <f>QS.CONTEXT.ADD.CURVE(C5418,"SOFR",$K$2:$K$7,$L$2:$L$7,,,"Actual360","LogLinear",TRUE)</f>
        <v/>
      </c>
      <c r="E5418" s="8">
        <f>QS.INSTRUMENT.SWAP("swap.5416",C5418,H5418,B5418,"USD","SOFR",I5418,J5418,0,"Actual360","Simple","Annual","Annual","Annual")</f>
        <v/>
      </c>
      <c r="F5418" s="8">
        <f>QS.TRADE.CREATE("trade.5416",C5418,E5418,A5418,"Receive")</f>
        <v/>
      </c>
      <c r="G5418" s="5"/>
      <c r="H5418" s="7" t="s">
        <v>5458</v>
      </c>
      <c r="I5418" s="9">
        <v>1541600</v>
      </c>
      <c r="J5418" s="10">
        <v>0.0366</v>
      </c>
    </row>
    <row r="5419" spans="1:10">
      <c r="A5419" s="7" t="s">
        <v>5452</v>
      </c>
      <c r="B5419" s="7" t="s">
        <v>7286</v>
      </c>
      <c r="C5419" s="8">
        <f>QS.CONTEXT.CREATE("market.5417",A5419,"USD","SOFR")</f>
        <v/>
      </c>
      <c r="D5419" s="8">
        <f>QS.CONTEXT.ADD.CURVE(C5419,"SOFR",$K$2:$K$7,$L$2:$L$7,,,"Actual360","LogLinear",TRUE)</f>
        <v/>
      </c>
      <c r="E5419" s="8">
        <f>QS.INSTRUMENT.SWAP("swap.5417",C5419,H5419,B5419,"USD","SOFR",I5419,J5419,0,"Actual360","Simple","Annual","Annual","Annual")</f>
        <v/>
      </c>
      <c r="F5419" s="8">
        <f>QS.TRADE.CREATE("trade.5417",C5419,E5419,A5419,"Receive")</f>
        <v/>
      </c>
      <c r="G5419" s="5"/>
      <c r="H5419" s="7" t="s">
        <v>5459</v>
      </c>
      <c r="I5419" s="9">
        <v>1541700</v>
      </c>
      <c r="J5419" s="10">
        <v>0.0367</v>
      </c>
    </row>
    <row r="5420" spans="1:10">
      <c r="A5420" s="7" t="s">
        <v>5453</v>
      </c>
      <c r="B5420" s="7" t="s">
        <v>7287</v>
      </c>
      <c r="C5420" s="8">
        <f>QS.CONTEXT.CREATE("market.5418",A5420,"USD","SOFR")</f>
        <v/>
      </c>
      <c r="D5420" s="8">
        <f>QS.CONTEXT.ADD.CURVE(C5420,"SOFR",$K$2:$K$7,$L$2:$L$7,,,"Actual360","LogLinear",TRUE)</f>
        <v/>
      </c>
      <c r="E5420" s="8">
        <f>QS.INSTRUMENT.SWAP("swap.5418",C5420,H5420,B5420,"USD","SOFR",I5420,J5420,0,"Actual360","Simple","Annual","Annual","Annual")</f>
        <v/>
      </c>
      <c r="F5420" s="8">
        <f>QS.TRADE.CREATE("trade.5418",C5420,E5420,A5420,"Receive")</f>
        <v/>
      </c>
      <c r="G5420" s="5"/>
      <c r="H5420" s="7" t="s">
        <v>5460</v>
      </c>
      <c r="I5420" s="9">
        <v>1541800</v>
      </c>
      <c r="J5420" s="10">
        <v>0.03680000000000001</v>
      </c>
    </row>
    <row r="5421" spans="1:10">
      <c r="A5421" s="7" t="s">
        <v>5454</v>
      </c>
      <c r="B5421" s="7" t="s">
        <v>7288</v>
      </c>
      <c r="C5421" s="8">
        <f>QS.CONTEXT.CREATE("market.5419",A5421,"USD","SOFR")</f>
        <v/>
      </c>
      <c r="D5421" s="8">
        <f>QS.CONTEXT.ADD.CURVE(C5421,"SOFR",$K$2:$K$7,$L$2:$L$7,,,"Actual360","LogLinear",TRUE)</f>
        <v/>
      </c>
      <c r="E5421" s="8">
        <f>QS.INSTRUMENT.SWAP("swap.5419",C5421,H5421,B5421,"USD","SOFR",I5421,J5421,0,"Actual360","Simple","Annual","Annual","Annual")</f>
        <v/>
      </c>
      <c r="F5421" s="8">
        <f>QS.TRADE.CREATE("trade.5419",C5421,E5421,A5421,"Receive")</f>
        <v/>
      </c>
      <c r="G5421" s="5"/>
      <c r="H5421" s="7" t="s">
        <v>5461</v>
      </c>
      <c r="I5421" s="9">
        <v>1541900</v>
      </c>
      <c r="J5421" s="10">
        <v>0.0369</v>
      </c>
    </row>
    <row r="5422" spans="1:10">
      <c r="A5422" s="7" t="s">
        <v>5455</v>
      </c>
      <c r="B5422" s="7" t="s">
        <v>7289</v>
      </c>
      <c r="C5422" s="8">
        <f>QS.CONTEXT.CREATE("market.5420",A5422,"USD","SOFR")</f>
        <v/>
      </c>
      <c r="D5422" s="8">
        <f>QS.CONTEXT.ADD.CURVE(C5422,"SOFR",$K$2:$K$7,$L$2:$L$7,,,"Actual360","LogLinear",TRUE)</f>
        <v/>
      </c>
      <c r="E5422" s="8">
        <f>QS.INSTRUMENT.SWAP("swap.5420",C5422,H5422,B5422,"USD","SOFR",I5422,J5422,0,"Actual360","Simple","Annual","Annual","Annual")</f>
        <v/>
      </c>
      <c r="F5422" s="8">
        <f>QS.TRADE.CREATE("trade.5420",C5422,E5422,A5422,"Receive")</f>
        <v/>
      </c>
      <c r="G5422" s="5"/>
      <c r="H5422" s="7" t="s">
        <v>5462</v>
      </c>
      <c r="I5422" s="9">
        <v>1542000</v>
      </c>
      <c r="J5422" s="10">
        <v>0.03700000000000001</v>
      </c>
    </row>
    <row r="5423" spans="1:10">
      <c r="A5423" s="7" t="s">
        <v>5456</v>
      </c>
      <c r="B5423" s="7" t="s">
        <v>7290</v>
      </c>
      <c r="C5423" s="8">
        <f>QS.CONTEXT.CREATE("market.5421",A5423,"USD","SOFR")</f>
        <v/>
      </c>
      <c r="D5423" s="8">
        <f>QS.CONTEXT.ADD.CURVE(C5423,"SOFR",$K$2:$K$7,$L$2:$L$7,,,"Actual360","LogLinear",TRUE)</f>
        <v/>
      </c>
      <c r="E5423" s="8">
        <f>QS.INSTRUMENT.SWAP("swap.5421",C5423,H5423,B5423,"USD","SOFR",I5423,J5423,0,"Actual360","Simple","Annual","Annual","Annual")</f>
        <v/>
      </c>
      <c r="F5423" s="8">
        <f>QS.TRADE.CREATE("trade.5421",C5423,E5423,A5423,"Receive")</f>
        <v/>
      </c>
      <c r="G5423" s="5"/>
      <c r="H5423" s="7" t="s">
        <v>5463</v>
      </c>
      <c r="I5423" s="9">
        <v>1542100</v>
      </c>
      <c r="J5423" s="10">
        <v>0.0371</v>
      </c>
    </row>
    <row r="5424" spans="1:10">
      <c r="A5424" s="7" t="s">
        <v>5457</v>
      </c>
      <c r="B5424" s="7" t="s">
        <v>7291</v>
      </c>
      <c r="C5424" s="8">
        <f>QS.CONTEXT.CREATE("market.5422",A5424,"USD","SOFR")</f>
        <v/>
      </c>
      <c r="D5424" s="8">
        <f>QS.CONTEXT.ADD.CURVE(C5424,"SOFR",$K$2:$K$7,$L$2:$L$7,,,"Actual360","LogLinear",TRUE)</f>
        <v/>
      </c>
      <c r="E5424" s="8">
        <f>QS.INSTRUMENT.SWAP("swap.5422",C5424,H5424,B5424,"USD","SOFR",I5424,J5424,0,"Actual360","Simple","Annual","Annual","Annual")</f>
        <v/>
      </c>
      <c r="F5424" s="8">
        <f>QS.TRADE.CREATE("trade.5422",C5424,E5424,A5424,"Receive")</f>
        <v/>
      </c>
      <c r="G5424" s="5"/>
      <c r="H5424" s="7" t="s">
        <v>5464</v>
      </c>
      <c r="I5424" s="9">
        <v>1542200</v>
      </c>
      <c r="J5424" s="10">
        <v>0.0372</v>
      </c>
    </row>
    <row r="5425" spans="1:10">
      <c r="A5425" s="7" t="s">
        <v>5458</v>
      </c>
      <c r="B5425" s="7" t="s">
        <v>7292</v>
      </c>
      <c r="C5425" s="8">
        <f>QS.CONTEXT.CREATE("market.5423",A5425,"USD","SOFR")</f>
        <v/>
      </c>
      <c r="D5425" s="8">
        <f>QS.CONTEXT.ADD.CURVE(C5425,"SOFR",$K$2:$K$7,$L$2:$L$7,,,"Actual360","LogLinear",TRUE)</f>
        <v/>
      </c>
      <c r="E5425" s="8">
        <f>QS.INSTRUMENT.SWAP("swap.5423",C5425,H5425,B5425,"USD","SOFR",I5425,J5425,0,"Actual360","Simple","Annual","Annual","Annual")</f>
        <v/>
      </c>
      <c r="F5425" s="8">
        <f>QS.TRADE.CREATE("trade.5423",C5425,E5425,A5425,"Receive")</f>
        <v/>
      </c>
      <c r="G5425" s="5"/>
      <c r="H5425" s="7" t="s">
        <v>5465</v>
      </c>
      <c r="I5425" s="9">
        <v>1542300</v>
      </c>
      <c r="J5425" s="10">
        <v>0.0373</v>
      </c>
    </row>
    <row r="5426" spans="1:10">
      <c r="A5426" s="7" t="s">
        <v>5459</v>
      </c>
      <c r="B5426" s="7" t="s">
        <v>7293</v>
      </c>
      <c r="C5426" s="8">
        <f>QS.CONTEXT.CREATE("market.5424",A5426,"USD","SOFR")</f>
        <v/>
      </c>
      <c r="D5426" s="8">
        <f>QS.CONTEXT.ADD.CURVE(C5426,"SOFR",$K$2:$K$7,$L$2:$L$7,,,"Actual360","LogLinear",TRUE)</f>
        <v/>
      </c>
      <c r="E5426" s="8">
        <f>QS.INSTRUMENT.SWAP("swap.5424",C5426,H5426,B5426,"USD","SOFR",I5426,J5426,0,"Actual360","Simple","Annual","Annual","Annual")</f>
        <v/>
      </c>
      <c r="F5426" s="8">
        <f>QS.TRADE.CREATE("trade.5424",C5426,E5426,A5426,"Receive")</f>
        <v/>
      </c>
      <c r="G5426" s="5"/>
      <c r="H5426" s="7" t="s">
        <v>5466</v>
      </c>
      <c r="I5426" s="9">
        <v>1542400</v>
      </c>
      <c r="J5426" s="10">
        <v>0.0374</v>
      </c>
    </row>
    <row r="5427" spans="1:10">
      <c r="A5427" s="7" t="s">
        <v>5460</v>
      </c>
      <c r="B5427" s="7" t="s">
        <v>7294</v>
      </c>
      <c r="C5427" s="8">
        <f>QS.CONTEXT.CREATE("market.5425",A5427,"USD","SOFR")</f>
        <v/>
      </c>
      <c r="D5427" s="8">
        <f>QS.CONTEXT.ADD.CURVE(C5427,"SOFR",$K$2:$K$7,$L$2:$L$7,,,"Actual360","LogLinear",TRUE)</f>
        <v/>
      </c>
      <c r="E5427" s="8">
        <f>QS.INSTRUMENT.SWAP("swap.5425",C5427,H5427,B5427,"USD","SOFR",I5427,J5427,0,"Actual360","Simple","Annual","Annual","Annual")</f>
        <v/>
      </c>
      <c r="F5427" s="8">
        <f>QS.TRADE.CREATE("trade.5425",C5427,E5427,A5427,"Receive")</f>
        <v/>
      </c>
      <c r="G5427" s="5"/>
      <c r="H5427" s="7" t="s">
        <v>5467</v>
      </c>
      <c r="I5427" s="9">
        <v>1542500</v>
      </c>
      <c r="J5427" s="10">
        <v>0.03750000000000001</v>
      </c>
    </row>
    <row r="5428" spans="1:10">
      <c r="A5428" s="7" t="s">
        <v>5461</v>
      </c>
      <c r="B5428" s="7" t="s">
        <v>7295</v>
      </c>
      <c r="C5428" s="8">
        <f>QS.CONTEXT.CREATE("market.5426",A5428,"USD","SOFR")</f>
        <v/>
      </c>
      <c r="D5428" s="8">
        <f>QS.CONTEXT.ADD.CURVE(C5428,"SOFR",$K$2:$K$7,$L$2:$L$7,,,"Actual360","LogLinear",TRUE)</f>
        <v/>
      </c>
      <c r="E5428" s="8">
        <f>QS.INSTRUMENT.SWAP("swap.5426",C5428,H5428,B5428,"USD","SOFR",I5428,J5428,0,"Actual360","Simple","Annual","Annual","Annual")</f>
        <v/>
      </c>
      <c r="F5428" s="8">
        <f>QS.TRADE.CREATE("trade.5426",C5428,E5428,A5428,"Receive")</f>
        <v/>
      </c>
      <c r="G5428" s="5"/>
      <c r="H5428" s="7" t="s">
        <v>5468</v>
      </c>
      <c r="I5428" s="9">
        <v>1542600</v>
      </c>
      <c r="J5428" s="10">
        <v>0.0376</v>
      </c>
    </row>
    <row r="5429" spans="1:10">
      <c r="A5429" s="7" t="s">
        <v>5462</v>
      </c>
      <c r="B5429" s="7" t="s">
        <v>7296</v>
      </c>
      <c r="C5429" s="8">
        <f>QS.CONTEXT.CREATE("market.5427",A5429,"USD","SOFR")</f>
        <v/>
      </c>
      <c r="D5429" s="8">
        <f>QS.CONTEXT.ADD.CURVE(C5429,"SOFR",$K$2:$K$7,$L$2:$L$7,,,"Actual360","LogLinear",TRUE)</f>
        <v/>
      </c>
      <c r="E5429" s="8">
        <f>QS.INSTRUMENT.SWAP("swap.5427",C5429,H5429,B5429,"USD","SOFR",I5429,J5429,0,"Actual360","Simple","Annual","Annual","Annual")</f>
        <v/>
      </c>
      <c r="F5429" s="8">
        <f>QS.TRADE.CREATE("trade.5427",C5429,E5429,A5429,"Receive")</f>
        <v/>
      </c>
      <c r="G5429" s="5"/>
      <c r="H5429" s="7" t="s">
        <v>5469</v>
      </c>
      <c r="I5429" s="9">
        <v>1542700</v>
      </c>
      <c r="J5429" s="10">
        <v>0.0377</v>
      </c>
    </row>
    <row r="5430" spans="1:10">
      <c r="A5430" s="7" t="s">
        <v>5463</v>
      </c>
      <c r="B5430" s="7" t="s">
        <v>7297</v>
      </c>
      <c r="C5430" s="8">
        <f>QS.CONTEXT.CREATE("market.5428",A5430,"USD","SOFR")</f>
        <v/>
      </c>
      <c r="D5430" s="8">
        <f>QS.CONTEXT.ADD.CURVE(C5430,"SOFR",$K$2:$K$7,$L$2:$L$7,,,"Actual360","LogLinear",TRUE)</f>
        <v/>
      </c>
      <c r="E5430" s="8">
        <f>QS.INSTRUMENT.SWAP("swap.5428",C5430,H5430,B5430,"USD","SOFR",I5430,J5430,0,"Actual360","Simple","Annual","Annual","Annual")</f>
        <v/>
      </c>
      <c r="F5430" s="8">
        <f>QS.TRADE.CREATE("trade.5428",C5430,E5430,A5430,"Receive")</f>
        <v/>
      </c>
      <c r="G5430" s="5"/>
      <c r="H5430" s="7" t="s">
        <v>5470</v>
      </c>
      <c r="I5430" s="9">
        <v>1542800</v>
      </c>
      <c r="J5430" s="10">
        <v>0.0378</v>
      </c>
    </row>
    <row r="5431" spans="1:10">
      <c r="A5431" s="7" t="s">
        <v>5464</v>
      </c>
      <c r="B5431" s="7" t="s">
        <v>7298</v>
      </c>
      <c r="C5431" s="8">
        <f>QS.CONTEXT.CREATE("market.5429",A5431,"USD","SOFR")</f>
        <v/>
      </c>
      <c r="D5431" s="8">
        <f>QS.CONTEXT.ADD.CURVE(C5431,"SOFR",$K$2:$K$7,$L$2:$L$7,,,"Actual360","LogLinear",TRUE)</f>
        <v/>
      </c>
      <c r="E5431" s="8">
        <f>QS.INSTRUMENT.SWAP("swap.5429",C5431,H5431,B5431,"USD","SOFR",I5431,J5431,0,"Actual360","Simple","Annual","Annual","Annual")</f>
        <v/>
      </c>
      <c r="F5431" s="8">
        <f>QS.TRADE.CREATE("trade.5429",C5431,E5431,A5431,"Receive")</f>
        <v/>
      </c>
      <c r="G5431" s="5"/>
      <c r="H5431" s="7" t="s">
        <v>5471</v>
      </c>
      <c r="I5431" s="9">
        <v>1542900</v>
      </c>
      <c r="J5431" s="10">
        <v>0.0379</v>
      </c>
    </row>
    <row r="5432" spans="1:10">
      <c r="A5432" s="7" t="s">
        <v>5465</v>
      </c>
      <c r="B5432" s="7" t="s">
        <v>7299</v>
      </c>
      <c r="C5432" s="8">
        <f>QS.CONTEXT.CREATE("market.5430",A5432,"USD","SOFR")</f>
        <v/>
      </c>
      <c r="D5432" s="8">
        <f>QS.CONTEXT.ADD.CURVE(C5432,"SOFR",$K$2:$K$7,$L$2:$L$7,,,"Actual360","LogLinear",TRUE)</f>
        <v/>
      </c>
      <c r="E5432" s="8">
        <f>QS.INSTRUMENT.SWAP("swap.5430",C5432,H5432,B5432,"USD","SOFR",I5432,J5432,0,"Actual360","Simple","Annual","Annual","Annual")</f>
        <v/>
      </c>
      <c r="F5432" s="8">
        <f>QS.TRADE.CREATE("trade.5430",C5432,E5432,A5432,"Receive")</f>
        <v/>
      </c>
      <c r="G5432" s="5"/>
      <c r="H5432" s="7" t="s">
        <v>5472</v>
      </c>
      <c r="I5432" s="9">
        <v>1543000</v>
      </c>
      <c r="J5432" s="10">
        <v>0.03800000000000001</v>
      </c>
    </row>
    <row r="5433" spans="1:10">
      <c r="A5433" s="7" t="s">
        <v>5466</v>
      </c>
      <c r="B5433" s="7" t="s">
        <v>7300</v>
      </c>
      <c r="C5433" s="8">
        <f>QS.CONTEXT.CREATE("market.5431",A5433,"USD","SOFR")</f>
        <v/>
      </c>
      <c r="D5433" s="8">
        <f>QS.CONTEXT.ADD.CURVE(C5433,"SOFR",$K$2:$K$7,$L$2:$L$7,,,"Actual360","LogLinear",TRUE)</f>
        <v/>
      </c>
      <c r="E5433" s="8">
        <f>QS.INSTRUMENT.SWAP("swap.5431",C5433,H5433,B5433,"USD","SOFR",I5433,J5433,0,"Actual360","Simple","Annual","Annual","Annual")</f>
        <v/>
      </c>
      <c r="F5433" s="8">
        <f>QS.TRADE.CREATE("trade.5431",C5433,E5433,A5433,"Receive")</f>
        <v/>
      </c>
      <c r="G5433" s="5"/>
      <c r="H5433" s="7" t="s">
        <v>5473</v>
      </c>
      <c r="I5433" s="9">
        <v>1543100</v>
      </c>
      <c r="J5433" s="10">
        <v>0.0381</v>
      </c>
    </row>
    <row r="5434" spans="1:10">
      <c r="A5434" s="7" t="s">
        <v>5467</v>
      </c>
      <c r="B5434" s="7" t="s">
        <v>7301</v>
      </c>
      <c r="C5434" s="8">
        <f>QS.CONTEXT.CREATE("market.5432",A5434,"USD","SOFR")</f>
        <v/>
      </c>
      <c r="D5434" s="8">
        <f>QS.CONTEXT.ADD.CURVE(C5434,"SOFR",$K$2:$K$7,$L$2:$L$7,,,"Actual360","LogLinear",TRUE)</f>
        <v/>
      </c>
      <c r="E5434" s="8">
        <f>QS.INSTRUMENT.SWAP("swap.5432",C5434,H5434,B5434,"USD","SOFR",I5434,J5434,0,"Actual360","Simple","Annual","Annual","Annual")</f>
        <v/>
      </c>
      <c r="F5434" s="8">
        <f>QS.TRADE.CREATE("trade.5432",C5434,E5434,A5434,"Receive")</f>
        <v/>
      </c>
      <c r="G5434" s="5"/>
      <c r="H5434" s="7" t="s">
        <v>5474</v>
      </c>
      <c r="I5434" s="9">
        <v>1543200</v>
      </c>
      <c r="J5434" s="10">
        <v>0.0382</v>
      </c>
    </row>
    <row r="5435" spans="1:10">
      <c r="A5435" s="7" t="s">
        <v>5468</v>
      </c>
      <c r="B5435" s="7" t="s">
        <v>7302</v>
      </c>
      <c r="C5435" s="8">
        <f>QS.CONTEXT.CREATE("market.5433",A5435,"USD","SOFR")</f>
        <v/>
      </c>
      <c r="D5435" s="8">
        <f>QS.CONTEXT.ADD.CURVE(C5435,"SOFR",$K$2:$K$7,$L$2:$L$7,,,"Actual360","LogLinear",TRUE)</f>
        <v/>
      </c>
      <c r="E5435" s="8">
        <f>QS.INSTRUMENT.SWAP("swap.5433",C5435,H5435,B5435,"USD","SOFR",I5435,J5435,0,"Actual360","Simple","Annual","Annual","Annual")</f>
        <v/>
      </c>
      <c r="F5435" s="8">
        <f>QS.TRADE.CREATE("trade.5433",C5435,E5435,A5435,"Receive")</f>
        <v/>
      </c>
      <c r="G5435" s="5"/>
      <c r="H5435" s="7" t="s">
        <v>5475</v>
      </c>
      <c r="I5435" s="9">
        <v>1543300</v>
      </c>
      <c r="J5435" s="10">
        <v>0.0383</v>
      </c>
    </row>
    <row r="5436" spans="1:10">
      <c r="A5436" s="7" t="s">
        <v>5469</v>
      </c>
      <c r="B5436" s="7" t="s">
        <v>7303</v>
      </c>
      <c r="C5436" s="8">
        <f>QS.CONTEXT.CREATE("market.5434",A5436,"USD","SOFR")</f>
        <v/>
      </c>
      <c r="D5436" s="8">
        <f>QS.CONTEXT.ADD.CURVE(C5436,"SOFR",$K$2:$K$7,$L$2:$L$7,,,"Actual360","LogLinear",TRUE)</f>
        <v/>
      </c>
      <c r="E5436" s="8">
        <f>QS.INSTRUMENT.SWAP("swap.5434",C5436,H5436,B5436,"USD","SOFR",I5436,J5436,0,"Actual360","Simple","Annual","Annual","Annual")</f>
        <v/>
      </c>
      <c r="F5436" s="8">
        <f>QS.TRADE.CREATE("trade.5434",C5436,E5436,A5436,"Receive")</f>
        <v/>
      </c>
      <c r="G5436" s="5"/>
      <c r="H5436" s="7" t="s">
        <v>5476</v>
      </c>
      <c r="I5436" s="9">
        <v>1543400</v>
      </c>
      <c r="J5436" s="10">
        <v>0.0384</v>
      </c>
    </row>
    <row r="5437" spans="1:10">
      <c r="A5437" s="7" t="s">
        <v>5470</v>
      </c>
      <c r="B5437" s="7" t="s">
        <v>7304</v>
      </c>
      <c r="C5437" s="8">
        <f>QS.CONTEXT.CREATE("market.5435",A5437,"USD","SOFR")</f>
        <v/>
      </c>
      <c r="D5437" s="8">
        <f>QS.CONTEXT.ADD.CURVE(C5437,"SOFR",$K$2:$K$7,$L$2:$L$7,,,"Actual360","LogLinear",TRUE)</f>
        <v/>
      </c>
      <c r="E5437" s="8">
        <f>QS.INSTRUMENT.SWAP("swap.5435",C5437,H5437,B5437,"USD","SOFR",I5437,J5437,0,"Actual360","Simple","Annual","Annual","Annual")</f>
        <v/>
      </c>
      <c r="F5437" s="8">
        <f>QS.TRADE.CREATE("trade.5435",C5437,E5437,A5437,"Receive")</f>
        <v/>
      </c>
      <c r="G5437" s="5"/>
      <c r="H5437" s="7" t="s">
        <v>5477</v>
      </c>
      <c r="I5437" s="9">
        <v>1543500</v>
      </c>
      <c r="J5437" s="10">
        <v>0.03850000000000001</v>
      </c>
    </row>
    <row r="5438" spans="1:10">
      <c r="A5438" s="7" t="s">
        <v>5471</v>
      </c>
      <c r="B5438" s="7" t="s">
        <v>7305</v>
      </c>
      <c r="C5438" s="8">
        <f>QS.CONTEXT.CREATE("market.5436",A5438,"USD","SOFR")</f>
        <v/>
      </c>
      <c r="D5438" s="8">
        <f>QS.CONTEXT.ADD.CURVE(C5438,"SOFR",$K$2:$K$7,$L$2:$L$7,,,"Actual360","LogLinear",TRUE)</f>
        <v/>
      </c>
      <c r="E5438" s="8">
        <f>QS.INSTRUMENT.SWAP("swap.5436",C5438,H5438,B5438,"USD","SOFR",I5438,J5438,0,"Actual360","Simple","Annual","Annual","Annual")</f>
        <v/>
      </c>
      <c r="F5438" s="8">
        <f>QS.TRADE.CREATE("trade.5436",C5438,E5438,A5438,"Receive")</f>
        <v/>
      </c>
      <c r="G5438" s="5"/>
      <c r="H5438" s="7" t="s">
        <v>5478</v>
      </c>
      <c r="I5438" s="9">
        <v>1543600</v>
      </c>
      <c r="J5438" s="10">
        <v>0.0386</v>
      </c>
    </row>
    <row r="5439" spans="1:10">
      <c r="A5439" s="7" t="s">
        <v>5472</v>
      </c>
      <c r="B5439" s="7" t="s">
        <v>7306</v>
      </c>
      <c r="C5439" s="8">
        <f>QS.CONTEXT.CREATE("market.5437",A5439,"USD","SOFR")</f>
        <v/>
      </c>
      <c r="D5439" s="8">
        <f>QS.CONTEXT.ADD.CURVE(C5439,"SOFR",$K$2:$K$7,$L$2:$L$7,,,"Actual360","LogLinear",TRUE)</f>
        <v/>
      </c>
      <c r="E5439" s="8">
        <f>QS.INSTRUMENT.SWAP("swap.5437",C5439,H5439,B5439,"USD","SOFR",I5439,J5439,0,"Actual360","Simple","Annual","Annual","Annual")</f>
        <v/>
      </c>
      <c r="F5439" s="8">
        <f>QS.TRADE.CREATE("trade.5437",C5439,E5439,A5439,"Receive")</f>
        <v/>
      </c>
      <c r="G5439" s="5"/>
      <c r="H5439" s="7" t="s">
        <v>5479</v>
      </c>
      <c r="I5439" s="9">
        <v>1543700</v>
      </c>
      <c r="J5439" s="10">
        <v>0.03870000000000001</v>
      </c>
    </row>
    <row r="5440" spans="1:10">
      <c r="A5440" s="7" t="s">
        <v>5473</v>
      </c>
      <c r="B5440" s="7" t="s">
        <v>7307</v>
      </c>
      <c r="C5440" s="8">
        <f>QS.CONTEXT.CREATE("market.5438",A5440,"USD","SOFR")</f>
        <v/>
      </c>
      <c r="D5440" s="8">
        <f>QS.CONTEXT.ADD.CURVE(C5440,"SOFR",$K$2:$K$7,$L$2:$L$7,,,"Actual360","LogLinear",TRUE)</f>
        <v/>
      </c>
      <c r="E5440" s="8">
        <f>QS.INSTRUMENT.SWAP("swap.5438",C5440,H5440,B5440,"USD","SOFR",I5440,J5440,0,"Actual360","Simple","Annual","Annual","Annual")</f>
        <v/>
      </c>
      <c r="F5440" s="8">
        <f>QS.TRADE.CREATE("trade.5438",C5440,E5440,A5440,"Receive")</f>
        <v/>
      </c>
      <c r="G5440" s="5"/>
      <c r="H5440" s="7" t="s">
        <v>5480</v>
      </c>
      <c r="I5440" s="9">
        <v>1543800</v>
      </c>
      <c r="J5440" s="10">
        <v>0.0388</v>
      </c>
    </row>
    <row r="5441" spans="1:10">
      <c r="A5441" s="7" t="s">
        <v>5474</v>
      </c>
      <c r="B5441" s="7" t="s">
        <v>7308</v>
      </c>
      <c r="C5441" s="8">
        <f>QS.CONTEXT.CREATE("market.5439",A5441,"USD","SOFR")</f>
        <v/>
      </c>
      <c r="D5441" s="8">
        <f>QS.CONTEXT.ADD.CURVE(C5441,"SOFR",$K$2:$K$7,$L$2:$L$7,,,"Actual360","LogLinear",TRUE)</f>
        <v/>
      </c>
      <c r="E5441" s="8">
        <f>QS.INSTRUMENT.SWAP("swap.5439",C5441,H5441,B5441,"USD","SOFR",I5441,J5441,0,"Actual360","Simple","Annual","Annual","Annual")</f>
        <v/>
      </c>
      <c r="F5441" s="8">
        <f>QS.TRADE.CREATE("trade.5439",C5441,E5441,A5441,"Receive")</f>
        <v/>
      </c>
      <c r="G5441" s="5"/>
      <c r="H5441" s="7" t="s">
        <v>5481</v>
      </c>
      <c r="I5441" s="9">
        <v>1543900</v>
      </c>
      <c r="J5441" s="10">
        <v>0.0389</v>
      </c>
    </row>
    <row r="5442" spans="1:10">
      <c r="A5442" s="7" t="s">
        <v>5475</v>
      </c>
      <c r="B5442" s="7" t="s">
        <v>7309</v>
      </c>
      <c r="C5442" s="8">
        <f>QS.CONTEXT.CREATE("market.5440",A5442,"USD","SOFR")</f>
        <v/>
      </c>
      <c r="D5442" s="8">
        <f>QS.CONTEXT.ADD.CURVE(C5442,"SOFR",$K$2:$K$7,$L$2:$L$7,,,"Actual360","LogLinear",TRUE)</f>
        <v/>
      </c>
      <c r="E5442" s="8">
        <f>QS.INSTRUMENT.SWAP("swap.5440",C5442,H5442,B5442,"USD","SOFR",I5442,J5442,0,"Actual360","Simple","Annual","Annual","Annual")</f>
        <v/>
      </c>
      <c r="F5442" s="8">
        <f>QS.TRADE.CREATE("trade.5440",C5442,E5442,A5442,"Receive")</f>
        <v/>
      </c>
      <c r="G5442" s="5"/>
      <c r="H5442" s="7" t="s">
        <v>5482</v>
      </c>
      <c r="I5442" s="9">
        <v>1544000</v>
      </c>
      <c r="J5442" s="10">
        <v>0.03900000000000001</v>
      </c>
    </row>
    <row r="5443" spans="1:10">
      <c r="A5443" s="7" t="s">
        <v>5476</v>
      </c>
      <c r="B5443" s="7" t="s">
        <v>7310</v>
      </c>
      <c r="C5443" s="8">
        <f>QS.CONTEXT.CREATE("market.5441",A5443,"USD","SOFR")</f>
        <v/>
      </c>
      <c r="D5443" s="8">
        <f>QS.CONTEXT.ADD.CURVE(C5443,"SOFR",$K$2:$K$7,$L$2:$L$7,,,"Actual360","LogLinear",TRUE)</f>
        <v/>
      </c>
      <c r="E5443" s="8">
        <f>QS.INSTRUMENT.SWAP("swap.5441",C5443,H5443,B5443,"USD","SOFR",I5443,J5443,0,"Actual360","Simple","Annual","Annual","Annual")</f>
        <v/>
      </c>
      <c r="F5443" s="8">
        <f>QS.TRADE.CREATE("trade.5441",C5443,E5443,A5443,"Receive")</f>
        <v/>
      </c>
      <c r="G5443" s="5"/>
      <c r="H5443" s="7" t="s">
        <v>5483</v>
      </c>
      <c r="I5443" s="9">
        <v>1544100</v>
      </c>
      <c r="J5443" s="10">
        <v>0.0391</v>
      </c>
    </row>
    <row r="5444" spans="1:10">
      <c r="A5444" s="7" t="s">
        <v>5477</v>
      </c>
      <c r="B5444" s="7" t="s">
        <v>7311</v>
      </c>
      <c r="C5444" s="8">
        <f>QS.CONTEXT.CREATE("market.5442",A5444,"USD","SOFR")</f>
        <v/>
      </c>
      <c r="D5444" s="8">
        <f>QS.CONTEXT.ADD.CURVE(C5444,"SOFR",$K$2:$K$7,$L$2:$L$7,,,"Actual360","LogLinear",TRUE)</f>
        <v/>
      </c>
      <c r="E5444" s="8">
        <f>QS.INSTRUMENT.SWAP("swap.5442",C5444,H5444,B5444,"USD","SOFR",I5444,J5444,0,"Actual360","Simple","Annual","Annual","Annual")</f>
        <v/>
      </c>
      <c r="F5444" s="8">
        <f>QS.TRADE.CREATE("trade.5442",C5444,E5444,A5444,"Receive")</f>
        <v/>
      </c>
      <c r="G5444" s="5"/>
      <c r="H5444" s="7" t="s">
        <v>5484</v>
      </c>
      <c r="I5444" s="9">
        <v>1544200</v>
      </c>
      <c r="J5444" s="10">
        <v>0.03920000000000001</v>
      </c>
    </row>
    <row r="5445" spans="1:10">
      <c r="A5445" s="7" t="s">
        <v>5478</v>
      </c>
      <c r="B5445" s="7" t="s">
        <v>7312</v>
      </c>
      <c r="C5445" s="8">
        <f>QS.CONTEXT.CREATE("market.5443",A5445,"USD","SOFR")</f>
        <v/>
      </c>
      <c r="D5445" s="8">
        <f>QS.CONTEXT.ADD.CURVE(C5445,"SOFR",$K$2:$K$7,$L$2:$L$7,,,"Actual360","LogLinear",TRUE)</f>
        <v/>
      </c>
      <c r="E5445" s="8">
        <f>QS.INSTRUMENT.SWAP("swap.5443",C5445,H5445,B5445,"USD","SOFR",I5445,J5445,0,"Actual360","Simple","Annual","Annual","Annual")</f>
        <v/>
      </c>
      <c r="F5445" s="8">
        <f>QS.TRADE.CREATE("trade.5443",C5445,E5445,A5445,"Receive")</f>
        <v/>
      </c>
      <c r="G5445" s="5"/>
      <c r="H5445" s="7" t="s">
        <v>5485</v>
      </c>
      <c r="I5445" s="9">
        <v>1544300</v>
      </c>
      <c r="J5445" s="10">
        <v>0.0393</v>
      </c>
    </row>
    <row r="5446" spans="1:10">
      <c r="A5446" s="7" t="s">
        <v>5479</v>
      </c>
      <c r="B5446" s="7" t="s">
        <v>7313</v>
      </c>
      <c r="C5446" s="8">
        <f>QS.CONTEXT.CREATE("market.5444",A5446,"USD","SOFR")</f>
        <v/>
      </c>
      <c r="D5446" s="8">
        <f>QS.CONTEXT.ADD.CURVE(C5446,"SOFR",$K$2:$K$7,$L$2:$L$7,,,"Actual360","LogLinear",TRUE)</f>
        <v/>
      </c>
      <c r="E5446" s="8">
        <f>QS.INSTRUMENT.SWAP("swap.5444",C5446,H5446,B5446,"USD","SOFR",I5446,J5446,0,"Actual360","Simple","Annual","Annual","Annual")</f>
        <v/>
      </c>
      <c r="F5446" s="8">
        <f>QS.TRADE.CREATE("trade.5444",C5446,E5446,A5446,"Receive")</f>
        <v/>
      </c>
      <c r="G5446" s="5"/>
      <c r="H5446" s="7" t="s">
        <v>5486</v>
      </c>
      <c r="I5446" s="9">
        <v>1544400</v>
      </c>
      <c r="J5446" s="10">
        <v>0.0394</v>
      </c>
    </row>
    <row r="5447" spans="1:10">
      <c r="A5447" s="7" t="s">
        <v>5480</v>
      </c>
      <c r="B5447" s="7" t="s">
        <v>7314</v>
      </c>
      <c r="C5447" s="8">
        <f>QS.CONTEXT.CREATE("market.5445",A5447,"USD","SOFR")</f>
        <v/>
      </c>
      <c r="D5447" s="8">
        <f>QS.CONTEXT.ADD.CURVE(C5447,"SOFR",$K$2:$K$7,$L$2:$L$7,,,"Actual360","LogLinear",TRUE)</f>
        <v/>
      </c>
      <c r="E5447" s="8">
        <f>QS.INSTRUMENT.SWAP("swap.5445",C5447,H5447,B5447,"USD","SOFR",I5447,J5447,0,"Actual360","Simple","Annual","Annual","Annual")</f>
        <v/>
      </c>
      <c r="F5447" s="8">
        <f>QS.TRADE.CREATE("trade.5445",C5447,E5447,A5447,"Receive")</f>
        <v/>
      </c>
      <c r="G5447" s="5"/>
      <c r="H5447" s="7" t="s">
        <v>5487</v>
      </c>
      <c r="I5447" s="9">
        <v>1544500</v>
      </c>
      <c r="J5447" s="10">
        <v>0.03950000000000001</v>
      </c>
    </row>
    <row r="5448" spans="1:10">
      <c r="A5448" s="7" t="s">
        <v>5481</v>
      </c>
      <c r="B5448" s="7" t="s">
        <v>7315</v>
      </c>
      <c r="C5448" s="8">
        <f>QS.CONTEXT.CREATE("market.5446",A5448,"USD","SOFR")</f>
        <v/>
      </c>
      <c r="D5448" s="8">
        <f>QS.CONTEXT.ADD.CURVE(C5448,"SOFR",$K$2:$K$7,$L$2:$L$7,,,"Actual360","LogLinear",TRUE)</f>
        <v/>
      </c>
      <c r="E5448" s="8">
        <f>QS.INSTRUMENT.SWAP("swap.5446",C5448,H5448,B5448,"USD","SOFR",I5448,J5448,0,"Actual360","Simple","Annual","Annual","Annual")</f>
        <v/>
      </c>
      <c r="F5448" s="8">
        <f>QS.TRADE.CREATE("trade.5446",C5448,E5448,A5448,"Receive")</f>
        <v/>
      </c>
      <c r="G5448" s="5"/>
      <c r="H5448" s="7" t="s">
        <v>5488</v>
      </c>
      <c r="I5448" s="9">
        <v>1544600</v>
      </c>
      <c r="J5448" s="10">
        <v>0.0396</v>
      </c>
    </row>
    <row r="5449" spans="1:10">
      <c r="A5449" s="7" t="s">
        <v>5482</v>
      </c>
      <c r="B5449" s="7" t="s">
        <v>7316</v>
      </c>
      <c r="C5449" s="8">
        <f>QS.CONTEXT.CREATE("market.5447",A5449,"USD","SOFR")</f>
        <v/>
      </c>
      <c r="D5449" s="8">
        <f>QS.CONTEXT.ADD.CURVE(C5449,"SOFR",$K$2:$K$7,$L$2:$L$7,,,"Actual360","LogLinear",TRUE)</f>
        <v/>
      </c>
      <c r="E5449" s="8">
        <f>QS.INSTRUMENT.SWAP("swap.5447",C5449,H5449,B5449,"USD","SOFR",I5449,J5449,0,"Actual360","Simple","Annual","Annual","Annual")</f>
        <v/>
      </c>
      <c r="F5449" s="8">
        <f>QS.TRADE.CREATE("trade.5447",C5449,E5449,A5449,"Receive")</f>
        <v/>
      </c>
      <c r="G5449" s="5"/>
      <c r="H5449" s="7" t="s">
        <v>5489</v>
      </c>
      <c r="I5449" s="9">
        <v>1544700</v>
      </c>
      <c r="J5449" s="10">
        <v>0.03970000000000001</v>
      </c>
    </row>
    <row r="5450" spans="1:10">
      <c r="A5450" s="7" t="s">
        <v>5483</v>
      </c>
      <c r="B5450" s="7" t="s">
        <v>7317</v>
      </c>
      <c r="C5450" s="8">
        <f>QS.CONTEXT.CREATE("market.5448",A5450,"USD","SOFR")</f>
        <v/>
      </c>
      <c r="D5450" s="8">
        <f>QS.CONTEXT.ADD.CURVE(C5450,"SOFR",$K$2:$K$7,$L$2:$L$7,,,"Actual360","LogLinear",TRUE)</f>
        <v/>
      </c>
      <c r="E5450" s="8">
        <f>QS.INSTRUMENT.SWAP("swap.5448",C5450,H5450,B5450,"USD","SOFR",I5450,J5450,0,"Actual360","Simple","Annual","Annual","Annual")</f>
        <v/>
      </c>
      <c r="F5450" s="8">
        <f>QS.TRADE.CREATE("trade.5448",C5450,E5450,A5450,"Receive")</f>
        <v/>
      </c>
      <c r="G5450" s="5"/>
      <c r="H5450" s="7" t="s">
        <v>5490</v>
      </c>
      <c r="I5450" s="9">
        <v>1544800</v>
      </c>
      <c r="J5450" s="10">
        <v>0.0398</v>
      </c>
    </row>
    <row r="5451" spans="1:10">
      <c r="A5451" s="7" t="s">
        <v>5484</v>
      </c>
      <c r="B5451" s="7" t="s">
        <v>7318</v>
      </c>
      <c r="C5451" s="8">
        <f>QS.CONTEXT.CREATE("market.5449",A5451,"USD","SOFR")</f>
        <v/>
      </c>
      <c r="D5451" s="8">
        <f>QS.CONTEXT.ADD.CURVE(C5451,"SOFR",$K$2:$K$7,$L$2:$L$7,,,"Actual360","LogLinear",TRUE)</f>
        <v/>
      </c>
      <c r="E5451" s="8">
        <f>QS.INSTRUMENT.SWAP("swap.5449",C5451,H5451,B5451,"USD","SOFR",I5451,J5451,0,"Actual360","Simple","Annual","Annual","Annual")</f>
        <v/>
      </c>
      <c r="F5451" s="8">
        <f>QS.TRADE.CREATE("trade.5449",C5451,E5451,A5451,"Receive")</f>
        <v/>
      </c>
      <c r="G5451" s="5"/>
      <c r="H5451" s="7" t="s">
        <v>5491</v>
      </c>
      <c r="I5451" s="9">
        <v>1544900</v>
      </c>
      <c r="J5451" s="10">
        <v>0.0399</v>
      </c>
    </row>
    <row r="5452" spans="1:10">
      <c r="A5452" s="7" t="s">
        <v>5485</v>
      </c>
      <c r="B5452" s="7" t="s">
        <v>7319</v>
      </c>
      <c r="C5452" s="8">
        <f>QS.CONTEXT.CREATE("market.5450",A5452,"USD","SOFR")</f>
        <v/>
      </c>
      <c r="D5452" s="8">
        <f>QS.CONTEXT.ADD.CURVE(C5452,"SOFR",$K$2:$K$7,$L$2:$L$7,,,"Actual360","LogLinear",TRUE)</f>
        <v/>
      </c>
      <c r="E5452" s="8">
        <f>QS.INSTRUMENT.SWAP("swap.5450",C5452,H5452,B5452,"USD","SOFR",I5452,J5452,0,"Actual360","Simple","Annual","Annual","Annual")</f>
        <v/>
      </c>
      <c r="F5452" s="8">
        <f>QS.TRADE.CREATE("trade.5450",C5452,E5452,A5452,"Receive")</f>
        <v/>
      </c>
      <c r="G5452" s="5"/>
      <c r="H5452" s="7" t="s">
        <v>5492</v>
      </c>
      <c r="I5452" s="9">
        <v>1545000</v>
      </c>
      <c r="J5452" s="10">
        <v>0.035</v>
      </c>
    </row>
    <row r="5453" spans="1:10">
      <c r="A5453" s="7" t="s">
        <v>5486</v>
      </c>
      <c r="B5453" s="7" t="s">
        <v>7320</v>
      </c>
      <c r="C5453" s="8">
        <f>QS.CONTEXT.CREATE("market.5451",A5453,"USD","SOFR")</f>
        <v/>
      </c>
      <c r="D5453" s="8">
        <f>QS.CONTEXT.ADD.CURVE(C5453,"SOFR",$K$2:$K$7,$L$2:$L$7,,,"Actual360","LogLinear",TRUE)</f>
        <v/>
      </c>
      <c r="E5453" s="8">
        <f>QS.INSTRUMENT.SWAP("swap.5451",C5453,H5453,B5453,"USD","SOFR",I5453,J5453,0,"Actual360","Simple","Annual","Annual","Annual")</f>
        <v/>
      </c>
      <c r="F5453" s="8">
        <f>QS.TRADE.CREATE("trade.5451",C5453,E5453,A5453,"Receive")</f>
        <v/>
      </c>
      <c r="G5453" s="5"/>
      <c r="H5453" s="7" t="s">
        <v>5493</v>
      </c>
      <c r="I5453" s="9">
        <v>1545100</v>
      </c>
      <c r="J5453" s="10">
        <v>0.03510000000000001</v>
      </c>
    </row>
    <row r="5454" spans="1:10">
      <c r="A5454" s="7" t="s">
        <v>5487</v>
      </c>
      <c r="B5454" s="7" t="s">
        <v>7321</v>
      </c>
      <c r="C5454" s="8">
        <f>QS.CONTEXT.CREATE("market.5452",A5454,"USD","SOFR")</f>
        <v/>
      </c>
      <c r="D5454" s="8">
        <f>QS.CONTEXT.ADD.CURVE(C5454,"SOFR",$K$2:$K$7,$L$2:$L$7,,,"Actual360","LogLinear",TRUE)</f>
        <v/>
      </c>
      <c r="E5454" s="8">
        <f>QS.INSTRUMENT.SWAP("swap.5452",C5454,H5454,B5454,"USD","SOFR",I5454,J5454,0,"Actual360","Simple","Annual","Annual","Annual")</f>
        <v/>
      </c>
      <c r="F5454" s="8">
        <f>QS.TRADE.CREATE("trade.5452",C5454,E5454,A5454,"Receive")</f>
        <v/>
      </c>
      <c r="G5454" s="5"/>
      <c r="H5454" s="7" t="s">
        <v>5494</v>
      </c>
      <c r="I5454" s="9">
        <v>1545200</v>
      </c>
      <c r="J5454" s="10">
        <v>0.0352</v>
      </c>
    </row>
    <row r="5455" spans="1:10">
      <c r="A5455" s="7" t="s">
        <v>5488</v>
      </c>
      <c r="B5455" s="7" t="s">
        <v>7322</v>
      </c>
      <c r="C5455" s="8">
        <f>QS.CONTEXT.CREATE("market.5453",A5455,"USD","SOFR")</f>
        <v/>
      </c>
      <c r="D5455" s="8">
        <f>QS.CONTEXT.ADD.CURVE(C5455,"SOFR",$K$2:$K$7,$L$2:$L$7,,,"Actual360","LogLinear",TRUE)</f>
        <v/>
      </c>
      <c r="E5455" s="8">
        <f>QS.INSTRUMENT.SWAP("swap.5453",C5455,H5455,B5455,"USD","SOFR",I5455,J5455,0,"Actual360","Simple","Annual","Annual","Annual")</f>
        <v/>
      </c>
      <c r="F5455" s="8">
        <f>QS.TRADE.CREATE("trade.5453",C5455,E5455,A5455,"Receive")</f>
        <v/>
      </c>
      <c r="G5455" s="5"/>
      <c r="H5455" s="7" t="s">
        <v>5495</v>
      </c>
      <c r="I5455" s="9">
        <v>1545300</v>
      </c>
      <c r="J5455" s="10">
        <v>0.0353</v>
      </c>
    </row>
    <row r="5456" spans="1:10">
      <c r="A5456" s="7" t="s">
        <v>5489</v>
      </c>
      <c r="B5456" s="7" t="s">
        <v>7323</v>
      </c>
      <c r="C5456" s="8">
        <f>QS.CONTEXT.CREATE("market.5454",A5456,"USD","SOFR")</f>
        <v/>
      </c>
      <c r="D5456" s="8">
        <f>QS.CONTEXT.ADD.CURVE(C5456,"SOFR",$K$2:$K$7,$L$2:$L$7,,,"Actual360","LogLinear",TRUE)</f>
        <v/>
      </c>
      <c r="E5456" s="8">
        <f>QS.INSTRUMENT.SWAP("swap.5454",C5456,H5456,B5456,"USD","SOFR",I5456,J5456,0,"Actual360","Simple","Annual","Annual","Annual")</f>
        <v/>
      </c>
      <c r="F5456" s="8">
        <f>QS.TRADE.CREATE("trade.5454",C5456,E5456,A5456,"Receive")</f>
        <v/>
      </c>
      <c r="G5456" s="5"/>
      <c r="H5456" s="7" t="s">
        <v>5496</v>
      </c>
      <c r="I5456" s="9">
        <v>1545400</v>
      </c>
      <c r="J5456" s="10">
        <v>0.0354</v>
      </c>
    </row>
    <row r="5457" spans="1:10">
      <c r="A5457" s="7" t="s">
        <v>5490</v>
      </c>
      <c r="B5457" s="7" t="s">
        <v>7324</v>
      </c>
      <c r="C5457" s="8">
        <f>QS.CONTEXT.CREATE("market.5455",A5457,"USD","SOFR")</f>
        <v/>
      </c>
      <c r="D5457" s="8">
        <f>QS.CONTEXT.ADD.CURVE(C5457,"SOFR",$K$2:$K$7,$L$2:$L$7,,,"Actual360","LogLinear",TRUE)</f>
        <v/>
      </c>
      <c r="E5457" s="8">
        <f>QS.INSTRUMENT.SWAP("swap.5455",C5457,H5457,B5457,"USD","SOFR",I5457,J5457,0,"Actual360","Simple","Annual","Annual","Annual")</f>
        <v/>
      </c>
      <c r="F5457" s="8">
        <f>QS.TRADE.CREATE("trade.5455",C5457,E5457,A5457,"Receive")</f>
        <v/>
      </c>
      <c r="G5457" s="5"/>
      <c r="H5457" s="7" t="s">
        <v>5497</v>
      </c>
      <c r="I5457" s="9">
        <v>1545500</v>
      </c>
      <c r="J5457" s="10">
        <v>0.0355</v>
      </c>
    </row>
    <row r="5458" spans="1:10">
      <c r="A5458" s="7" t="s">
        <v>5491</v>
      </c>
      <c r="B5458" s="7" t="s">
        <v>7325</v>
      </c>
      <c r="C5458" s="8">
        <f>QS.CONTEXT.CREATE("market.5456",A5458,"USD","SOFR")</f>
        <v/>
      </c>
      <c r="D5458" s="8">
        <f>QS.CONTEXT.ADD.CURVE(C5458,"SOFR",$K$2:$K$7,$L$2:$L$7,,,"Actual360","LogLinear",TRUE)</f>
        <v/>
      </c>
      <c r="E5458" s="8">
        <f>QS.INSTRUMENT.SWAP("swap.5456",C5458,H5458,B5458,"USD","SOFR",I5458,J5458,0,"Actual360","Simple","Annual","Annual","Annual")</f>
        <v/>
      </c>
      <c r="F5458" s="8">
        <f>QS.TRADE.CREATE("trade.5456",C5458,E5458,A5458,"Receive")</f>
        <v/>
      </c>
      <c r="G5458" s="5"/>
      <c r="H5458" s="7" t="s">
        <v>5498</v>
      </c>
      <c r="I5458" s="9">
        <v>1545600</v>
      </c>
      <c r="J5458" s="10">
        <v>0.03560000000000001</v>
      </c>
    </row>
    <row r="5459" spans="1:10">
      <c r="A5459" s="7" t="s">
        <v>5492</v>
      </c>
      <c r="B5459" s="7" t="s">
        <v>7326</v>
      </c>
      <c r="C5459" s="8">
        <f>QS.CONTEXT.CREATE("market.5457",A5459,"USD","SOFR")</f>
        <v/>
      </c>
      <c r="D5459" s="8">
        <f>QS.CONTEXT.ADD.CURVE(C5459,"SOFR",$K$2:$K$7,$L$2:$L$7,,,"Actual360","LogLinear",TRUE)</f>
        <v/>
      </c>
      <c r="E5459" s="8">
        <f>QS.INSTRUMENT.SWAP("swap.5457",C5459,H5459,B5459,"USD","SOFR",I5459,J5459,0,"Actual360","Simple","Annual","Annual","Annual")</f>
        <v/>
      </c>
      <c r="F5459" s="8">
        <f>QS.TRADE.CREATE("trade.5457",C5459,E5459,A5459,"Receive")</f>
        <v/>
      </c>
      <c r="G5459" s="5"/>
      <c r="H5459" s="7" t="s">
        <v>5499</v>
      </c>
      <c r="I5459" s="9">
        <v>1545700</v>
      </c>
      <c r="J5459" s="10">
        <v>0.0357</v>
      </c>
    </row>
    <row r="5460" spans="1:10">
      <c r="A5460" s="7" t="s">
        <v>5493</v>
      </c>
      <c r="B5460" s="7" t="s">
        <v>7327</v>
      </c>
      <c r="C5460" s="8">
        <f>QS.CONTEXT.CREATE("market.5458",A5460,"USD","SOFR")</f>
        <v/>
      </c>
      <c r="D5460" s="8">
        <f>QS.CONTEXT.ADD.CURVE(C5460,"SOFR",$K$2:$K$7,$L$2:$L$7,,,"Actual360","LogLinear",TRUE)</f>
        <v/>
      </c>
      <c r="E5460" s="8">
        <f>QS.INSTRUMENT.SWAP("swap.5458",C5460,H5460,B5460,"USD","SOFR",I5460,J5460,0,"Actual360","Simple","Annual","Annual","Annual")</f>
        <v/>
      </c>
      <c r="F5460" s="8">
        <f>QS.TRADE.CREATE("trade.5458",C5460,E5460,A5460,"Receive")</f>
        <v/>
      </c>
      <c r="G5460" s="5"/>
      <c r="H5460" s="7" t="s">
        <v>5500</v>
      </c>
      <c r="I5460" s="9">
        <v>1545800</v>
      </c>
      <c r="J5460" s="10">
        <v>0.03580000000000001</v>
      </c>
    </row>
    <row r="5461" spans="1:10">
      <c r="A5461" s="7" t="s">
        <v>5494</v>
      </c>
      <c r="B5461" s="7" t="s">
        <v>7328</v>
      </c>
      <c r="C5461" s="8">
        <f>QS.CONTEXT.CREATE("market.5459",A5461,"USD","SOFR")</f>
        <v/>
      </c>
      <c r="D5461" s="8">
        <f>QS.CONTEXT.ADD.CURVE(C5461,"SOFR",$K$2:$K$7,$L$2:$L$7,,,"Actual360","LogLinear",TRUE)</f>
        <v/>
      </c>
      <c r="E5461" s="8">
        <f>QS.INSTRUMENT.SWAP("swap.5459",C5461,H5461,B5461,"USD","SOFR",I5461,J5461,0,"Actual360","Simple","Annual","Annual","Annual")</f>
        <v/>
      </c>
      <c r="F5461" s="8">
        <f>QS.TRADE.CREATE("trade.5459",C5461,E5461,A5461,"Receive")</f>
        <v/>
      </c>
      <c r="G5461" s="5"/>
      <c r="H5461" s="7" t="s">
        <v>5501</v>
      </c>
      <c r="I5461" s="9">
        <v>1545900</v>
      </c>
      <c r="J5461" s="10">
        <v>0.0359</v>
      </c>
    </row>
    <row r="5462" spans="1:10">
      <c r="A5462" s="7" t="s">
        <v>5495</v>
      </c>
      <c r="B5462" s="7" t="s">
        <v>7329</v>
      </c>
      <c r="C5462" s="8">
        <f>QS.CONTEXT.CREATE("market.5460",A5462,"USD","SOFR")</f>
        <v/>
      </c>
      <c r="D5462" s="8">
        <f>QS.CONTEXT.ADD.CURVE(C5462,"SOFR",$K$2:$K$7,$L$2:$L$7,,,"Actual360","LogLinear",TRUE)</f>
        <v/>
      </c>
      <c r="E5462" s="8">
        <f>QS.INSTRUMENT.SWAP("swap.5460",C5462,H5462,B5462,"USD","SOFR",I5462,J5462,0,"Actual360","Simple","Annual","Annual","Annual")</f>
        <v/>
      </c>
      <c r="F5462" s="8">
        <f>QS.TRADE.CREATE("trade.5460",C5462,E5462,A5462,"Receive")</f>
        <v/>
      </c>
      <c r="G5462" s="5"/>
      <c r="H5462" s="7" t="s">
        <v>5502</v>
      </c>
      <c r="I5462" s="9">
        <v>1546000</v>
      </c>
      <c r="J5462" s="10">
        <v>0.036</v>
      </c>
    </row>
    <row r="5463" spans="1:10">
      <c r="A5463" s="7" t="s">
        <v>5496</v>
      </c>
      <c r="B5463" s="7" t="s">
        <v>7330</v>
      </c>
      <c r="C5463" s="8">
        <f>QS.CONTEXT.CREATE("market.5461",A5463,"USD","SOFR")</f>
        <v/>
      </c>
      <c r="D5463" s="8">
        <f>QS.CONTEXT.ADD.CURVE(C5463,"SOFR",$K$2:$K$7,$L$2:$L$7,,,"Actual360","LogLinear",TRUE)</f>
        <v/>
      </c>
      <c r="E5463" s="8">
        <f>QS.INSTRUMENT.SWAP("swap.5461",C5463,H5463,B5463,"USD","SOFR",I5463,J5463,0,"Actual360","Simple","Annual","Annual","Annual")</f>
        <v/>
      </c>
      <c r="F5463" s="8">
        <f>QS.TRADE.CREATE("trade.5461",C5463,E5463,A5463,"Receive")</f>
        <v/>
      </c>
      <c r="G5463" s="5"/>
      <c r="H5463" s="7" t="s">
        <v>5503</v>
      </c>
      <c r="I5463" s="9">
        <v>1546100</v>
      </c>
      <c r="J5463" s="10">
        <v>0.0361</v>
      </c>
    </row>
    <row r="5464" spans="1:10">
      <c r="A5464" s="7" t="s">
        <v>5497</v>
      </c>
      <c r="B5464" s="7" t="s">
        <v>7331</v>
      </c>
      <c r="C5464" s="8">
        <f>QS.CONTEXT.CREATE("market.5462",A5464,"USD","SOFR")</f>
        <v/>
      </c>
      <c r="D5464" s="8">
        <f>QS.CONTEXT.ADD.CURVE(C5464,"SOFR",$K$2:$K$7,$L$2:$L$7,,,"Actual360","LogLinear",TRUE)</f>
        <v/>
      </c>
      <c r="E5464" s="8">
        <f>QS.INSTRUMENT.SWAP("swap.5462",C5464,H5464,B5464,"USD","SOFR",I5464,J5464,0,"Actual360","Simple","Annual","Annual","Annual")</f>
        <v/>
      </c>
      <c r="F5464" s="8">
        <f>QS.TRADE.CREATE("trade.5462",C5464,E5464,A5464,"Receive")</f>
        <v/>
      </c>
      <c r="G5464" s="5"/>
      <c r="H5464" s="7" t="s">
        <v>5504</v>
      </c>
      <c r="I5464" s="9">
        <v>1546200</v>
      </c>
      <c r="J5464" s="10">
        <v>0.0362</v>
      </c>
    </row>
    <row r="5465" spans="1:10">
      <c r="A5465" s="7" t="s">
        <v>5498</v>
      </c>
      <c r="B5465" s="7" t="s">
        <v>7332</v>
      </c>
      <c r="C5465" s="8">
        <f>QS.CONTEXT.CREATE("market.5463",A5465,"USD","SOFR")</f>
        <v/>
      </c>
      <c r="D5465" s="8">
        <f>QS.CONTEXT.ADD.CURVE(C5465,"SOFR",$K$2:$K$7,$L$2:$L$7,,,"Actual360","LogLinear",TRUE)</f>
        <v/>
      </c>
      <c r="E5465" s="8">
        <f>QS.INSTRUMENT.SWAP("swap.5463",C5465,H5465,B5465,"USD","SOFR",I5465,J5465,0,"Actual360","Simple","Annual","Annual","Annual")</f>
        <v/>
      </c>
      <c r="F5465" s="8">
        <f>QS.TRADE.CREATE("trade.5463",C5465,E5465,A5465,"Receive")</f>
        <v/>
      </c>
      <c r="G5465" s="5"/>
      <c r="H5465" s="7" t="s">
        <v>5505</v>
      </c>
      <c r="I5465" s="9">
        <v>1546300</v>
      </c>
      <c r="J5465" s="10">
        <v>0.03630000000000001</v>
      </c>
    </row>
    <row r="5466" spans="1:10">
      <c r="A5466" s="7" t="s">
        <v>5499</v>
      </c>
      <c r="B5466" s="7" t="s">
        <v>7333</v>
      </c>
      <c r="C5466" s="8">
        <f>QS.CONTEXT.CREATE("market.5464",A5466,"USD","SOFR")</f>
        <v/>
      </c>
      <c r="D5466" s="8">
        <f>QS.CONTEXT.ADD.CURVE(C5466,"SOFR",$K$2:$K$7,$L$2:$L$7,,,"Actual360","LogLinear",TRUE)</f>
        <v/>
      </c>
      <c r="E5466" s="8">
        <f>QS.INSTRUMENT.SWAP("swap.5464",C5466,H5466,B5466,"USD","SOFR",I5466,J5466,0,"Actual360","Simple","Annual","Annual","Annual")</f>
        <v/>
      </c>
      <c r="F5466" s="8">
        <f>QS.TRADE.CREATE("trade.5464",C5466,E5466,A5466,"Receive")</f>
        <v/>
      </c>
      <c r="G5466" s="5"/>
      <c r="H5466" s="7" t="s">
        <v>5506</v>
      </c>
      <c r="I5466" s="9">
        <v>1546400</v>
      </c>
      <c r="J5466" s="10">
        <v>0.0364</v>
      </c>
    </row>
    <row r="5467" spans="1:10">
      <c r="A5467" s="7" t="s">
        <v>5500</v>
      </c>
      <c r="B5467" s="7" t="s">
        <v>7334</v>
      </c>
      <c r="C5467" s="8">
        <f>QS.CONTEXT.CREATE("market.5465",A5467,"USD","SOFR")</f>
        <v/>
      </c>
      <c r="D5467" s="8">
        <f>QS.CONTEXT.ADD.CURVE(C5467,"SOFR",$K$2:$K$7,$L$2:$L$7,,,"Actual360","LogLinear",TRUE)</f>
        <v/>
      </c>
      <c r="E5467" s="8">
        <f>QS.INSTRUMENT.SWAP("swap.5465",C5467,H5467,B5467,"USD","SOFR",I5467,J5467,0,"Actual360","Simple","Annual","Annual","Annual")</f>
        <v/>
      </c>
      <c r="F5467" s="8">
        <f>QS.TRADE.CREATE("trade.5465",C5467,E5467,A5467,"Receive")</f>
        <v/>
      </c>
      <c r="G5467" s="5"/>
      <c r="H5467" s="7" t="s">
        <v>5507</v>
      </c>
      <c r="I5467" s="9">
        <v>1546500</v>
      </c>
      <c r="J5467" s="10">
        <v>0.0365</v>
      </c>
    </row>
    <row r="5468" spans="1:10">
      <c r="A5468" s="7" t="s">
        <v>5501</v>
      </c>
      <c r="B5468" s="7" t="s">
        <v>7335</v>
      </c>
      <c r="C5468" s="8">
        <f>QS.CONTEXT.CREATE("market.5466",A5468,"USD","SOFR")</f>
        <v/>
      </c>
      <c r="D5468" s="8">
        <f>QS.CONTEXT.ADD.CURVE(C5468,"SOFR",$K$2:$K$7,$L$2:$L$7,,,"Actual360","LogLinear",TRUE)</f>
        <v/>
      </c>
      <c r="E5468" s="8">
        <f>QS.INSTRUMENT.SWAP("swap.5466",C5468,H5468,B5468,"USD","SOFR",I5468,J5468,0,"Actual360","Simple","Annual","Annual","Annual")</f>
        <v/>
      </c>
      <c r="F5468" s="8">
        <f>QS.TRADE.CREATE("trade.5466",C5468,E5468,A5468,"Receive")</f>
        <v/>
      </c>
      <c r="G5468" s="5"/>
      <c r="H5468" s="7" t="s">
        <v>5508</v>
      </c>
      <c r="I5468" s="9">
        <v>1546600</v>
      </c>
      <c r="J5468" s="10">
        <v>0.0366</v>
      </c>
    </row>
    <row r="5469" spans="1:10">
      <c r="A5469" s="7" t="s">
        <v>5502</v>
      </c>
      <c r="B5469" s="7" t="s">
        <v>7336</v>
      </c>
      <c r="C5469" s="8">
        <f>QS.CONTEXT.CREATE("market.5467",A5469,"USD","SOFR")</f>
        <v/>
      </c>
      <c r="D5469" s="8">
        <f>QS.CONTEXT.ADD.CURVE(C5469,"SOFR",$K$2:$K$7,$L$2:$L$7,,,"Actual360","LogLinear",TRUE)</f>
        <v/>
      </c>
      <c r="E5469" s="8">
        <f>QS.INSTRUMENT.SWAP("swap.5467",C5469,H5469,B5469,"USD","SOFR",I5469,J5469,0,"Actual360","Simple","Annual","Annual","Annual")</f>
        <v/>
      </c>
      <c r="F5469" s="8">
        <f>QS.TRADE.CREATE("trade.5467",C5469,E5469,A5469,"Receive")</f>
        <v/>
      </c>
      <c r="G5469" s="5"/>
      <c r="H5469" s="7" t="s">
        <v>5509</v>
      </c>
      <c r="I5469" s="9">
        <v>1546700</v>
      </c>
      <c r="J5469" s="10">
        <v>0.0367</v>
      </c>
    </row>
    <row r="5470" spans="1:10">
      <c r="A5470" s="7" t="s">
        <v>5503</v>
      </c>
      <c r="B5470" s="7" t="s">
        <v>7337</v>
      </c>
      <c r="C5470" s="8">
        <f>QS.CONTEXT.CREATE("market.5468",A5470,"USD","SOFR")</f>
        <v/>
      </c>
      <c r="D5470" s="8">
        <f>QS.CONTEXT.ADD.CURVE(C5470,"SOFR",$K$2:$K$7,$L$2:$L$7,,,"Actual360","LogLinear",TRUE)</f>
        <v/>
      </c>
      <c r="E5470" s="8">
        <f>QS.INSTRUMENT.SWAP("swap.5468",C5470,H5470,B5470,"USD","SOFR",I5470,J5470,0,"Actual360","Simple","Annual","Annual","Annual")</f>
        <v/>
      </c>
      <c r="F5470" s="8">
        <f>QS.TRADE.CREATE("trade.5468",C5470,E5470,A5470,"Receive")</f>
        <v/>
      </c>
      <c r="G5470" s="5"/>
      <c r="H5470" s="7" t="s">
        <v>5510</v>
      </c>
      <c r="I5470" s="9">
        <v>1546800</v>
      </c>
      <c r="J5470" s="10">
        <v>0.03680000000000001</v>
      </c>
    </row>
    <row r="5471" spans="1:10">
      <c r="A5471" s="7" t="s">
        <v>5504</v>
      </c>
      <c r="B5471" s="7" t="s">
        <v>7338</v>
      </c>
      <c r="C5471" s="8">
        <f>QS.CONTEXT.CREATE("market.5469",A5471,"USD","SOFR")</f>
        <v/>
      </c>
      <c r="D5471" s="8">
        <f>QS.CONTEXT.ADD.CURVE(C5471,"SOFR",$K$2:$K$7,$L$2:$L$7,,,"Actual360","LogLinear",TRUE)</f>
        <v/>
      </c>
      <c r="E5471" s="8">
        <f>QS.INSTRUMENT.SWAP("swap.5469",C5471,H5471,B5471,"USD","SOFR",I5471,J5471,0,"Actual360","Simple","Annual","Annual","Annual")</f>
        <v/>
      </c>
      <c r="F5471" s="8">
        <f>QS.TRADE.CREATE("trade.5469",C5471,E5471,A5471,"Receive")</f>
        <v/>
      </c>
      <c r="G5471" s="5"/>
      <c r="H5471" s="7" t="s">
        <v>5511</v>
      </c>
      <c r="I5471" s="9">
        <v>1546900</v>
      </c>
      <c r="J5471" s="10">
        <v>0.0369</v>
      </c>
    </row>
    <row r="5472" spans="1:10">
      <c r="A5472" s="7" t="s">
        <v>5505</v>
      </c>
      <c r="B5472" s="7" t="s">
        <v>7339</v>
      </c>
      <c r="C5472" s="8">
        <f>QS.CONTEXT.CREATE("market.5470",A5472,"USD","SOFR")</f>
        <v/>
      </c>
      <c r="D5472" s="8">
        <f>QS.CONTEXT.ADD.CURVE(C5472,"SOFR",$K$2:$K$7,$L$2:$L$7,,,"Actual360","LogLinear",TRUE)</f>
        <v/>
      </c>
      <c r="E5472" s="8">
        <f>QS.INSTRUMENT.SWAP("swap.5470",C5472,H5472,B5472,"USD","SOFR",I5472,J5472,0,"Actual360","Simple","Annual","Annual","Annual")</f>
        <v/>
      </c>
      <c r="F5472" s="8">
        <f>QS.TRADE.CREATE("trade.5470",C5472,E5472,A5472,"Receive")</f>
        <v/>
      </c>
      <c r="G5472" s="5"/>
      <c r="H5472" s="7" t="s">
        <v>5512</v>
      </c>
      <c r="I5472" s="9">
        <v>1547000</v>
      </c>
      <c r="J5472" s="10">
        <v>0.03700000000000001</v>
      </c>
    </row>
    <row r="5473" spans="1:10">
      <c r="A5473" s="7" t="s">
        <v>5506</v>
      </c>
      <c r="B5473" s="7" t="s">
        <v>7340</v>
      </c>
      <c r="C5473" s="8">
        <f>QS.CONTEXT.CREATE("market.5471",A5473,"USD","SOFR")</f>
        <v/>
      </c>
      <c r="D5473" s="8">
        <f>QS.CONTEXT.ADD.CURVE(C5473,"SOFR",$K$2:$K$7,$L$2:$L$7,,,"Actual360","LogLinear",TRUE)</f>
        <v/>
      </c>
      <c r="E5473" s="8">
        <f>QS.INSTRUMENT.SWAP("swap.5471",C5473,H5473,B5473,"USD","SOFR",I5473,J5473,0,"Actual360","Simple","Annual","Annual","Annual")</f>
        <v/>
      </c>
      <c r="F5473" s="8">
        <f>QS.TRADE.CREATE("trade.5471",C5473,E5473,A5473,"Receive")</f>
        <v/>
      </c>
      <c r="G5473" s="5"/>
      <c r="H5473" s="7" t="s">
        <v>5513</v>
      </c>
      <c r="I5473" s="9">
        <v>1547100</v>
      </c>
      <c r="J5473" s="10">
        <v>0.0371</v>
      </c>
    </row>
    <row r="5474" spans="1:10">
      <c r="A5474" s="7" t="s">
        <v>5507</v>
      </c>
      <c r="B5474" s="7" t="s">
        <v>7341</v>
      </c>
      <c r="C5474" s="8">
        <f>QS.CONTEXT.CREATE("market.5472",A5474,"USD","SOFR")</f>
        <v/>
      </c>
      <c r="D5474" s="8">
        <f>QS.CONTEXT.ADD.CURVE(C5474,"SOFR",$K$2:$K$7,$L$2:$L$7,,,"Actual360","LogLinear",TRUE)</f>
        <v/>
      </c>
      <c r="E5474" s="8">
        <f>QS.INSTRUMENT.SWAP("swap.5472",C5474,H5474,B5474,"USD","SOFR",I5474,J5474,0,"Actual360","Simple","Annual","Annual","Annual")</f>
        <v/>
      </c>
      <c r="F5474" s="8">
        <f>QS.TRADE.CREATE("trade.5472",C5474,E5474,A5474,"Receive")</f>
        <v/>
      </c>
      <c r="G5474" s="5"/>
      <c r="H5474" s="7" t="s">
        <v>5514</v>
      </c>
      <c r="I5474" s="9">
        <v>1547200</v>
      </c>
      <c r="J5474" s="10">
        <v>0.0372</v>
      </c>
    </row>
    <row r="5475" spans="1:10">
      <c r="A5475" s="7" t="s">
        <v>5508</v>
      </c>
      <c r="B5475" s="7" t="s">
        <v>7342</v>
      </c>
      <c r="C5475" s="8">
        <f>QS.CONTEXT.CREATE("market.5473",A5475,"USD","SOFR")</f>
        <v/>
      </c>
      <c r="D5475" s="8">
        <f>QS.CONTEXT.ADD.CURVE(C5475,"SOFR",$K$2:$K$7,$L$2:$L$7,,,"Actual360","LogLinear",TRUE)</f>
        <v/>
      </c>
      <c r="E5475" s="8">
        <f>QS.INSTRUMENT.SWAP("swap.5473",C5475,H5475,B5475,"USD","SOFR",I5475,J5475,0,"Actual360","Simple","Annual","Annual","Annual")</f>
        <v/>
      </c>
      <c r="F5475" s="8">
        <f>QS.TRADE.CREATE("trade.5473",C5475,E5475,A5475,"Receive")</f>
        <v/>
      </c>
      <c r="G5475" s="5"/>
      <c r="H5475" s="7" t="s">
        <v>5515</v>
      </c>
      <c r="I5475" s="9">
        <v>1547300</v>
      </c>
      <c r="J5475" s="10">
        <v>0.0373</v>
      </c>
    </row>
    <row r="5476" spans="1:10">
      <c r="A5476" s="7" t="s">
        <v>5509</v>
      </c>
      <c r="B5476" s="7" t="s">
        <v>7343</v>
      </c>
      <c r="C5476" s="8">
        <f>QS.CONTEXT.CREATE("market.5474",A5476,"USD","SOFR")</f>
        <v/>
      </c>
      <c r="D5476" s="8">
        <f>QS.CONTEXT.ADD.CURVE(C5476,"SOFR",$K$2:$K$7,$L$2:$L$7,,,"Actual360","LogLinear",TRUE)</f>
        <v/>
      </c>
      <c r="E5476" s="8">
        <f>QS.INSTRUMENT.SWAP("swap.5474",C5476,H5476,B5476,"USD","SOFR",I5476,J5476,0,"Actual360","Simple","Annual","Annual","Annual")</f>
        <v/>
      </c>
      <c r="F5476" s="8">
        <f>QS.TRADE.CREATE("trade.5474",C5476,E5476,A5476,"Receive")</f>
        <v/>
      </c>
      <c r="G5476" s="5"/>
      <c r="H5476" s="7" t="s">
        <v>5516</v>
      </c>
      <c r="I5476" s="9">
        <v>1547400</v>
      </c>
      <c r="J5476" s="10">
        <v>0.0374</v>
      </c>
    </row>
    <row r="5477" spans="1:10">
      <c r="A5477" s="7" t="s">
        <v>5510</v>
      </c>
      <c r="B5477" s="7" t="s">
        <v>7344</v>
      </c>
      <c r="C5477" s="8">
        <f>QS.CONTEXT.CREATE("market.5475",A5477,"USD","SOFR")</f>
        <v/>
      </c>
      <c r="D5477" s="8">
        <f>QS.CONTEXT.ADD.CURVE(C5477,"SOFR",$K$2:$K$7,$L$2:$L$7,,,"Actual360","LogLinear",TRUE)</f>
        <v/>
      </c>
      <c r="E5477" s="8">
        <f>QS.INSTRUMENT.SWAP("swap.5475",C5477,H5477,B5477,"USD","SOFR",I5477,J5477,0,"Actual360","Simple","Annual","Annual","Annual")</f>
        <v/>
      </c>
      <c r="F5477" s="8">
        <f>QS.TRADE.CREATE("trade.5475",C5477,E5477,A5477,"Receive")</f>
        <v/>
      </c>
      <c r="G5477" s="5"/>
      <c r="H5477" s="7" t="s">
        <v>5517</v>
      </c>
      <c r="I5477" s="9">
        <v>1547500</v>
      </c>
      <c r="J5477" s="10">
        <v>0.03750000000000001</v>
      </c>
    </row>
    <row r="5478" spans="1:10">
      <c r="A5478" s="7" t="s">
        <v>5511</v>
      </c>
      <c r="B5478" s="7" t="s">
        <v>7345</v>
      </c>
      <c r="C5478" s="8">
        <f>QS.CONTEXT.CREATE("market.5476",A5478,"USD","SOFR")</f>
        <v/>
      </c>
      <c r="D5478" s="8">
        <f>QS.CONTEXT.ADD.CURVE(C5478,"SOFR",$K$2:$K$7,$L$2:$L$7,,,"Actual360","LogLinear",TRUE)</f>
        <v/>
      </c>
      <c r="E5478" s="8">
        <f>QS.INSTRUMENT.SWAP("swap.5476",C5478,H5478,B5478,"USD","SOFR",I5478,J5478,0,"Actual360","Simple","Annual","Annual","Annual")</f>
        <v/>
      </c>
      <c r="F5478" s="8">
        <f>QS.TRADE.CREATE("trade.5476",C5478,E5478,A5478,"Receive")</f>
        <v/>
      </c>
      <c r="G5478" s="5"/>
      <c r="H5478" s="7" t="s">
        <v>5518</v>
      </c>
      <c r="I5478" s="9">
        <v>1547600</v>
      </c>
      <c r="J5478" s="10">
        <v>0.0376</v>
      </c>
    </row>
    <row r="5479" spans="1:10">
      <c r="A5479" s="7" t="s">
        <v>5512</v>
      </c>
      <c r="B5479" s="7" t="s">
        <v>7346</v>
      </c>
      <c r="C5479" s="8">
        <f>QS.CONTEXT.CREATE("market.5477",A5479,"USD","SOFR")</f>
        <v/>
      </c>
      <c r="D5479" s="8">
        <f>QS.CONTEXT.ADD.CURVE(C5479,"SOFR",$K$2:$K$7,$L$2:$L$7,,,"Actual360","LogLinear",TRUE)</f>
        <v/>
      </c>
      <c r="E5479" s="8">
        <f>QS.INSTRUMENT.SWAP("swap.5477",C5479,H5479,B5479,"USD","SOFR",I5479,J5479,0,"Actual360","Simple","Annual","Annual","Annual")</f>
        <v/>
      </c>
      <c r="F5479" s="8">
        <f>QS.TRADE.CREATE("trade.5477",C5479,E5479,A5479,"Receive")</f>
        <v/>
      </c>
      <c r="G5479" s="5"/>
      <c r="H5479" s="7" t="s">
        <v>5519</v>
      </c>
      <c r="I5479" s="9">
        <v>1547700</v>
      </c>
      <c r="J5479" s="10">
        <v>0.0377</v>
      </c>
    </row>
    <row r="5480" spans="1:10">
      <c r="A5480" s="7" t="s">
        <v>5513</v>
      </c>
      <c r="B5480" s="7" t="s">
        <v>7347</v>
      </c>
      <c r="C5480" s="8">
        <f>QS.CONTEXT.CREATE("market.5478",A5480,"USD","SOFR")</f>
        <v/>
      </c>
      <c r="D5480" s="8">
        <f>QS.CONTEXT.ADD.CURVE(C5480,"SOFR",$K$2:$K$7,$L$2:$L$7,,,"Actual360","LogLinear",TRUE)</f>
        <v/>
      </c>
      <c r="E5480" s="8">
        <f>QS.INSTRUMENT.SWAP("swap.5478",C5480,H5480,B5480,"USD","SOFR",I5480,J5480,0,"Actual360","Simple","Annual","Annual","Annual")</f>
        <v/>
      </c>
      <c r="F5480" s="8">
        <f>QS.TRADE.CREATE("trade.5478",C5480,E5480,A5480,"Receive")</f>
        <v/>
      </c>
      <c r="G5480" s="5"/>
      <c r="H5480" s="7" t="s">
        <v>5520</v>
      </c>
      <c r="I5480" s="9">
        <v>1547800</v>
      </c>
      <c r="J5480" s="10">
        <v>0.0378</v>
      </c>
    </row>
    <row r="5481" spans="1:10">
      <c r="A5481" s="7" t="s">
        <v>5514</v>
      </c>
      <c r="B5481" s="7" t="s">
        <v>7348</v>
      </c>
      <c r="C5481" s="8">
        <f>QS.CONTEXT.CREATE("market.5479",A5481,"USD","SOFR")</f>
        <v/>
      </c>
      <c r="D5481" s="8">
        <f>QS.CONTEXT.ADD.CURVE(C5481,"SOFR",$K$2:$K$7,$L$2:$L$7,,,"Actual360","LogLinear",TRUE)</f>
        <v/>
      </c>
      <c r="E5481" s="8">
        <f>QS.INSTRUMENT.SWAP("swap.5479",C5481,H5481,B5481,"USD","SOFR",I5481,J5481,0,"Actual360","Simple","Annual","Annual","Annual")</f>
        <v/>
      </c>
      <c r="F5481" s="8">
        <f>QS.TRADE.CREATE("trade.5479",C5481,E5481,A5481,"Receive")</f>
        <v/>
      </c>
      <c r="G5481" s="5"/>
      <c r="H5481" s="7" t="s">
        <v>5521</v>
      </c>
      <c r="I5481" s="9">
        <v>1547900</v>
      </c>
      <c r="J5481" s="10">
        <v>0.0379</v>
      </c>
    </row>
    <row r="5482" spans="1:10">
      <c r="A5482" s="7" t="s">
        <v>5515</v>
      </c>
      <c r="B5482" s="7" t="s">
        <v>7349</v>
      </c>
      <c r="C5482" s="8">
        <f>QS.CONTEXT.CREATE("market.5480",A5482,"USD","SOFR")</f>
        <v/>
      </c>
      <c r="D5482" s="8">
        <f>QS.CONTEXT.ADD.CURVE(C5482,"SOFR",$K$2:$K$7,$L$2:$L$7,,,"Actual360","LogLinear",TRUE)</f>
        <v/>
      </c>
      <c r="E5482" s="8">
        <f>QS.INSTRUMENT.SWAP("swap.5480",C5482,H5482,B5482,"USD","SOFR",I5482,J5482,0,"Actual360","Simple","Annual","Annual","Annual")</f>
        <v/>
      </c>
      <c r="F5482" s="8">
        <f>QS.TRADE.CREATE("trade.5480",C5482,E5482,A5482,"Receive")</f>
        <v/>
      </c>
      <c r="G5482" s="5"/>
      <c r="H5482" s="7" t="s">
        <v>5522</v>
      </c>
      <c r="I5482" s="9">
        <v>1548000</v>
      </c>
      <c r="J5482" s="10">
        <v>0.03800000000000001</v>
      </c>
    </row>
    <row r="5483" spans="1:10">
      <c r="A5483" s="7" t="s">
        <v>5516</v>
      </c>
      <c r="B5483" s="7" t="s">
        <v>7350</v>
      </c>
      <c r="C5483" s="8">
        <f>QS.CONTEXT.CREATE("market.5481",A5483,"USD","SOFR")</f>
        <v/>
      </c>
      <c r="D5483" s="8">
        <f>QS.CONTEXT.ADD.CURVE(C5483,"SOFR",$K$2:$K$7,$L$2:$L$7,,,"Actual360","LogLinear",TRUE)</f>
        <v/>
      </c>
      <c r="E5483" s="8">
        <f>QS.INSTRUMENT.SWAP("swap.5481",C5483,H5483,B5483,"USD","SOFR",I5483,J5483,0,"Actual360","Simple","Annual","Annual","Annual")</f>
        <v/>
      </c>
      <c r="F5483" s="8">
        <f>QS.TRADE.CREATE("trade.5481",C5483,E5483,A5483,"Receive")</f>
        <v/>
      </c>
      <c r="G5483" s="5"/>
      <c r="H5483" s="7" t="s">
        <v>5523</v>
      </c>
      <c r="I5483" s="9">
        <v>1548100</v>
      </c>
      <c r="J5483" s="10">
        <v>0.0381</v>
      </c>
    </row>
    <row r="5484" spans="1:10">
      <c r="A5484" s="7" t="s">
        <v>5517</v>
      </c>
      <c r="B5484" s="7" t="s">
        <v>7351</v>
      </c>
      <c r="C5484" s="8">
        <f>QS.CONTEXT.CREATE("market.5482",A5484,"USD","SOFR")</f>
        <v/>
      </c>
      <c r="D5484" s="8">
        <f>QS.CONTEXT.ADD.CURVE(C5484,"SOFR",$K$2:$K$7,$L$2:$L$7,,,"Actual360","LogLinear",TRUE)</f>
        <v/>
      </c>
      <c r="E5484" s="8">
        <f>QS.INSTRUMENT.SWAP("swap.5482",C5484,H5484,B5484,"USD","SOFR",I5484,J5484,0,"Actual360","Simple","Annual","Annual","Annual")</f>
        <v/>
      </c>
      <c r="F5484" s="8">
        <f>QS.TRADE.CREATE("trade.5482",C5484,E5484,A5484,"Receive")</f>
        <v/>
      </c>
      <c r="G5484" s="5"/>
      <c r="H5484" s="7" t="s">
        <v>5524</v>
      </c>
      <c r="I5484" s="9">
        <v>1548200</v>
      </c>
      <c r="J5484" s="10">
        <v>0.0382</v>
      </c>
    </row>
    <row r="5485" spans="1:10">
      <c r="A5485" s="7" t="s">
        <v>5518</v>
      </c>
      <c r="B5485" s="7" t="s">
        <v>7352</v>
      </c>
      <c r="C5485" s="8">
        <f>QS.CONTEXT.CREATE("market.5483",A5485,"USD","SOFR")</f>
        <v/>
      </c>
      <c r="D5485" s="8">
        <f>QS.CONTEXT.ADD.CURVE(C5485,"SOFR",$K$2:$K$7,$L$2:$L$7,,,"Actual360","LogLinear",TRUE)</f>
        <v/>
      </c>
      <c r="E5485" s="8">
        <f>QS.INSTRUMENT.SWAP("swap.5483",C5485,H5485,B5485,"USD","SOFR",I5485,J5485,0,"Actual360","Simple","Annual","Annual","Annual")</f>
        <v/>
      </c>
      <c r="F5485" s="8">
        <f>QS.TRADE.CREATE("trade.5483",C5485,E5485,A5485,"Receive")</f>
        <v/>
      </c>
      <c r="G5485" s="5"/>
      <c r="H5485" s="7" t="s">
        <v>5525</v>
      </c>
      <c r="I5485" s="9">
        <v>1548300</v>
      </c>
      <c r="J5485" s="10">
        <v>0.0383</v>
      </c>
    </row>
    <row r="5486" spans="1:10">
      <c r="A5486" s="7" t="s">
        <v>5519</v>
      </c>
      <c r="B5486" s="7" t="s">
        <v>7353</v>
      </c>
      <c r="C5486" s="8">
        <f>QS.CONTEXT.CREATE("market.5484",A5486,"USD","SOFR")</f>
        <v/>
      </c>
      <c r="D5486" s="8">
        <f>QS.CONTEXT.ADD.CURVE(C5486,"SOFR",$K$2:$K$7,$L$2:$L$7,,,"Actual360","LogLinear",TRUE)</f>
        <v/>
      </c>
      <c r="E5486" s="8">
        <f>QS.INSTRUMENT.SWAP("swap.5484",C5486,H5486,B5486,"USD","SOFR",I5486,J5486,0,"Actual360","Simple","Annual","Annual","Annual")</f>
        <v/>
      </c>
      <c r="F5486" s="8">
        <f>QS.TRADE.CREATE("trade.5484",C5486,E5486,A5486,"Receive")</f>
        <v/>
      </c>
      <c r="G5486" s="5"/>
      <c r="H5486" s="7" t="s">
        <v>5526</v>
      </c>
      <c r="I5486" s="9">
        <v>1548400</v>
      </c>
      <c r="J5486" s="10">
        <v>0.0384</v>
      </c>
    </row>
    <row r="5487" spans="1:10">
      <c r="A5487" s="7" t="s">
        <v>5520</v>
      </c>
      <c r="B5487" s="7" t="s">
        <v>7354</v>
      </c>
      <c r="C5487" s="8">
        <f>QS.CONTEXT.CREATE("market.5485",A5487,"USD","SOFR")</f>
        <v/>
      </c>
      <c r="D5487" s="8">
        <f>QS.CONTEXT.ADD.CURVE(C5487,"SOFR",$K$2:$K$7,$L$2:$L$7,,,"Actual360","LogLinear",TRUE)</f>
        <v/>
      </c>
      <c r="E5487" s="8">
        <f>QS.INSTRUMENT.SWAP("swap.5485",C5487,H5487,B5487,"USD","SOFR",I5487,J5487,0,"Actual360","Simple","Annual","Annual","Annual")</f>
        <v/>
      </c>
      <c r="F5487" s="8">
        <f>QS.TRADE.CREATE("trade.5485",C5487,E5487,A5487,"Receive")</f>
        <v/>
      </c>
      <c r="G5487" s="5"/>
      <c r="H5487" s="7" t="s">
        <v>5527</v>
      </c>
      <c r="I5487" s="9">
        <v>1548500</v>
      </c>
      <c r="J5487" s="10">
        <v>0.03850000000000001</v>
      </c>
    </row>
    <row r="5488" spans="1:10">
      <c r="A5488" s="7" t="s">
        <v>5521</v>
      </c>
      <c r="B5488" s="7" t="s">
        <v>7355</v>
      </c>
      <c r="C5488" s="8">
        <f>QS.CONTEXT.CREATE("market.5486",A5488,"USD","SOFR")</f>
        <v/>
      </c>
      <c r="D5488" s="8">
        <f>QS.CONTEXT.ADD.CURVE(C5488,"SOFR",$K$2:$K$7,$L$2:$L$7,,,"Actual360","LogLinear",TRUE)</f>
        <v/>
      </c>
      <c r="E5488" s="8">
        <f>QS.INSTRUMENT.SWAP("swap.5486",C5488,H5488,B5488,"USD","SOFR",I5488,J5488,0,"Actual360","Simple","Annual","Annual","Annual")</f>
        <v/>
      </c>
      <c r="F5488" s="8">
        <f>QS.TRADE.CREATE("trade.5486",C5488,E5488,A5488,"Receive")</f>
        <v/>
      </c>
      <c r="G5488" s="5"/>
      <c r="H5488" s="7" t="s">
        <v>5528</v>
      </c>
      <c r="I5488" s="9">
        <v>1548600</v>
      </c>
      <c r="J5488" s="10">
        <v>0.0386</v>
      </c>
    </row>
    <row r="5489" spans="1:10">
      <c r="A5489" s="7" t="s">
        <v>5522</v>
      </c>
      <c r="B5489" s="7" t="s">
        <v>7356</v>
      </c>
      <c r="C5489" s="8">
        <f>QS.CONTEXT.CREATE("market.5487",A5489,"USD","SOFR")</f>
        <v/>
      </c>
      <c r="D5489" s="8">
        <f>QS.CONTEXT.ADD.CURVE(C5489,"SOFR",$K$2:$K$7,$L$2:$L$7,,,"Actual360","LogLinear",TRUE)</f>
        <v/>
      </c>
      <c r="E5489" s="8">
        <f>QS.INSTRUMENT.SWAP("swap.5487",C5489,H5489,B5489,"USD","SOFR",I5489,J5489,0,"Actual360","Simple","Annual","Annual","Annual")</f>
        <v/>
      </c>
      <c r="F5489" s="8">
        <f>QS.TRADE.CREATE("trade.5487",C5489,E5489,A5489,"Receive")</f>
        <v/>
      </c>
      <c r="G5489" s="5"/>
      <c r="H5489" s="7" t="s">
        <v>5529</v>
      </c>
      <c r="I5489" s="9">
        <v>1548700</v>
      </c>
      <c r="J5489" s="10">
        <v>0.03870000000000001</v>
      </c>
    </row>
    <row r="5490" spans="1:10">
      <c r="A5490" s="7" t="s">
        <v>5523</v>
      </c>
      <c r="B5490" s="7" t="s">
        <v>7357</v>
      </c>
      <c r="C5490" s="8">
        <f>QS.CONTEXT.CREATE("market.5488",A5490,"USD","SOFR")</f>
        <v/>
      </c>
      <c r="D5490" s="8">
        <f>QS.CONTEXT.ADD.CURVE(C5490,"SOFR",$K$2:$K$7,$L$2:$L$7,,,"Actual360","LogLinear",TRUE)</f>
        <v/>
      </c>
      <c r="E5490" s="8">
        <f>QS.INSTRUMENT.SWAP("swap.5488",C5490,H5490,B5490,"USD","SOFR",I5490,J5490,0,"Actual360","Simple","Annual","Annual","Annual")</f>
        <v/>
      </c>
      <c r="F5490" s="8">
        <f>QS.TRADE.CREATE("trade.5488",C5490,E5490,A5490,"Receive")</f>
        <v/>
      </c>
      <c r="G5490" s="5"/>
      <c r="H5490" s="7" t="s">
        <v>5530</v>
      </c>
      <c r="I5490" s="9">
        <v>1548800</v>
      </c>
      <c r="J5490" s="10">
        <v>0.0388</v>
      </c>
    </row>
    <row r="5491" spans="1:10">
      <c r="A5491" s="7" t="s">
        <v>5524</v>
      </c>
      <c r="B5491" s="7" t="s">
        <v>7358</v>
      </c>
      <c r="C5491" s="8">
        <f>QS.CONTEXT.CREATE("market.5489",A5491,"USD","SOFR")</f>
        <v/>
      </c>
      <c r="D5491" s="8">
        <f>QS.CONTEXT.ADD.CURVE(C5491,"SOFR",$K$2:$K$7,$L$2:$L$7,,,"Actual360","LogLinear",TRUE)</f>
        <v/>
      </c>
      <c r="E5491" s="8">
        <f>QS.INSTRUMENT.SWAP("swap.5489",C5491,H5491,B5491,"USD","SOFR",I5491,J5491,0,"Actual360","Simple","Annual","Annual","Annual")</f>
        <v/>
      </c>
      <c r="F5491" s="8">
        <f>QS.TRADE.CREATE("trade.5489",C5491,E5491,A5491,"Receive")</f>
        <v/>
      </c>
      <c r="G5491" s="5"/>
      <c r="H5491" s="7" t="s">
        <v>5531</v>
      </c>
      <c r="I5491" s="9">
        <v>1548900</v>
      </c>
      <c r="J5491" s="10">
        <v>0.0389</v>
      </c>
    </row>
    <row r="5492" spans="1:10">
      <c r="A5492" s="7" t="s">
        <v>5525</v>
      </c>
      <c r="B5492" s="7" t="s">
        <v>7359</v>
      </c>
      <c r="C5492" s="8">
        <f>QS.CONTEXT.CREATE("market.5490",A5492,"USD","SOFR")</f>
        <v/>
      </c>
      <c r="D5492" s="8">
        <f>QS.CONTEXT.ADD.CURVE(C5492,"SOFR",$K$2:$K$7,$L$2:$L$7,,,"Actual360","LogLinear",TRUE)</f>
        <v/>
      </c>
      <c r="E5492" s="8">
        <f>QS.INSTRUMENT.SWAP("swap.5490",C5492,H5492,B5492,"USD","SOFR",I5492,J5492,0,"Actual360","Simple","Annual","Annual","Annual")</f>
        <v/>
      </c>
      <c r="F5492" s="8">
        <f>QS.TRADE.CREATE("trade.5490",C5492,E5492,A5492,"Receive")</f>
        <v/>
      </c>
      <c r="G5492" s="5"/>
      <c r="H5492" s="7" t="s">
        <v>5532</v>
      </c>
      <c r="I5492" s="9">
        <v>1549000</v>
      </c>
      <c r="J5492" s="10">
        <v>0.03900000000000001</v>
      </c>
    </row>
    <row r="5493" spans="1:10">
      <c r="A5493" s="7" t="s">
        <v>5526</v>
      </c>
      <c r="B5493" s="7" t="s">
        <v>7360</v>
      </c>
      <c r="C5493" s="8">
        <f>QS.CONTEXT.CREATE("market.5491",A5493,"USD","SOFR")</f>
        <v/>
      </c>
      <c r="D5493" s="8">
        <f>QS.CONTEXT.ADD.CURVE(C5493,"SOFR",$K$2:$K$7,$L$2:$L$7,,,"Actual360","LogLinear",TRUE)</f>
        <v/>
      </c>
      <c r="E5493" s="8">
        <f>QS.INSTRUMENT.SWAP("swap.5491",C5493,H5493,B5493,"USD","SOFR",I5493,J5493,0,"Actual360","Simple","Annual","Annual","Annual")</f>
        <v/>
      </c>
      <c r="F5493" s="8">
        <f>QS.TRADE.CREATE("trade.5491",C5493,E5493,A5493,"Receive")</f>
        <v/>
      </c>
      <c r="G5493" s="5"/>
      <c r="H5493" s="7" t="s">
        <v>5533</v>
      </c>
      <c r="I5493" s="9">
        <v>1549100</v>
      </c>
      <c r="J5493" s="10">
        <v>0.0391</v>
      </c>
    </row>
    <row r="5494" spans="1:10">
      <c r="A5494" s="7" t="s">
        <v>5527</v>
      </c>
      <c r="B5494" s="7" t="s">
        <v>7361</v>
      </c>
      <c r="C5494" s="8">
        <f>QS.CONTEXT.CREATE("market.5492",A5494,"USD","SOFR")</f>
        <v/>
      </c>
      <c r="D5494" s="8">
        <f>QS.CONTEXT.ADD.CURVE(C5494,"SOFR",$K$2:$K$7,$L$2:$L$7,,,"Actual360","LogLinear",TRUE)</f>
        <v/>
      </c>
      <c r="E5494" s="8">
        <f>QS.INSTRUMENT.SWAP("swap.5492",C5494,H5494,B5494,"USD","SOFR",I5494,J5494,0,"Actual360","Simple","Annual","Annual","Annual")</f>
        <v/>
      </c>
      <c r="F5494" s="8">
        <f>QS.TRADE.CREATE("trade.5492",C5494,E5494,A5494,"Receive")</f>
        <v/>
      </c>
      <c r="G5494" s="5"/>
      <c r="H5494" s="7" t="s">
        <v>5534</v>
      </c>
      <c r="I5494" s="9">
        <v>1549200</v>
      </c>
      <c r="J5494" s="10">
        <v>0.03920000000000001</v>
      </c>
    </row>
    <row r="5495" spans="1:10">
      <c r="A5495" s="7" t="s">
        <v>5528</v>
      </c>
      <c r="B5495" s="7" t="s">
        <v>7362</v>
      </c>
      <c r="C5495" s="8">
        <f>QS.CONTEXT.CREATE("market.5493",A5495,"USD","SOFR")</f>
        <v/>
      </c>
      <c r="D5495" s="8">
        <f>QS.CONTEXT.ADD.CURVE(C5495,"SOFR",$K$2:$K$7,$L$2:$L$7,,,"Actual360","LogLinear",TRUE)</f>
        <v/>
      </c>
      <c r="E5495" s="8">
        <f>QS.INSTRUMENT.SWAP("swap.5493",C5495,H5495,B5495,"USD","SOFR",I5495,J5495,0,"Actual360","Simple","Annual","Annual","Annual")</f>
        <v/>
      </c>
      <c r="F5495" s="8">
        <f>QS.TRADE.CREATE("trade.5493",C5495,E5495,A5495,"Receive")</f>
        <v/>
      </c>
      <c r="G5495" s="5"/>
      <c r="H5495" s="7" t="s">
        <v>5535</v>
      </c>
      <c r="I5495" s="9">
        <v>1549300</v>
      </c>
      <c r="J5495" s="10">
        <v>0.0393</v>
      </c>
    </row>
    <row r="5496" spans="1:10">
      <c r="A5496" s="7" t="s">
        <v>5529</v>
      </c>
      <c r="B5496" s="7" t="s">
        <v>7363</v>
      </c>
      <c r="C5496" s="8">
        <f>QS.CONTEXT.CREATE("market.5494",A5496,"USD","SOFR")</f>
        <v/>
      </c>
      <c r="D5496" s="8">
        <f>QS.CONTEXT.ADD.CURVE(C5496,"SOFR",$K$2:$K$7,$L$2:$L$7,,,"Actual360","LogLinear",TRUE)</f>
        <v/>
      </c>
      <c r="E5496" s="8">
        <f>QS.INSTRUMENT.SWAP("swap.5494",C5496,H5496,B5496,"USD","SOFR",I5496,J5496,0,"Actual360","Simple","Annual","Annual","Annual")</f>
        <v/>
      </c>
      <c r="F5496" s="8">
        <f>QS.TRADE.CREATE("trade.5494",C5496,E5496,A5496,"Receive")</f>
        <v/>
      </c>
      <c r="G5496" s="5"/>
      <c r="H5496" s="7" t="s">
        <v>5536</v>
      </c>
      <c r="I5496" s="9">
        <v>1549400</v>
      </c>
      <c r="J5496" s="10">
        <v>0.0394</v>
      </c>
    </row>
    <row r="5497" spans="1:10">
      <c r="A5497" s="7" t="s">
        <v>5530</v>
      </c>
      <c r="B5497" s="7" t="s">
        <v>7364</v>
      </c>
      <c r="C5497" s="8">
        <f>QS.CONTEXT.CREATE("market.5495",A5497,"USD","SOFR")</f>
        <v/>
      </c>
      <c r="D5497" s="8">
        <f>QS.CONTEXT.ADD.CURVE(C5497,"SOFR",$K$2:$K$7,$L$2:$L$7,,,"Actual360","LogLinear",TRUE)</f>
        <v/>
      </c>
      <c r="E5497" s="8">
        <f>QS.INSTRUMENT.SWAP("swap.5495",C5497,H5497,B5497,"USD","SOFR",I5497,J5497,0,"Actual360","Simple","Annual","Annual","Annual")</f>
        <v/>
      </c>
      <c r="F5497" s="8">
        <f>QS.TRADE.CREATE("trade.5495",C5497,E5497,A5497,"Receive")</f>
        <v/>
      </c>
      <c r="G5497" s="5"/>
      <c r="H5497" s="7" t="s">
        <v>5537</v>
      </c>
      <c r="I5497" s="9">
        <v>1549500</v>
      </c>
      <c r="J5497" s="10">
        <v>0.03950000000000001</v>
      </c>
    </row>
    <row r="5498" spans="1:10">
      <c r="A5498" s="7" t="s">
        <v>5531</v>
      </c>
      <c r="B5498" s="7" t="s">
        <v>7365</v>
      </c>
      <c r="C5498" s="8">
        <f>QS.CONTEXT.CREATE("market.5496",A5498,"USD","SOFR")</f>
        <v/>
      </c>
      <c r="D5498" s="8">
        <f>QS.CONTEXT.ADD.CURVE(C5498,"SOFR",$K$2:$K$7,$L$2:$L$7,,,"Actual360","LogLinear",TRUE)</f>
        <v/>
      </c>
      <c r="E5498" s="8">
        <f>QS.INSTRUMENT.SWAP("swap.5496",C5498,H5498,B5498,"USD","SOFR",I5498,J5498,0,"Actual360","Simple","Annual","Annual","Annual")</f>
        <v/>
      </c>
      <c r="F5498" s="8">
        <f>QS.TRADE.CREATE("trade.5496",C5498,E5498,A5498,"Receive")</f>
        <v/>
      </c>
      <c r="G5498" s="5"/>
      <c r="H5498" s="7" t="s">
        <v>5538</v>
      </c>
      <c r="I5498" s="9">
        <v>1549600</v>
      </c>
      <c r="J5498" s="10">
        <v>0.0396</v>
      </c>
    </row>
    <row r="5499" spans="1:10">
      <c r="A5499" s="7" t="s">
        <v>5532</v>
      </c>
      <c r="B5499" s="7" t="s">
        <v>7366</v>
      </c>
      <c r="C5499" s="8">
        <f>QS.CONTEXT.CREATE("market.5497",A5499,"USD","SOFR")</f>
        <v/>
      </c>
      <c r="D5499" s="8">
        <f>QS.CONTEXT.ADD.CURVE(C5499,"SOFR",$K$2:$K$7,$L$2:$L$7,,,"Actual360","LogLinear",TRUE)</f>
        <v/>
      </c>
      <c r="E5499" s="8">
        <f>QS.INSTRUMENT.SWAP("swap.5497",C5499,H5499,B5499,"USD","SOFR",I5499,J5499,0,"Actual360","Simple","Annual","Annual","Annual")</f>
        <v/>
      </c>
      <c r="F5499" s="8">
        <f>QS.TRADE.CREATE("trade.5497",C5499,E5499,A5499,"Receive")</f>
        <v/>
      </c>
      <c r="G5499" s="5"/>
      <c r="H5499" s="7" t="s">
        <v>5539</v>
      </c>
      <c r="I5499" s="9">
        <v>1549700</v>
      </c>
      <c r="J5499" s="10">
        <v>0.03970000000000001</v>
      </c>
    </row>
    <row r="5500" spans="1:10">
      <c r="A5500" s="7" t="s">
        <v>5533</v>
      </c>
      <c r="B5500" s="7" t="s">
        <v>7367</v>
      </c>
      <c r="C5500" s="8">
        <f>QS.CONTEXT.CREATE("market.5498",A5500,"USD","SOFR")</f>
        <v/>
      </c>
      <c r="D5500" s="8">
        <f>QS.CONTEXT.ADD.CURVE(C5500,"SOFR",$K$2:$K$7,$L$2:$L$7,,,"Actual360","LogLinear",TRUE)</f>
        <v/>
      </c>
      <c r="E5500" s="8">
        <f>QS.INSTRUMENT.SWAP("swap.5498",C5500,H5500,B5500,"USD","SOFR",I5500,J5500,0,"Actual360","Simple","Annual","Annual","Annual")</f>
        <v/>
      </c>
      <c r="F5500" s="8">
        <f>QS.TRADE.CREATE("trade.5498",C5500,E5500,A5500,"Receive")</f>
        <v/>
      </c>
      <c r="G5500" s="5"/>
      <c r="H5500" s="7" t="s">
        <v>5540</v>
      </c>
      <c r="I5500" s="9">
        <v>1549800</v>
      </c>
      <c r="J5500" s="10">
        <v>0.0398</v>
      </c>
    </row>
    <row r="5501" spans="1:10">
      <c r="A5501" s="7" t="s">
        <v>5534</v>
      </c>
      <c r="B5501" s="7" t="s">
        <v>7368</v>
      </c>
      <c r="C5501" s="8">
        <f>QS.CONTEXT.CREATE("market.5499",A5501,"USD","SOFR")</f>
        <v/>
      </c>
      <c r="D5501" s="8">
        <f>QS.CONTEXT.ADD.CURVE(C5501,"SOFR",$K$2:$K$7,$L$2:$L$7,,,"Actual360","LogLinear",TRUE)</f>
        <v/>
      </c>
      <c r="E5501" s="8">
        <f>QS.INSTRUMENT.SWAP("swap.5499",C5501,H5501,B5501,"USD","SOFR",I5501,J5501,0,"Actual360","Simple","Annual","Annual","Annual")</f>
        <v/>
      </c>
      <c r="F5501" s="8">
        <f>QS.TRADE.CREATE("trade.5499",C5501,E5501,A5501,"Receive")</f>
        <v/>
      </c>
      <c r="G5501" s="5"/>
      <c r="H5501" s="7" t="s">
        <v>5541</v>
      </c>
      <c r="I5501" s="9">
        <v>1549900</v>
      </c>
      <c r="J5501" s="10">
        <v>0.0399</v>
      </c>
    </row>
    <row r="5502" spans="1:10">
      <c r="A5502" s="7" t="s">
        <v>5535</v>
      </c>
      <c r="B5502" s="7" t="s">
        <v>7369</v>
      </c>
      <c r="C5502" s="8">
        <f>QS.CONTEXT.CREATE("market.5500",A5502,"USD","SOFR")</f>
        <v/>
      </c>
      <c r="D5502" s="8">
        <f>QS.CONTEXT.ADD.CURVE(C5502,"SOFR",$K$2:$K$7,$L$2:$L$7,,,"Actual360","LogLinear",TRUE)</f>
        <v/>
      </c>
      <c r="E5502" s="8">
        <f>QS.INSTRUMENT.SWAP("swap.5500",C5502,H5502,B5502,"USD","SOFR",I5502,J5502,0,"Actual360","Simple","Annual","Annual","Annual")</f>
        <v/>
      </c>
      <c r="F5502" s="8">
        <f>QS.TRADE.CREATE("trade.5500",C5502,E5502,A5502,"Receive")</f>
        <v/>
      </c>
      <c r="G5502" s="5"/>
      <c r="H5502" s="7" t="s">
        <v>5542</v>
      </c>
      <c r="I5502" s="9">
        <v>1550000</v>
      </c>
      <c r="J5502" s="10">
        <v>0.035</v>
      </c>
    </row>
    <row r="5503" spans="1:10">
      <c r="A5503" s="7" t="s">
        <v>5536</v>
      </c>
      <c r="B5503" s="7" t="s">
        <v>7370</v>
      </c>
      <c r="C5503" s="8">
        <f>QS.CONTEXT.CREATE("market.5501",A5503,"USD","SOFR")</f>
        <v/>
      </c>
      <c r="D5503" s="8">
        <f>QS.CONTEXT.ADD.CURVE(C5503,"SOFR",$K$2:$K$7,$L$2:$L$7,,,"Actual360","LogLinear",TRUE)</f>
        <v/>
      </c>
      <c r="E5503" s="8">
        <f>QS.INSTRUMENT.SWAP("swap.5501",C5503,H5503,B5503,"USD","SOFR",I5503,J5503,0,"Actual360","Simple","Annual","Annual","Annual")</f>
        <v/>
      </c>
      <c r="F5503" s="8">
        <f>QS.TRADE.CREATE("trade.5501",C5503,E5503,A5503,"Receive")</f>
        <v/>
      </c>
      <c r="G5503" s="5"/>
      <c r="H5503" s="7" t="s">
        <v>5543</v>
      </c>
      <c r="I5503" s="9">
        <v>1550100</v>
      </c>
      <c r="J5503" s="10">
        <v>0.03510000000000001</v>
      </c>
    </row>
    <row r="5504" spans="1:10">
      <c r="A5504" s="7" t="s">
        <v>5537</v>
      </c>
      <c r="B5504" s="7" t="s">
        <v>7371</v>
      </c>
      <c r="C5504" s="8">
        <f>QS.CONTEXT.CREATE("market.5502",A5504,"USD","SOFR")</f>
        <v/>
      </c>
      <c r="D5504" s="8">
        <f>QS.CONTEXT.ADD.CURVE(C5504,"SOFR",$K$2:$K$7,$L$2:$L$7,,,"Actual360","LogLinear",TRUE)</f>
        <v/>
      </c>
      <c r="E5504" s="8">
        <f>QS.INSTRUMENT.SWAP("swap.5502",C5504,H5504,B5504,"USD","SOFR",I5504,J5504,0,"Actual360","Simple","Annual","Annual","Annual")</f>
        <v/>
      </c>
      <c r="F5504" s="8">
        <f>QS.TRADE.CREATE("trade.5502",C5504,E5504,A5504,"Receive")</f>
        <v/>
      </c>
      <c r="G5504" s="5"/>
      <c r="H5504" s="7" t="s">
        <v>5544</v>
      </c>
      <c r="I5504" s="9">
        <v>1550200</v>
      </c>
      <c r="J5504" s="10">
        <v>0.0352</v>
      </c>
    </row>
    <row r="5505" spans="1:10">
      <c r="A5505" s="7" t="s">
        <v>5538</v>
      </c>
      <c r="B5505" s="7" t="s">
        <v>7372</v>
      </c>
      <c r="C5505" s="8">
        <f>QS.CONTEXT.CREATE("market.5503",A5505,"USD","SOFR")</f>
        <v/>
      </c>
      <c r="D5505" s="8">
        <f>QS.CONTEXT.ADD.CURVE(C5505,"SOFR",$K$2:$K$7,$L$2:$L$7,,,"Actual360","LogLinear",TRUE)</f>
        <v/>
      </c>
      <c r="E5505" s="8">
        <f>QS.INSTRUMENT.SWAP("swap.5503",C5505,H5505,B5505,"USD","SOFR",I5505,J5505,0,"Actual360","Simple","Annual","Annual","Annual")</f>
        <v/>
      </c>
      <c r="F5505" s="8">
        <f>QS.TRADE.CREATE("trade.5503",C5505,E5505,A5505,"Receive")</f>
        <v/>
      </c>
      <c r="G5505" s="5"/>
      <c r="H5505" s="7" t="s">
        <v>5545</v>
      </c>
      <c r="I5505" s="9">
        <v>1550300</v>
      </c>
      <c r="J5505" s="10">
        <v>0.0353</v>
      </c>
    </row>
    <row r="5506" spans="1:10">
      <c r="A5506" s="7" t="s">
        <v>5539</v>
      </c>
      <c r="B5506" s="7" t="s">
        <v>7373</v>
      </c>
      <c r="C5506" s="8">
        <f>QS.CONTEXT.CREATE("market.5504",A5506,"USD","SOFR")</f>
        <v/>
      </c>
      <c r="D5506" s="8">
        <f>QS.CONTEXT.ADD.CURVE(C5506,"SOFR",$K$2:$K$7,$L$2:$L$7,,,"Actual360","LogLinear",TRUE)</f>
        <v/>
      </c>
      <c r="E5506" s="8">
        <f>QS.INSTRUMENT.SWAP("swap.5504",C5506,H5506,B5506,"USD","SOFR",I5506,J5506,0,"Actual360","Simple","Annual","Annual","Annual")</f>
        <v/>
      </c>
      <c r="F5506" s="8">
        <f>QS.TRADE.CREATE("trade.5504",C5506,E5506,A5506,"Receive")</f>
        <v/>
      </c>
      <c r="G5506" s="5"/>
      <c r="H5506" s="7" t="s">
        <v>5546</v>
      </c>
      <c r="I5506" s="9">
        <v>1550400</v>
      </c>
      <c r="J5506" s="10">
        <v>0.0354</v>
      </c>
    </row>
    <row r="5507" spans="1:10">
      <c r="A5507" s="7" t="s">
        <v>5540</v>
      </c>
      <c r="B5507" s="7" t="s">
        <v>7374</v>
      </c>
      <c r="C5507" s="8">
        <f>QS.CONTEXT.CREATE("market.5505",A5507,"USD","SOFR")</f>
        <v/>
      </c>
      <c r="D5507" s="8">
        <f>QS.CONTEXT.ADD.CURVE(C5507,"SOFR",$K$2:$K$7,$L$2:$L$7,,,"Actual360","LogLinear",TRUE)</f>
        <v/>
      </c>
      <c r="E5507" s="8">
        <f>QS.INSTRUMENT.SWAP("swap.5505",C5507,H5507,B5507,"USD","SOFR",I5507,J5507,0,"Actual360","Simple","Annual","Annual","Annual")</f>
        <v/>
      </c>
      <c r="F5507" s="8">
        <f>QS.TRADE.CREATE("trade.5505",C5507,E5507,A5507,"Receive")</f>
        <v/>
      </c>
      <c r="G5507" s="5"/>
      <c r="H5507" s="7" t="s">
        <v>5547</v>
      </c>
      <c r="I5507" s="9">
        <v>1550500</v>
      </c>
      <c r="J5507" s="10">
        <v>0.0355</v>
      </c>
    </row>
    <row r="5508" spans="1:10">
      <c r="A5508" s="7" t="s">
        <v>5541</v>
      </c>
      <c r="B5508" s="7" t="s">
        <v>7375</v>
      </c>
      <c r="C5508" s="8">
        <f>QS.CONTEXT.CREATE("market.5506",A5508,"USD","SOFR")</f>
        <v/>
      </c>
      <c r="D5508" s="8">
        <f>QS.CONTEXT.ADD.CURVE(C5508,"SOFR",$K$2:$K$7,$L$2:$L$7,,,"Actual360","LogLinear",TRUE)</f>
        <v/>
      </c>
      <c r="E5508" s="8">
        <f>QS.INSTRUMENT.SWAP("swap.5506",C5508,H5508,B5508,"USD","SOFR",I5508,J5508,0,"Actual360","Simple","Annual","Annual","Annual")</f>
        <v/>
      </c>
      <c r="F5508" s="8">
        <f>QS.TRADE.CREATE("trade.5506",C5508,E5508,A5508,"Receive")</f>
        <v/>
      </c>
      <c r="G5508" s="5"/>
      <c r="H5508" s="7" t="s">
        <v>5548</v>
      </c>
      <c r="I5508" s="9">
        <v>1550600</v>
      </c>
      <c r="J5508" s="10">
        <v>0.03560000000000001</v>
      </c>
    </row>
    <row r="5509" spans="1:10">
      <c r="A5509" s="7" t="s">
        <v>5542</v>
      </c>
      <c r="B5509" s="7" t="s">
        <v>7376</v>
      </c>
      <c r="C5509" s="8">
        <f>QS.CONTEXT.CREATE("market.5507",A5509,"USD","SOFR")</f>
        <v/>
      </c>
      <c r="D5509" s="8">
        <f>QS.CONTEXT.ADD.CURVE(C5509,"SOFR",$K$2:$K$7,$L$2:$L$7,,,"Actual360","LogLinear",TRUE)</f>
        <v/>
      </c>
      <c r="E5509" s="8">
        <f>QS.INSTRUMENT.SWAP("swap.5507",C5509,H5509,B5509,"USD","SOFR",I5509,J5509,0,"Actual360","Simple","Annual","Annual","Annual")</f>
        <v/>
      </c>
      <c r="F5509" s="8">
        <f>QS.TRADE.CREATE("trade.5507",C5509,E5509,A5509,"Receive")</f>
        <v/>
      </c>
      <c r="G5509" s="5"/>
      <c r="H5509" s="7" t="s">
        <v>5549</v>
      </c>
      <c r="I5509" s="9">
        <v>1550700</v>
      </c>
      <c r="J5509" s="10">
        <v>0.0357</v>
      </c>
    </row>
    <row r="5510" spans="1:10">
      <c r="A5510" s="7" t="s">
        <v>5543</v>
      </c>
      <c r="B5510" s="7" t="s">
        <v>7377</v>
      </c>
      <c r="C5510" s="8">
        <f>QS.CONTEXT.CREATE("market.5508",A5510,"USD","SOFR")</f>
        <v/>
      </c>
      <c r="D5510" s="8">
        <f>QS.CONTEXT.ADD.CURVE(C5510,"SOFR",$K$2:$K$7,$L$2:$L$7,,,"Actual360","LogLinear",TRUE)</f>
        <v/>
      </c>
      <c r="E5510" s="8">
        <f>QS.INSTRUMENT.SWAP("swap.5508",C5510,H5510,B5510,"USD","SOFR",I5510,J5510,0,"Actual360","Simple","Annual","Annual","Annual")</f>
        <v/>
      </c>
      <c r="F5510" s="8">
        <f>QS.TRADE.CREATE("trade.5508",C5510,E5510,A5510,"Receive")</f>
        <v/>
      </c>
      <c r="G5510" s="5"/>
      <c r="H5510" s="7" t="s">
        <v>5550</v>
      </c>
      <c r="I5510" s="9">
        <v>1550800</v>
      </c>
      <c r="J5510" s="10">
        <v>0.03580000000000001</v>
      </c>
    </row>
    <row r="5511" spans="1:10">
      <c r="A5511" s="7" t="s">
        <v>5544</v>
      </c>
      <c r="B5511" s="7" t="s">
        <v>7378</v>
      </c>
      <c r="C5511" s="8">
        <f>QS.CONTEXT.CREATE("market.5509",A5511,"USD","SOFR")</f>
        <v/>
      </c>
      <c r="D5511" s="8">
        <f>QS.CONTEXT.ADD.CURVE(C5511,"SOFR",$K$2:$K$7,$L$2:$L$7,,,"Actual360","LogLinear",TRUE)</f>
        <v/>
      </c>
      <c r="E5511" s="8">
        <f>QS.INSTRUMENT.SWAP("swap.5509",C5511,H5511,B5511,"USD","SOFR",I5511,J5511,0,"Actual360","Simple","Annual","Annual","Annual")</f>
        <v/>
      </c>
      <c r="F5511" s="8">
        <f>QS.TRADE.CREATE("trade.5509",C5511,E5511,A5511,"Receive")</f>
        <v/>
      </c>
      <c r="G5511" s="5"/>
      <c r="H5511" s="7" t="s">
        <v>5551</v>
      </c>
      <c r="I5511" s="9">
        <v>1550900</v>
      </c>
      <c r="J5511" s="10">
        <v>0.0359</v>
      </c>
    </row>
    <row r="5512" spans="1:10">
      <c r="A5512" s="7" t="s">
        <v>5545</v>
      </c>
      <c r="B5512" s="7" t="s">
        <v>7379</v>
      </c>
      <c r="C5512" s="8">
        <f>QS.CONTEXT.CREATE("market.5510",A5512,"USD","SOFR")</f>
        <v/>
      </c>
      <c r="D5512" s="8">
        <f>QS.CONTEXT.ADD.CURVE(C5512,"SOFR",$K$2:$K$7,$L$2:$L$7,,,"Actual360","LogLinear",TRUE)</f>
        <v/>
      </c>
      <c r="E5512" s="8">
        <f>QS.INSTRUMENT.SWAP("swap.5510",C5512,H5512,B5512,"USD","SOFR",I5512,J5512,0,"Actual360","Simple","Annual","Annual","Annual")</f>
        <v/>
      </c>
      <c r="F5512" s="8">
        <f>QS.TRADE.CREATE("trade.5510",C5512,E5512,A5512,"Receive")</f>
        <v/>
      </c>
      <c r="G5512" s="5"/>
      <c r="H5512" s="7" t="s">
        <v>5552</v>
      </c>
      <c r="I5512" s="9">
        <v>1551000</v>
      </c>
      <c r="J5512" s="10">
        <v>0.036</v>
      </c>
    </row>
    <row r="5513" spans="1:10">
      <c r="A5513" s="7" t="s">
        <v>5546</v>
      </c>
      <c r="B5513" s="7" t="s">
        <v>7380</v>
      </c>
      <c r="C5513" s="8">
        <f>QS.CONTEXT.CREATE("market.5511",A5513,"USD","SOFR")</f>
        <v/>
      </c>
      <c r="D5513" s="8">
        <f>QS.CONTEXT.ADD.CURVE(C5513,"SOFR",$K$2:$K$7,$L$2:$L$7,,,"Actual360","LogLinear",TRUE)</f>
        <v/>
      </c>
      <c r="E5513" s="8">
        <f>QS.INSTRUMENT.SWAP("swap.5511",C5513,H5513,B5513,"USD","SOFR",I5513,J5513,0,"Actual360","Simple","Annual","Annual","Annual")</f>
        <v/>
      </c>
      <c r="F5513" s="8">
        <f>QS.TRADE.CREATE("trade.5511",C5513,E5513,A5513,"Receive")</f>
        <v/>
      </c>
      <c r="G5513" s="5"/>
      <c r="H5513" s="7" t="s">
        <v>5553</v>
      </c>
      <c r="I5513" s="9">
        <v>1551100</v>
      </c>
      <c r="J5513" s="10">
        <v>0.0361</v>
      </c>
    </row>
    <row r="5514" spans="1:10">
      <c r="A5514" s="7" t="s">
        <v>5547</v>
      </c>
      <c r="B5514" s="7" t="s">
        <v>7381</v>
      </c>
      <c r="C5514" s="8">
        <f>QS.CONTEXT.CREATE("market.5512",A5514,"USD","SOFR")</f>
        <v/>
      </c>
      <c r="D5514" s="8">
        <f>QS.CONTEXT.ADD.CURVE(C5514,"SOFR",$K$2:$K$7,$L$2:$L$7,,,"Actual360","LogLinear",TRUE)</f>
        <v/>
      </c>
      <c r="E5514" s="8">
        <f>QS.INSTRUMENT.SWAP("swap.5512",C5514,H5514,B5514,"USD","SOFR",I5514,J5514,0,"Actual360","Simple","Annual","Annual","Annual")</f>
        <v/>
      </c>
      <c r="F5514" s="8">
        <f>QS.TRADE.CREATE("trade.5512",C5514,E5514,A5514,"Receive")</f>
        <v/>
      </c>
      <c r="G5514" s="5"/>
      <c r="H5514" s="7" t="s">
        <v>5554</v>
      </c>
      <c r="I5514" s="9">
        <v>1551200</v>
      </c>
      <c r="J5514" s="10">
        <v>0.0362</v>
      </c>
    </row>
    <row r="5515" spans="1:10">
      <c r="A5515" s="7" t="s">
        <v>5548</v>
      </c>
      <c r="B5515" s="7" t="s">
        <v>7382</v>
      </c>
      <c r="C5515" s="8">
        <f>QS.CONTEXT.CREATE("market.5513",A5515,"USD","SOFR")</f>
        <v/>
      </c>
      <c r="D5515" s="8">
        <f>QS.CONTEXT.ADD.CURVE(C5515,"SOFR",$K$2:$K$7,$L$2:$L$7,,,"Actual360","LogLinear",TRUE)</f>
        <v/>
      </c>
      <c r="E5515" s="8">
        <f>QS.INSTRUMENT.SWAP("swap.5513",C5515,H5515,B5515,"USD","SOFR",I5515,J5515,0,"Actual360","Simple","Annual","Annual","Annual")</f>
        <v/>
      </c>
      <c r="F5515" s="8">
        <f>QS.TRADE.CREATE("trade.5513",C5515,E5515,A5515,"Receive")</f>
        <v/>
      </c>
      <c r="G5515" s="5"/>
      <c r="H5515" s="7" t="s">
        <v>5555</v>
      </c>
      <c r="I5515" s="9">
        <v>1551300</v>
      </c>
      <c r="J5515" s="10">
        <v>0.03630000000000001</v>
      </c>
    </row>
    <row r="5516" spans="1:10">
      <c r="A5516" s="7" t="s">
        <v>5549</v>
      </c>
      <c r="B5516" s="7" t="s">
        <v>7383</v>
      </c>
      <c r="C5516" s="8">
        <f>QS.CONTEXT.CREATE("market.5514",A5516,"USD","SOFR")</f>
        <v/>
      </c>
      <c r="D5516" s="8">
        <f>QS.CONTEXT.ADD.CURVE(C5516,"SOFR",$K$2:$K$7,$L$2:$L$7,,,"Actual360","LogLinear",TRUE)</f>
        <v/>
      </c>
      <c r="E5516" s="8">
        <f>QS.INSTRUMENT.SWAP("swap.5514",C5516,H5516,B5516,"USD","SOFR",I5516,J5516,0,"Actual360","Simple","Annual","Annual","Annual")</f>
        <v/>
      </c>
      <c r="F5516" s="8">
        <f>QS.TRADE.CREATE("trade.5514",C5516,E5516,A5516,"Receive")</f>
        <v/>
      </c>
      <c r="G5516" s="5"/>
      <c r="H5516" s="7" t="s">
        <v>5556</v>
      </c>
      <c r="I5516" s="9">
        <v>1551400</v>
      </c>
      <c r="J5516" s="10">
        <v>0.0364</v>
      </c>
    </row>
    <row r="5517" spans="1:10">
      <c r="A5517" s="7" t="s">
        <v>5550</v>
      </c>
      <c r="B5517" s="7" t="s">
        <v>7384</v>
      </c>
      <c r="C5517" s="8">
        <f>QS.CONTEXT.CREATE("market.5515",A5517,"USD","SOFR")</f>
        <v/>
      </c>
      <c r="D5517" s="8">
        <f>QS.CONTEXT.ADD.CURVE(C5517,"SOFR",$K$2:$K$7,$L$2:$L$7,,,"Actual360","LogLinear",TRUE)</f>
        <v/>
      </c>
      <c r="E5517" s="8">
        <f>QS.INSTRUMENT.SWAP("swap.5515",C5517,H5517,B5517,"USD","SOFR",I5517,J5517,0,"Actual360","Simple","Annual","Annual","Annual")</f>
        <v/>
      </c>
      <c r="F5517" s="8">
        <f>QS.TRADE.CREATE("trade.5515",C5517,E5517,A5517,"Receive")</f>
        <v/>
      </c>
      <c r="G5517" s="5"/>
      <c r="H5517" s="7" t="s">
        <v>5557</v>
      </c>
      <c r="I5517" s="9">
        <v>1551500</v>
      </c>
      <c r="J5517" s="10">
        <v>0.0365</v>
      </c>
    </row>
    <row r="5518" spans="1:10">
      <c r="A5518" s="7" t="s">
        <v>5551</v>
      </c>
      <c r="B5518" s="7" t="s">
        <v>7385</v>
      </c>
      <c r="C5518" s="8">
        <f>QS.CONTEXT.CREATE("market.5516",A5518,"USD","SOFR")</f>
        <v/>
      </c>
      <c r="D5518" s="8">
        <f>QS.CONTEXT.ADD.CURVE(C5518,"SOFR",$K$2:$K$7,$L$2:$L$7,,,"Actual360","LogLinear",TRUE)</f>
        <v/>
      </c>
      <c r="E5518" s="8">
        <f>QS.INSTRUMENT.SWAP("swap.5516",C5518,H5518,B5518,"USD","SOFR",I5518,J5518,0,"Actual360","Simple","Annual","Annual","Annual")</f>
        <v/>
      </c>
      <c r="F5518" s="8">
        <f>QS.TRADE.CREATE("trade.5516",C5518,E5518,A5518,"Receive")</f>
        <v/>
      </c>
      <c r="G5518" s="5"/>
      <c r="H5518" s="7" t="s">
        <v>5558</v>
      </c>
      <c r="I5518" s="9">
        <v>1551600</v>
      </c>
      <c r="J5518" s="10">
        <v>0.0366</v>
      </c>
    </row>
    <row r="5519" spans="1:10">
      <c r="A5519" s="7" t="s">
        <v>5552</v>
      </c>
      <c r="B5519" s="7" t="s">
        <v>7386</v>
      </c>
      <c r="C5519" s="8">
        <f>QS.CONTEXT.CREATE("market.5517",A5519,"USD","SOFR")</f>
        <v/>
      </c>
      <c r="D5519" s="8">
        <f>QS.CONTEXT.ADD.CURVE(C5519,"SOFR",$K$2:$K$7,$L$2:$L$7,,,"Actual360","LogLinear",TRUE)</f>
        <v/>
      </c>
      <c r="E5519" s="8">
        <f>QS.INSTRUMENT.SWAP("swap.5517",C5519,H5519,B5519,"USD","SOFR",I5519,J5519,0,"Actual360","Simple","Annual","Annual","Annual")</f>
        <v/>
      </c>
      <c r="F5519" s="8">
        <f>QS.TRADE.CREATE("trade.5517",C5519,E5519,A5519,"Receive")</f>
        <v/>
      </c>
      <c r="G5519" s="5"/>
      <c r="H5519" s="7" t="s">
        <v>5559</v>
      </c>
      <c r="I5519" s="9">
        <v>1551700</v>
      </c>
      <c r="J5519" s="10">
        <v>0.0367</v>
      </c>
    </row>
    <row r="5520" spans="1:10">
      <c r="A5520" s="7" t="s">
        <v>5553</v>
      </c>
      <c r="B5520" s="7" t="s">
        <v>7387</v>
      </c>
      <c r="C5520" s="8">
        <f>QS.CONTEXT.CREATE("market.5518",A5520,"USD","SOFR")</f>
        <v/>
      </c>
      <c r="D5520" s="8">
        <f>QS.CONTEXT.ADD.CURVE(C5520,"SOFR",$K$2:$K$7,$L$2:$L$7,,,"Actual360","LogLinear",TRUE)</f>
        <v/>
      </c>
      <c r="E5520" s="8">
        <f>QS.INSTRUMENT.SWAP("swap.5518",C5520,H5520,B5520,"USD","SOFR",I5520,J5520,0,"Actual360","Simple","Annual","Annual","Annual")</f>
        <v/>
      </c>
      <c r="F5520" s="8">
        <f>QS.TRADE.CREATE("trade.5518",C5520,E5520,A5520,"Receive")</f>
        <v/>
      </c>
      <c r="G5520" s="5"/>
      <c r="H5520" s="7" t="s">
        <v>5560</v>
      </c>
      <c r="I5520" s="9">
        <v>1551800</v>
      </c>
      <c r="J5520" s="10">
        <v>0.03680000000000001</v>
      </c>
    </row>
    <row r="5521" spans="1:10">
      <c r="A5521" s="7" t="s">
        <v>5554</v>
      </c>
      <c r="B5521" s="7" t="s">
        <v>7388</v>
      </c>
      <c r="C5521" s="8">
        <f>QS.CONTEXT.CREATE("market.5519",A5521,"USD","SOFR")</f>
        <v/>
      </c>
      <c r="D5521" s="8">
        <f>QS.CONTEXT.ADD.CURVE(C5521,"SOFR",$K$2:$K$7,$L$2:$L$7,,,"Actual360","LogLinear",TRUE)</f>
        <v/>
      </c>
      <c r="E5521" s="8">
        <f>QS.INSTRUMENT.SWAP("swap.5519",C5521,H5521,B5521,"USD","SOFR",I5521,J5521,0,"Actual360","Simple","Annual","Annual","Annual")</f>
        <v/>
      </c>
      <c r="F5521" s="8">
        <f>QS.TRADE.CREATE("trade.5519",C5521,E5521,A5521,"Receive")</f>
        <v/>
      </c>
      <c r="G5521" s="5"/>
      <c r="H5521" s="7" t="s">
        <v>5561</v>
      </c>
      <c r="I5521" s="9">
        <v>1551900</v>
      </c>
      <c r="J5521" s="10">
        <v>0.0369</v>
      </c>
    </row>
    <row r="5522" spans="1:10">
      <c r="A5522" s="7" t="s">
        <v>5555</v>
      </c>
      <c r="B5522" s="7" t="s">
        <v>7389</v>
      </c>
      <c r="C5522" s="8">
        <f>QS.CONTEXT.CREATE("market.5520",A5522,"USD","SOFR")</f>
        <v/>
      </c>
      <c r="D5522" s="8">
        <f>QS.CONTEXT.ADD.CURVE(C5522,"SOFR",$K$2:$K$7,$L$2:$L$7,,,"Actual360","LogLinear",TRUE)</f>
        <v/>
      </c>
      <c r="E5522" s="8">
        <f>QS.INSTRUMENT.SWAP("swap.5520",C5522,H5522,B5522,"USD","SOFR",I5522,J5522,0,"Actual360","Simple","Annual","Annual","Annual")</f>
        <v/>
      </c>
      <c r="F5522" s="8">
        <f>QS.TRADE.CREATE("trade.5520",C5522,E5522,A5522,"Receive")</f>
        <v/>
      </c>
      <c r="G5522" s="5"/>
      <c r="H5522" s="7" t="s">
        <v>5562</v>
      </c>
      <c r="I5522" s="9">
        <v>1552000</v>
      </c>
      <c r="J5522" s="10">
        <v>0.03700000000000001</v>
      </c>
    </row>
    <row r="5523" spans="1:10">
      <c r="A5523" s="7" t="s">
        <v>5556</v>
      </c>
      <c r="B5523" s="7" t="s">
        <v>7390</v>
      </c>
      <c r="C5523" s="8">
        <f>QS.CONTEXT.CREATE("market.5521",A5523,"USD","SOFR")</f>
        <v/>
      </c>
      <c r="D5523" s="8">
        <f>QS.CONTEXT.ADD.CURVE(C5523,"SOFR",$K$2:$K$7,$L$2:$L$7,,,"Actual360","LogLinear",TRUE)</f>
        <v/>
      </c>
      <c r="E5523" s="8">
        <f>QS.INSTRUMENT.SWAP("swap.5521",C5523,H5523,B5523,"USD","SOFR",I5523,J5523,0,"Actual360","Simple","Annual","Annual","Annual")</f>
        <v/>
      </c>
      <c r="F5523" s="8">
        <f>QS.TRADE.CREATE("trade.5521",C5523,E5523,A5523,"Receive")</f>
        <v/>
      </c>
      <c r="G5523" s="5"/>
      <c r="H5523" s="7" t="s">
        <v>5563</v>
      </c>
      <c r="I5523" s="9">
        <v>1552100</v>
      </c>
      <c r="J5523" s="10">
        <v>0.0371</v>
      </c>
    </row>
    <row r="5524" spans="1:10">
      <c r="A5524" s="7" t="s">
        <v>5557</v>
      </c>
      <c r="B5524" s="7" t="s">
        <v>7391</v>
      </c>
      <c r="C5524" s="8">
        <f>QS.CONTEXT.CREATE("market.5522",A5524,"USD","SOFR")</f>
        <v/>
      </c>
      <c r="D5524" s="8">
        <f>QS.CONTEXT.ADD.CURVE(C5524,"SOFR",$K$2:$K$7,$L$2:$L$7,,,"Actual360","LogLinear",TRUE)</f>
        <v/>
      </c>
      <c r="E5524" s="8">
        <f>QS.INSTRUMENT.SWAP("swap.5522",C5524,H5524,B5524,"USD","SOFR",I5524,J5524,0,"Actual360","Simple","Annual","Annual","Annual")</f>
        <v/>
      </c>
      <c r="F5524" s="8">
        <f>QS.TRADE.CREATE("trade.5522",C5524,E5524,A5524,"Receive")</f>
        <v/>
      </c>
      <c r="G5524" s="5"/>
      <c r="H5524" s="7" t="s">
        <v>5564</v>
      </c>
      <c r="I5524" s="9">
        <v>1552200</v>
      </c>
      <c r="J5524" s="10">
        <v>0.0372</v>
      </c>
    </row>
    <row r="5525" spans="1:10">
      <c r="A5525" s="7" t="s">
        <v>5558</v>
      </c>
      <c r="B5525" s="7" t="s">
        <v>7392</v>
      </c>
      <c r="C5525" s="8">
        <f>QS.CONTEXT.CREATE("market.5523",A5525,"USD","SOFR")</f>
        <v/>
      </c>
      <c r="D5525" s="8">
        <f>QS.CONTEXT.ADD.CURVE(C5525,"SOFR",$K$2:$K$7,$L$2:$L$7,,,"Actual360","LogLinear",TRUE)</f>
        <v/>
      </c>
      <c r="E5525" s="8">
        <f>QS.INSTRUMENT.SWAP("swap.5523",C5525,H5525,B5525,"USD","SOFR",I5525,J5525,0,"Actual360","Simple","Annual","Annual","Annual")</f>
        <v/>
      </c>
      <c r="F5525" s="8">
        <f>QS.TRADE.CREATE("trade.5523",C5525,E5525,A5525,"Receive")</f>
        <v/>
      </c>
      <c r="G5525" s="5"/>
      <c r="H5525" s="7" t="s">
        <v>5565</v>
      </c>
      <c r="I5525" s="9">
        <v>1552300</v>
      </c>
      <c r="J5525" s="10">
        <v>0.0373</v>
      </c>
    </row>
    <row r="5526" spans="1:10">
      <c r="A5526" s="7" t="s">
        <v>5559</v>
      </c>
      <c r="B5526" s="7" t="s">
        <v>7393</v>
      </c>
      <c r="C5526" s="8">
        <f>QS.CONTEXT.CREATE("market.5524",A5526,"USD","SOFR")</f>
        <v/>
      </c>
      <c r="D5526" s="8">
        <f>QS.CONTEXT.ADD.CURVE(C5526,"SOFR",$K$2:$K$7,$L$2:$L$7,,,"Actual360","LogLinear",TRUE)</f>
        <v/>
      </c>
      <c r="E5526" s="8">
        <f>QS.INSTRUMENT.SWAP("swap.5524",C5526,H5526,B5526,"USD","SOFR",I5526,J5526,0,"Actual360","Simple","Annual","Annual","Annual")</f>
        <v/>
      </c>
      <c r="F5526" s="8">
        <f>QS.TRADE.CREATE("trade.5524",C5526,E5526,A5526,"Receive")</f>
        <v/>
      </c>
      <c r="G5526" s="5"/>
      <c r="H5526" s="7" t="s">
        <v>5566</v>
      </c>
      <c r="I5526" s="9">
        <v>1552400</v>
      </c>
      <c r="J5526" s="10">
        <v>0.0374</v>
      </c>
    </row>
    <row r="5527" spans="1:10">
      <c r="A5527" s="7" t="s">
        <v>5560</v>
      </c>
      <c r="B5527" s="7" t="s">
        <v>7394</v>
      </c>
      <c r="C5527" s="8">
        <f>QS.CONTEXT.CREATE("market.5525",A5527,"USD","SOFR")</f>
        <v/>
      </c>
      <c r="D5527" s="8">
        <f>QS.CONTEXT.ADD.CURVE(C5527,"SOFR",$K$2:$K$7,$L$2:$L$7,,,"Actual360","LogLinear",TRUE)</f>
        <v/>
      </c>
      <c r="E5527" s="8">
        <f>QS.INSTRUMENT.SWAP("swap.5525",C5527,H5527,B5527,"USD","SOFR",I5527,J5527,0,"Actual360","Simple","Annual","Annual","Annual")</f>
        <v/>
      </c>
      <c r="F5527" s="8">
        <f>QS.TRADE.CREATE("trade.5525",C5527,E5527,A5527,"Receive")</f>
        <v/>
      </c>
      <c r="G5527" s="5"/>
      <c r="H5527" s="7" t="s">
        <v>5567</v>
      </c>
      <c r="I5527" s="9">
        <v>1552500</v>
      </c>
      <c r="J5527" s="10">
        <v>0.03750000000000001</v>
      </c>
    </row>
    <row r="5528" spans="1:10">
      <c r="A5528" s="7" t="s">
        <v>5561</v>
      </c>
      <c r="B5528" s="7" t="s">
        <v>7395</v>
      </c>
      <c r="C5528" s="8">
        <f>QS.CONTEXT.CREATE("market.5526",A5528,"USD","SOFR")</f>
        <v/>
      </c>
      <c r="D5528" s="8">
        <f>QS.CONTEXT.ADD.CURVE(C5528,"SOFR",$K$2:$K$7,$L$2:$L$7,,,"Actual360","LogLinear",TRUE)</f>
        <v/>
      </c>
      <c r="E5528" s="8">
        <f>QS.INSTRUMENT.SWAP("swap.5526",C5528,H5528,B5528,"USD","SOFR",I5528,J5528,0,"Actual360","Simple","Annual","Annual","Annual")</f>
        <v/>
      </c>
      <c r="F5528" s="8">
        <f>QS.TRADE.CREATE("trade.5526",C5528,E5528,A5528,"Receive")</f>
        <v/>
      </c>
      <c r="G5528" s="5"/>
      <c r="H5528" s="7" t="s">
        <v>5568</v>
      </c>
      <c r="I5528" s="9">
        <v>1552600</v>
      </c>
      <c r="J5528" s="10">
        <v>0.0376</v>
      </c>
    </row>
    <row r="5529" spans="1:10">
      <c r="A5529" s="7" t="s">
        <v>5562</v>
      </c>
      <c r="B5529" s="7" t="s">
        <v>7396</v>
      </c>
      <c r="C5529" s="8">
        <f>QS.CONTEXT.CREATE("market.5527",A5529,"USD","SOFR")</f>
        <v/>
      </c>
      <c r="D5529" s="8">
        <f>QS.CONTEXT.ADD.CURVE(C5529,"SOFR",$K$2:$K$7,$L$2:$L$7,,,"Actual360","LogLinear",TRUE)</f>
        <v/>
      </c>
      <c r="E5529" s="8">
        <f>QS.INSTRUMENT.SWAP("swap.5527",C5529,H5529,B5529,"USD","SOFR",I5529,J5529,0,"Actual360","Simple","Annual","Annual","Annual")</f>
        <v/>
      </c>
      <c r="F5529" s="8">
        <f>QS.TRADE.CREATE("trade.5527",C5529,E5529,A5529,"Receive")</f>
        <v/>
      </c>
      <c r="G5529" s="5"/>
      <c r="H5529" s="7" t="s">
        <v>5569</v>
      </c>
      <c r="I5529" s="9">
        <v>1552700</v>
      </c>
      <c r="J5529" s="10">
        <v>0.0377</v>
      </c>
    </row>
    <row r="5530" spans="1:10">
      <c r="A5530" s="7" t="s">
        <v>5563</v>
      </c>
      <c r="B5530" s="7" t="s">
        <v>7397</v>
      </c>
      <c r="C5530" s="8">
        <f>QS.CONTEXT.CREATE("market.5528",A5530,"USD","SOFR")</f>
        <v/>
      </c>
      <c r="D5530" s="8">
        <f>QS.CONTEXT.ADD.CURVE(C5530,"SOFR",$K$2:$K$7,$L$2:$L$7,,,"Actual360","LogLinear",TRUE)</f>
        <v/>
      </c>
      <c r="E5530" s="8">
        <f>QS.INSTRUMENT.SWAP("swap.5528",C5530,H5530,B5530,"USD","SOFR",I5530,J5530,0,"Actual360","Simple","Annual","Annual","Annual")</f>
        <v/>
      </c>
      <c r="F5530" s="8">
        <f>QS.TRADE.CREATE("trade.5528",C5530,E5530,A5530,"Receive")</f>
        <v/>
      </c>
      <c r="G5530" s="5"/>
      <c r="H5530" s="7" t="s">
        <v>5570</v>
      </c>
      <c r="I5530" s="9">
        <v>1552800</v>
      </c>
      <c r="J5530" s="10">
        <v>0.0378</v>
      </c>
    </row>
    <row r="5531" spans="1:10">
      <c r="A5531" s="7" t="s">
        <v>5564</v>
      </c>
      <c r="B5531" s="7" t="s">
        <v>7398</v>
      </c>
      <c r="C5531" s="8">
        <f>QS.CONTEXT.CREATE("market.5529",A5531,"USD","SOFR")</f>
        <v/>
      </c>
      <c r="D5531" s="8">
        <f>QS.CONTEXT.ADD.CURVE(C5531,"SOFR",$K$2:$K$7,$L$2:$L$7,,,"Actual360","LogLinear",TRUE)</f>
        <v/>
      </c>
      <c r="E5531" s="8">
        <f>QS.INSTRUMENT.SWAP("swap.5529",C5531,H5531,B5531,"USD","SOFR",I5531,J5531,0,"Actual360","Simple","Annual","Annual","Annual")</f>
        <v/>
      </c>
      <c r="F5531" s="8">
        <f>QS.TRADE.CREATE("trade.5529",C5531,E5531,A5531,"Receive")</f>
        <v/>
      </c>
      <c r="G5531" s="5"/>
      <c r="H5531" s="7" t="s">
        <v>5571</v>
      </c>
      <c r="I5531" s="9">
        <v>1552900</v>
      </c>
      <c r="J5531" s="10">
        <v>0.0379</v>
      </c>
    </row>
    <row r="5532" spans="1:10">
      <c r="A5532" s="7" t="s">
        <v>5565</v>
      </c>
      <c r="B5532" s="7" t="s">
        <v>7399</v>
      </c>
      <c r="C5532" s="8">
        <f>QS.CONTEXT.CREATE("market.5530",A5532,"USD","SOFR")</f>
        <v/>
      </c>
      <c r="D5532" s="8">
        <f>QS.CONTEXT.ADD.CURVE(C5532,"SOFR",$K$2:$K$7,$L$2:$L$7,,,"Actual360","LogLinear",TRUE)</f>
        <v/>
      </c>
      <c r="E5532" s="8">
        <f>QS.INSTRUMENT.SWAP("swap.5530",C5532,H5532,B5532,"USD","SOFR",I5532,J5532,0,"Actual360","Simple","Annual","Annual","Annual")</f>
        <v/>
      </c>
      <c r="F5532" s="8">
        <f>QS.TRADE.CREATE("trade.5530",C5532,E5532,A5532,"Receive")</f>
        <v/>
      </c>
      <c r="G5532" s="5"/>
      <c r="H5532" s="7" t="s">
        <v>5572</v>
      </c>
      <c r="I5532" s="9">
        <v>1553000</v>
      </c>
      <c r="J5532" s="10">
        <v>0.03800000000000001</v>
      </c>
    </row>
    <row r="5533" spans="1:10">
      <c r="A5533" s="7" t="s">
        <v>5566</v>
      </c>
      <c r="B5533" s="7" t="s">
        <v>7400</v>
      </c>
      <c r="C5533" s="8">
        <f>QS.CONTEXT.CREATE("market.5531",A5533,"USD","SOFR")</f>
        <v/>
      </c>
      <c r="D5533" s="8">
        <f>QS.CONTEXT.ADD.CURVE(C5533,"SOFR",$K$2:$K$7,$L$2:$L$7,,,"Actual360","LogLinear",TRUE)</f>
        <v/>
      </c>
      <c r="E5533" s="8">
        <f>QS.INSTRUMENT.SWAP("swap.5531",C5533,H5533,B5533,"USD","SOFR",I5533,J5533,0,"Actual360","Simple","Annual","Annual","Annual")</f>
        <v/>
      </c>
      <c r="F5533" s="8">
        <f>QS.TRADE.CREATE("trade.5531",C5533,E5533,A5533,"Receive")</f>
        <v/>
      </c>
      <c r="G5533" s="5"/>
      <c r="H5533" s="7" t="s">
        <v>5574</v>
      </c>
      <c r="I5533" s="9">
        <v>1553100</v>
      </c>
      <c r="J5533" s="10">
        <v>0.0381</v>
      </c>
    </row>
    <row r="5534" spans="1:10">
      <c r="A5534" s="7" t="s">
        <v>5567</v>
      </c>
      <c r="B5534" s="7" t="s">
        <v>7401</v>
      </c>
      <c r="C5534" s="8">
        <f>QS.CONTEXT.CREATE("market.5532",A5534,"USD","SOFR")</f>
        <v/>
      </c>
      <c r="D5534" s="8">
        <f>QS.CONTEXT.ADD.CURVE(C5534,"SOFR",$K$2:$K$7,$L$2:$L$7,,,"Actual360","LogLinear",TRUE)</f>
        <v/>
      </c>
      <c r="E5534" s="8">
        <f>QS.INSTRUMENT.SWAP("swap.5532",C5534,H5534,B5534,"USD","SOFR",I5534,J5534,0,"Actual360","Simple","Annual","Annual","Annual")</f>
        <v/>
      </c>
      <c r="F5534" s="8">
        <f>QS.TRADE.CREATE("trade.5532",C5534,E5534,A5534,"Receive")</f>
        <v/>
      </c>
      <c r="G5534" s="5"/>
      <c r="H5534" s="7" t="s">
        <v>5575</v>
      </c>
      <c r="I5534" s="9">
        <v>1553200</v>
      </c>
      <c r="J5534" s="10">
        <v>0.0382</v>
      </c>
    </row>
    <row r="5535" spans="1:10">
      <c r="A5535" s="7" t="s">
        <v>5568</v>
      </c>
      <c r="B5535" s="7" t="s">
        <v>7402</v>
      </c>
      <c r="C5535" s="8">
        <f>QS.CONTEXT.CREATE("market.5533",A5535,"USD","SOFR")</f>
        <v/>
      </c>
      <c r="D5535" s="8">
        <f>QS.CONTEXT.ADD.CURVE(C5535,"SOFR",$K$2:$K$7,$L$2:$L$7,,,"Actual360","LogLinear",TRUE)</f>
        <v/>
      </c>
      <c r="E5535" s="8">
        <f>QS.INSTRUMENT.SWAP("swap.5533",C5535,H5535,B5535,"USD","SOFR",I5535,J5535,0,"Actual360","Simple","Annual","Annual","Annual")</f>
        <v/>
      </c>
      <c r="F5535" s="8">
        <f>QS.TRADE.CREATE("trade.5533",C5535,E5535,A5535,"Receive")</f>
        <v/>
      </c>
      <c r="G5535" s="5"/>
      <c r="H5535" s="7" t="s">
        <v>5576</v>
      </c>
      <c r="I5535" s="9">
        <v>1553300</v>
      </c>
      <c r="J5535" s="10">
        <v>0.0383</v>
      </c>
    </row>
    <row r="5536" spans="1:10">
      <c r="A5536" s="7" t="s">
        <v>5569</v>
      </c>
      <c r="B5536" s="7" t="s">
        <v>7403</v>
      </c>
      <c r="C5536" s="8">
        <f>QS.CONTEXT.CREATE("market.5534",A5536,"USD","SOFR")</f>
        <v/>
      </c>
      <c r="D5536" s="8">
        <f>QS.CONTEXT.ADD.CURVE(C5536,"SOFR",$K$2:$K$7,$L$2:$L$7,,,"Actual360","LogLinear",TRUE)</f>
        <v/>
      </c>
      <c r="E5536" s="8">
        <f>QS.INSTRUMENT.SWAP("swap.5534",C5536,H5536,B5536,"USD","SOFR",I5536,J5536,0,"Actual360","Simple","Annual","Annual","Annual")</f>
        <v/>
      </c>
      <c r="F5536" s="8">
        <f>QS.TRADE.CREATE("trade.5534",C5536,E5536,A5536,"Receive")</f>
        <v/>
      </c>
      <c r="G5536" s="5"/>
      <c r="H5536" s="7" t="s">
        <v>5577</v>
      </c>
      <c r="I5536" s="9">
        <v>1553400</v>
      </c>
      <c r="J5536" s="10">
        <v>0.0384</v>
      </c>
    </row>
    <row r="5537" spans="1:10">
      <c r="A5537" s="7" t="s">
        <v>5570</v>
      </c>
      <c r="B5537" s="7" t="s">
        <v>7404</v>
      </c>
      <c r="C5537" s="8">
        <f>QS.CONTEXT.CREATE("market.5535",A5537,"USD","SOFR")</f>
        <v/>
      </c>
      <c r="D5537" s="8">
        <f>QS.CONTEXT.ADD.CURVE(C5537,"SOFR",$K$2:$K$7,$L$2:$L$7,,,"Actual360","LogLinear",TRUE)</f>
        <v/>
      </c>
      <c r="E5537" s="8">
        <f>QS.INSTRUMENT.SWAP("swap.5535",C5537,H5537,B5537,"USD","SOFR",I5537,J5537,0,"Actual360","Simple","Annual","Annual","Annual")</f>
        <v/>
      </c>
      <c r="F5537" s="8">
        <f>QS.TRADE.CREATE("trade.5535",C5537,E5537,A5537,"Receive")</f>
        <v/>
      </c>
      <c r="G5537" s="5"/>
      <c r="H5537" s="7" t="s">
        <v>5578</v>
      </c>
      <c r="I5537" s="9">
        <v>1553500</v>
      </c>
      <c r="J5537" s="10">
        <v>0.03850000000000001</v>
      </c>
    </row>
    <row r="5538" spans="1:10">
      <c r="A5538" s="7" t="s">
        <v>5571</v>
      </c>
      <c r="B5538" s="7" t="s">
        <v>7405</v>
      </c>
      <c r="C5538" s="8">
        <f>QS.CONTEXT.CREATE("market.5536",A5538,"USD","SOFR")</f>
        <v/>
      </c>
      <c r="D5538" s="8">
        <f>QS.CONTEXT.ADD.CURVE(C5538,"SOFR",$K$2:$K$7,$L$2:$L$7,,,"Actual360","LogLinear",TRUE)</f>
        <v/>
      </c>
      <c r="E5538" s="8">
        <f>QS.INSTRUMENT.SWAP("swap.5536",C5538,H5538,B5538,"USD","SOFR",I5538,J5538,0,"Actual360","Simple","Annual","Annual","Annual")</f>
        <v/>
      </c>
      <c r="F5538" s="8">
        <f>QS.TRADE.CREATE("trade.5536",C5538,E5538,A5538,"Receive")</f>
        <v/>
      </c>
      <c r="G5538" s="5"/>
      <c r="H5538" s="7" t="s">
        <v>5579</v>
      </c>
      <c r="I5538" s="9">
        <v>1553600</v>
      </c>
      <c r="J5538" s="10">
        <v>0.0386</v>
      </c>
    </row>
    <row r="5539" spans="1:10">
      <c r="A5539" s="7" t="s">
        <v>5572</v>
      </c>
      <c r="B5539" s="7" t="s">
        <v>7406</v>
      </c>
      <c r="C5539" s="8">
        <f>QS.CONTEXT.CREATE("market.5537",A5539,"USD","SOFR")</f>
        <v/>
      </c>
      <c r="D5539" s="8">
        <f>QS.CONTEXT.ADD.CURVE(C5539,"SOFR",$K$2:$K$7,$L$2:$L$7,,,"Actual360","LogLinear",TRUE)</f>
        <v/>
      </c>
      <c r="E5539" s="8">
        <f>QS.INSTRUMENT.SWAP("swap.5537",C5539,H5539,B5539,"USD","SOFR",I5539,J5539,0,"Actual360","Simple","Annual","Annual","Annual")</f>
        <v/>
      </c>
      <c r="F5539" s="8">
        <f>QS.TRADE.CREATE("trade.5537",C5539,E5539,A5539,"Receive")</f>
        <v/>
      </c>
      <c r="G5539" s="5"/>
      <c r="H5539" s="7" t="s">
        <v>5580</v>
      </c>
      <c r="I5539" s="9">
        <v>1553700</v>
      </c>
      <c r="J5539" s="10">
        <v>0.03870000000000001</v>
      </c>
    </row>
    <row r="5540" spans="1:10">
      <c r="A5540" s="7" t="s">
        <v>5574</v>
      </c>
      <c r="B5540" s="7" t="s">
        <v>7407</v>
      </c>
      <c r="C5540" s="8">
        <f>QS.CONTEXT.CREATE("market.5538",A5540,"USD","SOFR")</f>
        <v/>
      </c>
      <c r="D5540" s="8">
        <f>QS.CONTEXT.ADD.CURVE(C5540,"SOFR",$K$2:$K$7,$L$2:$L$7,,,"Actual360","LogLinear",TRUE)</f>
        <v/>
      </c>
      <c r="E5540" s="8">
        <f>QS.INSTRUMENT.SWAP("swap.5538",C5540,H5540,B5540,"USD","SOFR",I5540,J5540,0,"Actual360","Simple","Annual","Annual","Annual")</f>
        <v/>
      </c>
      <c r="F5540" s="8">
        <f>QS.TRADE.CREATE("trade.5538",C5540,E5540,A5540,"Receive")</f>
        <v/>
      </c>
      <c r="G5540" s="5"/>
      <c r="H5540" s="7" t="s">
        <v>5581</v>
      </c>
      <c r="I5540" s="9">
        <v>1553800</v>
      </c>
      <c r="J5540" s="10">
        <v>0.0388</v>
      </c>
    </row>
    <row r="5541" spans="1:10">
      <c r="A5541" s="7" t="s">
        <v>5575</v>
      </c>
      <c r="B5541" s="7" t="s">
        <v>7408</v>
      </c>
      <c r="C5541" s="8">
        <f>QS.CONTEXT.CREATE("market.5539",A5541,"USD","SOFR")</f>
        <v/>
      </c>
      <c r="D5541" s="8">
        <f>QS.CONTEXT.ADD.CURVE(C5541,"SOFR",$K$2:$K$7,$L$2:$L$7,,,"Actual360","LogLinear",TRUE)</f>
        <v/>
      </c>
      <c r="E5541" s="8">
        <f>QS.INSTRUMENT.SWAP("swap.5539",C5541,H5541,B5541,"USD","SOFR",I5541,J5541,0,"Actual360","Simple","Annual","Annual","Annual")</f>
        <v/>
      </c>
      <c r="F5541" s="8">
        <f>QS.TRADE.CREATE("trade.5539",C5541,E5541,A5541,"Receive")</f>
        <v/>
      </c>
      <c r="G5541" s="5"/>
      <c r="H5541" s="7" t="s">
        <v>5582</v>
      </c>
      <c r="I5541" s="9">
        <v>1553900</v>
      </c>
      <c r="J5541" s="10">
        <v>0.0389</v>
      </c>
    </row>
    <row r="5542" spans="1:10">
      <c r="A5542" s="7" t="s">
        <v>5576</v>
      </c>
      <c r="B5542" s="7" t="s">
        <v>7409</v>
      </c>
      <c r="C5542" s="8">
        <f>QS.CONTEXT.CREATE("market.5540",A5542,"USD","SOFR")</f>
        <v/>
      </c>
      <c r="D5542" s="8">
        <f>QS.CONTEXT.ADD.CURVE(C5542,"SOFR",$K$2:$K$7,$L$2:$L$7,,,"Actual360","LogLinear",TRUE)</f>
        <v/>
      </c>
      <c r="E5542" s="8">
        <f>QS.INSTRUMENT.SWAP("swap.5540",C5542,H5542,B5542,"USD","SOFR",I5542,J5542,0,"Actual360","Simple","Annual","Annual","Annual")</f>
        <v/>
      </c>
      <c r="F5542" s="8">
        <f>QS.TRADE.CREATE("trade.5540",C5542,E5542,A5542,"Receive")</f>
        <v/>
      </c>
      <c r="G5542" s="5"/>
      <c r="H5542" s="7" t="s">
        <v>5583</v>
      </c>
      <c r="I5542" s="9">
        <v>1554000</v>
      </c>
      <c r="J5542" s="10">
        <v>0.03900000000000001</v>
      </c>
    </row>
    <row r="5543" spans="1:10">
      <c r="A5543" s="7" t="s">
        <v>5577</v>
      </c>
      <c r="B5543" s="7" t="s">
        <v>7410</v>
      </c>
      <c r="C5543" s="8">
        <f>QS.CONTEXT.CREATE("market.5541",A5543,"USD","SOFR")</f>
        <v/>
      </c>
      <c r="D5543" s="8">
        <f>QS.CONTEXT.ADD.CURVE(C5543,"SOFR",$K$2:$K$7,$L$2:$L$7,,,"Actual360","LogLinear",TRUE)</f>
        <v/>
      </c>
      <c r="E5543" s="8">
        <f>QS.INSTRUMENT.SWAP("swap.5541",C5543,H5543,B5543,"USD","SOFR",I5543,J5543,0,"Actual360","Simple","Annual","Annual","Annual")</f>
        <v/>
      </c>
      <c r="F5543" s="8">
        <f>QS.TRADE.CREATE("trade.5541",C5543,E5543,A5543,"Receive")</f>
        <v/>
      </c>
      <c r="G5543" s="5"/>
      <c r="H5543" s="7" t="s">
        <v>5584</v>
      </c>
      <c r="I5543" s="9">
        <v>1554100</v>
      </c>
      <c r="J5543" s="10">
        <v>0.0391</v>
      </c>
    </row>
    <row r="5544" spans="1:10">
      <c r="A5544" s="7" t="s">
        <v>5578</v>
      </c>
      <c r="B5544" s="7" t="s">
        <v>7411</v>
      </c>
      <c r="C5544" s="8">
        <f>QS.CONTEXT.CREATE("market.5542",A5544,"USD","SOFR")</f>
        <v/>
      </c>
      <c r="D5544" s="8">
        <f>QS.CONTEXT.ADD.CURVE(C5544,"SOFR",$K$2:$K$7,$L$2:$L$7,,,"Actual360","LogLinear",TRUE)</f>
        <v/>
      </c>
      <c r="E5544" s="8">
        <f>QS.INSTRUMENT.SWAP("swap.5542",C5544,H5544,B5544,"USD","SOFR",I5544,J5544,0,"Actual360","Simple","Annual","Annual","Annual")</f>
        <v/>
      </c>
      <c r="F5544" s="8">
        <f>QS.TRADE.CREATE("trade.5542",C5544,E5544,A5544,"Receive")</f>
        <v/>
      </c>
      <c r="G5544" s="5"/>
      <c r="H5544" s="7" t="s">
        <v>5585</v>
      </c>
      <c r="I5544" s="9">
        <v>1554200</v>
      </c>
      <c r="J5544" s="10">
        <v>0.03920000000000001</v>
      </c>
    </row>
    <row r="5545" spans="1:10">
      <c r="A5545" s="7" t="s">
        <v>5579</v>
      </c>
      <c r="B5545" s="7" t="s">
        <v>7412</v>
      </c>
      <c r="C5545" s="8">
        <f>QS.CONTEXT.CREATE("market.5543",A5545,"USD","SOFR")</f>
        <v/>
      </c>
      <c r="D5545" s="8">
        <f>QS.CONTEXT.ADD.CURVE(C5545,"SOFR",$K$2:$K$7,$L$2:$L$7,,,"Actual360","LogLinear",TRUE)</f>
        <v/>
      </c>
      <c r="E5545" s="8">
        <f>QS.INSTRUMENT.SWAP("swap.5543",C5545,H5545,B5545,"USD","SOFR",I5545,J5545,0,"Actual360","Simple","Annual","Annual","Annual")</f>
        <v/>
      </c>
      <c r="F5545" s="8">
        <f>QS.TRADE.CREATE("trade.5543",C5545,E5545,A5545,"Receive")</f>
        <v/>
      </c>
      <c r="G5545" s="5"/>
      <c r="H5545" s="7" t="s">
        <v>5586</v>
      </c>
      <c r="I5545" s="9">
        <v>1554300</v>
      </c>
      <c r="J5545" s="10">
        <v>0.0393</v>
      </c>
    </row>
    <row r="5546" spans="1:10">
      <c r="A5546" s="7" t="s">
        <v>5580</v>
      </c>
      <c r="B5546" s="7" t="s">
        <v>7413</v>
      </c>
      <c r="C5546" s="8">
        <f>QS.CONTEXT.CREATE("market.5544",A5546,"USD","SOFR")</f>
        <v/>
      </c>
      <c r="D5546" s="8">
        <f>QS.CONTEXT.ADD.CURVE(C5546,"SOFR",$K$2:$K$7,$L$2:$L$7,,,"Actual360","LogLinear",TRUE)</f>
        <v/>
      </c>
      <c r="E5546" s="8">
        <f>QS.INSTRUMENT.SWAP("swap.5544",C5546,H5546,B5546,"USD","SOFR",I5546,J5546,0,"Actual360","Simple","Annual","Annual","Annual")</f>
        <v/>
      </c>
      <c r="F5546" s="8">
        <f>QS.TRADE.CREATE("trade.5544",C5546,E5546,A5546,"Receive")</f>
        <v/>
      </c>
      <c r="G5546" s="5"/>
      <c r="H5546" s="7" t="s">
        <v>5587</v>
      </c>
      <c r="I5546" s="9">
        <v>1554400</v>
      </c>
      <c r="J5546" s="10">
        <v>0.0394</v>
      </c>
    </row>
    <row r="5547" spans="1:10">
      <c r="A5547" s="7" t="s">
        <v>5581</v>
      </c>
      <c r="B5547" s="7" t="s">
        <v>7414</v>
      </c>
      <c r="C5547" s="8">
        <f>QS.CONTEXT.CREATE("market.5545",A5547,"USD","SOFR")</f>
        <v/>
      </c>
      <c r="D5547" s="8">
        <f>QS.CONTEXT.ADD.CURVE(C5547,"SOFR",$K$2:$K$7,$L$2:$L$7,,,"Actual360","LogLinear",TRUE)</f>
        <v/>
      </c>
      <c r="E5547" s="8">
        <f>QS.INSTRUMENT.SWAP("swap.5545",C5547,H5547,B5547,"USD","SOFR",I5547,J5547,0,"Actual360","Simple","Annual","Annual","Annual")</f>
        <v/>
      </c>
      <c r="F5547" s="8">
        <f>QS.TRADE.CREATE("trade.5545",C5547,E5547,A5547,"Receive")</f>
        <v/>
      </c>
      <c r="G5547" s="5"/>
      <c r="H5547" s="7" t="s">
        <v>5588</v>
      </c>
      <c r="I5547" s="9">
        <v>1554500</v>
      </c>
      <c r="J5547" s="10">
        <v>0.03950000000000001</v>
      </c>
    </row>
    <row r="5548" spans="1:10">
      <c r="A5548" s="7" t="s">
        <v>5582</v>
      </c>
      <c r="B5548" s="7" t="s">
        <v>7415</v>
      </c>
      <c r="C5548" s="8">
        <f>QS.CONTEXT.CREATE("market.5546",A5548,"USD","SOFR")</f>
        <v/>
      </c>
      <c r="D5548" s="8">
        <f>QS.CONTEXT.ADD.CURVE(C5548,"SOFR",$K$2:$K$7,$L$2:$L$7,,,"Actual360","LogLinear",TRUE)</f>
        <v/>
      </c>
      <c r="E5548" s="8">
        <f>QS.INSTRUMENT.SWAP("swap.5546",C5548,H5548,B5548,"USD","SOFR",I5548,J5548,0,"Actual360","Simple","Annual","Annual","Annual")</f>
        <v/>
      </c>
      <c r="F5548" s="8">
        <f>QS.TRADE.CREATE("trade.5546",C5548,E5548,A5548,"Receive")</f>
        <v/>
      </c>
      <c r="G5548" s="5"/>
      <c r="H5548" s="7" t="s">
        <v>5589</v>
      </c>
      <c r="I5548" s="9">
        <v>1554600</v>
      </c>
      <c r="J5548" s="10">
        <v>0.0396</v>
      </c>
    </row>
    <row r="5549" spans="1:10">
      <c r="A5549" s="7" t="s">
        <v>5583</v>
      </c>
      <c r="B5549" s="7" t="s">
        <v>7416</v>
      </c>
      <c r="C5549" s="8">
        <f>QS.CONTEXT.CREATE("market.5547",A5549,"USD","SOFR")</f>
        <v/>
      </c>
      <c r="D5549" s="8">
        <f>QS.CONTEXT.ADD.CURVE(C5549,"SOFR",$K$2:$K$7,$L$2:$L$7,,,"Actual360","LogLinear",TRUE)</f>
        <v/>
      </c>
      <c r="E5549" s="8">
        <f>QS.INSTRUMENT.SWAP("swap.5547",C5549,H5549,B5549,"USD","SOFR",I5549,J5549,0,"Actual360","Simple","Annual","Annual","Annual")</f>
        <v/>
      </c>
      <c r="F5549" s="8">
        <f>QS.TRADE.CREATE("trade.5547",C5549,E5549,A5549,"Receive")</f>
        <v/>
      </c>
      <c r="G5549" s="5"/>
      <c r="H5549" s="7" t="s">
        <v>5590</v>
      </c>
      <c r="I5549" s="9">
        <v>1554700</v>
      </c>
      <c r="J5549" s="10">
        <v>0.03970000000000001</v>
      </c>
    </row>
    <row r="5550" spans="1:10">
      <c r="A5550" s="7" t="s">
        <v>5584</v>
      </c>
      <c r="B5550" s="7" t="s">
        <v>7417</v>
      </c>
      <c r="C5550" s="8">
        <f>QS.CONTEXT.CREATE("market.5548",A5550,"USD","SOFR")</f>
        <v/>
      </c>
      <c r="D5550" s="8">
        <f>QS.CONTEXT.ADD.CURVE(C5550,"SOFR",$K$2:$K$7,$L$2:$L$7,,,"Actual360","LogLinear",TRUE)</f>
        <v/>
      </c>
      <c r="E5550" s="8">
        <f>QS.INSTRUMENT.SWAP("swap.5548",C5550,H5550,B5550,"USD","SOFR",I5550,J5550,0,"Actual360","Simple","Annual","Annual","Annual")</f>
        <v/>
      </c>
      <c r="F5550" s="8">
        <f>QS.TRADE.CREATE("trade.5548",C5550,E5550,A5550,"Receive")</f>
        <v/>
      </c>
      <c r="G5550" s="5"/>
      <c r="H5550" s="7" t="s">
        <v>5591</v>
      </c>
      <c r="I5550" s="9">
        <v>1554800</v>
      </c>
      <c r="J5550" s="10">
        <v>0.0398</v>
      </c>
    </row>
    <row r="5551" spans="1:10">
      <c r="A5551" s="7" t="s">
        <v>5585</v>
      </c>
      <c r="B5551" s="7" t="s">
        <v>7418</v>
      </c>
      <c r="C5551" s="8">
        <f>QS.CONTEXT.CREATE("market.5549",A5551,"USD","SOFR")</f>
        <v/>
      </c>
      <c r="D5551" s="8">
        <f>QS.CONTEXT.ADD.CURVE(C5551,"SOFR",$K$2:$K$7,$L$2:$L$7,,,"Actual360","LogLinear",TRUE)</f>
        <v/>
      </c>
      <c r="E5551" s="8">
        <f>QS.INSTRUMENT.SWAP("swap.5549",C5551,H5551,B5551,"USD","SOFR",I5551,J5551,0,"Actual360","Simple","Annual","Annual","Annual")</f>
        <v/>
      </c>
      <c r="F5551" s="8">
        <f>QS.TRADE.CREATE("trade.5549",C5551,E5551,A5551,"Receive")</f>
        <v/>
      </c>
      <c r="G5551" s="5"/>
      <c r="H5551" s="7" t="s">
        <v>5592</v>
      </c>
      <c r="I5551" s="9">
        <v>1554900</v>
      </c>
      <c r="J5551" s="10">
        <v>0.0399</v>
      </c>
    </row>
    <row r="5552" spans="1:10">
      <c r="A5552" s="7" t="s">
        <v>5586</v>
      </c>
      <c r="B5552" s="7" t="s">
        <v>7419</v>
      </c>
      <c r="C5552" s="8">
        <f>QS.CONTEXT.CREATE("market.5550",A5552,"USD","SOFR")</f>
        <v/>
      </c>
      <c r="D5552" s="8">
        <f>QS.CONTEXT.ADD.CURVE(C5552,"SOFR",$K$2:$K$7,$L$2:$L$7,,,"Actual360","LogLinear",TRUE)</f>
        <v/>
      </c>
      <c r="E5552" s="8">
        <f>QS.INSTRUMENT.SWAP("swap.5550",C5552,H5552,B5552,"USD","SOFR",I5552,J5552,0,"Actual360","Simple","Annual","Annual","Annual")</f>
        <v/>
      </c>
      <c r="F5552" s="8">
        <f>QS.TRADE.CREATE("trade.5550",C5552,E5552,A5552,"Receive")</f>
        <v/>
      </c>
      <c r="G5552" s="5"/>
      <c r="H5552" s="7" t="s">
        <v>5593</v>
      </c>
      <c r="I5552" s="9">
        <v>1555000</v>
      </c>
      <c r="J5552" s="10">
        <v>0.035</v>
      </c>
    </row>
    <row r="5553" spans="1:10">
      <c r="A5553" s="7" t="s">
        <v>5587</v>
      </c>
      <c r="B5553" s="7" t="s">
        <v>7420</v>
      </c>
      <c r="C5553" s="8">
        <f>QS.CONTEXT.CREATE("market.5551",A5553,"USD","SOFR")</f>
        <v/>
      </c>
      <c r="D5553" s="8">
        <f>QS.CONTEXT.ADD.CURVE(C5553,"SOFR",$K$2:$K$7,$L$2:$L$7,,,"Actual360","LogLinear",TRUE)</f>
        <v/>
      </c>
      <c r="E5553" s="8">
        <f>QS.INSTRUMENT.SWAP("swap.5551",C5553,H5553,B5553,"USD","SOFR",I5553,J5553,0,"Actual360","Simple","Annual","Annual","Annual")</f>
        <v/>
      </c>
      <c r="F5553" s="8">
        <f>QS.TRADE.CREATE("trade.5551",C5553,E5553,A5553,"Receive")</f>
        <v/>
      </c>
      <c r="G5553" s="5"/>
      <c r="H5553" s="7" t="s">
        <v>5594</v>
      </c>
      <c r="I5553" s="9">
        <v>1555100</v>
      </c>
      <c r="J5553" s="10">
        <v>0.03510000000000001</v>
      </c>
    </row>
    <row r="5554" spans="1:10">
      <c r="A5554" s="7" t="s">
        <v>5588</v>
      </c>
      <c r="B5554" s="7" t="s">
        <v>7421</v>
      </c>
      <c r="C5554" s="8">
        <f>QS.CONTEXT.CREATE("market.5552",A5554,"USD","SOFR")</f>
        <v/>
      </c>
      <c r="D5554" s="8">
        <f>QS.CONTEXT.ADD.CURVE(C5554,"SOFR",$K$2:$K$7,$L$2:$L$7,,,"Actual360","LogLinear",TRUE)</f>
        <v/>
      </c>
      <c r="E5554" s="8">
        <f>QS.INSTRUMENT.SWAP("swap.5552",C5554,H5554,B5554,"USD","SOFR",I5554,J5554,0,"Actual360","Simple","Annual","Annual","Annual")</f>
        <v/>
      </c>
      <c r="F5554" s="8">
        <f>QS.TRADE.CREATE("trade.5552",C5554,E5554,A5554,"Receive")</f>
        <v/>
      </c>
      <c r="G5554" s="5"/>
      <c r="H5554" s="7" t="s">
        <v>5595</v>
      </c>
      <c r="I5554" s="9">
        <v>1555200</v>
      </c>
      <c r="J5554" s="10">
        <v>0.0352</v>
      </c>
    </row>
    <row r="5555" spans="1:10">
      <c r="A5555" s="7" t="s">
        <v>5589</v>
      </c>
      <c r="B5555" s="7" t="s">
        <v>7422</v>
      </c>
      <c r="C5555" s="8">
        <f>QS.CONTEXT.CREATE("market.5553",A5555,"USD","SOFR")</f>
        <v/>
      </c>
      <c r="D5555" s="8">
        <f>QS.CONTEXT.ADD.CURVE(C5555,"SOFR",$K$2:$K$7,$L$2:$L$7,,,"Actual360","LogLinear",TRUE)</f>
        <v/>
      </c>
      <c r="E5555" s="8">
        <f>QS.INSTRUMENT.SWAP("swap.5553",C5555,H5555,B5555,"USD","SOFR",I5555,J5555,0,"Actual360","Simple","Annual","Annual","Annual")</f>
        <v/>
      </c>
      <c r="F5555" s="8">
        <f>QS.TRADE.CREATE("trade.5553",C5555,E5555,A5555,"Receive")</f>
        <v/>
      </c>
      <c r="G5555" s="5"/>
      <c r="H5555" s="7" t="s">
        <v>5596</v>
      </c>
      <c r="I5555" s="9">
        <v>1555300</v>
      </c>
      <c r="J5555" s="10">
        <v>0.0353</v>
      </c>
    </row>
    <row r="5556" spans="1:10">
      <c r="A5556" s="7" t="s">
        <v>5590</v>
      </c>
      <c r="B5556" s="7" t="s">
        <v>7423</v>
      </c>
      <c r="C5556" s="8">
        <f>QS.CONTEXT.CREATE("market.5554",A5556,"USD","SOFR")</f>
        <v/>
      </c>
      <c r="D5556" s="8">
        <f>QS.CONTEXT.ADD.CURVE(C5556,"SOFR",$K$2:$K$7,$L$2:$L$7,,,"Actual360","LogLinear",TRUE)</f>
        <v/>
      </c>
      <c r="E5556" s="8">
        <f>QS.INSTRUMENT.SWAP("swap.5554",C5556,H5556,B5556,"USD","SOFR",I5556,J5556,0,"Actual360","Simple","Annual","Annual","Annual")</f>
        <v/>
      </c>
      <c r="F5556" s="8">
        <f>QS.TRADE.CREATE("trade.5554",C5556,E5556,A5556,"Receive")</f>
        <v/>
      </c>
      <c r="G5556" s="5"/>
      <c r="H5556" s="7" t="s">
        <v>5597</v>
      </c>
      <c r="I5556" s="9">
        <v>1555400</v>
      </c>
      <c r="J5556" s="10">
        <v>0.0354</v>
      </c>
    </row>
    <row r="5557" spans="1:10">
      <c r="A5557" s="7" t="s">
        <v>5591</v>
      </c>
      <c r="B5557" s="7" t="s">
        <v>7424</v>
      </c>
      <c r="C5557" s="8">
        <f>QS.CONTEXT.CREATE("market.5555",A5557,"USD","SOFR")</f>
        <v/>
      </c>
      <c r="D5557" s="8">
        <f>QS.CONTEXT.ADD.CURVE(C5557,"SOFR",$K$2:$K$7,$L$2:$L$7,,,"Actual360","LogLinear",TRUE)</f>
        <v/>
      </c>
      <c r="E5557" s="8">
        <f>QS.INSTRUMENT.SWAP("swap.5555",C5557,H5557,B5557,"USD","SOFR",I5557,J5557,0,"Actual360","Simple","Annual","Annual","Annual")</f>
        <v/>
      </c>
      <c r="F5557" s="8">
        <f>QS.TRADE.CREATE("trade.5555",C5557,E5557,A5557,"Receive")</f>
        <v/>
      </c>
      <c r="G5557" s="5"/>
      <c r="H5557" s="7" t="s">
        <v>5598</v>
      </c>
      <c r="I5557" s="9">
        <v>1555500</v>
      </c>
      <c r="J5557" s="10">
        <v>0.0355</v>
      </c>
    </row>
    <row r="5558" spans="1:10">
      <c r="A5558" s="7" t="s">
        <v>5592</v>
      </c>
      <c r="B5558" s="7" t="s">
        <v>7425</v>
      </c>
      <c r="C5558" s="8">
        <f>QS.CONTEXT.CREATE("market.5556",A5558,"USD","SOFR")</f>
        <v/>
      </c>
      <c r="D5558" s="8">
        <f>QS.CONTEXT.ADD.CURVE(C5558,"SOFR",$K$2:$K$7,$L$2:$L$7,,,"Actual360","LogLinear",TRUE)</f>
        <v/>
      </c>
      <c r="E5558" s="8">
        <f>QS.INSTRUMENT.SWAP("swap.5556",C5558,H5558,B5558,"USD","SOFR",I5558,J5558,0,"Actual360","Simple","Annual","Annual","Annual")</f>
        <v/>
      </c>
      <c r="F5558" s="8">
        <f>QS.TRADE.CREATE("trade.5556",C5558,E5558,A5558,"Receive")</f>
        <v/>
      </c>
      <c r="G5558" s="5"/>
      <c r="H5558" s="7" t="s">
        <v>5599</v>
      </c>
      <c r="I5558" s="9">
        <v>1555600</v>
      </c>
      <c r="J5558" s="10">
        <v>0.03560000000000001</v>
      </c>
    </row>
    <row r="5559" spans="1:10">
      <c r="A5559" s="7" t="s">
        <v>5593</v>
      </c>
      <c r="B5559" s="7" t="s">
        <v>7426</v>
      </c>
      <c r="C5559" s="8">
        <f>QS.CONTEXT.CREATE("market.5557",A5559,"USD","SOFR")</f>
        <v/>
      </c>
      <c r="D5559" s="8">
        <f>QS.CONTEXT.ADD.CURVE(C5559,"SOFR",$K$2:$K$7,$L$2:$L$7,,,"Actual360","LogLinear",TRUE)</f>
        <v/>
      </c>
      <c r="E5559" s="8">
        <f>QS.INSTRUMENT.SWAP("swap.5557",C5559,H5559,B5559,"USD","SOFR",I5559,J5559,0,"Actual360","Simple","Annual","Annual","Annual")</f>
        <v/>
      </c>
      <c r="F5559" s="8">
        <f>QS.TRADE.CREATE("trade.5557",C5559,E5559,A5559,"Receive")</f>
        <v/>
      </c>
      <c r="G5559" s="5"/>
      <c r="H5559" s="7" t="s">
        <v>5600</v>
      </c>
      <c r="I5559" s="9">
        <v>1555700</v>
      </c>
      <c r="J5559" s="10">
        <v>0.0357</v>
      </c>
    </row>
    <row r="5560" spans="1:10">
      <c r="A5560" s="7" t="s">
        <v>5594</v>
      </c>
      <c r="B5560" s="7" t="s">
        <v>7427</v>
      </c>
      <c r="C5560" s="8">
        <f>QS.CONTEXT.CREATE("market.5558",A5560,"USD","SOFR")</f>
        <v/>
      </c>
      <c r="D5560" s="8">
        <f>QS.CONTEXT.ADD.CURVE(C5560,"SOFR",$K$2:$K$7,$L$2:$L$7,,,"Actual360","LogLinear",TRUE)</f>
        <v/>
      </c>
      <c r="E5560" s="8">
        <f>QS.INSTRUMENT.SWAP("swap.5558",C5560,H5560,B5560,"USD","SOFR",I5560,J5560,0,"Actual360","Simple","Annual","Annual","Annual")</f>
        <v/>
      </c>
      <c r="F5560" s="8">
        <f>QS.TRADE.CREATE("trade.5558",C5560,E5560,A5560,"Receive")</f>
        <v/>
      </c>
      <c r="G5560" s="5"/>
      <c r="H5560" s="7" t="s">
        <v>5601</v>
      </c>
      <c r="I5560" s="9">
        <v>1555800</v>
      </c>
      <c r="J5560" s="10">
        <v>0.03580000000000001</v>
      </c>
    </row>
    <row r="5561" spans="1:10">
      <c r="A5561" s="7" t="s">
        <v>5595</v>
      </c>
      <c r="B5561" s="7" t="s">
        <v>7428</v>
      </c>
      <c r="C5561" s="8">
        <f>QS.CONTEXT.CREATE("market.5559",A5561,"USD","SOFR")</f>
        <v/>
      </c>
      <c r="D5561" s="8">
        <f>QS.CONTEXT.ADD.CURVE(C5561,"SOFR",$K$2:$K$7,$L$2:$L$7,,,"Actual360","LogLinear",TRUE)</f>
        <v/>
      </c>
      <c r="E5561" s="8">
        <f>QS.INSTRUMENT.SWAP("swap.5559",C5561,H5561,B5561,"USD","SOFR",I5561,J5561,0,"Actual360","Simple","Annual","Annual","Annual")</f>
        <v/>
      </c>
      <c r="F5561" s="8">
        <f>QS.TRADE.CREATE("trade.5559",C5561,E5561,A5561,"Receive")</f>
        <v/>
      </c>
      <c r="G5561" s="5"/>
      <c r="H5561" s="7" t="s">
        <v>5602</v>
      </c>
      <c r="I5561" s="9">
        <v>1555900</v>
      </c>
      <c r="J5561" s="10">
        <v>0.0359</v>
      </c>
    </row>
    <row r="5562" spans="1:10">
      <c r="A5562" s="7" t="s">
        <v>5596</v>
      </c>
      <c r="B5562" s="7" t="s">
        <v>7429</v>
      </c>
      <c r="C5562" s="8">
        <f>QS.CONTEXT.CREATE("market.5560",A5562,"USD","SOFR")</f>
        <v/>
      </c>
      <c r="D5562" s="8">
        <f>QS.CONTEXT.ADD.CURVE(C5562,"SOFR",$K$2:$K$7,$L$2:$L$7,,,"Actual360","LogLinear",TRUE)</f>
        <v/>
      </c>
      <c r="E5562" s="8">
        <f>QS.INSTRUMENT.SWAP("swap.5560",C5562,H5562,B5562,"USD","SOFR",I5562,J5562,0,"Actual360","Simple","Annual","Annual","Annual")</f>
        <v/>
      </c>
      <c r="F5562" s="8">
        <f>QS.TRADE.CREATE("trade.5560",C5562,E5562,A5562,"Receive")</f>
        <v/>
      </c>
      <c r="G5562" s="5"/>
      <c r="H5562" s="7" t="s">
        <v>5603</v>
      </c>
      <c r="I5562" s="9">
        <v>1556000</v>
      </c>
      <c r="J5562" s="10">
        <v>0.036</v>
      </c>
    </row>
    <row r="5563" spans="1:10">
      <c r="A5563" s="7" t="s">
        <v>5597</v>
      </c>
      <c r="B5563" s="7" t="s">
        <v>7430</v>
      </c>
      <c r="C5563" s="8">
        <f>QS.CONTEXT.CREATE("market.5561",A5563,"USD","SOFR")</f>
        <v/>
      </c>
      <c r="D5563" s="8">
        <f>QS.CONTEXT.ADD.CURVE(C5563,"SOFR",$K$2:$K$7,$L$2:$L$7,,,"Actual360","LogLinear",TRUE)</f>
        <v/>
      </c>
      <c r="E5563" s="8">
        <f>QS.INSTRUMENT.SWAP("swap.5561",C5563,H5563,B5563,"USD","SOFR",I5563,J5563,0,"Actual360","Simple","Annual","Annual","Annual")</f>
        <v/>
      </c>
      <c r="F5563" s="8">
        <f>QS.TRADE.CREATE("trade.5561",C5563,E5563,A5563,"Receive")</f>
        <v/>
      </c>
      <c r="G5563" s="5"/>
      <c r="H5563" s="7" t="s">
        <v>5604</v>
      </c>
      <c r="I5563" s="9">
        <v>1556100</v>
      </c>
      <c r="J5563" s="10">
        <v>0.0361</v>
      </c>
    </row>
    <row r="5564" spans="1:10">
      <c r="A5564" s="7" t="s">
        <v>5598</v>
      </c>
      <c r="B5564" s="7" t="s">
        <v>7431</v>
      </c>
      <c r="C5564" s="8">
        <f>QS.CONTEXT.CREATE("market.5562",A5564,"USD","SOFR")</f>
        <v/>
      </c>
      <c r="D5564" s="8">
        <f>QS.CONTEXT.ADD.CURVE(C5564,"SOFR",$K$2:$K$7,$L$2:$L$7,,,"Actual360","LogLinear",TRUE)</f>
        <v/>
      </c>
      <c r="E5564" s="8">
        <f>QS.INSTRUMENT.SWAP("swap.5562",C5564,H5564,B5564,"USD","SOFR",I5564,J5564,0,"Actual360","Simple","Annual","Annual","Annual")</f>
        <v/>
      </c>
      <c r="F5564" s="8">
        <f>QS.TRADE.CREATE("trade.5562",C5564,E5564,A5564,"Receive")</f>
        <v/>
      </c>
      <c r="G5564" s="5"/>
      <c r="H5564" s="7" t="s">
        <v>5605</v>
      </c>
      <c r="I5564" s="9">
        <v>1556200</v>
      </c>
      <c r="J5564" s="10">
        <v>0.0362</v>
      </c>
    </row>
    <row r="5565" spans="1:10">
      <c r="A5565" s="7" t="s">
        <v>5599</v>
      </c>
      <c r="B5565" s="7" t="s">
        <v>7432</v>
      </c>
      <c r="C5565" s="8">
        <f>QS.CONTEXT.CREATE("market.5563",A5565,"USD","SOFR")</f>
        <v/>
      </c>
      <c r="D5565" s="8">
        <f>QS.CONTEXT.ADD.CURVE(C5565,"SOFR",$K$2:$K$7,$L$2:$L$7,,,"Actual360","LogLinear",TRUE)</f>
        <v/>
      </c>
      <c r="E5565" s="8">
        <f>QS.INSTRUMENT.SWAP("swap.5563",C5565,H5565,B5565,"USD","SOFR",I5565,J5565,0,"Actual360","Simple","Annual","Annual","Annual")</f>
        <v/>
      </c>
      <c r="F5565" s="8">
        <f>QS.TRADE.CREATE("trade.5563",C5565,E5565,A5565,"Receive")</f>
        <v/>
      </c>
      <c r="G5565" s="5"/>
      <c r="H5565" s="7" t="s">
        <v>5606</v>
      </c>
      <c r="I5565" s="9">
        <v>1556300</v>
      </c>
      <c r="J5565" s="10">
        <v>0.03630000000000001</v>
      </c>
    </row>
    <row r="5566" spans="1:10">
      <c r="A5566" s="7" t="s">
        <v>5600</v>
      </c>
      <c r="B5566" s="7" t="s">
        <v>7433</v>
      </c>
      <c r="C5566" s="8">
        <f>QS.CONTEXT.CREATE("market.5564",A5566,"USD","SOFR")</f>
        <v/>
      </c>
      <c r="D5566" s="8">
        <f>QS.CONTEXT.ADD.CURVE(C5566,"SOFR",$K$2:$K$7,$L$2:$L$7,,,"Actual360","LogLinear",TRUE)</f>
        <v/>
      </c>
      <c r="E5566" s="8">
        <f>QS.INSTRUMENT.SWAP("swap.5564",C5566,H5566,B5566,"USD","SOFR",I5566,J5566,0,"Actual360","Simple","Annual","Annual","Annual")</f>
        <v/>
      </c>
      <c r="F5566" s="8">
        <f>QS.TRADE.CREATE("trade.5564",C5566,E5566,A5566,"Receive")</f>
        <v/>
      </c>
      <c r="G5566" s="5"/>
      <c r="H5566" s="7" t="s">
        <v>5607</v>
      </c>
      <c r="I5566" s="9">
        <v>1556400</v>
      </c>
      <c r="J5566" s="10">
        <v>0.0364</v>
      </c>
    </row>
    <row r="5567" spans="1:10">
      <c r="A5567" s="7" t="s">
        <v>5601</v>
      </c>
      <c r="B5567" s="7" t="s">
        <v>7434</v>
      </c>
      <c r="C5567" s="8">
        <f>QS.CONTEXT.CREATE("market.5565",A5567,"USD","SOFR")</f>
        <v/>
      </c>
      <c r="D5567" s="8">
        <f>QS.CONTEXT.ADD.CURVE(C5567,"SOFR",$K$2:$K$7,$L$2:$L$7,,,"Actual360","LogLinear",TRUE)</f>
        <v/>
      </c>
      <c r="E5567" s="8">
        <f>QS.INSTRUMENT.SWAP("swap.5565",C5567,H5567,B5567,"USD","SOFR",I5567,J5567,0,"Actual360","Simple","Annual","Annual","Annual")</f>
        <v/>
      </c>
      <c r="F5567" s="8">
        <f>QS.TRADE.CREATE("trade.5565",C5567,E5567,A5567,"Receive")</f>
        <v/>
      </c>
      <c r="G5567" s="5"/>
      <c r="H5567" s="7" t="s">
        <v>5608</v>
      </c>
      <c r="I5567" s="9">
        <v>1556500</v>
      </c>
      <c r="J5567" s="10">
        <v>0.0365</v>
      </c>
    </row>
    <row r="5568" spans="1:10">
      <c r="A5568" s="7" t="s">
        <v>5602</v>
      </c>
      <c r="B5568" s="7" t="s">
        <v>7435</v>
      </c>
      <c r="C5568" s="8">
        <f>QS.CONTEXT.CREATE("market.5566",A5568,"USD","SOFR")</f>
        <v/>
      </c>
      <c r="D5568" s="8">
        <f>QS.CONTEXT.ADD.CURVE(C5568,"SOFR",$K$2:$K$7,$L$2:$L$7,,,"Actual360","LogLinear",TRUE)</f>
        <v/>
      </c>
      <c r="E5568" s="8">
        <f>QS.INSTRUMENT.SWAP("swap.5566",C5568,H5568,B5568,"USD","SOFR",I5568,J5568,0,"Actual360","Simple","Annual","Annual","Annual")</f>
        <v/>
      </c>
      <c r="F5568" s="8">
        <f>QS.TRADE.CREATE("trade.5566",C5568,E5568,A5568,"Receive")</f>
        <v/>
      </c>
      <c r="G5568" s="5"/>
      <c r="H5568" s="7" t="s">
        <v>5609</v>
      </c>
      <c r="I5568" s="9">
        <v>1556600</v>
      </c>
      <c r="J5568" s="10">
        <v>0.0366</v>
      </c>
    </row>
    <row r="5569" spans="1:10">
      <c r="A5569" s="7" t="s">
        <v>5603</v>
      </c>
      <c r="B5569" s="7" t="s">
        <v>7436</v>
      </c>
      <c r="C5569" s="8">
        <f>QS.CONTEXT.CREATE("market.5567",A5569,"USD","SOFR")</f>
        <v/>
      </c>
      <c r="D5569" s="8">
        <f>QS.CONTEXT.ADD.CURVE(C5569,"SOFR",$K$2:$K$7,$L$2:$L$7,,,"Actual360","LogLinear",TRUE)</f>
        <v/>
      </c>
      <c r="E5569" s="8">
        <f>QS.INSTRUMENT.SWAP("swap.5567",C5569,H5569,B5569,"USD","SOFR",I5569,J5569,0,"Actual360","Simple","Annual","Annual","Annual")</f>
        <v/>
      </c>
      <c r="F5569" s="8">
        <f>QS.TRADE.CREATE("trade.5567",C5569,E5569,A5569,"Receive")</f>
        <v/>
      </c>
      <c r="G5569" s="5"/>
      <c r="H5569" s="7" t="s">
        <v>5610</v>
      </c>
      <c r="I5569" s="9">
        <v>1556700</v>
      </c>
      <c r="J5569" s="10">
        <v>0.0367</v>
      </c>
    </row>
    <row r="5570" spans="1:10">
      <c r="A5570" s="7" t="s">
        <v>5604</v>
      </c>
      <c r="B5570" s="7" t="s">
        <v>7437</v>
      </c>
      <c r="C5570" s="8">
        <f>QS.CONTEXT.CREATE("market.5568",A5570,"USD","SOFR")</f>
        <v/>
      </c>
      <c r="D5570" s="8">
        <f>QS.CONTEXT.ADD.CURVE(C5570,"SOFR",$K$2:$K$7,$L$2:$L$7,,,"Actual360","LogLinear",TRUE)</f>
        <v/>
      </c>
      <c r="E5570" s="8">
        <f>QS.INSTRUMENT.SWAP("swap.5568",C5570,H5570,B5570,"USD","SOFR",I5570,J5570,0,"Actual360","Simple","Annual","Annual","Annual")</f>
        <v/>
      </c>
      <c r="F5570" s="8">
        <f>QS.TRADE.CREATE("trade.5568",C5570,E5570,A5570,"Receive")</f>
        <v/>
      </c>
      <c r="G5570" s="5"/>
      <c r="H5570" s="7" t="s">
        <v>5611</v>
      </c>
      <c r="I5570" s="9">
        <v>1556800</v>
      </c>
      <c r="J5570" s="10">
        <v>0.03680000000000001</v>
      </c>
    </row>
    <row r="5571" spans="1:10">
      <c r="A5571" s="7" t="s">
        <v>5605</v>
      </c>
      <c r="B5571" s="7" t="s">
        <v>7438</v>
      </c>
      <c r="C5571" s="8">
        <f>QS.CONTEXT.CREATE("market.5569",A5571,"USD","SOFR")</f>
        <v/>
      </c>
      <c r="D5571" s="8">
        <f>QS.CONTEXT.ADD.CURVE(C5571,"SOFR",$K$2:$K$7,$L$2:$L$7,,,"Actual360","LogLinear",TRUE)</f>
        <v/>
      </c>
      <c r="E5571" s="8">
        <f>QS.INSTRUMENT.SWAP("swap.5569",C5571,H5571,B5571,"USD","SOFR",I5571,J5571,0,"Actual360","Simple","Annual","Annual","Annual")</f>
        <v/>
      </c>
      <c r="F5571" s="8">
        <f>QS.TRADE.CREATE("trade.5569",C5571,E5571,A5571,"Receive")</f>
        <v/>
      </c>
      <c r="G5571" s="5"/>
      <c r="H5571" s="7" t="s">
        <v>5612</v>
      </c>
      <c r="I5571" s="9">
        <v>1556900</v>
      </c>
      <c r="J5571" s="10">
        <v>0.0369</v>
      </c>
    </row>
    <row r="5572" spans="1:10">
      <c r="A5572" s="7" t="s">
        <v>5606</v>
      </c>
      <c r="B5572" s="7" t="s">
        <v>7439</v>
      </c>
      <c r="C5572" s="8">
        <f>QS.CONTEXT.CREATE("market.5570",A5572,"USD","SOFR")</f>
        <v/>
      </c>
      <c r="D5572" s="8">
        <f>QS.CONTEXT.ADD.CURVE(C5572,"SOFR",$K$2:$K$7,$L$2:$L$7,,,"Actual360","LogLinear",TRUE)</f>
        <v/>
      </c>
      <c r="E5572" s="8">
        <f>QS.INSTRUMENT.SWAP("swap.5570",C5572,H5572,B5572,"USD","SOFR",I5572,J5572,0,"Actual360","Simple","Annual","Annual","Annual")</f>
        <v/>
      </c>
      <c r="F5572" s="8">
        <f>QS.TRADE.CREATE("trade.5570",C5572,E5572,A5572,"Receive")</f>
        <v/>
      </c>
      <c r="G5572" s="5"/>
      <c r="H5572" s="7" t="s">
        <v>5613</v>
      </c>
      <c r="I5572" s="9">
        <v>1557000</v>
      </c>
      <c r="J5572" s="10">
        <v>0.03700000000000001</v>
      </c>
    </row>
    <row r="5573" spans="1:10">
      <c r="A5573" s="7" t="s">
        <v>5607</v>
      </c>
      <c r="B5573" s="7" t="s">
        <v>7440</v>
      </c>
      <c r="C5573" s="8">
        <f>QS.CONTEXT.CREATE("market.5571",A5573,"USD","SOFR")</f>
        <v/>
      </c>
      <c r="D5573" s="8">
        <f>QS.CONTEXT.ADD.CURVE(C5573,"SOFR",$K$2:$K$7,$L$2:$L$7,,,"Actual360","LogLinear",TRUE)</f>
        <v/>
      </c>
      <c r="E5573" s="8">
        <f>QS.INSTRUMENT.SWAP("swap.5571",C5573,H5573,B5573,"USD","SOFR",I5573,J5573,0,"Actual360","Simple","Annual","Annual","Annual")</f>
        <v/>
      </c>
      <c r="F5573" s="8">
        <f>QS.TRADE.CREATE("trade.5571",C5573,E5573,A5573,"Receive")</f>
        <v/>
      </c>
      <c r="G5573" s="5"/>
      <c r="H5573" s="7" t="s">
        <v>5614</v>
      </c>
      <c r="I5573" s="9">
        <v>1557100</v>
      </c>
      <c r="J5573" s="10">
        <v>0.0371</v>
      </c>
    </row>
    <row r="5574" spans="1:10">
      <c r="A5574" s="7" t="s">
        <v>5608</v>
      </c>
      <c r="B5574" s="7" t="s">
        <v>7441</v>
      </c>
      <c r="C5574" s="8">
        <f>QS.CONTEXT.CREATE("market.5572",A5574,"USD","SOFR")</f>
        <v/>
      </c>
      <c r="D5574" s="8">
        <f>QS.CONTEXT.ADD.CURVE(C5574,"SOFR",$K$2:$K$7,$L$2:$L$7,,,"Actual360","LogLinear",TRUE)</f>
        <v/>
      </c>
      <c r="E5574" s="8">
        <f>QS.INSTRUMENT.SWAP("swap.5572",C5574,H5574,B5574,"USD","SOFR",I5574,J5574,0,"Actual360","Simple","Annual","Annual","Annual")</f>
        <v/>
      </c>
      <c r="F5574" s="8">
        <f>QS.TRADE.CREATE("trade.5572",C5574,E5574,A5574,"Receive")</f>
        <v/>
      </c>
      <c r="G5574" s="5"/>
      <c r="H5574" s="7" t="s">
        <v>5615</v>
      </c>
      <c r="I5574" s="9">
        <v>1557200</v>
      </c>
      <c r="J5574" s="10">
        <v>0.0372</v>
      </c>
    </row>
    <row r="5575" spans="1:10">
      <c r="A5575" s="7" t="s">
        <v>5609</v>
      </c>
      <c r="B5575" s="7" t="s">
        <v>7442</v>
      </c>
      <c r="C5575" s="8">
        <f>QS.CONTEXT.CREATE("market.5573",A5575,"USD","SOFR")</f>
        <v/>
      </c>
      <c r="D5575" s="8">
        <f>QS.CONTEXT.ADD.CURVE(C5575,"SOFR",$K$2:$K$7,$L$2:$L$7,,,"Actual360","LogLinear",TRUE)</f>
        <v/>
      </c>
      <c r="E5575" s="8">
        <f>QS.INSTRUMENT.SWAP("swap.5573",C5575,H5575,B5575,"USD","SOFR",I5575,J5575,0,"Actual360","Simple","Annual","Annual","Annual")</f>
        <v/>
      </c>
      <c r="F5575" s="8">
        <f>QS.TRADE.CREATE("trade.5573",C5575,E5575,A5575,"Receive")</f>
        <v/>
      </c>
      <c r="G5575" s="5"/>
      <c r="H5575" s="7" t="s">
        <v>5616</v>
      </c>
      <c r="I5575" s="9">
        <v>1557300</v>
      </c>
      <c r="J5575" s="10">
        <v>0.0373</v>
      </c>
    </row>
    <row r="5576" spans="1:10">
      <c r="A5576" s="7" t="s">
        <v>5610</v>
      </c>
      <c r="B5576" s="7" t="s">
        <v>7443</v>
      </c>
      <c r="C5576" s="8">
        <f>QS.CONTEXT.CREATE("market.5574",A5576,"USD","SOFR")</f>
        <v/>
      </c>
      <c r="D5576" s="8">
        <f>QS.CONTEXT.ADD.CURVE(C5576,"SOFR",$K$2:$K$7,$L$2:$L$7,,,"Actual360","LogLinear",TRUE)</f>
        <v/>
      </c>
      <c r="E5576" s="8">
        <f>QS.INSTRUMENT.SWAP("swap.5574",C5576,H5576,B5576,"USD","SOFR",I5576,J5576,0,"Actual360","Simple","Annual","Annual","Annual")</f>
        <v/>
      </c>
      <c r="F5576" s="8">
        <f>QS.TRADE.CREATE("trade.5574",C5576,E5576,A5576,"Receive")</f>
        <v/>
      </c>
      <c r="G5576" s="5"/>
      <c r="H5576" s="7" t="s">
        <v>5617</v>
      </c>
      <c r="I5576" s="9">
        <v>1557400</v>
      </c>
      <c r="J5576" s="10">
        <v>0.0374</v>
      </c>
    </row>
    <row r="5577" spans="1:10">
      <c r="A5577" s="7" t="s">
        <v>5611</v>
      </c>
      <c r="B5577" s="7" t="s">
        <v>7444</v>
      </c>
      <c r="C5577" s="8">
        <f>QS.CONTEXT.CREATE("market.5575",A5577,"USD","SOFR")</f>
        <v/>
      </c>
      <c r="D5577" s="8">
        <f>QS.CONTEXT.ADD.CURVE(C5577,"SOFR",$K$2:$K$7,$L$2:$L$7,,,"Actual360","LogLinear",TRUE)</f>
        <v/>
      </c>
      <c r="E5577" s="8">
        <f>QS.INSTRUMENT.SWAP("swap.5575",C5577,H5577,B5577,"USD","SOFR",I5577,J5577,0,"Actual360","Simple","Annual","Annual","Annual")</f>
        <v/>
      </c>
      <c r="F5577" s="8">
        <f>QS.TRADE.CREATE("trade.5575",C5577,E5577,A5577,"Receive")</f>
        <v/>
      </c>
      <c r="G5577" s="5"/>
      <c r="H5577" s="7" t="s">
        <v>5618</v>
      </c>
      <c r="I5577" s="9">
        <v>1557500</v>
      </c>
      <c r="J5577" s="10">
        <v>0.03750000000000001</v>
      </c>
    </row>
    <row r="5578" spans="1:10">
      <c r="A5578" s="7" t="s">
        <v>5612</v>
      </c>
      <c r="B5578" s="7" t="s">
        <v>7445</v>
      </c>
      <c r="C5578" s="8">
        <f>QS.CONTEXT.CREATE("market.5576",A5578,"USD","SOFR")</f>
        <v/>
      </c>
      <c r="D5578" s="8">
        <f>QS.CONTEXT.ADD.CURVE(C5578,"SOFR",$K$2:$K$7,$L$2:$L$7,,,"Actual360","LogLinear",TRUE)</f>
        <v/>
      </c>
      <c r="E5578" s="8">
        <f>QS.INSTRUMENT.SWAP("swap.5576",C5578,H5578,B5578,"USD","SOFR",I5578,J5578,0,"Actual360","Simple","Annual","Annual","Annual")</f>
        <v/>
      </c>
      <c r="F5578" s="8">
        <f>QS.TRADE.CREATE("trade.5576",C5578,E5578,A5578,"Receive")</f>
        <v/>
      </c>
      <c r="G5578" s="5"/>
      <c r="H5578" s="7" t="s">
        <v>5619</v>
      </c>
      <c r="I5578" s="9">
        <v>1557600</v>
      </c>
      <c r="J5578" s="10">
        <v>0.0376</v>
      </c>
    </row>
    <row r="5579" spans="1:10">
      <c r="A5579" s="7" t="s">
        <v>5613</v>
      </c>
      <c r="B5579" s="7" t="s">
        <v>7446</v>
      </c>
      <c r="C5579" s="8">
        <f>QS.CONTEXT.CREATE("market.5577",A5579,"USD","SOFR")</f>
        <v/>
      </c>
      <c r="D5579" s="8">
        <f>QS.CONTEXT.ADD.CURVE(C5579,"SOFR",$K$2:$K$7,$L$2:$L$7,,,"Actual360","LogLinear",TRUE)</f>
        <v/>
      </c>
      <c r="E5579" s="8">
        <f>QS.INSTRUMENT.SWAP("swap.5577",C5579,H5579,B5579,"USD","SOFR",I5579,J5579,0,"Actual360","Simple","Annual","Annual","Annual")</f>
        <v/>
      </c>
      <c r="F5579" s="8">
        <f>QS.TRADE.CREATE("trade.5577",C5579,E5579,A5579,"Receive")</f>
        <v/>
      </c>
      <c r="G5579" s="5"/>
      <c r="H5579" s="7" t="s">
        <v>5620</v>
      </c>
      <c r="I5579" s="9">
        <v>1557700</v>
      </c>
      <c r="J5579" s="10">
        <v>0.0377</v>
      </c>
    </row>
    <row r="5580" spans="1:10">
      <c r="A5580" s="7" t="s">
        <v>5614</v>
      </c>
      <c r="B5580" s="7" t="s">
        <v>7447</v>
      </c>
      <c r="C5580" s="8">
        <f>QS.CONTEXT.CREATE("market.5578",A5580,"USD","SOFR")</f>
        <v/>
      </c>
      <c r="D5580" s="8">
        <f>QS.CONTEXT.ADD.CURVE(C5580,"SOFR",$K$2:$K$7,$L$2:$L$7,,,"Actual360","LogLinear",TRUE)</f>
        <v/>
      </c>
      <c r="E5580" s="8">
        <f>QS.INSTRUMENT.SWAP("swap.5578",C5580,H5580,B5580,"USD","SOFR",I5580,J5580,0,"Actual360","Simple","Annual","Annual","Annual")</f>
        <v/>
      </c>
      <c r="F5580" s="8">
        <f>QS.TRADE.CREATE("trade.5578",C5580,E5580,A5580,"Receive")</f>
        <v/>
      </c>
      <c r="G5580" s="5"/>
      <c r="H5580" s="7" t="s">
        <v>5621</v>
      </c>
      <c r="I5580" s="9">
        <v>1557800</v>
      </c>
      <c r="J5580" s="10">
        <v>0.0378</v>
      </c>
    </row>
    <row r="5581" spans="1:10">
      <c r="A5581" s="7" t="s">
        <v>5615</v>
      </c>
      <c r="B5581" s="7" t="s">
        <v>7448</v>
      </c>
      <c r="C5581" s="8">
        <f>QS.CONTEXT.CREATE("market.5579",A5581,"USD","SOFR")</f>
        <v/>
      </c>
      <c r="D5581" s="8">
        <f>QS.CONTEXT.ADD.CURVE(C5581,"SOFR",$K$2:$K$7,$L$2:$L$7,,,"Actual360","LogLinear",TRUE)</f>
        <v/>
      </c>
      <c r="E5581" s="8">
        <f>QS.INSTRUMENT.SWAP("swap.5579",C5581,H5581,B5581,"USD","SOFR",I5581,J5581,0,"Actual360","Simple","Annual","Annual","Annual")</f>
        <v/>
      </c>
      <c r="F5581" s="8">
        <f>QS.TRADE.CREATE("trade.5579",C5581,E5581,A5581,"Receive")</f>
        <v/>
      </c>
      <c r="G5581" s="5"/>
      <c r="H5581" s="7" t="s">
        <v>5622</v>
      </c>
      <c r="I5581" s="9">
        <v>1557900</v>
      </c>
      <c r="J5581" s="10">
        <v>0.0379</v>
      </c>
    </row>
    <row r="5582" spans="1:10">
      <c r="A5582" s="7" t="s">
        <v>5616</v>
      </c>
      <c r="B5582" s="7" t="s">
        <v>7449</v>
      </c>
      <c r="C5582" s="8">
        <f>QS.CONTEXT.CREATE("market.5580",A5582,"USD","SOFR")</f>
        <v/>
      </c>
      <c r="D5582" s="8">
        <f>QS.CONTEXT.ADD.CURVE(C5582,"SOFR",$K$2:$K$7,$L$2:$L$7,,,"Actual360","LogLinear",TRUE)</f>
        <v/>
      </c>
      <c r="E5582" s="8">
        <f>QS.INSTRUMENT.SWAP("swap.5580",C5582,H5582,B5582,"USD","SOFR",I5582,J5582,0,"Actual360","Simple","Annual","Annual","Annual")</f>
        <v/>
      </c>
      <c r="F5582" s="8">
        <f>QS.TRADE.CREATE("trade.5580",C5582,E5582,A5582,"Receive")</f>
        <v/>
      </c>
      <c r="G5582" s="5"/>
      <c r="H5582" s="7" t="s">
        <v>5623</v>
      </c>
      <c r="I5582" s="9">
        <v>1558000</v>
      </c>
      <c r="J5582" s="10">
        <v>0.03800000000000001</v>
      </c>
    </row>
    <row r="5583" spans="1:10">
      <c r="A5583" s="7" t="s">
        <v>5617</v>
      </c>
      <c r="B5583" s="7" t="s">
        <v>7450</v>
      </c>
      <c r="C5583" s="8">
        <f>QS.CONTEXT.CREATE("market.5581",A5583,"USD","SOFR")</f>
        <v/>
      </c>
      <c r="D5583" s="8">
        <f>QS.CONTEXT.ADD.CURVE(C5583,"SOFR",$K$2:$K$7,$L$2:$L$7,,,"Actual360","LogLinear",TRUE)</f>
        <v/>
      </c>
      <c r="E5583" s="8">
        <f>QS.INSTRUMENT.SWAP("swap.5581",C5583,H5583,B5583,"USD","SOFR",I5583,J5583,0,"Actual360","Simple","Annual","Annual","Annual")</f>
        <v/>
      </c>
      <c r="F5583" s="8">
        <f>QS.TRADE.CREATE("trade.5581",C5583,E5583,A5583,"Receive")</f>
        <v/>
      </c>
      <c r="G5583" s="5"/>
      <c r="H5583" s="7" t="s">
        <v>5624</v>
      </c>
      <c r="I5583" s="9">
        <v>1558100</v>
      </c>
      <c r="J5583" s="10">
        <v>0.0381</v>
      </c>
    </row>
    <row r="5584" spans="1:10">
      <c r="A5584" s="7" t="s">
        <v>5618</v>
      </c>
      <c r="B5584" s="7" t="s">
        <v>7451</v>
      </c>
      <c r="C5584" s="8">
        <f>QS.CONTEXT.CREATE("market.5582",A5584,"USD","SOFR")</f>
        <v/>
      </c>
      <c r="D5584" s="8">
        <f>QS.CONTEXT.ADD.CURVE(C5584,"SOFR",$K$2:$K$7,$L$2:$L$7,,,"Actual360","LogLinear",TRUE)</f>
        <v/>
      </c>
      <c r="E5584" s="8">
        <f>QS.INSTRUMENT.SWAP("swap.5582",C5584,H5584,B5584,"USD","SOFR",I5584,J5584,0,"Actual360","Simple","Annual","Annual","Annual")</f>
        <v/>
      </c>
      <c r="F5584" s="8">
        <f>QS.TRADE.CREATE("trade.5582",C5584,E5584,A5584,"Receive")</f>
        <v/>
      </c>
      <c r="G5584" s="5"/>
      <c r="H5584" s="7" t="s">
        <v>5625</v>
      </c>
      <c r="I5584" s="9">
        <v>1558200</v>
      </c>
      <c r="J5584" s="10">
        <v>0.0382</v>
      </c>
    </row>
    <row r="5585" spans="1:10">
      <c r="A5585" s="7" t="s">
        <v>5619</v>
      </c>
      <c r="B5585" s="7" t="s">
        <v>7452</v>
      </c>
      <c r="C5585" s="8">
        <f>QS.CONTEXT.CREATE("market.5583",A5585,"USD","SOFR")</f>
        <v/>
      </c>
      <c r="D5585" s="8">
        <f>QS.CONTEXT.ADD.CURVE(C5585,"SOFR",$K$2:$K$7,$L$2:$L$7,,,"Actual360","LogLinear",TRUE)</f>
        <v/>
      </c>
      <c r="E5585" s="8">
        <f>QS.INSTRUMENT.SWAP("swap.5583",C5585,H5585,B5585,"USD","SOFR",I5585,J5585,0,"Actual360","Simple","Annual","Annual","Annual")</f>
        <v/>
      </c>
      <c r="F5585" s="8">
        <f>QS.TRADE.CREATE("trade.5583",C5585,E5585,A5585,"Receive")</f>
        <v/>
      </c>
      <c r="G5585" s="5"/>
      <c r="H5585" s="7" t="s">
        <v>5626</v>
      </c>
      <c r="I5585" s="9">
        <v>1558300</v>
      </c>
      <c r="J5585" s="10">
        <v>0.0383</v>
      </c>
    </row>
    <row r="5586" spans="1:10">
      <c r="A5586" s="7" t="s">
        <v>5620</v>
      </c>
      <c r="B5586" s="7" t="s">
        <v>7453</v>
      </c>
      <c r="C5586" s="8">
        <f>QS.CONTEXT.CREATE("market.5584",A5586,"USD","SOFR")</f>
        <v/>
      </c>
      <c r="D5586" s="8">
        <f>QS.CONTEXT.ADD.CURVE(C5586,"SOFR",$K$2:$K$7,$L$2:$L$7,,,"Actual360","LogLinear",TRUE)</f>
        <v/>
      </c>
      <c r="E5586" s="8">
        <f>QS.INSTRUMENT.SWAP("swap.5584",C5586,H5586,B5586,"USD","SOFR",I5586,J5586,0,"Actual360","Simple","Annual","Annual","Annual")</f>
        <v/>
      </c>
      <c r="F5586" s="8">
        <f>QS.TRADE.CREATE("trade.5584",C5586,E5586,A5586,"Receive")</f>
        <v/>
      </c>
      <c r="G5586" s="5"/>
      <c r="H5586" s="7" t="s">
        <v>5627</v>
      </c>
      <c r="I5586" s="9">
        <v>1558400</v>
      </c>
      <c r="J5586" s="10">
        <v>0.0384</v>
      </c>
    </row>
    <row r="5587" spans="1:10">
      <c r="A5587" s="7" t="s">
        <v>5621</v>
      </c>
      <c r="B5587" s="7" t="s">
        <v>7454</v>
      </c>
      <c r="C5587" s="8">
        <f>QS.CONTEXT.CREATE("market.5585",A5587,"USD","SOFR")</f>
        <v/>
      </c>
      <c r="D5587" s="8">
        <f>QS.CONTEXT.ADD.CURVE(C5587,"SOFR",$K$2:$K$7,$L$2:$L$7,,,"Actual360","LogLinear",TRUE)</f>
        <v/>
      </c>
      <c r="E5587" s="8">
        <f>QS.INSTRUMENT.SWAP("swap.5585",C5587,H5587,B5587,"USD","SOFR",I5587,J5587,0,"Actual360","Simple","Annual","Annual","Annual")</f>
        <v/>
      </c>
      <c r="F5587" s="8">
        <f>QS.TRADE.CREATE("trade.5585",C5587,E5587,A5587,"Receive")</f>
        <v/>
      </c>
      <c r="G5587" s="5"/>
      <c r="H5587" s="7" t="s">
        <v>5628</v>
      </c>
      <c r="I5587" s="9">
        <v>1558500</v>
      </c>
      <c r="J5587" s="10">
        <v>0.03850000000000001</v>
      </c>
    </row>
    <row r="5588" spans="1:10">
      <c r="A5588" s="7" t="s">
        <v>5622</v>
      </c>
      <c r="B5588" s="7" t="s">
        <v>7455</v>
      </c>
      <c r="C5588" s="8">
        <f>QS.CONTEXT.CREATE("market.5586",A5588,"USD","SOFR")</f>
        <v/>
      </c>
      <c r="D5588" s="8">
        <f>QS.CONTEXT.ADD.CURVE(C5588,"SOFR",$K$2:$K$7,$L$2:$L$7,,,"Actual360","LogLinear",TRUE)</f>
        <v/>
      </c>
      <c r="E5588" s="8">
        <f>QS.INSTRUMENT.SWAP("swap.5586",C5588,H5588,B5588,"USD","SOFR",I5588,J5588,0,"Actual360","Simple","Annual","Annual","Annual")</f>
        <v/>
      </c>
      <c r="F5588" s="8">
        <f>QS.TRADE.CREATE("trade.5586",C5588,E5588,A5588,"Receive")</f>
        <v/>
      </c>
      <c r="G5588" s="5"/>
      <c r="H5588" s="7" t="s">
        <v>5629</v>
      </c>
      <c r="I5588" s="9">
        <v>1558600</v>
      </c>
      <c r="J5588" s="10">
        <v>0.0386</v>
      </c>
    </row>
    <row r="5589" spans="1:10">
      <c r="A5589" s="7" t="s">
        <v>5623</v>
      </c>
      <c r="B5589" s="7" t="s">
        <v>7456</v>
      </c>
      <c r="C5589" s="8">
        <f>QS.CONTEXT.CREATE("market.5587",A5589,"USD","SOFR")</f>
        <v/>
      </c>
      <c r="D5589" s="8">
        <f>QS.CONTEXT.ADD.CURVE(C5589,"SOFR",$K$2:$K$7,$L$2:$L$7,,,"Actual360","LogLinear",TRUE)</f>
        <v/>
      </c>
      <c r="E5589" s="8">
        <f>QS.INSTRUMENT.SWAP("swap.5587",C5589,H5589,B5589,"USD","SOFR",I5589,J5589,0,"Actual360","Simple","Annual","Annual","Annual")</f>
        <v/>
      </c>
      <c r="F5589" s="8">
        <f>QS.TRADE.CREATE("trade.5587",C5589,E5589,A5589,"Receive")</f>
        <v/>
      </c>
      <c r="G5589" s="5"/>
      <c r="H5589" s="7" t="s">
        <v>5630</v>
      </c>
      <c r="I5589" s="9">
        <v>1558700</v>
      </c>
      <c r="J5589" s="10">
        <v>0.03870000000000001</v>
      </c>
    </row>
    <row r="5590" spans="1:10">
      <c r="A5590" s="7" t="s">
        <v>5624</v>
      </c>
      <c r="B5590" s="7" t="s">
        <v>7457</v>
      </c>
      <c r="C5590" s="8">
        <f>QS.CONTEXT.CREATE("market.5588",A5590,"USD","SOFR")</f>
        <v/>
      </c>
      <c r="D5590" s="8">
        <f>QS.CONTEXT.ADD.CURVE(C5590,"SOFR",$K$2:$K$7,$L$2:$L$7,,,"Actual360","LogLinear",TRUE)</f>
        <v/>
      </c>
      <c r="E5590" s="8">
        <f>QS.INSTRUMENT.SWAP("swap.5588",C5590,H5590,B5590,"USD","SOFR",I5590,J5590,0,"Actual360","Simple","Annual","Annual","Annual")</f>
        <v/>
      </c>
      <c r="F5590" s="8">
        <f>QS.TRADE.CREATE("trade.5588",C5590,E5590,A5590,"Receive")</f>
        <v/>
      </c>
      <c r="G5590" s="5"/>
      <c r="H5590" s="7" t="s">
        <v>5631</v>
      </c>
      <c r="I5590" s="9">
        <v>1558800</v>
      </c>
      <c r="J5590" s="10">
        <v>0.0388</v>
      </c>
    </row>
    <row r="5591" spans="1:10">
      <c r="A5591" s="7" t="s">
        <v>5625</v>
      </c>
      <c r="B5591" s="7" t="s">
        <v>7458</v>
      </c>
      <c r="C5591" s="8">
        <f>QS.CONTEXT.CREATE("market.5589",A5591,"USD","SOFR")</f>
        <v/>
      </c>
      <c r="D5591" s="8">
        <f>QS.CONTEXT.ADD.CURVE(C5591,"SOFR",$K$2:$K$7,$L$2:$L$7,,,"Actual360","LogLinear",TRUE)</f>
        <v/>
      </c>
      <c r="E5591" s="8">
        <f>QS.INSTRUMENT.SWAP("swap.5589",C5591,H5591,B5591,"USD","SOFR",I5591,J5591,0,"Actual360","Simple","Annual","Annual","Annual")</f>
        <v/>
      </c>
      <c r="F5591" s="8">
        <f>QS.TRADE.CREATE("trade.5589",C5591,E5591,A5591,"Receive")</f>
        <v/>
      </c>
      <c r="G5591" s="5"/>
      <c r="H5591" s="7" t="s">
        <v>5632</v>
      </c>
      <c r="I5591" s="9">
        <v>1558900</v>
      </c>
      <c r="J5591" s="10">
        <v>0.0389</v>
      </c>
    </row>
    <row r="5592" spans="1:10">
      <c r="A5592" s="7" t="s">
        <v>5626</v>
      </c>
      <c r="B5592" s="7" t="s">
        <v>7459</v>
      </c>
      <c r="C5592" s="8">
        <f>QS.CONTEXT.CREATE("market.5590",A5592,"USD","SOFR")</f>
        <v/>
      </c>
      <c r="D5592" s="8">
        <f>QS.CONTEXT.ADD.CURVE(C5592,"SOFR",$K$2:$K$7,$L$2:$L$7,,,"Actual360","LogLinear",TRUE)</f>
        <v/>
      </c>
      <c r="E5592" s="8">
        <f>QS.INSTRUMENT.SWAP("swap.5590",C5592,H5592,B5592,"USD","SOFR",I5592,J5592,0,"Actual360","Simple","Annual","Annual","Annual")</f>
        <v/>
      </c>
      <c r="F5592" s="8">
        <f>QS.TRADE.CREATE("trade.5590",C5592,E5592,A5592,"Receive")</f>
        <v/>
      </c>
      <c r="G5592" s="5"/>
      <c r="H5592" s="7" t="s">
        <v>5633</v>
      </c>
      <c r="I5592" s="9">
        <v>1559000</v>
      </c>
      <c r="J5592" s="10">
        <v>0.03900000000000001</v>
      </c>
    </row>
    <row r="5593" spans="1:10">
      <c r="A5593" s="7" t="s">
        <v>5627</v>
      </c>
      <c r="B5593" s="7" t="s">
        <v>7460</v>
      </c>
      <c r="C5593" s="8">
        <f>QS.CONTEXT.CREATE("market.5591",A5593,"USD","SOFR")</f>
        <v/>
      </c>
      <c r="D5593" s="8">
        <f>QS.CONTEXT.ADD.CURVE(C5593,"SOFR",$K$2:$K$7,$L$2:$L$7,,,"Actual360","LogLinear",TRUE)</f>
        <v/>
      </c>
      <c r="E5593" s="8">
        <f>QS.INSTRUMENT.SWAP("swap.5591",C5593,H5593,B5593,"USD","SOFR",I5593,J5593,0,"Actual360","Simple","Annual","Annual","Annual")</f>
        <v/>
      </c>
      <c r="F5593" s="8">
        <f>QS.TRADE.CREATE("trade.5591",C5593,E5593,A5593,"Receive")</f>
        <v/>
      </c>
      <c r="G5593" s="5"/>
      <c r="H5593" s="7" t="s">
        <v>5634</v>
      </c>
      <c r="I5593" s="9">
        <v>1559100</v>
      </c>
      <c r="J5593" s="10">
        <v>0.0391</v>
      </c>
    </row>
    <row r="5594" spans="1:10">
      <c r="A5594" s="7" t="s">
        <v>5628</v>
      </c>
      <c r="B5594" s="7" t="s">
        <v>7461</v>
      </c>
      <c r="C5594" s="8">
        <f>QS.CONTEXT.CREATE("market.5592",A5594,"USD","SOFR")</f>
        <v/>
      </c>
      <c r="D5594" s="8">
        <f>QS.CONTEXT.ADD.CURVE(C5594,"SOFR",$K$2:$K$7,$L$2:$L$7,,,"Actual360","LogLinear",TRUE)</f>
        <v/>
      </c>
      <c r="E5594" s="8">
        <f>QS.INSTRUMENT.SWAP("swap.5592",C5594,H5594,B5594,"USD","SOFR",I5594,J5594,0,"Actual360","Simple","Annual","Annual","Annual")</f>
        <v/>
      </c>
      <c r="F5594" s="8">
        <f>QS.TRADE.CREATE("trade.5592",C5594,E5594,A5594,"Receive")</f>
        <v/>
      </c>
      <c r="G5594" s="5"/>
      <c r="H5594" s="7" t="s">
        <v>5635</v>
      </c>
      <c r="I5594" s="9">
        <v>1559200</v>
      </c>
      <c r="J5594" s="10">
        <v>0.03920000000000001</v>
      </c>
    </row>
    <row r="5595" spans="1:10">
      <c r="A5595" s="7" t="s">
        <v>5629</v>
      </c>
      <c r="B5595" s="7" t="s">
        <v>7462</v>
      </c>
      <c r="C5595" s="8">
        <f>QS.CONTEXT.CREATE("market.5593",A5595,"USD","SOFR")</f>
        <v/>
      </c>
      <c r="D5595" s="8">
        <f>QS.CONTEXT.ADD.CURVE(C5595,"SOFR",$K$2:$K$7,$L$2:$L$7,,,"Actual360","LogLinear",TRUE)</f>
        <v/>
      </c>
      <c r="E5595" s="8">
        <f>QS.INSTRUMENT.SWAP("swap.5593",C5595,H5595,B5595,"USD","SOFR",I5595,J5595,0,"Actual360","Simple","Annual","Annual","Annual")</f>
        <v/>
      </c>
      <c r="F5595" s="8">
        <f>QS.TRADE.CREATE("trade.5593",C5595,E5595,A5595,"Receive")</f>
        <v/>
      </c>
      <c r="G5595" s="5"/>
      <c r="H5595" s="7" t="s">
        <v>5636</v>
      </c>
      <c r="I5595" s="9">
        <v>1559300</v>
      </c>
      <c r="J5595" s="10">
        <v>0.0393</v>
      </c>
    </row>
    <row r="5596" spans="1:10">
      <c r="A5596" s="7" t="s">
        <v>5630</v>
      </c>
      <c r="B5596" s="7" t="s">
        <v>7463</v>
      </c>
      <c r="C5596" s="8">
        <f>QS.CONTEXT.CREATE("market.5594",A5596,"USD","SOFR")</f>
        <v/>
      </c>
      <c r="D5596" s="8">
        <f>QS.CONTEXT.ADD.CURVE(C5596,"SOFR",$K$2:$K$7,$L$2:$L$7,,,"Actual360","LogLinear",TRUE)</f>
        <v/>
      </c>
      <c r="E5596" s="8">
        <f>QS.INSTRUMENT.SWAP("swap.5594",C5596,H5596,B5596,"USD","SOFR",I5596,J5596,0,"Actual360","Simple","Annual","Annual","Annual")</f>
        <v/>
      </c>
      <c r="F5596" s="8">
        <f>QS.TRADE.CREATE("trade.5594",C5596,E5596,A5596,"Receive")</f>
        <v/>
      </c>
      <c r="G5596" s="5"/>
      <c r="H5596" s="7" t="s">
        <v>5637</v>
      </c>
      <c r="I5596" s="9">
        <v>1559400</v>
      </c>
      <c r="J5596" s="10">
        <v>0.0394</v>
      </c>
    </row>
    <row r="5597" spans="1:10">
      <c r="A5597" s="7" t="s">
        <v>5631</v>
      </c>
      <c r="B5597" s="7" t="s">
        <v>7464</v>
      </c>
      <c r="C5597" s="8">
        <f>QS.CONTEXT.CREATE("market.5595",A5597,"USD","SOFR")</f>
        <v/>
      </c>
      <c r="D5597" s="8">
        <f>QS.CONTEXT.ADD.CURVE(C5597,"SOFR",$K$2:$K$7,$L$2:$L$7,,,"Actual360","LogLinear",TRUE)</f>
        <v/>
      </c>
      <c r="E5597" s="8">
        <f>QS.INSTRUMENT.SWAP("swap.5595",C5597,H5597,B5597,"USD","SOFR",I5597,J5597,0,"Actual360","Simple","Annual","Annual","Annual")</f>
        <v/>
      </c>
      <c r="F5597" s="8">
        <f>QS.TRADE.CREATE("trade.5595",C5597,E5597,A5597,"Receive")</f>
        <v/>
      </c>
      <c r="G5597" s="5"/>
      <c r="H5597" s="7" t="s">
        <v>5638</v>
      </c>
      <c r="I5597" s="9">
        <v>1559500</v>
      </c>
      <c r="J5597" s="10">
        <v>0.03950000000000001</v>
      </c>
    </row>
    <row r="5598" spans="1:10">
      <c r="A5598" s="7" t="s">
        <v>5632</v>
      </c>
      <c r="B5598" s="7" t="s">
        <v>7465</v>
      </c>
      <c r="C5598" s="8">
        <f>QS.CONTEXT.CREATE("market.5596",A5598,"USD","SOFR")</f>
        <v/>
      </c>
      <c r="D5598" s="8">
        <f>QS.CONTEXT.ADD.CURVE(C5598,"SOFR",$K$2:$K$7,$L$2:$L$7,,,"Actual360","LogLinear",TRUE)</f>
        <v/>
      </c>
      <c r="E5598" s="8">
        <f>QS.INSTRUMENT.SWAP("swap.5596",C5598,H5598,B5598,"USD","SOFR",I5598,J5598,0,"Actual360","Simple","Annual","Annual","Annual")</f>
        <v/>
      </c>
      <c r="F5598" s="8">
        <f>QS.TRADE.CREATE("trade.5596",C5598,E5598,A5598,"Receive")</f>
        <v/>
      </c>
      <c r="G5598" s="5"/>
      <c r="H5598" s="7" t="s">
        <v>5639</v>
      </c>
      <c r="I5598" s="9">
        <v>1559600</v>
      </c>
      <c r="J5598" s="10">
        <v>0.0396</v>
      </c>
    </row>
    <row r="5599" spans="1:10">
      <c r="A5599" s="7" t="s">
        <v>5633</v>
      </c>
      <c r="B5599" s="7" t="s">
        <v>7466</v>
      </c>
      <c r="C5599" s="8">
        <f>QS.CONTEXT.CREATE("market.5597",A5599,"USD","SOFR")</f>
        <v/>
      </c>
      <c r="D5599" s="8">
        <f>QS.CONTEXT.ADD.CURVE(C5599,"SOFR",$K$2:$K$7,$L$2:$L$7,,,"Actual360","LogLinear",TRUE)</f>
        <v/>
      </c>
      <c r="E5599" s="8">
        <f>QS.INSTRUMENT.SWAP("swap.5597",C5599,H5599,B5599,"USD","SOFR",I5599,J5599,0,"Actual360","Simple","Annual","Annual","Annual")</f>
        <v/>
      </c>
      <c r="F5599" s="8">
        <f>QS.TRADE.CREATE("trade.5597",C5599,E5599,A5599,"Receive")</f>
        <v/>
      </c>
      <c r="G5599" s="5"/>
      <c r="H5599" s="7" t="s">
        <v>5640</v>
      </c>
      <c r="I5599" s="9">
        <v>1559700</v>
      </c>
      <c r="J5599" s="10">
        <v>0.03970000000000001</v>
      </c>
    </row>
    <row r="5600" spans="1:10">
      <c r="A5600" s="7" t="s">
        <v>5634</v>
      </c>
      <c r="B5600" s="7" t="s">
        <v>7467</v>
      </c>
      <c r="C5600" s="8">
        <f>QS.CONTEXT.CREATE("market.5598",A5600,"USD","SOFR")</f>
        <v/>
      </c>
      <c r="D5600" s="8">
        <f>QS.CONTEXT.ADD.CURVE(C5600,"SOFR",$K$2:$K$7,$L$2:$L$7,,,"Actual360","LogLinear",TRUE)</f>
        <v/>
      </c>
      <c r="E5600" s="8">
        <f>QS.INSTRUMENT.SWAP("swap.5598",C5600,H5600,B5600,"USD","SOFR",I5600,J5600,0,"Actual360","Simple","Annual","Annual","Annual")</f>
        <v/>
      </c>
      <c r="F5600" s="8">
        <f>QS.TRADE.CREATE("trade.5598",C5600,E5600,A5600,"Receive")</f>
        <v/>
      </c>
      <c r="G5600" s="5"/>
      <c r="H5600" s="7" t="s">
        <v>5641</v>
      </c>
      <c r="I5600" s="9">
        <v>1559800</v>
      </c>
      <c r="J5600" s="10">
        <v>0.0398</v>
      </c>
    </row>
    <row r="5601" spans="1:10">
      <c r="A5601" s="7" t="s">
        <v>5635</v>
      </c>
      <c r="B5601" s="7" t="s">
        <v>7468</v>
      </c>
      <c r="C5601" s="8">
        <f>QS.CONTEXT.CREATE("market.5599",A5601,"USD","SOFR")</f>
        <v/>
      </c>
      <c r="D5601" s="8">
        <f>QS.CONTEXT.ADD.CURVE(C5601,"SOFR",$K$2:$K$7,$L$2:$L$7,,,"Actual360","LogLinear",TRUE)</f>
        <v/>
      </c>
      <c r="E5601" s="8">
        <f>QS.INSTRUMENT.SWAP("swap.5599",C5601,H5601,B5601,"USD","SOFR",I5601,J5601,0,"Actual360","Simple","Annual","Annual","Annual")</f>
        <v/>
      </c>
      <c r="F5601" s="8">
        <f>QS.TRADE.CREATE("trade.5599",C5601,E5601,A5601,"Receive")</f>
        <v/>
      </c>
      <c r="G5601" s="5"/>
      <c r="H5601" s="7" t="s">
        <v>5642</v>
      </c>
      <c r="I5601" s="9">
        <v>1559900</v>
      </c>
      <c r="J5601" s="10">
        <v>0.0399</v>
      </c>
    </row>
    <row r="5602" spans="1:10">
      <c r="A5602" s="7" t="s">
        <v>5636</v>
      </c>
      <c r="B5602" s="7" t="s">
        <v>7469</v>
      </c>
      <c r="C5602" s="8">
        <f>QS.CONTEXT.CREATE("market.5600",A5602,"USD","SOFR")</f>
        <v/>
      </c>
      <c r="D5602" s="8">
        <f>QS.CONTEXT.ADD.CURVE(C5602,"SOFR",$K$2:$K$7,$L$2:$L$7,,,"Actual360","LogLinear",TRUE)</f>
        <v/>
      </c>
      <c r="E5602" s="8">
        <f>QS.INSTRUMENT.SWAP("swap.5600",C5602,H5602,B5602,"USD","SOFR",I5602,J5602,0,"Actual360","Simple","Annual","Annual","Annual")</f>
        <v/>
      </c>
      <c r="F5602" s="8">
        <f>QS.TRADE.CREATE("trade.5600",C5602,E5602,A5602,"Receive")</f>
        <v/>
      </c>
      <c r="G5602" s="5"/>
      <c r="H5602" s="7" t="s">
        <v>5643</v>
      </c>
      <c r="I5602" s="9">
        <v>1560000</v>
      </c>
      <c r="J5602" s="10">
        <v>0.035</v>
      </c>
    </row>
    <row r="5603" spans="1:10">
      <c r="A5603" s="7" t="s">
        <v>5637</v>
      </c>
      <c r="B5603" s="7" t="s">
        <v>7470</v>
      </c>
      <c r="C5603" s="8">
        <f>QS.CONTEXT.CREATE("market.5601",A5603,"USD","SOFR")</f>
        <v/>
      </c>
      <c r="D5603" s="8">
        <f>QS.CONTEXT.ADD.CURVE(C5603,"SOFR",$K$2:$K$7,$L$2:$L$7,,,"Actual360","LogLinear",TRUE)</f>
        <v/>
      </c>
      <c r="E5603" s="8">
        <f>QS.INSTRUMENT.SWAP("swap.5601",C5603,H5603,B5603,"USD","SOFR",I5603,J5603,0,"Actual360","Simple","Annual","Annual","Annual")</f>
        <v/>
      </c>
      <c r="F5603" s="8">
        <f>QS.TRADE.CREATE("trade.5601",C5603,E5603,A5603,"Receive")</f>
        <v/>
      </c>
      <c r="G5603" s="5"/>
      <c r="H5603" s="7" t="s">
        <v>5644</v>
      </c>
      <c r="I5603" s="9">
        <v>1560100</v>
      </c>
      <c r="J5603" s="10">
        <v>0.03510000000000001</v>
      </c>
    </row>
    <row r="5604" spans="1:10">
      <c r="A5604" s="7" t="s">
        <v>5638</v>
      </c>
      <c r="B5604" s="7" t="s">
        <v>7471</v>
      </c>
      <c r="C5604" s="8">
        <f>QS.CONTEXT.CREATE("market.5602",A5604,"USD","SOFR")</f>
        <v/>
      </c>
      <c r="D5604" s="8">
        <f>QS.CONTEXT.ADD.CURVE(C5604,"SOFR",$K$2:$K$7,$L$2:$L$7,,,"Actual360","LogLinear",TRUE)</f>
        <v/>
      </c>
      <c r="E5604" s="8">
        <f>QS.INSTRUMENT.SWAP("swap.5602",C5604,H5604,B5604,"USD","SOFR",I5604,J5604,0,"Actual360","Simple","Annual","Annual","Annual")</f>
        <v/>
      </c>
      <c r="F5604" s="8">
        <f>QS.TRADE.CREATE("trade.5602",C5604,E5604,A5604,"Receive")</f>
        <v/>
      </c>
      <c r="G5604" s="5"/>
      <c r="H5604" s="7" t="s">
        <v>5645</v>
      </c>
      <c r="I5604" s="9">
        <v>1560200</v>
      </c>
      <c r="J5604" s="10">
        <v>0.0352</v>
      </c>
    </row>
    <row r="5605" spans="1:10">
      <c r="A5605" s="7" t="s">
        <v>5639</v>
      </c>
      <c r="B5605" s="7" t="s">
        <v>7472</v>
      </c>
      <c r="C5605" s="8">
        <f>QS.CONTEXT.CREATE("market.5603",A5605,"USD","SOFR")</f>
        <v/>
      </c>
      <c r="D5605" s="8">
        <f>QS.CONTEXT.ADD.CURVE(C5605,"SOFR",$K$2:$K$7,$L$2:$L$7,,,"Actual360","LogLinear",TRUE)</f>
        <v/>
      </c>
      <c r="E5605" s="8">
        <f>QS.INSTRUMENT.SWAP("swap.5603",C5605,H5605,B5605,"USD","SOFR",I5605,J5605,0,"Actual360","Simple","Annual","Annual","Annual")</f>
        <v/>
      </c>
      <c r="F5605" s="8">
        <f>QS.TRADE.CREATE("trade.5603",C5605,E5605,A5605,"Receive")</f>
        <v/>
      </c>
      <c r="G5605" s="5"/>
      <c r="H5605" s="7" t="s">
        <v>5646</v>
      </c>
      <c r="I5605" s="9">
        <v>1560300</v>
      </c>
      <c r="J5605" s="10">
        <v>0.0353</v>
      </c>
    </row>
    <row r="5606" spans="1:10">
      <c r="A5606" s="7" t="s">
        <v>5640</v>
      </c>
      <c r="B5606" s="7" t="s">
        <v>7473</v>
      </c>
      <c r="C5606" s="8">
        <f>QS.CONTEXT.CREATE("market.5604",A5606,"USD","SOFR")</f>
        <v/>
      </c>
      <c r="D5606" s="8">
        <f>QS.CONTEXT.ADD.CURVE(C5606,"SOFR",$K$2:$K$7,$L$2:$L$7,,,"Actual360","LogLinear",TRUE)</f>
        <v/>
      </c>
      <c r="E5606" s="8">
        <f>QS.INSTRUMENT.SWAP("swap.5604",C5606,H5606,B5606,"USD","SOFR",I5606,J5606,0,"Actual360","Simple","Annual","Annual","Annual")</f>
        <v/>
      </c>
      <c r="F5606" s="8">
        <f>QS.TRADE.CREATE("trade.5604",C5606,E5606,A5606,"Receive")</f>
        <v/>
      </c>
      <c r="G5606" s="5"/>
      <c r="H5606" s="7" t="s">
        <v>5647</v>
      </c>
      <c r="I5606" s="9">
        <v>1560400</v>
      </c>
      <c r="J5606" s="10">
        <v>0.0354</v>
      </c>
    </row>
    <row r="5607" spans="1:10">
      <c r="A5607" s="7" t="s">
        <v>5641</v>
      </c>
      <c r="B5607" s="7" t="s">
        <v>7474</v>
      </c>
      <c r="C5607" s="8">
        <f>QS.CONTEXT.CREATE("market.5605",A5607,"USD","SOFR")</f>
        <v/>
      </c>
      <c r="D5607" s="8">
        <f>QS.CONTEXT.ADD.CURVE(C5607,"SOFR",$K$2:$K$7,$L$2:$L$7,,,"Actual360","LogLinear",TRUE)</f>
        <v/>
      </c>
      <c r="E5607" s="8">
        <f>QS.INSTRUMENT.SWAP("swap.5605",C5607,H5607,B5607,"USD","SOFR",I5607,J5607,0,"Actual360","Simple","Annual","Annual","Annual")</f>
        <v/>
      </c>
      <c r="F5607" s="8">
        <f>QS.TRADE.CREATE("trade.5605",C5607,E5607,A5607,"Receive")</f>
        <v/>
      </c>
      <c r="G5607" s="5"/>
      <c r="H5607" s="7" t="s">
        <v>5648</v>
      </c>
      <c r="I5607" s="9">
        <v>1560500</v>
      </c>
      <c r="J5607" s="10">
        <v>0.0355</v>
      </c>
    </row>
    <row r="5608" spans="1:10">
      <c r="A5608" s="7" t="s">
        <v>5642</v>
      </c>
      <c r="B5608" s="7" t="s">
        <v>7475</v>
      </c>
      <c r="C5608" s="8">
        <f>QS.CONTEXT.CREATE("market.5606",A5608,"USD","SOFR")</f>
        <v/>
      </c>
      <c r="D5608" s="8">
        <f>QS.CONTEXT.ADD.CURVE(C5608,"SOFR",$K$2:$K$7,$L$2:$L$7,,,"Actual360","LogLinear",TRUE)</f>
        <v/>
      </c>
      <c r="E5608" s="8">
        <f>QS.INSTRUMENT.SWAP("swap.5606",C5608,H5608,B5608,"USD","SOFR",I5608,J5608,0,"Actual360","Simple","Annual","Annual","Annual")</f>
        <v/>
      </c>
      <c r="F5608" s="8">
        <f>QS.TRADE.CREATE("trade.5606",C5608,E5608,A5608,"Receive")</f>
        <v/>
      </c>
      <c r="G5608" s="5"/>
      <c r="H5608" s="7" t="s">
        <v>5649</v>
      </c>
      <c r="I5608" s="9">
        <v>1560600</v>
      </c>
      <c r="J5608" s="10">
        <v>0.03560000000000001</v>
      </c>
    </row>
    <row r="5609" spans="1:10">
      <c r="A5609" s="7" t="s">
        <v>5643</v>
      </c>
      <c r="B5609" s="7" t="s">
        <v>7476</v>
      </c>
      <c r="C5609" s="8">
        <f>QS.CONTEXT.CREATE("market.5607",A5609,"USD","SOFR")</f>
        <v/>
      </c>
      <c r="D5609" s="8">
        <f>QS.CONTEXT.ADD.CURVE(C5609,"SOFR",$K$2:$K$7,$L$2:$L$7,,,"Actual360","LogLinear",TRUE)</f>
        <v/>
      </c>
      <c r="E5609" s="8">
        <f>QS.INSTRUMENT.SWAP("swap.5607",C5609,H5609,B5609,"USD","SOFR",I5609,J5609,0,"Actual360","Simple","Annual","Annual","Annual")</f>
        <v/>
      </c>
      <c r="F5609" s="8">
        <f>QS.TRADE.CREATE("trade.5607",C5609,E5609,A5609,"Receive")</f>
        <v/>
      </c>
      <c r="G5609" s="5"/>
      <c r="H5609" s="7" t="s">
        <v>5650</v>
      </c>
      <c r="I5609" s="9">
        <v>1560700</v>
      </c>
      <c r="J5609" s="10">
        <v>0.0357</v>
      </c>
    </row>
    <row r="5610" spans="1:10">
      <c r="A5610" s="7" t="s">
        <v>5644</v>
      </c>
      <c r="B5610" s="7" t="s">
        <v>7477</v>
      </c>
      <c r="C5610" s="8">
        <f>QS.CONTEXT.CREATE("market.5608",A5610,"USD","SOFR")</f>
        <v/>
      </c>
      <c r="D5610" s="8">
        <f>QS.CONTEXT.ADD.CURVE(C5610,"SOFR",$K$2:$K$7,$L$2:$L$7,,,"Actual360","LogLinear",TRUE)</f>
        <v/>
      </c>
      <c r="E5610" s="8">
        <f>QS.INSTRUMENT.SWAP("swap.5608",C5610,H5610,B5610,"USD","SOFR",I5610,J5610,0,"Actual360","Simple","Annual","Annual","Annual")</f>
        <v/>
      </c>
      <c r="F5610" s="8">
        <f>QS.TRADE.CREATE("trade.5608",C5610,E5610,A5610,"Receive")</f>
        <v/>
      </c>
      <c r="G5610" s="5"/>
      <c r="H5610" s="7" t="s">
        <v>5651</v>
      </c>
      <c r="I5610" s="9">
        <v>1560800</v>
      </c>
      <c r="J5610" s="10">
        <v>0.03580000000000001</v>
      </c>
    </row>
    <row r="5611" spans="1:10">
      <c r="A5611" s="7" t="s">
        <v>5645</v>
      </c>
      <c r="B5611" s="7" t="s">
        <v>7478</v>
      </c>
      <c r="C5611" s="8">
        <f>QS.CONTEXT.CREATE("market.5609",A5611,"USD","SOFR")</f>
        <v/>
      </c>
      <c r="D5611" s="8">
        <f>QS.CONTEXT.ADD.CURVE(C5611,"SOFR",$K$2:$K$7,$L$2:$L$7,,,"Actual360","LogLinear",TRUE)</f>
        <v/>
      </c>
      <c r="E5611" s="8">
        <f>QS.INSTRUMENT.SWAP("swap.5609",C5611,H5611,B5611,"USD","SOFR",I5611,J5611,0,"Actual360","Simple","Annual","Annual","Annual")</f>
        <v/>
      </c>
      <c r="F5611" s="8">
        <f>QS.TRADE.CREATE("trade.5609",C5611,E5611,A5611,"Receive")</f>
        <v/>
      </c>
      <c r="G5611" s="5"/>
      <c r="H5611" s="7" t="s">
        <v>5652</v>
      </c>
      <c r="I5611" s="9">
        <v>1560900</v>
      </c>
      <c r="J5611" s="10">
        <v>0.0359</v>
      </c>
    </row>
    <row r="5612" spans="1:10">
      <c r="A5612" s="7" t="s">
        <v>5646</v>
      </c>
      <c r="B5612" s="7" t="s">
        <v>7479</v>
      </c>
      <c r="C5612" s="8">
        <f>QS.CONTEXT.CREATE("market.5610",A5612,"USD","SOFR")</f>
        <v/>
      </c>
      <c r="D5612" s="8">
        <f>QS.CONTEXT.ADD.CURVE(C5612,"SOFR",$K$2:$K$7,$L$2:$L$7,,,"Actual360","LogLinear",TRUE)</f>
        <v/>
      </c>
      <c r="E5612" s="8">
        <f>QS.INSTRUMENT.SWAP("swap.5610",C5612,H5612,B5612,"USD","SOFR",I5612,J5612,0,"Actual360","Simple","Annual","Annual","Annual")</f>
        <v/>
      </c>
      <c r="F5612" s="8">
        <f>QS.TRADE.CREATE("trade.5610",C5612,E5612,A5612,"Receive")</f>
        <v/>
      </c>
      <c r="G5612" s="5"/>
      <c r="H5612" s="7" t="s">
        <v>5653</v>
      </c>
      <c r="I5612" s="9">
        <v>1561000</v>
      </c>
      <c r="J5612" s="10">
        <v>0.036</v>
      </c>
    </row>
    <row r="5613" spans="1:10">
      <c r="A5613" s="7" t="s">
        <v>5647</v>
      </c>
      <c r="B5613" s="7" t="s">
        <v>7480</v>
      </c>
      <c r="C5613" s="8">
        <f>QS.CONTEXT.CREATE("market.5611",A5613,"USD","SOFR")</f>
        <v/>
      </c>
      <c r="D5613" s="8">
        <f>QS.CONTEXT.ADD.CURVE(C5613,"SOFR",$K$2:$K$7,$L$2:$L$7,,,"Actual360","LogLinear",TRUE)</f>
        <v/>
      </c>
      <c r="E5613" s="8">
        <f>QS.INSTRUMENT.SWAP("swap.5611",C5613,H5613,B5613,"USD","SOFR",I5613,J5613,0,"Actual360","Simple","Annual","Annual","Annual")</f>
        <v/>
      </c>
      <c r="F5613" s="8">
        <f>QS.TRADE.CREATE("trade.5611",C5613,E5613,A5613,"Receive")</f>
        <v/>
      </c>
      <c r="G5613" s="5"/>
      <c r="H5613" s="7" t="s">
        <v>5654</v>
      </c>
      <c r="I5613" s="9">
        <v>1561100</v>
      </c>
      <c r="J5613" s="10">
        <v>0.0361</v>
      </c>
    </row>
    <row r="5614" spans="1:10">
      <c r="A5614" s="7" t="s">
        <v>5648</v>
      </c>
      <c r="B5614" s="7" t="s">
        <v>7481</v>
      </c>
      <c r="C5614" s="8">
        <f>QS.CONTEXT.CREATE("market.5612",A5614,"USD","SOFR")</f>
        <v/>
      </c>
      <c r="D5614" s="8">
        <f>QS.CONTEXT.ADD.CURVE(C5614,"SOFR",$K$2:$K$7,$L$2:$L$7,,,"Actual360","LogLinear",TRUE)</f>
        <v/>
      </c>
      <c r="E5614" s="8">
        <f>QS.INSTRUMENT.SWAP("swap.5612",C5614,H5614,B5614,"USD","SOFR",I5614,J5614,0,"Actual360","Simple","Annual","Annual","Annual")</f>
        <v/>
      </c>
      <c r="F5614" s="8">
        <f>QS.TRADE.CREATE("trade.5612",C5614,E5614,A5614,"Receive")</f>
        <v/>
      </c>
      <c r="G5614" s="5"/>
      <c r="H5614" s="7" t="s">
        <v>5655</v>
      </c>
      <c r="I5614" s="9">
        <v>1561200</v>
      </c>
      <c r="J5614" s="10">
        <v>0.0362</v>
      </c>
    </row>
    <row r="5615" spans="1:10">
      <c r="A5615" s="7" t="s">
        <v>5649</v>
      </c>
      <c r="B5615" s="7" t="s">
        <v>7482</v>
      </c>
      <c r="C5615" s="8">
        <f>QS.CONTEXT.CREATE("market.5613",A5615,"USD","SOFR")</f>
        <v/>
      </c>
      <c r="D5615" s="8">
        <f>QS.CONTEXT.ADD.CURVE(C5615,"SOFR",$K$2:$K$7,$L$2:$L$7,,,"Actual360","LogLinear",TRUE)</f>
        <v/>
      </c>
      <c r="E5615" s="8">
        <f>QS.INSTRUMENT.SWAP("swap.5613",C5615,H5615,B5615,"USD","SOFR",I5615,J5615,0,"Actual360","Simple","Annual","Annual","Annual")</f>
        <v/>
      </c>
      <c r="F5615" s="8">
        <f>QS.TRADE.CREATE("trade.5613",C5615,E5615,A5615,"Receive")</f>
        <v/>
      </c>
      <c r="G5615" s="5"/>
      <c r="H5615" s="7" t="s">
        <v>5656</v>
      </c>
      <c r="I5615" s="9">
        <v>1561300</v>
      </c>
      <c r="J5615" s="10">
        <v>0.03630000000000001</v>
      </c>
    </row>
    <row r="5616" spans="1:10">
      <c r="A5616" s="7" t="s">
        <v>5650</v>
      </c>
      <c r="B5616" s="7" t="s">
        <v>7483</v>
      </c>
      <c r="C5616" s="8">
        <f>QS.CONTEXT.CREATE("market.5614",A5616,"USD","SOFR")</f>
        <v/>
      </c>
      <c r="D5616" s="8">
        <f>QS.CONTEXT.ADD.CURVE(C5616,"SOFR",$K$2:$K$7,$L$2:$L$7,,,"Actual360","LogLinear",TRUE)</f>
        <v/>
      </c>
      <c r="E5616" s="8">
        <f>QS.INSTRUMENT.SWAP("swap.5614",C5616,H5616,B5616,"USD","SOFR",I5616,J5616,0,"Actual360","Simple","Annual","Annual","Annual")</f>
        <v/>
      </c>
      <c r="F5616" s="8">
        <f>QS.TRADE.CREATE("trade.5614",C5616,E5616,A5616,"Receive")</f>
        <v/>
      </c>
      <c r="G5616" s="5"/>
      <c r="H5616" s="7" t="s">
        <v>5657</v>
      </c>
      <c r="I5616" s="9">
        <v>1561400</v>
      </c>
      <c r="J5616" s="10">
        <v>0.0364</v>
      </c>
    </row>
    <row r="5617" spans="1:10">
      <c r="A5617" s="7" t="s">
        <v>5651</v>
      </c>
      <c r="B5617" s="7" t="s">
        <v>7484</v>
      </c>
      <c r="C5617" s="8">
        <f>QS.CONTEXT.CREATE("market.5615",A5617,"USD","SOFR")</f>
        <v/>
      </c>
      <c r="D5617" s="8">
        <f>QS.CONTEXT.ADD.CURVE(C5617,"SOFR",$K$2:$K$7,$L$2:$L$7,,,"Actual360","LogLinear",TRUE)</f>
        <v/>
      </c>
      <c r="E5617" s="8">
        <f>QS.INSTRUMENT.SWAP("swap.5615",C5617,H5617,B5617,"USD","SOFR",I5617,J5617,0,"Actual360","Simple","Annual","Annual","Annual")</f>
        <v/>
      </c>
      <c r="F5617" s="8">
        <f>QS.TRADE.CREATE("trade.5615",C5617,E5617,A5617,"Receive")</f>
        <v/>
      </c>
      <c r="G5617" s="5"/>
      <c r="H5617" s="7" t="s">
        <v>5658</v>
      </c>
      <c r="I5617" s="9">
        <v>1561500</v>
      </c>
      <c r="J5617" s="10">
        <v>0.0365</v>
      </c>
    </row>
    <row r="5618" spans="1:10">
      <c r="A5618" s="7" t="s">
        <v>5652</v>
      </c>
      <c r="B5618" s="7" t="s">
        <v>7485</v>
      </c>
      <c r="C5618" s="8">
        <f>QS.CONTEXT.CREATE("market.5616",A5618,"USD","SOFR")</f>
        <v/>
      </c>
      <c r="D5618" s="8">
        <f>QS.CONTEXT.ADD.CURVE(C5618,"SOFR",$K$2:$K$7,$L$2:$L$7,,,"Actual360","LogLinear",TRUE)</f>
        <v/>
      </c>
      <c r="E5618" s="8">
        <f>QS.INSTRUMENT.SWAP("swap.5616",C5618,H5618,B5618,"USD","SOFR",I5618,J5618,0,"Actual360","Simple","Annual","Annual","Annual")</f>
        <v/>
      </c>
      <c r="F5618" s="8">
        <f>QS.TRADE.CREATE("trade.5616",C5618,E5618,A5618,"Receive")</f>
        <v/>
      </c>
      <c r="G5618" s="5"/>
      <c r="H5618" s="7" t="s">
        <v>5659</v>
      </c>
      <c r="I5618" s="9">
        <v>1561600</v>
      </c>
      <c r="J5618" s="10">
        <v>0.0366</v>
      </c>
    </row>
    <row r="5619" spans="1:10">
      <c r="A5619" s="7" t="s">
        <v>5653</v>
      </c>
      <c r="B5619" s="7" t="s">
        <v>7486</v>
      </c>
      <c r="C5619" s="8">
        <f>QS.CONTEXT.CREATE("market.5617",A5619,"USD","SOFR")</f>
        <v/>
      </c>
      <c r="D5619" s="8">
        <f>QS.CONTEXT.ADD.CURVE(C5619,"SOFR",$K$2:$K$7,$L$2:$L$7,,,"Actual360","LogLinear",TRUE)</f>
        <v/>
      </c>
      <c r="E5619" s="8">
        <f>QS.INSTRUMENT.SWAP("swap.5617",C5619,H5619,B5619,"USD","SOFR",I5619,J5619,0,"Actual360","Simple","Annual","Annual","Annual")</f>
        <v/>
      </c>
      <c r="F5619" s="8">
        <f>QS.TRADE.CREATE("trade.5617",C5619,E5619,A5619,"Receive")</f>
        <v/>
      </c>
      <c r="G5619" s="5"/>
      <c r="H5619" s="7" t="s">
        <v>5660</v>
      </c>
      <c r="I5619" s="9">
        <v>1561700</v>
      </c>
      <c r="J5619" s="10">
        <v>0.0367</v>
      </c>
    </row>
    <row r="5620" spans="1:10">
      <c r="A5620" s="7" t="s">
        <v>5654</v>
      </c>
      <c r="B5620" s="7" t="s">
        <v>7487</v>
      </c>
      <c r="C5620" s="8">
        <f>QS.CONTEXT.CREATE("market.5618",A5620,"USD","SOFR")</f>
        <v/>
      </c>
      <c r="D5620" s="8">
        <f>QS.CONTEXT.ADD.CURVE(C5620,"SOFR",$K$2:$K$7,$L$2:$L$7,,,"Actual360","LogLinear",TRUE)</f>
        <v/>
      </c>
      <c r="E5620" s="8">
        <f>QS.INSTRUMENT.SWAP("swap.5618",C5620,H5620,B5620,"USD","SOFR",I5620,J5620,0,"Actual360","Simple","Annual","Annual","Annual")</f>
        <v/>
      </c>
      <c r="F5620" s="8">
        <f>QS.TRADE.CREATE("trade.5618",C5620,E5620,A5620,"Receive")</f>
        <v/>
      </c>
      <c r="G5620" s="5"/>
      <c r="H5620" s="7" t="s">
        <v>5661</v>
      </c>
      <c r="I5620" s="9">
        <v>1561800</v>
      </c>
      <c r="J5620" s="10">
        <v>0.03680000000000001</v>
      </c>
    </row>
    <row r="5621" spans="1:10">
      <c r="A5621" s="7" t="s">
        <v>5655</v>
      </c>
      <c r="B5621" s="7" t="s">
        <v>7488</v>
      </c>
      <c r="C5621" s="8">
        <f>QS.CONTEXT.CREATE("market.5619",A5621,"USD","SOFR")</f>
        <v/>
      </c>
      <c r="D5621" s="8">
        <f>QS.CONTEXT.ADD.CURVE(C5621,"SOFR",$K$2:$K$7,$L$2:$L$7,,,"Actual360","LogLinear",TRUE)</f>
        <v/>
      </c>
      <c r="E5621" s="8">
        <f>QS.INSTRUMENT.SWAP("swap.5619",C5621,H5621,B5621,"USD","SOFR",I5621,J5621,0,"Actual360","Simple","Annual","Annual","Annual")</f>
        <v/>
      </c>
      <c r="F5621" s="8">
        <f>QS.TRADE.CREATE("trade.5619",C5621,E5621,A5621,"Receive")</f>
        <v/>
      </c>
      <c r="G5621" s="5"/>
      <c r="H5621" s="7" t="s">
        <v>5662</v>
      </c>
      <c r="I5621" s="9">
        <v>1561900</v>
      </c>
      <c r="J5621" s="10">
        <v>0.0369</v>
      </c>
    </row>
    <row r="5622" spans="1:10">
      <c r="A5622" s="7" t="s">
        <v>5656</v>
      </c>
      <c r="B5622" s="7" t="s">
        <v>7489</v>
      </c>
      <c r="C5622" s="8">
        <f>QS.CONTEXT.CREATE("market.5620",A5622,"USD","SOFR")</f>
        <v/>
      </c>
      <c r="D5622" s="8">
        <f>QS.CONTEXT.ADD.CURVE(C5622,"SOFR",$K$2:$K$7,$L$2:$L$7,,,"Actual360","LogLinear",TRUE)</f>
        <v/>
      </c>
      <c r="E5622" s="8">
        <f>QS.INSTRUMENT.SWAP("swap.5620",C5622,H5622,B5622,"USD","SOFR",I5622,J5622,0,"Actual360","Simple","Annual","Annual","Annual")</f>
        <v/>
      </c>
      <c r="F5622" s="8">
        <f>QS.TRADE.CREATE("trade.5620",C5622,E5622,A5622,"Receive")</f>
        <v/>
      </c>
      <c r="G5622" s="5"/>
      <c r="H5622" s="7" t="s">
        <v>5663</v>
      </c>
      <c r="I5622" s="9">
        <v>1562000</v>
      </c>
      <c r="J5622" s="10">
        <v>0.03700000000000001</v>
      </c>
    </row>
    <row r="5623" spans="1:10">
      <c r="A5623" s="7" t="s">
        <v>5657</v>
      </c>
      <c r="B5623" s="7" t="s">
        <v>7490</v>
      </c>
      <c r="C5623" s="8">
        <f>QS.CONTEXT.CREATE("market.5621",A5623,"USD","SOFR")</f>
        <v/>
      </c>
      <c r="D5623" s="8">
        <f>QS.CONTEXT.ADD.CURVE(C5623,"SOFR",$K$2:$K$7,$L$2:$L$7,,,"Actual360","LogLinear",TRUE)</f>
        <v/>
      </c>
      <c r="E5623" s="8">
        <f>QS.INSTRUMENT.SWAP("swap.5621",C5623,H5623,B5623,"USD","SOFR",I5623,J5623,0,"Actual360","Simple","Annual","Annual","Annual")</f>
        <v/>
      </c>
      <c r="F5623" s="8">
        <f>QS.TRADE.CREATE("trade.5621",C5623,E5623,A5623,"Receive")</f>
        <v/>
      </c>
      <c r="G5623" s="5"/>
      <c r="H5623" s="7" t="s">
        <v>5664</v>
      </c>
      <c r="I5623" s="9">
        <v>1562100</v>
      </c>
      <c r="J5623" s="10">
        <v>0.0371</v>
      </c>
    </row>
    <row r="5624" spans="1:10">
      <c r="A5624" s="7" t="s">
        <v>5658</v>
      </c>
      <c r="B5624" s="7" t="s">
        <v>7491</v>
      </c>
      <c r="C5624" s="8">
        <f>QS.CONTEXT.CREATE("market.5622",A5624,"USD","SOFR")</f>
        <v/>
      </c>
      <c r="D5624" s="8">
        <f>QS.CONTEXT.ADD.CURVE(C5624,"SOFR",$K$2:$K$7,$L$2:$L$7,,,"Actual360","LogLinear",TRUE)</f>
        <v/>
      </c>
      <c r="E5624" s="8">
        <f>QS.INSTRUMENT.SWAP("swap.5622",C5624,H5624,B5624,"USD","SOFR",I5624,J5624,0,"Actual360","Simple","Annual","Annual","Annual")</f>
        <v/>
      </c>
      <c r="F5624" s="8">
        <f>QS.TRADE.CREATE("trade.5622",C5624,E5624,A5624,"Receive")</f>
        <v/>
      </c>
      <c r="G5624" s="5"/>
      <c r="H5624" s="7" t="s">
        <v>5665</v>
      </c>
      <c r="I5624" s="9">
        <v>1562200</v>
      </c>
      <c r="J5624" s="10">
        <v>0.0372</v>
      </c>
    </row>
    <row r="5625" spans="1:10">
      <c r="A5625" s="7" t="s">
        <v>5659</v>
      </c>
      <c r="B5625" s="7" t="s">
        <v>7492</v>
      </c>
      <c r="C5625" s="8">
        <f>QS.CONTEXT.CREATE("market.5623",A5625,"USD","SOFR")</f>
        <v/>
      </c>
      <c r="D5625" s="8">
        <f>QS.CONTEXT.ADD.CURVE(C5625,"SOFR",$K$2:$K$7,$L$2:$L$7,,,"Actual360","LogLinear",TRUE)</f>
        <v/>
      </c>
      <c r="E5625" s="8">
        <f>QS.INSTRUMENT.SWAP("swap.5623",C5625,H5625,B5625,"USD","SOFR",I5625,J5625,0,"Actual360","Simple","Annual","Annual","Annual")</f>
        <v/>
      </c>
      <c r="F5625" s="8">
        <f>QS.TRADE.CREATE("trade.5623",C5625,E5625,A5625,"Receive")</f>
        <v/>
      </c>
      <c r="G5625" s="5"/>
      <c r="H5625" s="7" t="s">
        <v>5666</v>
      </c>
      <c r="I5625" s="9">
        <v>1562300</v>
      </c>
      <c r="J5625" s="10">
        <v>0.0373</v>
      </c>
    </row>
    <row r="5626" spans="1:10">
      <c r="A5626" s="7" t="s">
        <v>5660</v>
      </c>
      <c r="B5626" s="7" t="s">
        <v>7493</v>
      </c>
      <c r="C5626" s="8">
        <f>QS.CONTEXT.CREATE("market.5624",A5626,"USD","SOFR")</f>
        <v/>
      </c>
      <c r="D5626" s="8">
        <f>QS.CONTEXT.ADD.CURVE(C5626,"SOFR",$K$2:$K$7,$L$2:$L$7,,,"Actual360","LogLinear",TRUE)</f>
        <v/>
      </c>
      <c r="E5626" s="8">
        <f>QS.INSTRUMENT.SWAP("swap.5624",C5626,H5626,B5626,"USD","SOFR",I5626,J5626,0,"Actual360","Simple","Annual","Annual","Annual")</f>
        <v/>
      </c>
      <c r="F5626" s="8">
        <f>QS.TRADE.CREATE("trade.5624",C5626,E5626,A5626,"Receive")</f>
        <v/>
      </c>
      <c r="G5626" s="5"/>
      <c r="H5626" s="7" t="s">
        <v>5667</v>
      </c>
      <c r="I5626" s="9">
        <v>1562400</v>
      </c>
      <c r="J5626" s="10">
        <v>0.0374</v>
      </c>
    </row>
    <row r="5627" spans="1:10">
      <c r="A5627" s="7" t="s">
        <v>5661</v>
      </c>
      <c r="B5627" s="7" t="s">
        <v>7494</v>
      </c>
      <c r="C5627" s="8">
        <f>QS.CONTEXT.CREATE("market.5625",A5627,"USD","SOFR")</f>
        <v/>
      </c>
      <c r="D5627" s="8">
        <f>QS.CONTEXT.ADD.CURVE(C5627,"SOFR",$K$2:$K$7,$L$2:$L$7,,,"Actual360","LogLinear",TRUE)</f>
        <v/>
      </c>
      <c r="E5627" s="8">
        <f>QS.INSTRUMENT.SWAP("swap.5625",C5627,H5627,B5627,"USD","SOFR",I5627,J5627,0,"Actual360","Simple","Annual","Annual","Annual")</f>
        <v/>
      </c>
      <c r="F5627" s="8">
        <f>QS.TRADE.CREATE("trade.5625",C5627,E5627,A5627,"Receive")</f>
        <v/>
      </c>
      <c r="G5627" s="5"/>
      <c r="H5627" s="7" t="s">
        <v>5668</v>
      </c>
      <c r="I5627" s="9">
        <v>1562500</v>
      </c>
      <c r="J5627" s="10">
        <v>0.03750000000000001</v>
      </c>
    </row>
    <row r="5628" spans="1:10">
      <c r="A5628" s="7" t="s">
        <v>5662</v>
      </c>
      <c r="B5628" s="7" t="s">
        <v>7495</v>
      </c>
      <c r="C5628" s="8">
        <f>QS.CONTEXT.CREATE("market.5626",A5628,"USD","SOFR")</f>
        <v/>
      </c>
      <c r="D5628" s="8">
        <f>QS.CONTEXT.ADD.CURVE(C5628,"SOFR",$K$2:$K$7,$L$2:$L$7,,,"Actual360","LogLinear",TRUE)</f>
        <v/>
      </c>
      <c r="E5628" s="8">
        <f>QS.INSTRUMENT.SWAP("swap.5626",C5628,H5628,B5628,"USD","SOFR",I5628,J5628,0,"Actual360","Simple","Annual","Annual","Annual")</f>
        <v/>
      </c>
      <c r="F5628" s="8">
        <f>QS.TRADE.CREATE("trade.5626",C5628,E5628,A5628,"Receive")</f>
        <v/>
      </c>
      <c r="G5628" s="5"/>
      <c r="H5628" s="7" t="s">
        <v>5669</v>
      </c>
      <c r="I5628" s="9">
        <v>1562600</v>
      </c>
      <c r="J5628" s="10">
        <v>0.0376</v>
      </c>
    </row>
    <row r="5629" spans="1:10">
      <c r="A5629" s="7" t="s">
        <v>5663</v>
      </c>
      <c r="B5629" s="7" t="s">
        <v>7496</v>
      </c>
      <c r="C5629" s="8">
        <f>QS.CONTEXT.CREATE("market.5627",A5629,"USD","SOFR")</f>
        <v/>
      </c>
      <c r="D5629" s="8">
        <f>QS.CONTEXT.ADD.CURVE(C5629,"SOFR",$K$2:$K$7,$L$2:$L$7,,,"Actual360","LogLinear",TRUE)</f>
        <v/>
      </c>
      <c r="E5629" s="8">
        <f>QS.INSTRUMENT.SWAP("swap.5627",C5629,H5629,B5629,"USD","SOFR",I5629,J5629,0,"Actual360","Simple","Annual","Annual","Annual")</f>
        <v/>
      </c>
      <c r="F5629" s="8">
        <f>QS.TRADE.CREATE("trade.5627",C5629,E5629,A5629,"Receive")</f>
        <v/>
      </c>
      <c r="G5629" s="5"/>
      <c r="H5629" s="7" t="s">
        <v>5670</v>
      </c>
      <c r="I5629" s="9">
        <v>1562700</v>
      </c>
      <c r="J5629" s="10">
        <v>0.0377</v>
      </c>
    </row>
    <row r="5630" spans="1:10">
      <c r="A5630" s="7" t="s">
        <v>5664</v>
      </c>
      <c r="B5630" s="7" t="s">
        <v>7497</v>
      </c>
      <c r="C5630" s="8">
        <f>QS.CONTEXT.CREATE("market.5628",A5630,"USD","SOFR")</f>
        <v/>
      </c>
      <c r="D5630" s="8">
        <f>QS.CONTEXT.ADD.CURVE(C5630,"SOFR",$K$2:$K$7,$L$2:$L$7,,,"Actual360","LogLinear",TRUE)</f>
        <v/>
      </c>
      <c r="E5630" s="8">
        <f>QS.INSTRUMENT.SWAP("swap.5628",C5630,H5630,B5630,"USD","SOFR",I5630,J5630,0,"Actual360","Simple","Annual","Annual","Annual")</f>
        <v/>
      </c>
      <c r="F5630" s="8">
        <f>QS.TRADE.CREATE("trade.5628",C5630,E5630,A5630,"Receive")</f>
        <v/>
      </c>
      <c r="G5630" s="5"/>
      <c r="H5630" s="7" t="s">
        <v>5671</v>
      </c>
      <c r="I5630" s="9">
        <v>1562800</v>
      </c>
      <c r="J5630" s="10">
        <v>0.0378</v>
      </c>
    </row>
    <row r="5631" spans="1:10">
      <c r="A5631" s="7" t="s">
        <v>5665</v>
      </c>
      <c r="B5631" s="7" t="s">
        <v>7498</v>
      </c>
      <c r="C5631" s="8">
        <f>QS.CONTEXT.CREATE("market.5629",A5631,"USD","SOFR")</f>
        <v/>
      </c>
      <c r="D5631" s="8">
        <f>QS.CONTEXT.ADD.CURVE(C5631,"SOFR",$K$2:$K$7,$L$2:$L$7,,,"Actual360","LogLinear",TRUE)</f>
        <v/>
      </c>
      <c r="E5631" s="8">
        <f>QS.INSTRUMENT.SWAP("swap.5629",C5631,H5631,B5631,"USD","SOFR",I5631,J5631,0,"Actual360","Simple","Annual","Annual","Annual")</f>
        <v/>
      </c>
      <c r="F5631" s="8">
        <f>QS.TRADE.CREATE("trade.5629",C5631,E5631,A5631,"Receive")</f>
        <v/>
      </c>
      <c r="G5631" s="5"/>
      <c r="H5631" s="7" t="s">
        <v>5672</v>
      </c>
      <c r="I5631" s="9">
        <v>1562900</v>
      </c>
      <c r="J5631" s="10">
        <v>0.0379</v>
      </c>
    </row>
    <row r="5632" spans="1:10">
      <c r="A5632" s="7" t="s">
        <v>5666</v>
      </c>
      <c r="B5632" s="7" t="s">
        <v>7499</v>
      </c>
      <c r="C5632" s="8">
        <f>QS.CONTEXT.CREATE("market.5630",A5632,"USD","SOFR")</f>
        <v/>
      </c>
      <c r="D5632" s="8">
        <f>QS.CONTEXT.ADD.CURVE(C5632,"SOFR",$K$2:$K$7,$L$2:$L$7,,,"Actual360","LogLinear",TRUE)</f>
        <v/>
      </c>
      <c r="E5632" s="8">
        <f>QS.INSTRUMENT.SWAP("swap.5630",C5632,H5632,B5632,"USD","SOFR",I5632,J5632,0,"Actual360","Simple","Annual","Annual","Annual")</f>
        <v/>
      </c>
      <c r="F5632" s="8">
        <f>QS.TRADE.CREATE("trade.5630",C5632,E5632,A5632,"Receive")</f>
        <v/>
      </c>
      <c r="G5632" s="5"/>
      <c r="H5632" s="7" t="s">
        <v>5673</v>
      </c>
      <c r="I5632" s="9">
        <v>1563000</v>
      </c>
      <c r="J5632" s="10">
        <v>0.03800000000000001</v>
      </c>
    </row>
    <row r="5633" spans="1:10">
      <c r="A5633" s="7" t="s">
        <v>5667</v>
      </c>
      <c r="B5633" s="7" t="s">
        <v>7500</v>
      </c>
      <c r="C5633" s="8">
        <f>QS.CONTEXT.CREATE("market.5631",A5633,"USD","SOFR")</f>
        <v/>
      </c>
      <c r="D5633" s="8">
        <f>QS.CONTEXT.ADD.CURVE(C5633,"SOFR",$K$2:$K$7,$L$2:$L$7,,,"Actual360","LogLinear",TRUE)</f>
        <v/>
      </c>
      <c r="E5633" s="8">
        <f>QS.INSTRUMENT.SWAP("swap.5631",C5633,H5633,B5633,"USD","SOFR",I5633,J5633,0,"Actual360","Simple","Annual","Annual","Annual")</f>
        <v/>
      </c>
      <c r="F5633" s="8">
        <f>QS.TRADE.CREATE("trade.5631",C5633,E5633,A5633,"Receive")</f>
        <v/>
      </c>
      <c r="G5633" s="5"/>
      <c r="H5633" s="7" t="s">
        <v>5674</v>
      </c>
      <c r="I5633" s="9">
        <v>1563100</v>
      </c>
      <c r="J5633" s="10">
        <v>0.0381</v>
      </c>
    </row>
    <row r="5634" spans="1:10">
      <c r="A5634" s="7" t="s">
        <v>5668</v>
      </c>
      <c r="B5634" s="7" t="s">
        <v>7501</v>
      </c>
      <c r="C5634" s="8">
        <f>QS.CONTEXT.CREATE("market.5632",A5634,"USD","SOFR")</f>
        <v/>
      </c>
      <c r="D5634" s="8">
        <f>QS.CONTEXT.ADD.CURVE(C5634,"SOFR",$K$2:$K$7,$L$2:$L$7,,,"Actual360","LogLinear",TRUE)</f>
        <v/>
      </c>
      <c r="E5634" s="8">
        <f>QS.INSTRUMENT.SWAP("swap.5632",C5634,H5634,B5634,"USD","SOFR",I5634,J5634,0,"Actual360","Simple","Annual","Annual","Annual")</f>
        <v/>
      </c>
      <c r="F5634" s="8">
        <f>QS.TRADE.CREATE("trade.5632",C5634,E5634,A5634,"Receive")</f>
        <v/>
      </c>
      <c r="G5634" s="5"/>
      <c r="H5634" s="7" t="s">
        <v>5675</v>
      </c>
      <c r="I5634" s="9">
        <v>1563200</v>
      </c>
      <c r="J5634" s="10">
        <v>0.0382</v>
      </c>
    </row>
    <row r="5635" spans="1:10">
      <c r="A5635" s="7" t="s">
        <v>5669</v>
      </c>
      <c r="B5635" s="7" t="s">
        <v>7502</v>
      </c>
      <c r="C5635" s="8">
        <f>QS.CONTEXT.CREATE("market.5633",A5635,"USD","SOFR")</f>
        <v/>
      </c>
      <c r="D5635" s="8">
        <f>QS.CONTEXT.ADD.CURVE(C5635,"SOFR",$K$2:$K$7,$L$2:$L$7,,,"Actual360","LogLinear",TRUE)</f>
        <v/>
      </c>
      <c r="E5635" s="8">
        <f>QS.INSTRUMENT.SWAP("swap.5633",C5635,H5635,B5635,"USD","SOFR",I5635,J5635,0,"Actual360","Simple","Annual","Annual","Annual")</f>
        <v/>
      </c>
      <c r="F5635" s="8">
        <f>QS.TRADE.CREATE("trade.5633",C5635,E5635,A5635,"Receive")</f>
        <v/>
      </c>
      <c r="G5635" s="5"/>
      <c r="H5635" s="7" t="s">
        <v>5676</v>
      </c>
      <c r="I5635" s="9">
        <v>1563300</v>
      </c>
      <c r="J5635" s="10">
        <v>0.0383</v>
      </c>
    </row>
    <row r="5636" spans="1:10">
      <c r="A5636" s="7" t="s">
        <v>5670</v>
      </c>
      <c r="B5636" s="7" t="s">
        <v>7503</v>
      </c>
      <c r="C5636" s="8">
        <f>QS.CONTEXT.CREATE("market.5634",A5636,"USD","SOFR")</f>
        <v/>
      </c>
      <c r="D5636" s="8">
        <f>QS.CONTEXT.ADD.CURVE(C5636,"SOFR",$K$2:$K$7,$L$2:$L$7,,,"Actual360","LogLinear",TRUE)</f>
        <v/>
      </c>
      <c r="E5636" s="8">
        <f>QS.INSTRUMENT.SWAP("swap.5634",C5636,H5636,B5636,"USD","SOFR",I5636,J5636,0,"Actual360","Simple","Annual","Annual","Annual")</f>
        <v/>
      </c>
      <c r="F5636" s="8">
        <f>QS.TRADE.CREATE("trade.5634",C5636,E5636,A5636,"Receive")</f>
        <v/>
      </c>
      <c r="G5636" s="5"/>
      <c r="H5636" s="7" t="s">
        <v>5677</v>
      </c>
      <c r="I5636" s="9">
        <v>1563400</v>
      </c>
      <c r="J5636" s="10">
        <v>0.0384</v>
      </c>
    </row>
    <row r="5637" spans="1:10">
      <c r="A5637" s="7" t="s">
        <v>5671</v>
      </c>
      <c r="B5637" s="7" t="s">
        <v>7504</v>
      </c>
      <c r="C5637" s="8">
        <f>QS.CONTEXT.CREATE("market.5635",A5637,"USD","SOFR")</f>
        <v/>
      </c>
      <c r="D5637" s="8">
        <f>QS.CONTEXT.ADD.CURVE(C5637,"SOFR",$K$2:$K$7,$L$2:$L$7,,,"Actual360","LogLinear",TRUE)</f>
        <v/>
      </c>
      <c r="E5637" s="8">
        <f>QS.INSTRUMENT.SWAP("swap.5635",C5637,H5637,B5637,"USD","SOFR",I5637,J5637,0,"Actual360","Simple","Annual","Annual","Annual")</f>
        <v/>
      </c>
      <c r="F5637" s="8">
        <f>QS.TRADE.CREATE("trade.5635",C5637,E5637,A5637,"Receive")</f>
        <v/>
      </c>
      <c r="G5637" s="5"/>
      <c r="H5637" s="7" t="s">
        <v>5678</v>
      </c>
      <c r="I5637" s="9">
        <v>1563500</v>
      </c>
      <c r="J5637" s="10">
        <v>0.03850000000000001</v>
      </c>
    </row>
    <row r="5638" spans="1:10">
      <c r="A5638" s="7" t="s">
        <v>5672</v>
      </c>
      <c r="B5638" s="7" t="s">
        <v>7505</v>
      </c>
      <c r="C5638" s="8">
        <f>QS.CONTEXT.CREATE("market.5636",A5638,"USD","SOFR")</f>
        <v/>
      </c>
      <c r="D5638" s="8">
        <f>QS.CONTEXT.ADD.CURVE(C5638,"SOFR",$K$2:$K$7,$L$2:$L$7,,,"Actual360","LogLinear",TRUE)</f>
        <v/>
      </c>
      <c r="E5638" s="8">
        <f>QS.INSTRUMENT.SWAP("swap.5636",C5638,H5638,B5638,"USD","SOFR",I5638,J5638,0,"Actual360","Simple","Annual","Annual","Annual")</f>
        <v/>
      </c>
      <c r="F5638" s="8">
        <f>QS.TRADE.CREATE("trade.5636",C5638,E5638,A5638,"Receive")</f>
        <v/>
      </c>
      <c r="G5638" s="5"/>
      <c r="H5638" s="7" t="s">
        <v>5679</v>
      </c>
      <c r="I5638" s="9">
        <v>1563600</v>
      </c>
      <c r="J5638" s="10">
        <v>0.0386</v>
      </c>
    </row>
    <row r="5639" spans="1:10">
      <c r="A5639" s="7" t="s">
        <v>5673</v>
      </c>
      <c r="B5639" s="7" t="s">
        <v>7506</v>
      </c>
      <c r="C5639" s="8">
        <f>QS.CONTEXT.CREATE("market.5637",A5639,"USD","SOFR")</f>
        <v/>
      </c>
      <c r="D5639" s="8">
        <f>QS.CONTEXT.ADD.CURVE(C5639,"SOFR",$K$2:$K$7,$L$2:$L$7,,,"Actual360","LogLinear",TRUE)</f>
        <v/>
      </c>
      <c r="E5639" s="8">
        <f>QS.INSTRUMENT.SWAP("swap.5637",C5639,H5639,B5639,"USD","SOFR",I5639,J5639,0,"Actual360","Simple","Annual","Annual","Annual")</f>
        <v/>
      </c>
      <c r="F5639" s="8">
        <f>QS.TRADE.CREATE("trade.5637",C5639,E5639,A5639,"Receive")</f>
        <v/>
      </c>
      <c r="G5639" s="5"/>
      <c r="H5639" s="7" t="s">
        <v>5680</v>
      </c>
      <c r="I5639" s="9">
        <v>1563700</v>
      </c>
      <c r="J5639" s="10">
        <v>0.03870000000000001</v>
      </c>
    </row>
    <row r="5640" spans="1:10">
      <c r="A5640" s="7" t="s">
        <v>5674</v>
      </c>
      <c r="B5640" s="7" t="s">
        <v>7507</v>
      </c>
      <c r="C5640" s="8">
        <f>QS.CONTEXT.CREATE("market.5638",A5640,"USD","SOFR")</f>
        <v/>
      </c>
      <c r="D5640" s="8">
        <f>QS.CONTEXT.ADD.CURVE(C5640,"SOFR",$K$2:$K$7,$L$2:$L$7,,,"Actual360","LogLinear",TRUE)</f>
        <v/>
      </c>
      <c r="E5640" s="8">
        <f>QS.INSTRUMENT.SWAP("swap.5638",C5640,H5640,B5640,"USD","SOFR",I5640,J5640,0,"Actual360","Simple","Annual","Annual","Annual")</f>
        <v/>
      </c>
      <c r="F5640" s="8">
        <f>QS.TRADE.CREATE("trade.5638",C5640,E5640,A5640,"Receive")</f>
        <v/>
      </c>
      <c r="G5640" s="5"/>
      <c r="H5640" s="7" t="s">
        <v>5681</v>
      </c>
      <c r="I5640" s="9">
        <v>1563800</v>
      </c>
      <c r="J5640" s="10">
        <v>0.0388</v>
      </c>
    </row>
    <row r="5641" spans="1:10">
      <c r="A5641" s="7" t="s">
        <v>5675</v>
      </c>
      <c r="B5641" s="7" t="s">
        <v>7508</v>
      </c>
      <c r="C5641" s="8">
        <f>QS.CONTEXT.CREATE("market.5639",A5641,"USD","SOFR")</f>
        <v/>
      </c>
      <c r="D5641" s="8">
        <f>QS.CONTEXT.ADD.CURVE(C5641,"SOFR",$K$2:$K$7,$L$2:$L$7,,,"Actual360","LogLinear",TRUE)</f>
        <v/>
      </c>
      <c r="E5641" s="8">
        <f>QS.INSTRUMENT.SWAP("swap.5639",C5641,H5641,B5641,"USD","SOFR",I5641,J5641,0,"Actual360","Simple","Annual","Annual","Annual")</f>
        <v/>
      </c>
      <c r="F5641" s="8">
        <f>QS.TRADE.CREATE("trade.5639",C5641,E5641,A5641,"Receive")</f>
        <v/>
      </c>
      <c r="G5641" s="5"/>
      <c r="H5641" s="7" t="s">
        <v>5682</v>
      </c>
      <c r="I5641" s="9">
        <v>1563900</v>
      </c>
      <c r="J5641" s="10">
        <v>0.0389</v>
      </c>
    </row>
    <row r="5642" spans="1:10">
      <c r="A5642" s="7" t="s">
        <v>5676</v>
      </c>
      <c r="B5642" s="7" t="s">
        <v>7509</v>
      </c>
      <c r="C5642" s="8">
        <f>QS.CONTEXT.CREATE("market.5640",A5642,"USD","SOFR")</f>
        <v/>
      </c>
      <c r="D5642" s="8">
        <f>QS.CONTEXT.ADD.CURVE(C5642,"SOFR",$K$2:$K$7,$L$2:$L$7,,,"Actual360","LogLinear",TRUE)</f>
        <v/>
      </c>
      <c r="E5642" s="8">
        <f>QS.INSTRUMENT.SWAP("swap.5640",C5642,H5642,B5642,"USD","SOFR",I5642,J5642,0,"Actual360","Simple","Annual","Annual","Annual")</f>
        <v/>
      </c>
      <c r="F5642" s="8">
        <f>QS.TRADE.CREATE("trade.5640",C5642,E5642,A5642,"Receive")</f>
        <v/>
      </c>
      <c r="G5642" s="5"/>
      <c r="H5642" s="7" t="s">
        <v>5683</v>
      </c>
      <c r="I5642" s="9">
        <v>1564000</v>
      </c>
      <c r="J5642" s="10">
        <v>0.03900000000000001</v>
      </c>
    </row>
    <row r="5643" spans="1:10">
      <c r="A5643" s="7" t="s">
        <v>5677</v>
      </c>
      <c r="B5643" s="7" t="s">
        <v>7510</v>
      </c>
      <c r="C5643" s="8">
        <f>QS.CONTEXT.CREATE("market.5641",A5643,"USD","SOFR")</f>
        <v/>
      </c>
      <c r="D5643" s="8">
        <f>QS.CONTEXT.ADD.CURVE(C5643,"SOFR",$K$2:$K$7,$L$2:$L$7,,,"Actual360","LogLinear",TRUE)</f>
        <v/>
      </c>
      <c r="E5643" s="8">
        <f>QS.INSTRUMENT.SWAP("swap.5641",C5643,H5643,B5643,"USD","SOFR",I5643,J5643,0,"Actual360","Simple","Annual","Annual","Annual")</f>
        <v/>
      </c>
      <c r="F5643" s="8">
        <f>QS.TRADE.CREATE("trade.5641",C5643,E5643,A5643,"Receive")</f>
        <v/>
      </c>
      <c r="G5643" s="5"/>
      <c r="H5643" s="7" t="s">
        <v>5684</v>
      </c>
      <c r="I5643" s="9">
        <v>1564100</v>
      </c>
      <c r="J5643" s="10">
        <v>0.0391</v>
      </c>
    </row>
    <row r="5644" spans="1:10">
      <c r="A5644" s="7" t="s">
        <v>5678</v>
      </c>
      <c r="B5644" s="7" t="s">
        <v>7511</v>
      </c>
      <c r="C5644" s="8">
        <f>QS.CONTEXT.CREATE("market.5642",A5644,"USD","SOFR")</f>
        <v/>
      </c>
      <c r="D5644" s="8">
        <f>QS.CONTEXT.ADD.CURVE(C5644,"SOFR",$K$2:$K$7,$L$2:$L$7,,,"Actual360","LogLinear",TRUE)</f>
        <v/>
      </c>
      <c r="E5644" s="8">
        <f>QS.INSTRUMENT.SWAP("swap.5642",C5644,H5644,B5644,"USD","SOFR",I5644,J5644,0,"Actual360","Simple","Annual","Annual","Annual")</f>
        <v/>
      </c>
      <c r="F5644" s="8">
        <f>QS.TRADE.CREATE("trade.5642",C5644,E5644,A5644,"Receive")</f>
        <v/>
      </c>
      <c r="G5644" s="5"/>
      <c r="H5644" s="7" t="s">
        <v>5685</v>
      </c>
      <c r="I5644" s="9">
        <v>1564200</v>
      </c>
      <c r="J5644" s="10">
        <v>0.03920000000000001</v>
      </c>
    </row>
    <row r="5645" spans="1:10">
      <c r="A5645" s="7" t="s">
        <v>5679</v>
      </c>
      <c r="B5645" s="7" t="s">
        <v>7512</v>
      </c>
      <c r="C5645" s="8">
        <f>QS.CONTEXT.CREATE("market.5643",A5645,"USD","SOFR")</f>
        <v/>
      </c>
      <c r="D5645" s="8">
        <f>QS.CONTEXT.ADD.CURVE(C5645,"SOFR",$K$2:$K$7,$L$2:$L$7,,,"Actual360","LogLinear",TRUE)</f>
        <v/>
      </c>
      <c r="E5645" s="8">
        <f>QS.INSTRUMENT.SWAP("swap.5643",C5645,H5645,B5645,"USD","SOFR",I5645,J5645,0,"Actual360","Simple","Annual","Annual","Annual")</f>
        <v/>
      </c>
      <c r="F5645" s="8">
        <f>QS.TRADE.CREATE("trade.5643",C5645,E5645,A5645,"Receive")</f>
        <v/>
      </c>
      <c r="G5645" s="5"/>
      <c r="H5645" s="7" t="s">
        <v>5686</v>
      </c>
      <c r="I5645" s="9">
        <v>1564300</v>
      </c>
      <c r="J5645" s="10">
        <v>0.0393</v>
      </c>
    </row>
    <row r="5646" spans="1:10">
      <c r="A5646" s="7" t="s">
        <v>5680</v>
      </c>
      <c r="B5646" s="7" t="s">
        <v>7513</v>
      </c>
      <c r="C5646" s="8">
        <f>QS.CONTEXT.CREATE("market.5644",A5646,"USD","SOFR")</f>
        <v/>
      </c>
      <c r="D5646" s="8">
        <f>QS.CONTEXT.ADD.CURVE(C5646,"SOFR",$K$2:$K$7,$L$2:$L$7,,,"Actual360","LogLinear",TRUE)</f>
        <v/>
      </c>
      <c r="E5646" s="8">
        <f>QS.INSTRUMENT.SWAP("swap.5644",C5646,H5646,B5646,"USD","SOFR",I5646,J5646,0,"Actual360","Simple","Annual","Annual","Annual")</f>
        <v/>
      </c>
      <c r="F5646" s="8">
        <f>QS.TRADE.CREATE("trade.5644",C5646,E5646,A5646,"Receive")</f>
        <v/>
      </c>
      <c r="G5646" s="5"/>
      <c r="H5646" s="7" t="s">
        <v>5687</v>
      </c>
      <c r="I5646" s="9">
        <v>1564400</v>
      </c>
      <c r="J5646" s="10">
        <v>0.0394</v>
      </c>
    </row>
    <row r="5647" spans="1:10">
      <c r="A5647" s="7" t="s">
        <v>5681</v>
      </c>
      <c r="B5647" s="7" t="s">
        <v>7514</v>
      </c>
      <c r="C5647" s="8">
        <f>QS.CONTEXT.CREATE("market.5645",A5647,"USD","SOFR")</f>
        <v/>
      </c>
      <c r="D5647" s="8">
        <f>QS.CONTEXT.ADD.CURVE(C5647,"SOFR",$K$2:$K$7,$L$2:$L$7,,,"Actual360","LogLinear",TRUE)</f>
        <v/>
      </c>
      <c r="E5647" s="8">
        <f>QS.INSTRUMENT.SWAP("swap.5645",C5647,H5647,B5647,"USD","SOFR",I5647,J5647,0,"Actual360","Simple","Annual","Annual","Annual")</f>
        <v/>
      </c>
      <c r="F5647" s="8">
        <f>QS.TRADE.CREATE("trade.5645",C5647,E5647,A5647,"Receive")</f>
        <v/>
      </c>
      <c r="G5647" s="5"/>
      <c r="H5647" s="7" t="s">
        <v>5688</v>
      </c>
      <c r="I5647" s="9">
        <v>1564500</v>
      </c>
      <c r="J5647" s="10">
        <v>0.03950000000000001</v>
      </c>
    </row>
    <row r="5648" spans="1:10">
      <c r="A5648" s="7" t="s">
        <v>5682</v>
      </c>
      <c r="B5648" s="7" t="s">
        <v>7515</v>
      </c>
      <c r="C5648" s="8">
        <f>QS.CONTEXT.CREATE("market.5646",A5648,"USD","SOFR")</f>
        <v/>
      </c>
      <c r="D5648" s="8">
        <f>QS.CONTEXT.ADD.CURVE(C5648,"SOFR",$K$2:$K$7,$L$2:$L$7,,,"Actual360","LogLinear",TRUE)</f>
        <v/>
      </c>
      <c r="E5648" s="8">
        <f>QS.INSTRUMENT.SWAP("swap.5646",C5648,H5648,B5648,"USD","SOFR",I5648,J5648,0,"Actual360","Simple","Annual","Annual","Annual")</f>
        <v/>
      </c>
      <c r="F5648" s="8">
        <f>QS.TRADE.CREATE("trade.5646",C5648,E5648,A5648,"Receive")</f>
        <v/>
      </c>
      <c r="G5648" s="5"/>
      <c r="H5648" s="7" t="s">
        <v>5689</v>
      </c>
      <c r="I5648" s="9">
        <v>1564600</v>
      </c>
      <c r="J5648" s="10">
        <v>0.0396</v>
      </c>
    </row>
    <row r="5649" spans="1:10">
      <c r="A5649" s="7" t="s">
        <v>5683</v>
      </c>
      <c r="B5649" s="7" t="s">
        <v>7516</v>
      </c>
      <c r="C5649" s="8">
        <f>QS.CONTEXT.CREATE("market.5647",A5649,"USD","SOFR")</f>
        <v/>
      </c>
      <c r="D5649" s="8">
        <f>QS.CONTEXT.ADD.CURVE(C5649,"SOFR",$K$2:$K$7,$L$2:$L$7,,,"Actual360","LogLinear",TRUE)</f>
        <v/>
      </c>
      <c r="E5649" s="8">
        <f>QS.INSTRUMENT.SWAP("swap.5647",C5649,H5649,B5649,"USD","SOFR",I5649,J5649,0,"Actual360","Simple","Annual","Annual","Annual")</f>
        <v/>
      </c>
      <c r="F5649" s="8">
        <f>QS.TRADE.CREATE("trade.5647",C5649,E5649,A5649,"Receive")</f>
        <v/>
      </c>
      <c r="G5649" s="5"/>
      <c r="H5649" s="7" t="s">
        <v>5690</v>
      </c>
      <c r="I5649" s="9">
        <v>1564700</v>
      </c>
      <c r="J5649" s="10">
        <v>0.03970000000000001</v>
      </c>
    </row>
    <row r="5650" spans="1:10">
      <c r="A5650" s="7" t="s">
        <v>5684</v>
      </c>
      <c r="B5650" s="7" t="s">
        <v>7517</v>
      </c>
      <c r="C5650" s="8">
        <f>QS.CONTEXT.CREATE("market.5648",A5650,"USD","SOFR")</f>
        <v/>
      </c>
      <c r="D5650" s="8">
        <f>QS.CONTEXT.ADD.CURVE(C5650,"SOFR",$K$2:$K$7,$L$2:$L$7,,,"Actual360","LogLinear",TRUE)</f>
        <v/>
      </c>
      <c r="E5650" s="8">
        <f>QS.INSTRUMENT.SWAP("swap.5648",C5650,H5650,B5650,"USD","SOFR",I5650,J5650,0,"Actual360","Simple","Annual","Annual","Annual")</f>
        <v/>
      </c>
      <c r="F5650" s="8">
        <f>QS.TRADE.CREATE("trade.5648",C5650,E5650,A5650,"Receive")</f>
        <v/>
      </c>
      <c r="G5650" s="5"/>
      <c r="H5650" s="7" t="s">
        <v>5691</v>
      </c>
      <c r="I5650" s="9">
        <v>1564800</v>
      </c>
      <c r="J5650" s="10">
        <v>0.0398</v>
      </c>
    </row>
    <row r="5651" spans="1:10">
      <c r="A5651" s="7" t="s">
        <v>5685</v>
      </c>
      <c r="B5651" s="7" t="s">
        <v>7518</v>
      </c>
      <c r="C5651" s="8">
        <f>QS.CONTEXT.CREATE("market.5649",A5651,"USD","SOFR")</f>
        <v/>
      </c>
      <c r="D5651" s="8">
        <f>QS.CONTEXT.ADD.CURVE(C5651,"SOFR",$K$2:$K$7,$L$2:$L$7,,,"Actual360","LogLinear",TRUE)</f>
        <v/>
      </c>
      <c r="E5651" s="8">
        <f>QS.INSTRUMENT.SWAP("swap.5649",C5651,H5651,B5651,"USD","SOFR",I5651,J5651,0,"Actual360","Simple","Annual","Annual","Annual")</f>
        <v/>
      </c>
      <c r="F5651" s="8">
        <f>QS.TRADE.CREATE("trade.5649",C5651,E5651,A5651,"Receive")</f>
        <v/>
      </c>
      <c r="G5651" s="5"/>
      <c r="H5651" s="7" t="s">
        <v>5692</v>
      </c>
      <c r="I5651" s="9">
        <v>1564900</v>
      </c>
      <c r="J5651" s="10">
        <v>0.0399</v>
      </c>
    </row>
    <row r="5652" spans="1:10">
      <c r="A5652" s="7" t="s">
        <v>5686</v>
      </c>
      <c r="B5652" s="7" t="s">
        <v>7519</v>
      </c>
      <c r="C5652" s="8">
        <f>QS.CONTEXT.CREATE("market.5650",A5652,"USD","SOFR")</f>
        <v/>
      </c>
      <c r="D5652" s="8">
        <f>QS.CONTEXT.ADD.CURVE(C5652,"SOFR",$K$2:$K$7,$L$2:$L$7,,,"Actual360","LogLinear",TRUE)</f>
        <v/>
      </c>
      <c r="E5652" s="8">
        <f>QS.INSTRUMENT.SWAP("swap.5650",C5652,H5652,B5652,"USD","SOFR",I5652,J5652,0,"Actual360","Simple","Annual","Annual","Annual")</f>
        <v/>
      </c>
      <c r="F5652" s="8">
        <f>QS.TRADE.CREATE("trade.5650",C5652,E5652,A5652,"Receive")</f>
        <v/>
      </c>
      <c r="G5652" s="5"/>
      <c r="H5652" s="7" t="s">
        <v>5693</v>
      </c>
      <c r="I5652" s="9">
        <v>1565000</v>
      </c>
      <c r="J5652" s="10">
        <v>0.035</v>
      </c>
    </row>
    <row r="5653" spans="1:10">
      <c r="A5653" s="7" t="s">
        <v>5687</v>
      </c>
      <c r="B5653" s="7" t="s">
        <v>7520</v>
      </c>
      <c r="C5653" s="8">
        <f>QS.CONTEXT.CREATE("market.5651",A5653,"USD","SOFR")</f>
        <v/>
      </c>
      <c r="D5653" s="8">
        <f>QS.CONTEXT.ADD.CURVE(C5653,"SOFR",$K$2:$K$7,$L$2:$L$7,,,"Actual360","LogLinear",TRUE)</f>
        <v/>
      </c>
      <c r="E5653" s="8">
        <f>QS.INSTRUMENT.SWAP("swap.5651",C5653,H5653,B5653,"USD","SOFR",I5653,J5653,0,"Actual360","Simple","Annual","Annual","Annual")</f>
        <v/>
      </c>
      <c r="F5653" s="8">
        <f>QS.TRADE.CREATE("trade.5651",C5653,E5653,A5653,"Receive")</f>
        <v/>
      </c>
      <c r="G5653" s="5"/>
      <c r="H5653" s="7" t="s">
        <v>5694</v>
      </c>
      <c r="I5653" s="9">
        <v>1565100</v>
      </c>
      <c r="J5653" s="10">
        <v>0.03510000000000001</v>
      </c>
    </row>
    <row r="5654" spans="1:10">
      <c r="A5654" s="7" t="s">
        <v>5688</v>
      </c>
      <c r="B5654" s="7" t="s">
        <v>7521</v>
      </c>
      <c r="C5654" s="8">
        <f>QS.CONTEXT.CREATE("market.5652",A5654,"USD","SOFR")</f>
        <v/>
      </c>
      <c r="D5654" s="8">
        <f>QS.CONTEXT.ADD.CURVE(C5654,"SOFR",$K$2:$K$7,$L$2:$L$7,,,"Actual360","LogLinear",TRUE)</f>
        <v/>
      </c>
      <c r="E5654" s="8">
        <f>QS.INSTRUMENT.SWAP("swap.5652",C5654,H5654,B5654,"USD","SOFR",I5654,J5654,0,"Actual360","Simple","Annual","Annual","Annual")</f>
        <v/>
      </c>
      <c r="F5654" s="8">
        <f>QS.TRADE.CREATE("trade.5652",C5654,E5654,A5654,"Receive")</f>
        <v/>
      </c>
      <c r="G5654" s="5"/>
      <c r="H5654" s="7" t="s">
        <v>5695</v>
      </c>
      <c r="I5654" s="9">
        <v>1565200</v>
      </c>
      <c r="J5654" s="10">
        <v>0.0352</v>
      </c>
    </row>
    <row r="5655" spans="1:10">
      <c r="A5655" s="7" t="s">
        <v>5689</v>
      </c>
      <c r="B5655" s="7" t="s">
        <v>7522</v>
      </c>
      <c r="C5655" s="8">
        <f>QS.CONTEXT.CREATE("market.5653",A5655,"USD","SOFR")</f>
        <v/>
      </c>
      <c r="D5655" s="8">
        <f>QS.CONTEXT.ADD.CURVE(C5655,"SOFR",$K$2:$K$7,$L$2:$L$7,,,"Actual360","LogLinear",TRUE)</f>
        <v/>
      </c>
      <c r="E5655" s="8">
        <f>QS.INSTRUMENT.SWAP("swap.5653",C5655,H5655,B5655,"USD","SOFR",I5655,J5655,0,"Actual360","Simple","Annual","Annual","Annual")</f>
        <v/>
      </c>
      <c r="F5655" s="8">
        <f>QS.TRADE.CREATE("trade.5653",C5655,E5655,A5655,"Receive")</f>
        <v/>
      </c>
      <c r="G5655" s="5"/>
      <c r="H5655" s="7" t="s">
        <v>5696</v>
      </c>
      <c r="I5655" s="9">
        <v>1565300</v>
      </c>
      <c r="J5655" s="10">
        <v>0.0353</v>
      </c>
    </row>
    <row r="5656" spans="1:10">
      <c r="A5656" s="7" t="s">
        <v>5690</v>
      </c>
      <c r="B5656" s="7" t="s">
        <v>7523</v>
      </c>
      <c r="C5656" s="8">
        <f>QS.CONTEXT.CREATE("market.5654",A5656,"USD","SOFR")</f>
        <v/>
      </c>
      <c r="D5656" s="8">
        <f>QS.CONTEXT.ADD.CURVE(C5656,"SOFR",$K$2:$K$7,$L$2:$L$7,,,"Actual360","LogLinear",TRUE)</f>
        <v/>
      </c>
      <c r="E5656" s="8">
        <f>QS.INSTRUMENT.SWAP("swap.5654",C5656,H5656,B5656,"USD","SOFR",I5656,J5656,0,"Actual360","Simple","Annual","Annual","Annual")</f>
        <v/>
      </c>
      <c r="F5656" s="8">
        <f>QS.TRADE.CREATE("trade.5654",C5656,E5656,A5656,"Receive")</f>
        <v/>
      </c>
      <c r="G5656" s="5"/>
      <c r="H5656" s="7" t="s">
        <v>5697</v>
      </c>
      <c r="I5656" s="9">
        <v>1565400</v>
      </c>
      <c r="J5656" s="10">
        <v>0.0354</v>
      </c>
    </row>
    <row r="5657" spans="1:10">
      <c r="A5657" s="7" t="s">
        <v>5691</v>
      </c>
      <c r="B5657" s="7" t="s">
        <v>7524</v>
      </c>
      <c r="C5657" s="8">
        <f>QS.CONTEXT.CREATE("market.5655",A5657,"USD","SOFR")</f>
        <v/>
      </c>
      <c r="D5657" s="8">
        <f>QS.CONTEXT.ADD.CURVE(C5657,"SOFR",$K$2:$K$7,$L$2:$L$7,,,"Actual360","LogLinear",TRUE)</f>
        <v/>
      </c>
      <c r="E5657" s="8">
        <f>QS.INSTRUMENT.SWAP("swap.5655",C5657,H5657,B5657,"USD","SOFR",I5657,J5657,0,"Actual360","Simple","Annual","Annual","Annual")</f>
        <v/>
      </c>
      <c r="F5657" s="8">
        <f>QS.TRADE.CREATE("trade.5655",C5657,E5657,A5657,"Receive")</f>
        <v/>
      </c>
      <c r="G5657" s="5"/>
      <c r="H5657" s="7" t="s">
        <v>5698</v>
      </c>
      <c r="I5657" s="9">
        <v>1565500</v>
      </c>
      <c r="J5657" s="10">
        <v>0.0355</v>
      </c>
    </row>
    <row r="5658" spans="1:10">
      <c r="A5658" s="7" t="s">
        <v>5692</v>
      </c>
      <c r="B5658" s="7" t="s">
        <v>7525</v>
      </c>
      <c r="C5658" s="8">
        <f>QS.CONTEXT.CREATE("market.5656",A5658,"USD","SOFR")</f>
        <v/>
      </c>
      <c r="D5658" s="8">
        <f>QS.CONTEXT.ADD.CURVE(C5658,"SOFR",$K$2:$K$7,$L$2:$L$7,,,"Actual360","LogLinear",TRUE)</f>
        <v/>
      </c>
      <c r="E5658" s="8">
        <f>QS.INSTRUMENT.SWAP("swap.5656",C5658,H5658,B5658,"USD","SOFR",I5658,J5658,0,"Actual360","Simple","Annual","Annual","Annual")</f>
        <v/>
      </c>
      <c r="F5658" s="8">
        <f>QS.TRADE.CREATE("trade.5656",C5658,E5658,A5658,"Receive")</f>
        <v/>
      </c>
      <c r="G5658" s="5"/>
      <c r="H5658" s="7" t="s">
        <v>5699</v>
      </c>
      <c r="I5658" s="9">
        <v>1565600</v>
      </c>
      <c r="J5658" s="10">
        <v>0.03560000000000001</v>
      </c>
    </row>
    <row r="5659" spans="1:10">
      <c r="A5659" s="7" t="s">
        <v>5693</v>
      </c>
      <c r="B5659" s="7" t="s">
        <v>7526</v>
      </c>
      <c r="C5659" s="8">
        <f>QS.CONTEXT.CREATE("market.5657",A5659,"USD","SOFR")</f>
        <v/>
      </c>
      <c r="D5659" s="8">
        <f>QS.CONTEXT.ADD.CURVE(C5659,"SOFR",$K$2:$K$7,$L$2:$L$7,,,"Actual360","LogLinear",TRUE)</f>
        <v/>
      </c>
      <c r="E5659" s="8">
        <f>QS.INSTRUMENT.SWAP("swap.5657",C5659,H5659,B5659,"USD","SOFR",I5659,J5659,0,"Actual360","Simple","Annual","Annual","Annual")</f>
        <v/>
      </c>
      <c r="F5659" s="8">
        <f>QS.TRADE.CREATE("trade.5657",C5659,E5659,A5659,"Receive")</f>
        <v/>
      </c>
      <c r="G5659" s="5"/>
      <c r="H5659" s="7" t="s">
        <v>5700</v>
      </c>
      <c r="I5659" s="9">
        <v>1565700</v>
      </c>
      <c r="J5659" s="10">
        <v>0.0357</v>
      </c>
    </row>
    <row r="5660" spans="1:10">
      <c r="A5660" s="7" t="s">
        <v>5694</v>
      </c>
      <c r="B5660" s="7" t="s">
        <v>7527</v>
      </c>
      <c r="C5660" s="8">
        <f>QS.CONTEXT.CREATE("market.5658",A5660,"USD","SOFR")</f>
        <v/>
      </c>
      <c r="D5660" s="8">
        <f>QS.CONTEXT.ADD.CURVE(C5660,"SOFR",$K$2:$K$7,$L$2:$L$7,,,"Actual360","LogLinear",TRUE)</f>
        <v/>
      </c>
      <c r="E5660" s="8">
        <f>QS.INSTRUMENT.SWAP("swap.5658",C5660,H5660,B5660,"USD","SOFR",I5660,J5660,0,"Actual360","Simple","Annual","Annual","Annual")</f>
        <v/>
      </c>
      <c r="F5660" s="8">
        <f>QS.TRADE.CREATE("trade.5658",C5660,E5660,A5660,"Receive")</f>
        <v/>
      </c>
      <c r="G5660" s="5"/>
      <c r="H5660" s="7" t="s">
        <v>5701</v>
      </c>
      <c r="I5660" s="9">
        <v>1565800</v>
      </c>
      <c r="J5660" s="10">
        <v>0.03580000000000001</v>
      </c>
    </row>
    <row r="5661" spans="1:10">
      <c r="A5661" s="7" t="s">
        <v>5695</v>
      </c>
      <c r="B5661" s="7" t="s">
        <v>7528</v>
      </c>
      <c r="C5661" s="8">
        <f>QS.CONTEXT.CREATE("market.5659",A5661,"USD","SOFR")</f>
        <v/>
      </c>
      <c r="D5661" s="8">
        <f>QS.CONTEXT.ADD.CURVE(C5661,"SOFR",$K$2:$K$7,$L$2:$L$7,,,"Actual360","LogLinear",TRUE)</f>
        <v/>
      </c>
      <c r="E5661" s="8">
        <f>QS.INSTRUMENT.SWAP("swap.5659",C5661,H5661,B5661,"USD","SOFR",I5661,J5661,0,"Actual360","Simple","Annual","Annual","Annual")</f>
        <v/>
      </c>
      <c r="F5661" s="8">
        <f>QS.TRADE.CREATE("trade.5659",C5661,E5661,A5661,"Receive")</f>
        <v/>
      </c>
      <c r="G5661" s="5"/>
      <c r="H5661" s="7" t="s">
        <v>5702</v>
      </c>
      <c r="I5661" s="9">
        <v>1565900</v>
      </c>
      <c r="J5661" s="10">
        <v>0.0359</v>
      </c>
    </row>
    <row r="5662" spans="1:10">
      <c r="A5662" s="7" t="s">
        <v>5696</v>
      </c>
      <c r="B5662" s="7" t="s">
        <v>7529</v>
      </c>
      <c r="C5662" s="8">
        <f>QS.CONTEXT.CREATE("market.5660",A5662,"USD","SOFR")</f>
        <v/>
      </c>
      <c r="D5662" s="8">
        <f>QS.CONTEXT.ADD.CURVE(C5662,"SOFR",$K$2:$K$7,$L$2:$L$7,,,"Actual360","LogLinear",TRUE)</f>
        <v/>
      </c>
      <c r="E5662" s="8">
        <f>QS.INSTRUMENT.SWAP("swap.5660",C5662,H5662,B5662,"USD","SOFR",I5662,J5662,0,"Actual360","Simple","Annual","Annual","Annual")</f>
        <v/>
      </c>
      <c r="F5662" s="8">
        <f>QS.TRADE.CREATE("trade.5660",C5662,E5662,A5662,"Receive")</f>
        <v/>
      </c>
      <c r="G5662" s="5"/>
      <c r="H5662" s="7" t="s">
        <v>5703</v>
      </c>
      <c r="I5662" s="9">
        <v>1566000</v>
      </c>
      <c r="J5662" s="10">
        <v>0.036</v>
      </c>
    </row>
    <row r="5663" spans="1:10">
      <c r="A5663" s="7" t="s">
        <v>5697</v>
      </c>
      <c r="B5663" s="7" t="s">
        <v>7530</v>
      </c>
      <c r="C5663" s="8">
        <f>QS.CONTEXT.CREATE("market.5661",A5663,"USD","SOFR")</f>
        <v/>
      </c>
      <c r="D5663" s="8">
        <f>QS.CONTEXT.ADD.CURVE(C5663,"SOFR",$K$2:$K$7,$L$2:$L$7,,,"Actual360","LogLinear",TRUE)</f>
        <v/>
      </c>
      <c r="E5663" s="8">
        <f>QS.INSTRUMENT.SWAP("swap.5661",C5663,H5663,B5663,"USD","SOFR",I5663,J5663,0,"Actual360","Simple","Annual","Annual","Annual")</f>
        <v/>
      </c>
      <c r="F5663" s="8">
        <f>QS.TRADE.CREATE("trade.5661",C5663,E5663,A5663,"Receive")</f>
        <v/>
      </c>
      <c r="G5663" s="5"/>
      <c r="H5663" s="7" t="s">
        <v>5704</v>
      </c>
      <c r="I5663" s="9">
        <v>1566100</v>
      </c>
      <c r="J5663" s="10">
        <v>0.0361</v>
      </c>
    </row>
    <row r="5664" spans="1:10">
      <c r="A5664" s="7" t="s">
        <v>5698</v>
      </c>
      <c r="B5664" s="7" t="s">
        <v>7531</v>
      </c>
      <c r="C5664" s="8">
        <f>QS.CONTEXT.CREATE("market.5662",A5664,"USD","SOFR")</f>
        <v/>
      </c>
      <c r="D5664" s="8">
        <f>QS.CONTEXT.ADD.CURVE(C5664,"SOFR",$K$2:$K$7,$L$2:$L$7,,,"Actual360","LogLinear",TRUE)</f>
        <v/>
      </c>
      <c r="E5664" s="8">
        <f>QS.INSTRUMENT.SWAP("swap.5662",C5664,H5664,B5664,"USD","SOFR",I5664,J5664,0,"Actual360","Simple","Annual","Annual","Annual")</f>
        <v/>
      </c>
      <c r="F5664" s="8">
        <f>QS.TRADE.CREATE("trade.5662",C5664,E5664,A5664,"Receive")</f>
        <v/>
      </c>
      <c r="G5664" s="5"/>
      <c r="H5664" s="7" t="s">
        <v>5705</v>
      </c>
      <c r="I5664" s="9">
        <v>1566200</v>
      </c>
      <c r="J5664" s="10">
        <v>0.0362</v>
      </c>
    </row>
    <row r="5665" spans="1:10">
      <c r="A5665" s="7" t="s">
        <v>5699</v>
      </c>
      <c r="B5665" s="7" t="s">
        <v>7532</v>
      </c>
      <c r="C5665" s="8">
        <f>QS.CONTEXT.CREATE("market.5663",A5665,"USD","SOFR")</f>
        <v/>
      </c>
      <c r="D5665" s="8">
        <f>QS.CONTEXT.ADD.CURVE(C5665,"SOFR",$K$2:$K$7,$L$2:$L$7,,,"Actual360","LogLinear",TRUE)</f>
        <v/>
      </c>
      <c r="E5665" s="8">
        <f>QS.INSTRUMENT.SWAP("swap.5663",C5665,H5665,B5665,"USD","SOFR",I5665,J5665,0,"Actual360","Simple","Annual","Annual","Annual")</f>
        <v/>
      </c>
      <c r="F5665" s="8">
        <f>QS.TRADE.CREATE("trade.5663",C5665,E5665,A5665,"Receive")</f>
        <v/>
      </c>
      <c r="G5665" s="5"/>
      <c r="H5665" s="7" t="s">
        <v>5706</v>
      </c>
      <c r="I5665" s="9">
        <v>1566300</v>
      </c>
      <c r="J5665" s="10">
        <v>0.03630000000000001</v>
      </c>
    </row>
    <row r="5666" spans="1:10">
      <c r="A5666" s="7" t="s">
        <v>5700</v>
      </c>
      <c r="B5666" s="7" t="s">
        <v>7533</v>
      </c>
      <c r="C5666" s="8">
        <f>QS.CONTEXT.CREATE("market.5664",A5666,"USD","SOFR")</f>
        <v/>
      </c>
      <c r="D5666" s="8">
        <f>QS.CONTEXT.ADD.CURVE(C5666,"SOFR",$K$2:$K$7,$L$2:$L$7,,,"Actual360","LogLinear",TRUE)</f>
        <v/>
      </c>
      <c r="E5666" s="8">
        <f>QS.INSTRUMENT.SWAP("swap.5664",C5666,H5666,B5666,"USD","SOFR",I5666,J5666,0,"Actual360","Simple","Annual","Annual","Annual")</f>
        <v/>
      </c>
      <c r="F5666" s="8">
        <f>QS.TRADE.CREATE("trade.5664",C5666,E5666,A5666,"Receive")</f>
        <v/>
      </c>
      <c r="G5666" s="5"/>
      <c r="H5666" s="7" t="s">
        <v>5707</v>
      </c>
      <c r="I5666" s="9">
        <v>1566400</v>
      </c>
      <c r="J5666" s="10">
        <v>0.0364</v>
      </c>
    </row>
    <row r="5667" spans="1:10">
      <c r="A5667" s="7" t="s">
        <v>5701</v>
      </c>
      <c r="B5667" s="7" t="s">
        <v>7534</v>
      </c>
      <c r="C5667" s="8">
        <f>QS.CONTEXT.CREATE("market.5665",A5667,"USD","SOFR")</f>
        <v/>
      </c>
      <c r="D5667" s="8">
        <f>QS.CONTEXT.ADD.CURVE(C5667,"SOFR",$K$2:$K$7,$L$2:$L$7,,,"Actual360","LogLinear",TRUE)</f>
        <v/>
      </c>
      <c r="E5667" s="8">
        <f>QS.INSTRUMENT.SWAP("swap.5665",C5667,H5667,B5667,"USD","SOFR",I5667,J5667,0,"Actual360","Simple","Annual","Annual","Annual")</f>
        <v/>
      </c>
      <c r="F5667" s="8">
        <f>QS.TRADE.CREATE("trade.5665",C5667,E5667,A5667,"Receive")</f>
        <v/>
      </c>
      <c r="G5667" s="5"/>
      <c r="H5667" s="7" t="s">
        <v>5708</v>
      </c>
      <c r="I5667" s="9">
        <v>1566500</v>
      </c>
      <c r="J5667" s="10">
        <v>0.0365</v>
      </c>
    </row>
    <row r="5668" spans="1:10">
      <c r="A5668" s="7" t="s">
        <v>5702</v>
      </c>
      <c r="B5668" s="7" t="s">
        <v>7535</v>
      </c>
      <c r="C5668" s="8">
        <f>QS.CONTEXT.CREATE("market.5666",A5668,"USD","SOFR")</f>
        <v/>
      </c>
      <c r="D5668" s="8">
        <f>QS.CONTEXT.ADD.CURVE(C5668,"SOFR",$K$2:$K$7,$L$2:$L$7,,,"Actual360","LogLinear",TRUE)</f>
        <v/>
      </c>
      <c r="E5668" s="8">
        <f>QS.INSTRUMENT.SWAP("swap.5666",C5668,H5668,B5668,"USD","SOFR",I5668,J5668,0,"Actual360","Simple","Annual","Annual","Annual")</f>
        <v/>
      </c>
      <c r="F5668" s="8">
        <f>QS.TRADE.CREATE("trade.5666",C5668,E5668,A5668,"Receive")</f>
        <v/>
      </c>
      <c r="G5668" s="5"/>
      <c r="H5668" s="7" t="s">
        <v>5709</v>
      </c>
      <c r="I5668" s="9">
        <v>1566600</v>
      </c>
      <c r="J5668" s="10">
        <v>0.0366</v>
      </c>
    </row>
    <row r="5669" spans="1:10">
      <c r="A5669" s="7" t="s">
        <v>5703</v>
      </c>
      <c r="B5669" s="7" t="s">
        <v>7536</v>
      </c>
      <c r="C5669" s="8">
        <f>QS.CONTEXT.CREATE("market.5667",A5669,"USD","SOFR")</f>
        <v/>
      </c>
      <c r="D5669" s="8">
        <f>QS.CONTEXT.ADD.CURVE(C5669,"SOFR",$K$2:$K$7,$L$2:$L$7,,,"Actual360","LogLinear",TRUE)</f>
        <v/>
      </c>
      <c r="E5669" s="8">
        <f>QS.INSTRUMENT.SWAP("swap.5667",C5669,H5669,B5669,"USD","SOFR",I5669,J5669,0,"Actual360","Simple","Annual","Annual","Annual")</f>
        <v/>
      </c>
      <c r="F5669" s="8">
        <f>QS.TRADE.CREATE("trade.5667",C5669,E5669,A5669,"Receive")</f>
        <v/>
      </c>
      <c r="G5669" s="5"/>
      <c r="H5669" s="7" t="s">
        <v>5710</v>
      </c>
      <c r="I5669" s="9">
        <v>1566700</v>
      </c>
      <c r="J5669" s="10">
        <v>0.0367</v>
      </c>
    </row>
    <row r="5670" spans="1:10">
      <c r="A5670" s="7" t="s">
        <v>5704</v>
      </c>
      <c r="B5670" s="7" t="s">
        <v>7537</v>
      </c>
      <c r="C5670" s="8">
        <f>QS.CONTEXT.CREATE("market.5668",A5670,"USD","SOFR")</f>
        <v/>
      </c>
      <c r="D5670" s="8">
        <f>QS.CONTEXT.ADD.CURVE(C5670,"SOFR",$K$2:$K$7,$L$2:$L$7,,,"Actual360","LogLinear",TRUE)</f>
        <v/>
      </c>
      <c r="E5670" s="8">
        <f>QS.INSTRUMENT.SWAP("swap.5668",C5670,H5670,B5670,"USD","SOFR",I5670,J5670,0,"Actual360","Simple","Annual","Annual","Annual")</f>
        <v/>
      </c>
      <c r="F5670" s="8">
        <f>QS.TRADE.CREATE("trade.5668",C5670,E5670,A5670,"Receive")</f>
        <v/>
      </c>
      <c r="G5670" s="5"/>
      <c r="H5670" s="7" t="s">
        <v>5711</v>
      </c>
      <c r="I5670" s="9">
        <v>1566800</v>
      </c>
      <c r="J5670" s="10">
        <v>0.03680000000000001</v>
      </c>
    </row>
    <row r="5671" spans="1:10">
      <c r="A5671" s="7" t="s">
        <v>5705</v>
      </c>
      <c r="B5671" s="7" t="s">
        <v>7538</v>
      </c>
      <c r="C5671" s="8">
        <f>QS.CONTEXT.CREATE("market.5669",A5671,"USD","SOFR")</f>
        <v/>
      </c>
      <c r="D5671" s="8">
        <f>QS.CONTEXT.ADD.CURVE(C5671,"SOFR",$K$2:$K$7,$L$2:$L$7,,,"Actual360","LogLinear",TRUE)</f>
        <v/>
      </c>
      <c r="E5671" s="8">
        <f>QS.INSTRUMENT.SWAP("swap.5669",C5671,H5671,B5671,"USD","SOFR",I5671,J5671,0,"Actual360","Simple","Annual","Annual","Annual")</f>
        <v/>
      </c>
      <c r="F5671" s="8">
        <f>QS.TRADE.CREATE("trade.5669",C5671,E5671,A5671,"Receive")</f>
        <v/>
      </c>
      <c r="G5671" s="5"/>
      <c r="H5671" s="7" t="s">
        <v>5712</v>
      </c>
      <c r="I5671" s="9">
        <v>1566900</v>
      </c>
      <c r="J5671" s="10">
        <v>0.0369</v>
      </c>
    </row>
    <row r="5672" spans="1:10">
      <c r="A5672" s="7" t="s">
        <v>5706</v>
      </c>
      <c r="B5672" s="7" t="s">
        <v>7539</v>
      </c>
      <c r="C5672" s="8">
        <f>QS.CONTEXT.CREATE("market.5670",A5672,"USD","SOFR")</f>
        <v/>
      </c>
      <c r="D5672" s="8">
        <f>QS.CONTEXT.ADD.CURVE(C5672,"SOFR",$K$2:$K$7,$L$2:$L$7,,,"Actual360","LogLinear",TRUE)</f>
        <v/>
      </c>
      <c r="E5672" s="8">
        <f>QS.INSTRUMENT.SWAP("swap.5670",C5672,H5672,B5672,"USD","SOFR",I5672,J5672,0,"Actual360","Simple","Annual","Annual","Annual")</f>
        <v/>
      </c>
      <c r="F5672" s="8">
        <f>QS.TRADE.CREATE("trade.5670",C5672,E5672,A5672,"Receive")</f>
        <v/>
      </c>
      <c r="G5672" s="5"/>
      <c r="H5672" s="7" t="s">
        <v>5713</v>
      </c>
      <c r="I5672" s="9">
        <v>1567000</v>
      </c>
      <c r="J5672" s="10">
        <v>0.03700000000000001</v>
      </c>
    </row>
    <row r="5673" spans="1:10">
      <c r="A5673" s="7" t="s">
        <v>5707</v>
      </c>
      <c r="B5673" s="7" t="s">
        <v>7540</v>
      </c>
      <c r="C5673" s="8">
        <f>QS.CONTEXT.CREATE("market.5671",A5673,"USD","SOFR")</f>
        <v/>
      </c>
      <c r="D5673" s="8">
        <f>QS.CONTEXT.ADD.CURVE(C5673,"SOFR",$K$2:$K$7,$L$2:$L$7,,,"Actual360","LogLinear",TRUE)</f>
        <v/>
      </c>
      <c r="E5673" s="8">
        <f>QS.INSTRUMENT.SWAP("swap.5671",C5673,H5673,B5673,"USD","SOFR",I5673,J5673,0,"Actual360","Simple","Annual","Annual","Annual")</f>
        <v/>
      </c>
      <c r="F5673" s="8">
        <f>QS.TRADE.CREATE("trade.5671",C5673,E5673,A5673,"Receive")</f>
        <v/>
      </c>
      <c r="G5673" s="5"/>
      <c r="H5673" s="7" t="s">
        <v>5714</v>
      </c>
      <c r="I5673" s="9">
        <v>1567100</v>
      </c>
      <c r="J5673" s="10">
        <v>0.0371</v>
      </c>
    </row>
    <row r="5674" spans="1:10">
      <c r="A5674" s="7" t="s">
        <v>5708</v>
      </c>
      <c r="B5674" s="7" t="s">
        <v>7541</v>
      </c>
      <c r="C5674" s="8">
        <f>QS.CONTEXT.CREATE("market.5672",A5674,"USD","SOFR")</f>
        <v/>
      </c>
      <c r="D5674" s="8">
        <f>QS.CONTEXT.ADD.CURVE(C5674,"SOFR",$K$2:$K$7,$L$2:$L$7,,,"Actual360","LogLinear",TRUE)</f>
        <v/>
      </c>
      <c r="E5674" s="8">
        <f>QS.INSTRUMENT.SWAP("swap.5672",C5674,H5674,B5674,"USD","SOFR",I5674,J5674,0,"Actual360","Simple","Annual","Annual","Annual")</f>
        <v/>
      </c>
      <c r="F5674" s="8">
        <f>QS.TRADE.CREATE("trade.5672",C5674,E5674,A5674,"Receive")</f>
        <v/>
      </c>
      <c r="G5674" s="5"/>
      <c r="H5674" s="7" t="s">
        <v>5715</v>
      </c>
      <c r="I5674" s="9">
        <v>1567200</v>
      </c>
      <c r="J5674" s="10">
        <v>0.0372</v>
      </c>
    </row>
    <row r="5675" spans="1:10">
      <c r="A5675" s="7" t="s">
        <v>5709</v>
      </c>
      <c r="B5675" s="7" t="s">
        <v>7542</v>
      </c>
      <c r="C5675" s="8">
        <f>QS.CONTEXT.CREATE("market.5673",A5675,"USD","SOFR")</f>
        <v/>
      </c>
      <c r="D5675" s="8">
        <f>QS.CONTEXT.ADD.CURVE(C5675,"SOFR",$K$2:$K$7,$L$2:$L$7,,,"Actual360","LogLinear",TRUE)</f>
        <v/>
      </c>
      <c r="E5675" s="8">
        <f>QS.INSTRUMENT.SWAP("swap.5673",C5675,H5675,B5675,"USD","SOFR",I5675,J5675,0,"Actual360","Simple","Annual","Annual","Annual")</f>
        <v/>
      </c>
      <c r="F5675" s="8">
        <f>QS.TRADE.CREATE("trade.5673",C5675,E5675,A5675,"Receive")</f>
        <v/>
      </c>
      <c r="G5675" s="5"/>
      <c r="H5675" s="7" t="s">
        <v>5716</v>
      </c>
      <c r="I5675" s="9">
        <v>1567300</v>
      </c>
      <c r="J5675" s="10">
        <v>0.0373</v>
      </c>
    </row>
    <row r="5676" spans="1:10">
      <c r="A5676" s="7" t="s">
        <v>5710</v>
      </c>
      <c r="B5676" s="7" t="s">
        <v>7543</v>
      </c>
      <c r="C5676" s="8">
        <f>QS.CONTEXT.CREATE("market.5674",A5676,"USD","SOFR")</f>
        <v/>
      </c>
      <c r="D5676" s="8">
        <f>QS.CONTEXT.ADD.CURVE(C5676,"SOFR",$K$2:$K$7,$L$2:$L$7,,,"Actual360","LogLinear",TRUE)</f>
        <v/>
      </c>
      <c r="E5676" s="8">
        <f>QS.INSTRUMENT.SWAP("swap.5674",C5676,H5676,B5676,"USD","SOFR",I5676,J5676,0,"Actual360","Simple","Annual","Annual","Annual")</f>
        <v/>
      </c>
      <c r="F5676" s="8">
        <f>QS.TRADE.CREATE("trade.5674",C5676,E5676,A5676,"Receive")</f>
        <v/>
      </c>
      <c r="G5676" s="5"/>
      <c r="H5676" s="7" t="s">
        <v>5717</v>
      </c>
      <c r="I5676" s="9">
        <v>1567400</v>
      </c>
      <c r="J5676" s="10">
        <v>0.0374</v>
      </c>
    </row>
    <row r="5677" spans="1:10">
      <c r="A5677" s="7" t="s">
        <v>5711</v>
      </c>
      <c r="B5677" s="7" t="s">
        <v>7544</v>
      </c>
      <c r="C5677" s="8">
        <f>QS.CONTEXT.CREATE("market.5675",A5677,"USD","SOFR")</f>
        <v/>
      </c>
      <c r="D5677" s="8">
        <f>QS.CONTEXT.ADD.CURVE(C5677,"SOFR",$K$2:$K$7,$L$2:$L$7,,,"Actual360","LogLinear",TRUE)</f>
        <v/>
      </c>
      <c r="E5677" s="8">
        <f>QS.INSTRUMENT.SWAP("swap.5675",C5677,H5677,B5677,"USD","SOFR",I5677,J5677,0,"Actual360","Simple","Annual","Annual","Annual")</f>
        <v/>
      </c>
      <c r="F5677" s="8">
        <f>QS.TRADE.CREATE("trade.5675",C5677,E5677,A5677,"Receive")</f>
        <v/>
      </c>
      <c r="G5677" s="5"/>
      <c r="H5677" s="7" t="s">
        <v>5718</v>
      </c>
      <c r="I5677" s="9">
        <v>1567500</v>
      </c>
      <c r="J5677" s="10">
        <v>0.03750000000000001</v>
      </c>
    </row>
    <row r="5678" spans="1:10">
      <c r="A5678" s="7" t="s">
        <v>5712</v>
      </c>
      <c r="B5678" s="7" t="s">
        <v>7545</v>
      </c>
      <c r="C5678" s="8">
        <f>QS.CONTEXT.CREATE("market.5676",A5678,"USD","SOFR")</f>
        <v/>
      </c>
      <c r="D5678" s="8">
        <f>QS.CONTEXT.ADD.CURVE(C5678,"SOFR",$K$2:$K$7,$L$2:$L$7,,,"Actual360","LogLinear",TRUE)</f>
        <v/>
      </c>
      <c r="E5678" s="8">
        <f>QS.INSTRUMENT.SWAP("swap.5676",C5678,H5678,B5678,"USD","SOFR",I5678,J5678,0,"Actual360","Simple","Annual","Annual","Annual")</f>
        <v/>
      </c>
      <c r="F5678" s="8">
        <f>QS.TRADE.CREATE("trade.5676",C5678,E5678,A5678,"Receive")</f>
        <v/>
      </c>
      <c r="G5678" s="5"/>
      <c r="H5678" s="7" t="s">
        <v>5719</v>
      </c>
      <c r="I5678" s="9">
        <v>1567600</v>
      </c>
      <c r="J5678" s="10">
        <v>0.0376</v>
      </c>
    </row>
    <row r="5679" spans="1:10">
      <c r="A5679" s="7" t="s">
        <v>5713</v>
      </c>
      <c r="B5679" s="7" t="s">
        <v>7546</v>
      </c>
      <c r="C5679" s="8">
        <f>QS.CONTEXT.CREATE("market.5677",A5679,"USD","SOFR")</f>
        <v/>
      </c>
      <c r="D5679" s="8">
        <f>QS.CONTEXT.ADD.CURVE(C5679,"SOFR",$K$2:$K$7,$L$2:$L$7,,,"Actual360","LogLinear",TRUE)</f>
        <v/>
      </c>
      <c r="E5679" s="8">
        <f>QS.INSTRUMENT.SWAP("swap.5677",C5679,H5679,B5679,"USD","SOFR",I5679,J5679,0,"Actual360","Simple","Annual","Annual","Annual")</f>
        <v/>
      </c>
      <c r="F5679" s="8">
        <f>QS.TRADE.CREATE("trade.5677",C5679,E5679,A5679,"Receive")</f>
        <v/>
      </c>
      <c r="G5679" s="5"/>
      <c r="H5679" s="7" t="s">
        <v>5720</v>
      </c>
      <c r="I5679" s="9">
        <v>1567700</v>
      </c>
      <c r="J5679" s="10">
        <v>0.0377</v>
      </c>
    </row>
    <row r="5680" spans="1:10">
      <c r="A5680" s="7" t="s">
        <v>5714</v>
      </c>
      <c r="B5680" s="7" t="s">
        <v>7547</v>
      </c>
      <c r="C5680" s="8">
        <f>QS.CONTEXT.CREATE("market.5678",A5680,"USD","SOFR")</f>
        <v/>
      </c>
      <c r="D5680" s="8">
        <f>QS.CONTEXT.ADD.CURVE(C5680,"SOFR",$K$2:$K$7,$L$2:$L$7,,,"Actual360","LogLinear",TRUE)</f>
        <v/>
      </c>
      <c r="E5680" s="8">
        <f>QS.INSTRUMENT.SWAP("swap.5678",C5680,H5680,B5680,"USD","SOFR",I5680,J5680,0,"Actual360","Simple","Annual","Annual","Annual")</f>
        <v/>
      </c>
      <c r="F5680" s="8">
        <f>QS.TRADE.CREATE("trade.5678",C5680,E5680,A5680,"Receive")</f>
        <v/>
      </c>
      <c r="G5680" s="5"/>
      <c r="H5680" s="7" t="s">
        <v>5721</v>
      </c>
      <c r="I5680" s="9">
        <v>1567800</v>
      </c>
      <c r="J5680" s="10">
        <v>0.0378</v>
      </c>
    </row>
    <row r="5681" spans="1:10">
      <c r="A5681" s="7" t="s">
        <v>5715</v>
      </c>
      <c r="B5681" s="7" t="s">
        <v>7548</v>
      </c>
      <c r="C5681" s="8">
        <f>QS.CONTEXT.CREATE("market.5679",A5681,"USD","SOFR")</f>
        <v/>
      </c>
      <c r="D5681" s="8">
        <f>QS.CONTEXT.ADD.CURVE(C5681,"SOFR",$K$2:$K$7,$L$2:$L$7,,,"Actual360","LogLinear",TRUE)</f>
        <v/>
      </c>
      <c r="E5681" s="8">
        <f>QS.INSTRUMENT.SWAP("swap.5679",C5681,H5681,B5681,"USD","SOFR",I5681,J5681,0,"Actual360","Simple","Annual","Annual","Annual")</f>
        <v/>
      </c>
      <c r="F5681" s="8">
        <f>QS.TRADE.CREATE("trade.5679",C5681,E5681,A5681,"Receive")</f>
        <v/>
      </c>
      <c r="G5681" s="5"/>
      <c r="H5681" s="7" t="s">
        <v>5722</v>
      </c>
      <c r="I5681" s="9">
        <v>1567900</v>
      </c>
      <c r="J5681" s="10">
        <v>0.0379</v>
      </c>
    </row>
    <row r="5682" spans="1:10">
      <c r="A5682" s="7" t="s">
        <v>5716</v>
      </c>
      <c r="B5682" s="7" t="s">
        <v>7549</v>
      </c>
      <c r="C5682" s="8">
        <f>QS.CONTEXT.CREATE("market.5680",A5682,"USD","SOFR")</f>
        <v/>
      </c>
      <c r="D5682" s="8">
        <f>QS.CONTEXT.ADD.CURVE(C5682,"SOFR",$K$2:$K$7,$L$2:$L$7,,,"Actual360","LogLinear",TRUE)</f>
        <v/>
      </c>
      <c r="E5682" s="8">
        <f>QS.INSTRUMENT.SWAP("swap.5680",C5682,H5682,B5682,"USD","SOFR",I5682,J5682,0,"Actual360","Simple","Annual","Annual","Annual")</f>
        <v/>
      </c>
      <c r="F5682" s="8">
        <f>QS.TRADE.CREATE("trade.5680",C5682,E5682,A5682,"Receive")</f>
        <v/>
      </c>
      <c r="G5682" s="5"/>
      <c r="H5682" s="7" t="s">
        <v>5723</v>
      </c>
      <c r="I5682" s="9">
        <v>1568000</v>
      </c>
      <c r="J5682" s="10">
        <v>0.03800000000000001</v>
      </c>
    </row>
    <row r="5683" spans="1:10">
      <c r="A5683" s="7" t="s">
        <v>5717</v>
      </c>
      <c r="B5683" s="7" t="s">
        <v>7550</v>
      </c>
      <c r="C5683" s="8">
        <f>QS.CONTEXT.CREATE("market.5681",A5683,"USD","SOFR")</f>
        <v/>
      </c>
      <c r="D5683" s="8">
        <f>QS.CONTEXT.ADD.CURVE(C5683,"SOFR",$K$2:$K$7,$L$2:$L$7,,,"Actual360","LogLinear",TRUE)</f>
        <v/>
      </c>
      <c r="E5683" s="8">
        <f>QS.INSTRUMENT.SWAP("swap.5681",C5683,H5683,B5683,"USD","SOFR",I5683,J5683,0,"Actual360","Simple","Annual","Annual","Annual")</f>
        <v/>
      </c>
      <c r="F5683" s="8">
        <f>QS.TRADE.CREATE("trade.5681",C5683,E5683,A5683,"Receive")</f>
        <v/>
      </c>
      <c r="G5683" s="5"/>
      <c r="H5683" s="7" t="s">
        <v>5724</v>
      </c>
      <c r="I5683" s="9">
        <v>1568100</v>
      </c>
      <c r="J5683" s="10">
        <v>0.0381</v>
      </c>
    </row>
    <row r="5684" spans="1:10">
      <c r="A5684" s="7" t="s">
        <v>5718</v>
      </c>
      <c r="B5684" s="7" t="s">
        <v>7551</v>
      </c>
      <c r="C5684" s="8">
        <f>QS.CONTEXT.CREATE("market.5682",A5684,"USD","SOFR")</f>
        <v/>
      </c>
      <c r="D5684" s="8">
        <f>QS.CONTEXT.ADD.CURVE(C5684,"SOFR",$K$2:$K$7,$L$2:$L$7,,,"Actual360","LogLinear",TRUE)</f>
        <v/>
      </c>
      <c r="E5684" s="8">
        <f>QS.INSTRUMENT.SWAP("swap.5682",C5684,H5684,B5684,"USD","SOFR",I5684,J5684,0,"Actual360","Simple","Annual","Annual","Annual")</f>
        <v/>
      </c>
      <c r="F5684" s="8">
        <f>QS.TRADE.CREATE("trade.5682",C5684,E5684,A5684,"Receive")</f>
        <v/>
      </c>
      <c r="G5684" s="5"/>
      <c r="H5684" s="7" t="s">
        <v>5725</v>
      </c>
      <c r="I5684" s="9">
        <v>1568200</v>
      </c>
      <c r="J5684" s="10">
        <v>0.0382</v>
      </c>
    </row>
    <row r="5685" spans="1:10">
      <c r="A5685" s="7" t="s">
        <v>5719</v>
      </c>
      <c r="B5685" s="7" t="s">
        <v>7552</v>
      </c>
      <c r="C5685" s="8">
        <f>QS.CONTEXT.CREATE("market.5683",A5685,"USD","SOFR")</f>
        <v/>
      </c>
      <c r="D5685" s="8">
        <f>QS.CONTEXT.ADD.CURVE(C5685,"SOFR",$K$2:$K$7,$L$2:$L$7,,,"Actual360","LogLinear",TRUE)</f>
        <v/>
      </c>
      <c r="E5685" s="8">
        <f>QS.INSTRUMENT.SWAP("swap.5683",C5685,H5685,B5685,"USD","SOFR",I5685,J5685,0,"Actual360","Simple","Annual","Annual","Annual")</f>
        <v/>
      </c>
      <c r="F5685" s="8">
        <f>QS.TRADE.CREATE("trade.5683",C5685,E5685,A5685,"Receive")</f>
        <v/>
      </c>
      <c r="G5685" s="5"/>
      <c r="H5685" s="7" t="s">
        <v>5726</v>
      </c>
      <c r="I5685" s="9">
        <v>1568300</v>
      </c>
      <c r="J5685" s="10">
        <v>0.0383</v>
      </c>
    </row>
    <row r="5686" spans="1:10">
      <c r="A5686" s="7" t="s">
        <v>5720</v>
      </c>
      <c r="B5686" s="7" t="s">
        <v>7553</v>
      </c>
      <c r="C5686" s="8">
        <f>QS.CONTEXT.CREATE("market.5684",A5686,"USD","SOFR")</f>
        <v/>
      </c>
      <c r="D5686" s="8">
        <f>QS.CONTEXT.ADD.CURVE(C5686,"SOFR",$K$2:$K$7,$L$2:$L$7,,,"Actual360","LogLinear",TRUE)</f>
        <v/>
      </c>
      <c r="E5686" s="8">
        <f>QS.INSTRUMENT.SWAP("swap.5684",C5686,H5686,B5686,"USD","SOFR",I5686,J5686,0,"Actual360","Simple","Annual","Annual","Annual")</f>
        <v/>
      </c>
      <c r="F5686" s="8">
        <f>QS.TRADE.CREATE("trade.5684",C5686,E5686,A5686,"Receive")</f>
        <v/>
      </c>
      <c r="G5686" s="5"/>
      <c r="H5686" s="7" t="s">
        <v>5727</v>
      </c>
      <c r="I5686" s="9">
        <v>1568400</v>
      </c>
      <c r="J5686" s="10">
        <v>0.0384</v>
      </c>
    </row>
    <row r="5687" spans="1:10">
      <c r="A5687" s="7" t="s">
        <v>5721</v>
      </c>
      <c r="B5687" s="7" t="s">
        <v>7554</v>
      </c>
      <c r="C5687" s="8">
        <f>QS.CONTEXT.CREATE("market.5685",A5687,"USD","SOFR")</f>
        <v/>
      </c>
      <c r="D5687" s="8">
        <f>QS.CONTEXT.ADD.CURVE(C5687,"SOFR",$K$2:$K$7,$L$2:$L$7,,,"Actual360","LogLinear",TRUE)</f>
        <v/>
      </c>
      <c r="E5687" s="8">
        <f>QS.INSTRUMENT.SWAP("swap.5685",C5687,H5687,B5687,"USD","SOFR",I5687,J5687,0,"Actual360","Simple","Annual","Annual","Annual")</f>
        <v/>
      </c>
      <c r="F5687" s="8">
        <f>QS.TRADE.CREATE("trade.5685",C5687,E5687,A5687,"Receive")</f>
        <v/>
      </c>
      <c r="G5687" s="5"/>
      <c r="H5687" s="7" t="s">
        <v>5728</v>
      </c>
      <c r="I5687" s="9">
        <v>1568500</v>
      </c>
      <c r="J5687" s="10">
        <v>0.03850000000000001</v>
      </c>
    </row>
    <row r="5688" spans="1:10">
      <c r="A5688" s="7" t="s">
        <v>5722</v>
      </c>
      <c r="B5688" s="7" t="s">
        <v>7555</v>
      </c>
      <c r="C5688" s="8">
        <f>QS.CONTEXT.CREATE("market.5686",A5688,"USD","SOFR")</f>
        <v/>
      </c>
      <c r="D5688" s="8">
        <f>QS.CONTEXT.ADD.CURVE(C5688,"SOFR",$K$2:$K$7,$L$2:$L$7,,,"Actual360","LogLinear",TRUE)</f>
        <v/>
      </c>
      <c r="E5688" s="8">
        <f>QS.INSTRUMENT.SWAP("swap.5686",C5688,H5688,B5688,"USD","SOFR",I5688,J5688,0,"Actual360","Simple","Annual","Annual","Annual")</f>
        <v/>
      </c>
      <c r="F5688" s="8">
        <f>QS.TRADE.CREATE("trade.5686",C5688,E5688,A5688,"Receive")</f>
        <v/>
      </c>
      <c r="G5688" s="5"/>
      <c r="H5688" s="7" t="s">
        <v>5729</v>
      </c>
      <c r="I5688" s="9">
        <v>1568600</v>
      </c>
      <c r="J5688" s="10">
        <v>0.0386</v>
      </c>
    </row>
    <row r="5689" spans="1:10">
      <c r="A5689" s="7" t="s">
        <v>5723</v>
      </c>
      <c r="B5689" s="7" t="s">
        <v>7556</v>
      </c>
      <c r="C5689" s="8">
        <f>QS.CONTEXT.CREATE("market.5687",A5689,"USD","SOFR")</f>
        <v/>
      </c>
      <c r="D5689" s="8">
        <f>QS.CONTEXT.ADD.CURVE(C5689,"SOFR",$K$2:$K$7,$L$2:$L$7,,,"Actual360","LogLinear",TRUE)</f>
        <v/>
      </c>
      <c r="E5689" s="8">
        <f>QS.INSTRUMENT.SWAP("swap.5687",C5689,H5689,B5689,"USD","SOFR",I5689,J5689,0,"Actual360","Simple","Annual","Annual","Annual")</f>
        <v/>
      </c>
      <c r="F5689" s="8">
        <f>QS.TRADE.CREATE("trade.5687",C5689,E5689,A5689,"Receive")</f>
        <v/>
      </c>
      <c r="G5689" s="5"/>
      <c r="H5689" s="7" t="s">
        <v>5730</v>
      </c>
      <c r="I5689" s="9">
        <v>1568700</v>
      </c>
      <c r="J5689" s="10">
        <v>0.03870000000000001</v>
      </c>
    </row>
    <row r="5690" spans="1:10">
      <c r="A5690" s="7" t="s">
        <v>5724</v>
      </c>
      <c r="B5690" s="7" t="s">
        <v>7557</v>
      </c>
      <c r="C5690" s="8">
        <f>QS.CONTEXT.CREATE("market.5688",A5690,"USD","SOFR")</f>
        <v/>
      </c>
      <c r="D5690" s="8">
        <f>QS.CONTEXT.ADD.CURVE(C5690,"SOFR",$K$2:$K$7,$L$2:$L$7,,,"Actual360","LogLinear",TRUE)</f>
        <v/>
      </c>
      <c r="E5690" s="8">
        <f>QS.INSTRUMENT.SWAP("swap.5688",C5690,H5690,B5690,"USD","SOFR",I5690,J5690,0,"Actual360","Simple","Annual","Annual","Annual")</f>
        <v/>
      </c>
      <c r="F5690" s="8">
        <f>QS.TRADE.CREATE("trade.5688",C5690,E5690,A5690,"Receive")</f>
        <v/>
      </c>
      <c r="G5690" s="5"/>
      <c r="H5690" s="7" t="s">
        <v>5731</v>
      </c>
      <c r="I5690" s="9">
        <v>1568800</v>
      </c>
      <c r="J5690" s="10">
        <v>0.0388</v>
      </c>
    </row>
    <row r="5691" spans="1:10">
      <c r="A5691" s="7" t="s">
        <v>5725</v>
      </c>
      <c r="B5691" s="7" t="s">
        <v>7558</v>
      </c>
      <c r="C5691" s="8">
        <f>QS.CONTEXT.CREATE("market.5689",A5691,"USD","SOFR")</f>
        <v/>
      </c>
      <c r="D5691" s="8">
        <f>QS.CONTEXT.ADD.CURVE(C5691,"SOFR",$K$2:$K$7,$L$2:$L$7,,,"Actual360","LogLinear",TRUE)</f>
        <v/>
      </c>
      <c r="E5691" s="8">
        <f>QS.INSTRUMENT.SWAP("swap.5689",C5691,H5691,B5691,"USD","SOFR",I5691,J5691,0,"Actual360","Simple","Annual","Annual","Annual")</f>
        <v/>
      </c>
      <c r="F5691" s="8">
        <f>QS.TRADE.CREATE("trade.5689",C5691,E5691,A5691,"Receive")</f>
        <v/>
      </c>
      <c r="G5691" s="5"/>
      <c r="H5691" s="7" t="s">
        <v>5732</v>
      </c>
      <c r="I5691" s="9">
        <v>1568900</v>
      </c>
      <c r="J5691" s="10">
        <v>0.0389</v>
      </c>
    </row>
    <row r="5692" spans="1:10">
      <c r="A5692" s="7" t="s">
        <v>5726</v>
      </c>
      <c r="B5692" s="7" t="s">
        <v>7559</v>
      </c>
      <c r="C5692" s="8">
        <f>QS.CONTEXT.CREATE("market.5690",A5692,"USD","SOFR")</f>
        <v/>
      </c>
      <c r="D5692" s="8">
        <f>QS.CONTEXT.ADD.CURVE(C5692,"SOFR",$K$2:$K$7,$L$2:$L$7,,,"Actual360","LogLinear",TRUE)</f>
        <v/>
      </c>
      <c r="E5692" s="8">
        <f>QS.INSTRUMENT.SWAP("swap.5690",C5692,H5692,B5692,"USD","SOFR",I5692,J5692,0,"Actual360","Simple","Annual","Annual","Annual")</f>
        <v/>
      </c>
      <c r="F5692" s="8">
        <f>QS.TRADE.CREATE("trade.5690",C5692,E5692,A5692,"Receive")</f>
        <v/>
      </c>
      <c r="G5692" s="5"/>
      <c r="H5692" s="7" t="s">
        <v>5733</v>
      </c>
      <c r="I5692" s="9">
        <v>1569000</v>
      </c>
      <c r="J5692" s="10">
        <v>0.03900000000000001</v>
      </c>
    </row>
    <row r="5693" spans="1:10">
      <c r="A5693" s="7" t="s">
        <v>5727</v>
      </c>
      <c r="B5693" s="7" t="s">
        <v>7560</v>
      </c>
      <c r="C5693" s="8">
        <f>QS.CONTEXT.CREATE("market.5691",A5693,"USD","SOFR")</f>
        <v/>
      </c>
      <c r="D5693" s="8">
        <f>QS.CONTEXT.ADD.CURVE(C5693,"SOFR",$K$2:$K$7,$L$2:$L$7,,,"Actual360","LogLinear",TRUE)</f>
        <v/>
      </c>
      <c r="E5693" s="8">
        <f>QS.INSTRUMENT.SWAP("swap.5691",C5693,H5693,B5693,"USD","SOFR",I5693,J5693,0,"Actual360","Simple","Annual","Annual","Annual")</f>
        <v/>
      </c>
      <c r="F5693" s="8">
        <f>QS.TRADE.CREATE("trade.5691",C5693,E5693,A5693,"Receive")</f>
        <v/>
      </c>
      <c r="G5693" s="5"/>
      <c r="H5693" s="7" t="s">
        <v>5734</v>
      </c>
      <c r="I5693" s="9">
        <v>1569100</v>
      </c>
      <c r="J5693" s="10">
        <v>0.0391</v>
      </c>
    </row>
    <row r="5694" spans="1:10">
      <c r="A5694" s="7" t="s">
        <v>5728</v>
      </c>
      <c r="B5694" s="7" t="s">
        <v>7561</v>
      </c>
      <c r="C5694" s="8">
        <f>QS.CONTEXT.CREATE("market.5692",A5694,"USD","SOFR")</f>
        <v/>
      </c>
      <c r="D5694" s="8">
        <f>QS.CONTEXT.ADD.CURVE(C5694,"SOFR",$K$2:$K$7,$L$2:$L$7,,,"Actual360","LogLinear",TRUE)</f>
        <v/>
      </c>
      <c r="E5694" s="8">
        <f>QS.INSTRUMENT.SWAP("swap.5692",C5694,H5694,B5694,"USD","SOFR",I5694,J5694,0,"Actual360","Simple","Annual","Annual","Annual")</f>
        <v/>
      </c>
      <c r="F5694" s="8">
        <f>QS.TRADE.CREATE("trade.5692",C5694,E5694,A5694,"Receive")</f>
        <v/>
      </c>
      <c r="G5694" s="5"/>
      <c r="H5694" s="7" t="s">
        <v>5735</v>
      </c>
      <c r="I5694" s="9">
        <v>1569200</v>
      </c>
      <c r="J5694" s="10">
        <v>0.03920000000000001</v>
      </c>
    </row>
    <row r="5695" spans="1:10">
      <c r="A5695" s="7" t="s">
        <v>5729</v>
      </c>
      <c r="B5695" s="7" t="s">
        <v>7562</v>
      </c>
      <c r="C5695" s="8">
        <f>QS.CONTEXT.CREATE("market.5693",A5695,"USD","SOFR")</f>
        <v/>
      </c>
      <c r="D5695" s="8">
        <f>QS.CONTEXT.ADD.CURVE(C5695,"SOFR",$K$2:$K$7,$L$2:$L$7,,,"Actual360","LogLinear",TRUE)</f>
        <v/>
      </c>
      <c r="E5695" s="8">
        <f>QS.INSTRUMENT.SWAP("swap.5693",C5695,H5695,B5695,"USD","SOFR",I5695,J5695,0,"Actual360","Simple","Annual","Annual","Annual")</f>
        <v/>
      </c>
      <c r="F5695" s="8">
        <f>QS.TRADE.CREATE("trade.5693",C5695,E5695,A5695,"Receive")</f>
        <v/>
      </c>
      <c r="G5695" s="5"/>
      <c r="H5695" s="7" t="s">
        <v>5736</v>
      </c>
      <c r="I5695" s="9">
        <v>1569300</v>
      </c>
      <c r="J5695" s="10">
        <v>0.0393</v>
      </c>
    </row>
    <row r="5696" spans="1:10">
      <c r="A5696" s="7" t="s">
        <v>5730</v>
      </c>
      <c r="B5696" s="7" t="s">
        <v>7563</v>
      </c>
      <c r="C5696" s="8">
        <f>QS.CONTEXT.CREATE("market.5694",A5696,"USD","SOFR")</f>
        <v/>
      </c>
      <c r="D5696" s="8">
        <f>QS.CONTEXT.ADD.CURVE(C5696,"SOFR",$K$2:$K$7,$L$2:$L$7,,,"Actual360","LogLinear",TRUE)</f>
        <v/>
      </c>
      <c r="E5696" s="8">
        <f>QS.INSTRUMENT.SWAP("swap.5694",C5696,H5696,B5696,"USD","SOFR",I5696,J5696,0,"Actual360","Simple","Annual","Annual","Annual")</f>
        <v/>
      </c>
      <c r="F5696" s="8">
        <f>QS.TRADE.CREATE("trade.5694",C5696,E5696,A5696,"Receive")</f>
        <v/>
      </c>
      <c r="G5696" s="5"/>
      <c r="H5696" s="7" t="s">
        <v>5737</v>
      </c>
      <c r="I5696" s="9">
        <v>1569400</v>
      </c>
      <c r="J5696" s="10">
        <v>0.0394</v>
      </c>
    </row>
    <row r="5697" spans="1:10">
      <c r="A5697" s="7" t="s">
        <v>5731</v>
      </c>
      <c r="B5697" s="7" t="s">
        <v>7564</v>
      </c>
      <c r="C5697" s="8">
        <f>QS.CONTEXT.CREATE("market.5695",A5697,"USD","SOFR")</f>
        <v/>
      </c>
      <c r="D5697" s="8">
        <f>QS.CONTEXT.ADD.CURVE(C5697,"SOFR",$K$2:$K$7,$L$2:$L$7,,,"Actual360","LogLinear",TRUE)</f>
        <v/>
      </c>
      <c r="E5697" s="8">
        <f>QS.INSTRUMENT.SWAP("swap.5695",C5697,H5697,B5697,"USD","SOFR",I5697,J5697,0,"Actual360","Simple","Annual","Annual","Annual")</f>
        <v/>
      </c>
      <c r="F5697" s="8">
        <f>QS.TRADE.CREATE("trade.5695",C5697,E5697,A5697,"Receive")</f>
        <v/>
      </c>
      <c r="G5697" s="5"/>
      <c r="H5697" s="7" t="s">
        <v>5738</v>
      </c>
      <c r="I5697" s="9">
        <v>1569500</v>
      </c>
      <c r="J5697" s="10">
        <v>0.03950000000000001</v>
      </c>
    </row>
    <row r="5698" spans="1:10">
      <c r="A5698" s="7" t="s">
        <v>5732</v>
      </c>
      <c r="B5698" s="7" t="s">
        <v>7565</v>
      </c>
      <c r="C5698" s="8">
        <f>QS.CONTEXT.CREATE("market.5696",A5698,"USD","SOFR")</f>
        <v/>
      </c>
      <c r="D5698" s="8">
        <f>QS.CONTEXT.ADD.CURVE(C5698,"SOFR",$K$2:$K$7,$L$2:$L$7,,,"Actual360","LogLinear",TRUE)</f>
        <v/>
      </c>
      <c r="E5698" s="8">
        <f>QS.INSTRUMENT.SWAP("swap.5696",C5698,H5698,B5698,"USD","SOFR",I5698,J5698,0,"Actual360","Simple","Annual","Annual","Annual")</f>
        <v/>
      </c>
      <c r="F5698" s="8">
        <f>QS.TRADE.CREATE("trade.5696",C5698,E5698,A5698,"Receive")</f>
        <v/>
      </c>
      <c r="G5698" s="5"/>
      <c r="H5698" s="7" t="s">
        <v>5739</v>
      </c>
      <c r="I5698" s="9">
        <v>1569600</v>
      </c>
      <c r="J5698" s="10">
        <v>0.0396</v>
      </c>
    </row>
    <row r="5699" spans="1:10">
      <c r="A5699" s="7" t="s">
        <v>5733</v>
      </c>
      <c r="B5699" s="7" t="s">
        <v>7566</v>
      </c>
      <c r="C5699" s="8">
        <f>QS.CONTEXT.CREATE("market.5697",A5699,"USD","SOFR")</f>
        <v/>
      </c>
      <c r="D5699" s="8">
        <f>QS.CONTEXT.ADD.CURVE(C5699,"SOFR",$K$2:$K$7,$L$2:$L$7,,,"Actual360","LogLinear",TRUE)</f>
        <v/>
      </c>
      <c r="E5699" s="8">
        <f>QS.INSTRUMENT.SWAP("swap.5697",C5699,H5699,B5699,"USD","SOFR",I5699,J5699,0,"Actual360","Simple","Annual","Annual","Annual")</f>
        <v/>
      </c>
      <c r="F5699" s="8">
        <f>QS.TRADE.CREATE("trade.5697",C5699,E5699,A5699,"Receive")</f>
        <v/>
      </c>
      <c r="G5699" s="5"/>
      <c r="H5699" s="7" t="s">
        <v>5740</v>
      </c>
      <c r="I5699" s="9">
        <v>1569700</v>
      </c>
      <c r="J5699" s="10">
        <v>0.03970000000000001</v>
      </c>
    </row>
    <row r="5700" spans="1:10">
      <c r="A5700" s="7" t="s">
        <v>5734</v>
      </c>
      <c r="B5700" s="7" t="s">
        <v>7567</v>
      </c>
      <c r="C5700" s="8">
        <f>QS.CONTEXT.CREATE("market.5698",A5700,"USD","SOFR")</f>
        <v/>
      </c>
      <c r="D5700" s="8">
        <f>QS.CONTEXT.ADD.CURVE(C5700,"SOFR",$K$2:$K$7,$L$2:$L$7,,,"Actual360","LogLinear",TRUE)</f>
        <v/>
      </c>
      <c r="E5700" s="8">
        <f>QS.INSTRUMENT.SWAP("swap.5698",C5700,H5700,B5700,"USD","SOFR",I5700,J5700,0,"Actual360","Simple","Annual","Annual","Annual")</f>
        <v/>
      </c>
      <c r="F5700" s="8">
        <f>QS.TRADE.CREATE("trade.5698",C5700,E5700,A5700,"Receive")</f>
        <v/>
      </c>
      <c r="G5700" s="5"/>
      <c r="H5700" s="7" t="s">
        <v>5741</v>
      </c>
      <c r="I5700" s="9">
        <v>1569800</v>
      </c>
      <c r="J5700" s="10">
        <v>0.0398</v>
      </c>
    </row>
    <row r="5701" spans="1:10">
      <c r="A5701" s="7" t="s">
        <v>5735</v>
      </c>
      <c r="B5701" s="7" t="s">
        <v>7568</v>
      </c>
      <c r="C5701" s="8">
        <f>QS.CONTEXT.CREATE("market.5699",A5701,"USD","SOFR")</f>
        <v/>
      </c>
      <c r="D5701" s="8">
        <f>QS.CONTEXT.ADD.CURVE(C5701,"SOFR",$K$2:$K$7,$L$2:$L$7,,,"Actual360","LogLinear",TRUE)</f>
        <v/>
      </c>
      <c r="E5701" s="8">
        <f>QS.INSTRUMENT.SWAP("swap.5699",C5701,H5701,B5701,"USD","SOFR",I5701,J5701,0,"Actual360","Simple","Annual","Annual","Annual")</f>
        <v/>
      </c>
      <c r="F5701" s="8">
        <f>QS.TRADE.CREATE("trade.5699",C5701,E5701,A5701,"Receive")</f>
        <v/>
      </c>
      <c r="G5701" s="5"/>
      <c r="H5701" s="7" t="s">
        <v>5742</v>
      </c>
      <c r="I5701" s="9">
        <v>1569900</v>
      </c>
      <c r="J5701" s="10">
        <v>0.0399</v>
      </c>
    </row>
    <row r="5702" spans="1:10">
      <c r="A5702" s="7" t="s">
        <v>5736</v>
      </c>
      <c r="B5702" s="7" t="s">
        <v>7569</v>
      </c>
      <c r="C5702" s="8">
        <f>QS.CONTEXT.CREATE("market.5700",A5702,"USD","SOFR")</f>
        <v/>
      </c>
      <c r="D5702" s="8">
        <f>QS.CONTEXT.ADD.CURVE(C5702,"SOFR",$K$2:$K$7,$L$2:$L$7,,,"Actual360","LogLinear",TRUE)</f>
        <v/>
      </c>
      <c r="E5702" s="8">
        <f>QS.INSTRUMENT.SWAP("swap.5700",C5702,H5702,B5702,"USD","SOFR",I5702,J5702,0,"Actual360","Simple","Annual","Annual","Annual")</f>
        <v/>
      </c>
      <c r="F5702" s="8">
        <f>QS.TRADE.CREATE("trade.5700",C5702,E5702,A5702,"Receive")</f>
        <v/>
      </c>
      <c r="G5702" s="5"/>
      <c r="H5702" s="7" t="s">
        <v>5743</v>
      </c>
      <c r="I5702" s="9">
        <v>1570000</v>
      </c>
      <c r="J5702" s="10">
        <v>0.035</v>
      </c>
    </row>
    <row r="5703" spans="1:10">
      <c r="A5703" s="7" t="s">
        <v>5737</v>
      </c>
      <c r="B5703" s="7" t="s">
        <v>7570</v>
      </c>
      <c r="C5703" s="8">
        <f>QS.CONTEXT.CREATE("market.5701",A5703,"USD","SOFR")</f>
        <v/>
      </c>
      <c r="D5703" s="8">
        <f>QS.CONTEXT.ADD.CURVE(C5703,"SOFR",$K$2:$K$7,$L$2:$L$7,,,"Actual360","LogLinear",TRUE)</f>
        <v/>
      </c>
      <c r="E5703" s="8">
        <f>QS.INSTRUMENT.SWAP("swap.5701",C5703,H5703,B5703,"USD","SOFR",I5703,J5703,0,"Actual360","Simple","Annual","Annual","Annual")</f>
        <v/>
      </c>
      <c r="F5703" s="8">
        <f>QS.TRADE.CREATE("trade.5701",C5703,E5703,A5703,"Receive")</f>
        <v/>
      </c>
      <c r="G5703" s="5"/>
      <c r="H5703" s="7" t="s">
        <v>5744</v>
      </c>
      <c r="I5703" s="9">
        <v>1570100</v>
      </c>
      <c r="J5703" s="10">
        <v>0.03510000000000001</v>
      </c>
    </row>
    <row r="5704" spans="1:10">
      <c r="A5704" s="7" t="s">
        <v>5738</v>
      </c>
      <c r="B5704" s="7" t="s">
        <v>7571</v>
      </c>
      <c r="C5704" s="8">
        <f>QS.CONTEXT.CREATE("market.5702",A5704,"USD","SOFR")</f>
        <v/>
      </c>
      <c r="D5704" s="8">
        <f>QS.CONTEXT.ADD.CURVE(C5704,"SOFR",$K$2:$K$7,$L$2:$L$7,,,"Actual360","LogLinear",TRUE)</f>
        <v/>
      </c>
      <c r="E5704" s="8">
        <f>QS.INSTRUMENT.SWAP("swap.5702",C5704,H5704,B5704,"USD","SOFR",I5704,J5704,0,"Actual360","Simple","Annual","Annual","Annual")</f>
        <v/>
      </c>
      <c r="F5704" s="8">
        <f>QS.TRADE.CREATE("trade.5702",C5704,E5704,A5704,"Receive")</f>
        <v/>
      </c>
      <c r="G5704" s="5"/>
      <c r="H5704" s="7" t="s">
        <v>5745</v>
      </c>
      <c r="I5704" s="9">
        <v>1570200</v>
      </c>
      <c r="J5704" s="10">
        <v>0.0352</v>
      </c>
    </row>
    <row r="5705" spans="1:10">
      <c r="A5705" s="7" t="s">
        <v>5739</v>
      </c>
      <c r="B5705" s="7" t="s">
        <v>7572</v>
      </c>
      <c r="C5705" s="8">
        <f>QS.CONTEXT.CREATE("market.5703",A5705,"USD","SOFR")</f>
        <v/>
      </c>
      <c r="D5705" s="8">
        <f>QS.CONTEXT.ADD.CURVE(C5705,"SOFR",$K$2:$K$7,$L$2:$L$7,,,"Actual360","LogLinear",TRUE)</f>
        <v/>
      </c>
      <c r="E5705" s="8">
        <f>QS.INSTRUMENT.SWAP("swap.5703",C5705,H5705,B5705,"USD","SOFR",I5705,J5705,0,"Actual360","Simple","Annual","Annual","Annual")</f>
        <v/>
      </c>
      <c r="F5705" s="8">
        <f>QS.TRADE.CREATE("trade.5703",C5705,E5705,A5705,"Receive")</f>
        <v/>
      </c>
      <c r="G5705" s="5"/>
      <c r="H5705" s="7" t="s">
        <v>5746</v>
      </c>
      <c r="I5705" s="9">
        <v>1570300</v>
      </c>
      <c r="J5705" s="10">
        <v>0.0353</v>
      </c>
    </row>
    <row r="5706" spans="1:10">
      <c r="A5706" s="7" t="s">
        <v>5740</v>
      </c>
      <c r="B5706" s="7" t="s">
        <v>7573</v>
      </c>
      <c r="C5706" s="8">
        <f>QS.CONTEXT.CREATE("market.5704",A5706,"USD","SOFR")</f>
        <v/>
      </c>
      <c r="D5706" s="8">
        <f>QS.CONTEXT.ADD.CURVE(C5706,"SOFR",$K$2:$K$7,$L$2:$L$7,,,"Actual360","LogLinear",TRUE)</f>
        <v/>
      </c>
      <c r="E5706" s="8">
        <f>QS.INSTRUMENT.SWAP("swap.5704",C5706,H5706,B5706,"USD","SOFR",I5706,J5706,0,"Actual360","Simple","Annual","Annual","Annual")</f>
        <v/>
      </c>
      <c r="F5706" s="8">
        <f>QS.TRADE.CREATE("trade.5704",C5706,E5706,A5706,"Receive")</f>
        <v/>
      </c>
      <c r="G5706" s="5"/>
      <c r="H5706" s="7" t="s">
        <v>5747</v>
      </c>
      <c r="I5706" s="9">
        <v>1570400</v>
      </c>
      <c r="J5706" s="10">
        <v>0.0354</v>
      </c>
    </row>
    <row r="5707" spans="1:10">
      <c r="A5707" s="7" t="s">
        <v>5741</v>
      </c>
      <c r="B5707" s="7" t="s">
        <v>7574</v>
      </c>
      <c r="C5707" s="8">
        <f>QS.CONTEXT.CREATE("market.5705",A5707,"USD","SOFR")</f>
        <v/>
      </c>
      <c r="D5707" s="8">
        <f>QS.CONTEXT.ADD.CURVE(C5707,"SOFR",$K$2:$K$7,$L$2:$L$7,,,"Actual360","LogLinear",TRUE)</f>
        <v/>
      </c>
      <c r="E5707" s="8">
        <f>QS.INSTRUMENT.SWAP("swap.5705",C5707,H5707,B5707,"USD","SOFR",I5707,J5707,0,"Actual360","Simple","Annual","Annual","Annual")</f>
        <v/>
      </c>
      <c r="F5707" s="8">
        <f>QS.TRADE.CREATE("trade.5705",C5707,E5707,A5707,"Receive")</f>
        <v/>
      </c>
      <c r="G5707" s="5"/>
      <c r="H5707" s="7" t="s">
        <v>5748</v>
      </c>
      <c r="I5707" s="9">
        <v>1570500</v>
      </c>
      <c r="J5707" s="10">
        <v>0.0355</v>
      </c>
    </row>
    <row r="5708" spans="1:10">
      <c r="A5708" s="7" t="s">
        <v>5742</v>
      </c>
      <c r="B5708" s="7" t="s">
        <v>7575</v>
      </c>
      <c r="C5708" s="8">
        <f>QS.CONTEXT.CREATE("market.5706",A5708,"USD","SOFR")</f>
        <v/>
      </c>
      <c r="D5708" s="8">
        <f>QS.CONTEXT.ADD.CURVE(C5708,"SOFR",$K$2:$K$7,$L$2:$L$7,,,"Actual360","LogLinear",TRUE)</f>
        <v/>
      </c>
      <c r="E5708" s="8">
        <f>QS.INSTRUMENT.SWAP("swap.5706",C5708,H5708,B5708,"USD","SOFR",I5708,J5708,0,"Actual360","Simple","Annual","Annual","Annual")</f>
        <v/>
      </c>
      <c r="F5708" s="8">
        <f>QS.TRADE.CREATE("trade.5706",C5708,E5708,A5708,"Receive")</f>
        <v/>
      </c>
      <c r="G5708" s="5"/>
      <c r="H5708" s="7" t="s">
        <v>5749</v>
      </c>
      <c r="I5708" s="9">
        <v>1570600</v>
      </c>
      <c r="J5708" s="10">
        <v>0.03560000000000001</v>
      </c>
    </row>
    <row r="5709" spans="1:10">
      <c r="A5709" s="7" t="s">
        <v>5743</v>
      </c>
      <c r="B5709" s="7" t="s">
        <v>7576</v>
      </c>
      <c r="C5709" s="8">
        <f>QS.CONTEXT.CREATE("market.5707",A5709,"USD","SOFR")</f>
        <v/>
      </c>
      <c r="D5709" s="8">
        <f>QS.CONTEXT.ADD.CURVE(C5709,"SOFR",$K$2:$K$7,$L$2:$L$7,,,"Actual360","LogLinear",TRUE)</f>
        <v/>
      </c>
      <c r="E5709" s="8">
        <f>QS.INSTRUMENT.SWAP("swap.5707",C5709,H5709,B5709,"USD","SOFR",I5709,J5709,0,"Actual360","Simple","Annual","Annual","Annual")</f>
        <v/>
      </c>
      <c r="F5709" s="8">
        <f>QS.TRADE.CREATE("trade.5707",C5709,E5709,A5709,"Receive")</f>
        <v/>
      </c>
      <c r="G5709" s="5"/>
      <c r="H5709" s="7" t="s">
        <v>5750</v>
      </c>
      <c r="I5709" s="9">
        <v>1570700</v>
      </c>
      <c r="J5709" s="10">
        <v>0.0357</v>
      </c>
    </row>
    <row r="5710" spans="1:10">
      <c r="A5710" s="7" t="s">
        <v>5744</v>
      </c>
      <c r="B5710" s="7" t="s">
        <v>7577</v>
      </c>
      <c r="C5710" s="8">
        <f>QS.CONTEXT.CREATE("market.5708",A5710,"USD","SOFR")</f>
        <v/>
      </c>
      <c r="D5710" s="8">
        <f>QS.CONTEXT.ADD.CURVE(C5710,"SOFR",$K$2:$K$7,$L$2:$L$7,,,"Actual360","LogLinear",TRUE)</f>
        <v/>
      </c>
      <c r="E5710" s="8">
        <f>QS.INSTRUMENT.SWAP("swap.5708",C5710,H5710,B5710,"USD","SOFR",I5710,J5710,0,"Actual360","Simple","Annual","Annual","Annual")</f>
        <v/>
      </c>
      <c r="F5710" s="8">
        <f>QS.TRADE.CREATE("trade.5708",C5710,E5710,A5710,"Receive")</f>
        <v/>
      </c>
      <c r="G5710" s="5"/>
      <c r="H5710" s="7" t="s">
        <v>5751</v>
      </c>
      <c r="I5710" s="9">
        <v>1570800</v>
      </c>
      <c r="J5710" s="10">
        <v>0.03580000000000001</v>
      </c>
    </row>
    <row r="5711" spans="1:10">
      <c r="A5711" s="7" t="s">
        <v>5745</v>
      </c>
      <c r="B5711" s="7" t="s">
        <v>7578</v>
      </c>
      <c r="C5711" s="8">
        <f>QS.CONTEXT.CREATE("market.5709",A5711,"USD","SOFR")</f>
        <v/>
      </c>
      <c r="D5711" s="8">
        <f>QS.CONTEXT.ADD.CURVE(C5711,"SOFR",$K$2:$K$7,$L$2:$L$7,,,"Actual360","LogLinear",TRUE)</f>
        <v/>
      </c>
      <c r="E5711" s="8">
        <f>QS.INSTRUMENT.SWAP("swap.5709",C5711,H5711,B5711,"USD","SOFR",I5711,J5711,0,"Actual360","Simple","Annual","Annual","Annual")</f>
        <v/>
      </c>
      <c r="F5711" s="8">
        <f>QS.TRADE.CREATE("trade.5709",C5711,E5711,A5711,"Receive")</f>
        <v/>
      </c>
      <c r="G5711" s="5"/>
      <c r="H5711" s="7" t="s">
        <v>5752</v>
      </c>
      <c r="I5711" s="9">
        <v>1570900</v>
      </c>
      <c r="J5711" s="10">
        <v>0.0359</v>
      </c>
    </row>
    <row r="5712" spans="1:10">
      <c r="A5712" s="7" t="s">
        <v>5746</v>
      </c>
      <c r="B5712" s="7" t="s">
        <v>7579</v>
      </c>
      <c r="C5712" s="8">
        <f>QS.CONTEXT.CREATE("market.5710",A5712,"USD","SOFR")</f>
        <v/>
      </c>
      <c r="D5712" s="8">
        <f>QS.CONTEXT.ADD.CURVE(C5712,"SOFR",$K$2:$K$7,$L$2:$L$7,,,"Actual360","LogLinear",TRUE)</f>
        <v/>
      </c>
      <c r="E5712" s="8">
        <f>QS.INSTRUMENT.SWAP("swap.5710",C5712,H5712,B5712,"USD","SOFR",I5712,J5712,0,"Actual360","Simple","Annual","Annual","Annual")</f>
        <v/>
      </c>
      <c r="F5712" s="8">
        <f>QS.TRADE.CREATE("trade.5710",C5712,E5712,A5712,"Receive")</f>
        <v/>
      </c>
      <c r="G5712" s="5"/>
      <c r="H5712" s="7" t="s">
        <v>5753</v>
      </c>
      <c r="I5712" s="9">
        <v>1571000</v>
      </c>
      <c r="J5712" s="10">
        <v>0.036</v>
      </c>
    </row>
    <row r="5713" spans="1:10">
      <c r="A5713" s="7" t="s">
        <v>5747</v>
      </c>
      <c r="B5713" s="7" t="s">
        <v>7580</v>
      </c>
      <c r="C5713" s="8">
        <f>QS.CONTEXT.CREATE("market.5711",A5713,"USD","SOFR")</f>
        <v/>
      </c>
      <c r="D5713" s="8">
        <f>QS.CONTEXT.ADD.CURVE(C5713,"SOFR",$K$2:$K$7,$L$2:$L$7,,,"Actual360","LogLinear",TRUE)</f>
        <v/>
      </c>
      <c r="E5713" s="8">
        <f>QS.INSTRUMENT.SWAP("swap.5711",C5713,H5713,B5713,"USD","SOFR",I5713,J5713,0,"Actual360","Simple","Annual","Annual","Annual")</f>
        <v/>
      </c>
      <c r="F5713" s="8">
        <f>QS.TRADE.CREATE("trade.5711",C5713,E5713,A5713,"Receive")</f>
        <v/>
      </c>
      <c r="G5713" s="5"/>
      <c r="H5713" s="7" t="s">
        <v>5754</v>
      </c>
      <c r="I5713" s="9">
        <v>1571100</v>
      </c>
      <c r="J5713" s="10">
        <v>0.0361</v>
      </c>
    </row>
    <row r="5714" spans="1:10">
      <c r="A5714" s="7" t="s">
        <v>5748</v>
      </c>
      <c r="B5714" s="7" t="s">
        <v>7581</v>
      </c>
      <c r="C5714" s="8">
        <f>QS.CONTEXT.CREATE("market.5712",A5714,"USD","SOFR")</f>
        <v/>
      </c>
      <c r="D5714" s="8">
        <f>QS.CONTEXT.ADD.CURVE(C5714,"SOFR",$K$2:$K$7,$L$2:$L$7,,,"Actual360","LogLinear",TRUE)</f>
        <v/>
      </c>
      <c r="E5714" s="8">
        <f>QS.INSTRUMENT.SWAP("swap.5712",C5714,H5714,B5714,"USD","SOFR",I5714,J5714,0,"Actual360","Simple","Annual","Annual","Annual")</f>
        <v/>
      </c>
      <c r="F5714" s="8">
        <f>QS.TRADE.CREATE("trade.5712",C5714,E5714,A5714,"Receive")</f>
        <v/>
      </c>
      <c r="G5714" s="5"/>
      <c r="H5714" s="7" t="s">
        <v>5755</v>
      </c>
      <c r="I5714" s="9">
        <v>1571200</v>
      </c>
      <c r="J5714" s="10">
        <v>0.0362</v>
      </c>
    </row>
    <row r="5715" spans="1:10">
      <c r="A5715" s="7" t="s">
        <v>5749</v>
      </c>
      <c r="B5715" s="7" t="s">
        <v>7582</v>
      </c>
      <c r="C5715" s="8">
        <f>QS.CONTEXT.CREATE("market.5713",A5715,"USD","SOFR")</f>
        <v/>
      </c>
      <c r="D5715" s="8">
        <f>QS.CONTEXT.ADD.CURVE(C5715,"SOFR",$K$2:$K$7,$L$2:$L$7,,,"Actual360","LogLinear",TRUE)</f>
        <v/>
      </c>
      <c r="E5715" s="8">
        <f>QS.INSTRUMENT.SWAP("swap.5713",C5715,H5715,B5715,"USD","SOFR",I5715,J5715,0,"Actual360","Simple","Annual","Annual","Annual")</f>
        <v/>
      </c>
      <c r="F5715" s="8">
        <f>QS.TRADE.CREATE("trade.5713",C5715,E5715,A5715,"Receive")</f>
        <v/>
      </c>
      <c r="G5715" s="5"/>
      <c r="H5715" s="7" t="s">
        <v>5756</v>
      </c>
      <c r="I5715" s="9">
        <v>1571300</v>
      </c>
      <c r="J5715" s="10">
        <v>0.03630000000000001</v>
      </c>
    </row>
    <row r="5716" spans="1:10">
      <c r="A5716" s="7" t="s">
        <v>5750</v>
      </c>
      <c r="B5716" s="7" t="s">
        <v>7583</v>
      </c>
      <c r="C5716" s="8">
        <f>QS.CONTEXT.CREATE("market.5714",A5716,"USD","SOFR")</f>
        <v/>
      </c>
      <c r="D5716" s="8">
        <f>QS.CONTEXT.ADD.CURVE(C5716,"SOFR",$K$2:$K$7,$L$2:$L$7,,,"Actual360","LogLinear",TRUE)</f>
        <v/>
      </c>
      <c r="E5716" s="8">
        <f>QS.INSTRUMENT.SWAP("swap.5714",C5716,H5716,B5716,"USD","SOFR",I5716,J5716,0,"Actual360","Simple","Annual","Annual","Annual")</f>
        <v/>
      </c>
      <c r="F5716" s="8">
        <f>QS.TRADE.CREATE("trade.5714",C5716,E5716,A5716,"Receive")</f>
        <v/>
      </c>
      <c r="G5716" s="5"/>
      <c r="H5716" s="7" t="s">
        <v>5757</v>
      </c>
      <c r="I5716" s="9">
        <v>1571400</v>
      </c>
      <c r="J5716" s="10">
        <v>0.0364</v>
      </c>
    </row>
    <row r="5717" spans="1:10">
      <c r="A5717" s="7" t="s">
        <v>5751</v>
      </c>
      <c r="B5717" s="7" t="s">
        <v>7584</v>
      </c>
      <c r="C5717" s="8">
        <f>QS.CONTEXT.CREATE("market.5715",A5717,"USD","SOFR")</f>
        <v/>
      </c>
      <c r="D5717" s="8">
        <f>QS.CONTEXT.ADD.CURVE(C5717,"SOFR",$K$2:$K$7,$L$2:$L$7,,,"Actual360","LogLinear",TRUE)</f>
        <v/>
      </c>
      <c r="E5717" s="8">
        <f>QS.INSTRUMENT.SWAP("swap.5715",C5717,H5717,B5717,"USD","SOFR",I5717,J5717,0,"Actual360","Simple","Annual","Annual","Annual")</f>
        <v/>
      </c>
      <c r="F5717" s="8">
        <f>QS.TRADE.CREATE("trade.5715",C5717,E5717,A5717,"Receive")</f>
        <v/>
      </c>
      <c r="G5717" s="5"/>
      <c r="H5717" s="7" t="s">
        <v>5758</v>
      </c>
      <c r="I5717" s="9">
        <v>1571500</v>
      </c>
      <c r="J5717" s="10">
        <v>0.0365</v>
      </c>
    </row>
    <row r="5718" spans="1:10">
      <c r="A5718" s="7" t="s">
        <v>5752</v>
      </c>
      <c r="B5718" s="7" t="s">
        <v>7585</v>
      </c>
      <c r="C5718" s="8">
        <f>QS.CONTEXT.CREATE("market.5716",A5718,"USD","SOFR")</f>
        <v/>
      </c>
      <c r="D5718" s="8">
        <f>QS.CONTEXT.ADD.CURVE(C5718,"SOFR",$K$2:$K$7,$L$2:$L$7,,,"Actual360","LogLinear",TRUE)</f>
        <v/>
      </c>
      <c r="E5718" s="8">
        <f>QS.INSTRUMENT.SWAP("swap.5716",C5718,H5718,B5718,"USD","SOFR",I5718,J5718,0,"Actual360","Simple","Annual","Annual","Annual")</f>
        <v/>
      </c>
      <c r="F5718" s="8">
        <f>QS.TRADE.CREATE("trade.5716",C5718,E5718,A5718,"Receive")</f>
        <v/>
      </c>
      <c r="G5718" s="5"/>
      <c r="H5718" s="7" t="s">
        <v>5759</v>
      </c>
      <c r="I5718" s="9">
        <v>1571600</v>
      </c>
      <c r="J5718" s="10">
        <v>0.0366</v>
      </c>
    </row>
    <row r="5719" spans="1:10">
      <c r="A5719" s="7" t="s">
        <v>5753</v>
      </c>
      <c r="B5719" s="7" t="s">
        <v>7586</v>
      </c>
      <c r="C5719" s="8">
        <f>QS.CONTEXT.CREATE("market.5717",A5719,"USD","SOFR")</f>
        <v/>
      </c>
      <c r="D5719" s="8">
        <f>QS.CONTEXT.ADD.CURVE(C5719,"SOFR",$K$2:$K$7,$L$2:$L$7,,,"Actual360","LogLinear",TRUE)</f>
        <v/>
      </c>
      <c r="E5719" s="8">
        <f>QS.INSTRUMENT.SWAP("swap.5717",C5719,H5719,B5719,"USD","SOFR",I5719,J5719,0,"Actual360","Simple","Annual","Annual","Annual")</f>
        <v/>
      </c>
      <c r="F5719" s="8">
        <f>QS.TRADE.CREATE("trade.5717",C5719,E5719,A5719,"Receive")</f>
        <v/>
      </c>
      <c r="G5719" s="5"/>
      <c r="H5719" s="7" t="s">
        <v>5760</v>
      </c>
      <c r="I5719" s="9">
        <v>1571700</v>
      </c>
      <c r="J5719" s="10">
        <v>0.0367</v>
      </c>
    </row>
    <row r="5720" spans="1:10">
      <c r="A5720" s="7" t="s">
        <v>5754</v>
      </c>
      <c r="B5720" s="7" t="s">
        <v>7587</v>
      </c>
      <c r="C5720" s="8">
        <f>QS.CONTEXT.CREATE("market.5718",A5720,"USD","SOFR")</f>
        <v/>
      </c>
      <c r="D5720" s="8">
        <f>QS.CONTEXT.ADD.CURVE(C5720,"SOFR",$K$2:$K$7,$L$2:$L$7,,,"Actual360","LogLinear",TRUE)</f>
        <v/>
      </c>
      <c r="E5720" s="8">
        <f>QS.INSTRUMENT.SWAP("swap.5718",C5720,H5720,B5720,"USD","SOFR",I5720,J5720,0,"Actual360","Simple","Annual","Annual","Annual")</f>
        <v/>
      </c>
      <c r="F5720" s="8">
        <f>QS.TRADE.CREATE("trade.5718",C5720,E5720,A5720,"Receive")</f>
        <v/>
      </c>
      <c r="G5720" s="5"/>
      <c r="H5720" s="7" t="s">
        <v>5761</v>
      </c>
      <c r="I5720" s="9">
        <v>1571800</v>
      </c>
      <c r="J5720" s="10">
        <v>0.03680000000000001</v>
      </c>
    </row>
    <row r="5721" spans="1:10">
      <c r="A5721" s="7" t="s">
        <v>5755</v>
      </c>
      <c r="B5721" s="7" t="s">
        <v>7588</v>
      </c>
      <c r="C5721" s="8">
        <f>QS.CONTEXT.CREATE("market.5719",A5721,"USD","SOFR")</f>
        <v/>
      </c>
      <c r="D5721" s="8">
        <f>QS.CONTEXT.ADD.CURVE(C5721,"SOFR",$K$2:$K$7,$L$2:$L$7,,,"Actual360","LogLinear",TRUE)</f>
        <v/>
      </c>
      <c r="E5721" s="8">
        <f>QS.INSTRUMENT.SWAP("swap.5719",C5721,H5721,B5721,"USD","SOFR",I5721,J5721,0,"Actual360","Simple","Annual","Annual","Annual")</f>
        <v/>
      </c>
      <c r="F5721" s="8">
        <f>QS.TRADE.CREATE("trade.5719",C5721,E5721,A5721,"Receive")</f>
        <v/>
      </c>
      <c r="G5721" s="5"/>
      <c r="H5721" s="7" t="s">
        <v>5762</v>
      </c>
      <c r="I5721" s="9">
        <v>1571900</v>
      </c>
      <c r="J5721" s="10">
        <v>0.0369</v>
      </c>
    </row>
    <row r="5722" spans="1:10">
      <c r="A5722" s="7" t="s">
        <v>5756</v>
      </c>
      <c r="B5722" s="7" t="s">
        <v>7589</v>
      </c>
      <c r="C5722" s="8">
        <f>QS.CONTEXT.CREATE("market.5720",A5722,"USD","SOFR")</f>
        <v/>
      </c>
      <c r="D5722" s="8">
        <f>QS.CONTEXT.ADD.CURVE(C5722,"SOFR",$K$2:$K$7,$L$2:$L$7,,,"Actual360","LogLinear",TRUE)</f>
        <v/>
      </c>
      <c r="E5722" s="8">
        <f>QS.INSTRUMENT.SWAP("swap.5720",C5722,H5722,B5722,"USD","SOFR",I5722,J5722,0,"Actual360","Simple","Annual","Annual","Annual")</f>
        <v/>
      </c>
      <c r="F5722" s="8">
        <f>QS.TRADE.CREATE("trade.5720",C5722,E5722,A5722,"Receive")</f>
        <v/>
      </c>
      <c r="G5722" s="5"/>
      <c r="H5722" s="7" t="s">
        <v>5763</v>
      </c>
      <c r="I5722" s="9">
        <v>1572000</v>
      </c>
      <c r="J5722" s="10">
        <v>0.03700000000000001</v>
      </c>
    </row>
    <row r="5723" spans="1:10">
      <c r="A5723" s="7" t="s">
        <v>5757</v>
      </c>
      <c r="B5723" s="7" t="s">
        <v>7590</v>
      </c>
      <c r="C5723" s="8">
        <f>QS.CONTEXT.CREATE("market.5721",A5723,"USD","SOFR")</f>
        <v/>
      </c>
      <c r="D5723" s="8">
        <f>QS.CONTEXT.ADD.CURVE(C5723,"SOFR",$K$2:$K$7,$L$2:$L$7,,,"Actual360","LogLinear",TRUE)</f>
        <v/>
      </c>
      <c r="E5723" s="8">
        <f>QS.INSTRUMENT.SWAP("swap.5721",C5723,H5723,B5723,"USD","SOFR",I5723,J5723,0,"Actual360","Simple","Annual","Annual","Annual")</f>
        <v/>
      </c>
      <c r="F5723" s="8">
        <f>QS.TRADE.CREATE("trade.5721",C5723,E5723,A5723,"Receive")</f>
        <v/>
      </c>
      <c r="G5723" s="5"/>
      <c r="H5723" s="7" t="s">
        <v>5764</v>
      </c>
      <c r="I5723" s="9">
        <v>1572100</v>
      </c>
      <c r="J5723" s="10">
        <v>0.0371</v>
      </c>
    </row>
    <row r="5724" spans="1:10">
      <c r="A5724" s="7" t="s">
        <v>5758</v>
      </c>
      <c r="B5724" s="7" t="s">
        <v>7591</v>
      </c>
      <c r="C5724" s="8">
        <f>QS.CONTEXT.CREATE("market.5722",A5724,"USD","SOFR")</f>
        <v/>
      </c>
      <c r="D5724" s="8">
        <f>QS.CONTEXT.ADD.CURVE(C5724,"SOFR",$K$2:$K$7,$L$2:$L$7,,,"Actual360","LogLinear",TRUE)</f>
        <v/>
      </c>
      <c r="E5724" s="8">
        <f>QS.INSTRUMENT.SWAP("swap.5722",C5724,H5724,B5724,"USD","SOFR",I5724,J5724,0,"Actual360","Simple","Annual","Annual","Annual")</f>
        <v/>
      </c>
      <c r="F5724" s="8">
        <f>QS.TRADE.CREATE("trade.5722",C5724,E5724,A5724,"Receive")</f>
        <v/>
      </c>
      <c r="G5724" s="5"/>
      <c r="H5724" s="7" t="s">
        <v>5765</v>
      </c>
      <c r="I5724" s="9">
        <v>1572200</v>
      </c>
      <c r="J5724" s="10">
        <v>0.0372</v>
      </c>
    </row>
    <row r="5725" spans="1:10">
      <c r="A5725" s="7" t="s">
        <v>5759</v>
      </c>
      <c r="B5725" s="7" t="s">
        <v>7592</v>
      </c>
      <c r="C5725" s="8">
        <f>QS.CONTEXT.CREATE("market.5723",A5725,"USD","SOFR")</f>
        <v/>
      </c>
      <c r="D5725" s="8">
        <f>QS.CONTEXT.ADD.CURVE(C5725,"SOFR",$K$2:$K$7,$L$2:$L$7,,,"Actual360","LogLinear",TRUE)</f>
        <v/>
      </c>
      <c r="E5725" s="8">
        <f>QS.INSTRUMENT.SWAP("swap.5723",C5725,H5725,B5725,"USD","SOFR",I5725,J5725,0,"Actual360","Simple","Annual","Annual","Annual")</f>
        <v/>
      </c>
      <c r="F5725" s="8">
        <f>QS.TRADE.CREATE("trade.5723",C5725,E5725,A5725,"Receive")</f>
        <v/>
      </c>
      <c r="G5725" s="5"/>
      <c r="H5725" s="7" t="s">
        <v>5766</v>
      </c>
      <c r="I5725" s="9">
        <v>1572300</v>
      </c>
      <c r="J5725" s="10">
        <v>0.0373</v>
      </c>
    </row>
    <row r="5726" spans="1:10">
      <c r="A5726" s="7" t="s">
        <v>5760</v>
      </c>
      <c r="B5726" s="7" t="s">
        <v>7593</v>
      </c>
      <c r="C5726" s="8">
        <f>QS.CONTEXT.CREATE("market.5724",A5726,"USD","SOFR")</f>
        <v/>
      </c>
      <c r="D5726" s="8">
        <f>QS.CONTEXT.ADD.CURVE(C5726,"SOFR",$K$2:$K$7,$L$2:$L$7,,,"Actual360","LogLinear",TRUE)</f>
        <v/>
      </c>
      <c r="E5726" s="8">
        <f>QS.INSTRUMENT.SWAP("swap.5724",C5726,H5726,B5726,"USD","SOFR",I5726,J5726,0,"Actual360","Simple","Annual","Annual","Annual")</f>
        <v/>
      </c>
      <c r="F5726" s="8">
        <f>QS.TRADE.CREATE("trade.5724",C5726,E5726,A5726,"Receive")</f>
        <v/>
      </c>
      <c r="G5726" s="5"/>
      <c r="H5726" s="7" t="s">
        <v>5767</v>
      </c>
      <c r="I5726" s="9">
        <v>1572400</v>
      </c>
      <c r="J5726" s="10">
        <v>0.0374</v>
      </c>
    </row>
    <row r="5727" spans="1:10">
      <c r="A5727" s="7" t="s">
        <v>5761</v>
      </c>
      <c r="B5727" s="7" t="s">
        <v>7594</v>
      </c>
      <c r="C5727" s="8">
        <f>QS.CONTEXT.CREATE("market.5725",A5727,"USD","SOFR")</f>
        <v/>
      </c>
      <c r="D5727" s="8">
        <f>QS.CONTEXT.ADD.CURVE(C5727,"SOFR",$K$2:$K$7,$L$2:$L$7,,,"Actual360","LogLinear",TRUE)</f>
        <v/>
      </c>
      <c r="E5727" s="8">
        <f>QS.INSTRUMENT.SWAP("swap.5725",C5727,H5727,B5727,"USD","SOFR",I5727,J5727,0,"Actual360","Simple","Annual","Annual","Annual")</f>
        <v/>
      </c>
      <c r="F5727" s="8">
        <f>QS.TRADE.CREATE("trade.5725",C5727,E5727,A5727,"Receive")</f>
        <v/>
      </c>
      <c r="G5727" s="5"/>
      <c r="H5727" s="7" t="s">
        <v>5768</v>
      </c>
      <c r="I5727" s="9">
        <v>1572500</v>
      </c>
      <c r="J5727" s="10">
        <v>0.03750000000000001</v>
      </c>
    </row>
    <row r="5728" spans="1:10">
      <c r="A5728" s="7" t="s">
        <v>5762</v>
      </c>
      <c r="B5728" s="7" t="s">
        <v>7595</v>
      </c>
      <c r="C5728" s="8">
        <f>QS.CONTEXT.CREATE("market.5726",A5728,"USD","SOFR")</f>
        <v/>
      </c>
      <c r="D5728" s="8">
        <f>QS.CONTEXT.ADD.CURVE(C5728,"SOFR",$K$2:$K$7,$L$2:$L$7,,,"Actual360","LogLinear",TRUE)</f>
        <v/>
      </c>
      <c r="E5728" s="8">
        <f>QS.INSTRUMENT.SWAP("swap.5726",C5728,H5728,B5728,"USD","SOFR",I5728,J5728,0,"Actual360","Simple","Annual","Annual","Annual")</f>
        <v/>
      </c>
      <c r="F5728" s="8">
        <f>QS.TRADE.CREATE("trade.5726",C5728,E5728,A5728,"Receive")</f>
        <v/>
      </c>
      <c r="G5728" s="5"/>
      <c r="H5728" s="7" t="s">
        <v>5769</v>
      </c>
      <c r="I5728" s="9">
        <v>1572600</v>
      </c>
      <c r="J5728" s="10">
        <v>0.0376</v>
      </c>
    </row>
    <row r="5729" spans="1:10">
      <c r="A5729" s="7" t="s">
        <v>5763</v>
      </c>
      <c r="B5729" s="7" t="s">
        <v>7596</v>
      </c>
      <c r="C5729" s="8">
        <f>QS.CONTEXT.CREATE("market.5727",A5729,"USD","SOFR")</f>
        <v/>
      </c>
      <c r="D5729" s="8">
        <f>QS.CONTEXT.ADD.CURVE(C5729,"SOFR",$K$2:$K$7,$L$2:$L$7,,,"Actual360","LogLinear",TRUE)</f>
        <v/>
      </c>
      <c r="E5729" s="8">
        <f>QS.INSTRUMENT.SWAP("swap.5727",C5729,H5729,B5729,"USD","SOFR",I5729,J5729,0,"Actual360","Simple","Annual","Annual","Annual")</f>
        <v/>
      </c>
      <c r="F5729" s="8">
        <f>QS.TRADE.CREATE("trade.5727",C5729,E5729,A5729,"Receive")</f>
        <v/>
      </c>
      <c r="G5729" s="5"/>
      <c r="H5729" s="7" t="s">
        <v>5770</v>
      </c>
      <c r="I5729" s="9">
        <v>1572700</v>
      </c>
      <c r="J5729" s="10">
        <v>0.0377</v>
      </c>
    </row>
    <row r="5730" spans="1:10">
      <c r="A5730" s="7" t="s">
        <v>5764</v>
      </c>
      <c r="B5730" s="7" t="s">
        <v>7597</v>
      </c>
      <c r="C5730" s="8">
        <f>QS.CONTEXT.CREATE("market.5728",A5730,"USD","SOFR")</f>
        <v/>
      </c>
      <c r="D5730" s="8">
        <f>QS.CONTEXT.ADD.CURVE(C5730,"SOFR",$K$2:$K$7,$L$2:$L$7,,,"Actual360","LogLinear",TRUE)</f>
        <v/>
      </c>
      <c r="E5730" s="8">
        <f>QS.INSTRUMENT.SWAP("swap.5728",C5730,H5730,B5730,"USD","SOFR",I5730,J5730,0,"Actual360","Simple","Annual","Annual","Annual")</f>
        <v/>
      </c>
      <c r="F5730" s="8">
        <f>QS.TRADE.CREATE("trade.5728",C5730,E5730,A5730,"Receive")</f>
        <v/>
      </c>
      <c r="G5730" s="5"/>
      <c r="H5730" s="7" t="s">
        <v>5771</v>
      </c>
      <c r="I5730" s="9">
        <v>1572800</v>
      </c>
      <c r="J5730" s="10">
        <v>0.0378</v>
      </c>
    </row>
    <row r="5731" spans="1:10">
      <c r="A5731" s="7" t="s">
        <v>5765</v>
      </c>
      <c r="B5731" s="7" t="s">
        <v>7598</v>
      </c>
      <c r="C5731" s="8">
        <f>QS.CONTEXT.CREATE("market.5729",A5731,"USD","SOFR")</f>
        <v/>
      </c>
      <c r="D5731" s="8">
        <f>QS.CONTEXT.ADD.CURVE(C5731,"SOFR",$K$2:$K$7,$L$2:$L$7,,,"Actual360","LogLinear",TRUE)</f>
        <v/>
      </c>
      <c r="E5731" s="8">
        <f>QS.INSTRUMENT.SWAP("swap.5729",C5731,H5731,B5731,"USD","SOFR",I5731,J5731,0,"Actual360","Simple","Annual","Annual","Annual")</f>
        <v/>
      </c>
      <c r="F5731" s="8">
        <f>QS.TRADE.CREATE("trade.5729",C5731,E5731,A5731,"Receive")</f>
        <v/>
      </c>
      <c r="G5731" s="5"/>
      <c r="H5731" s="7" t="s">
        <v>5772</v>
      </c>
      <c r="I5731" s="9">
        <v>1572900</v>
      </c>
      <c r="J5731" s="10">
        <v>0.0379</v>
      </c>
    </row>
    <row r="5732" spans="1:10">
      <c r="A5732" s="7" t="s">
        <v>5766</v>
      </c>
      <c r="B5732" s="7" t="s">
        <v>7599</v>
      </c>
      <c r="C5732" s="8">
        <f>QS.CONTEXT.CREATE("market.5730",A5732,"USD","SOFR")</f>
        <v/>
      </c>
      <c r="D5732" s="8">
        <f>QS.CONTEXT.ADD.CURVE(C5732,"SOFR",$K$2:$K$7,$L$2:$L$7,,,"Actual360","LogLinear",TRUE)</f>
        <v/>
      </c>
      <c r="E5732" s="8">
        <f>QS.INSTRUMENT.SWAP("swap.5730",C5732,H5732,B5732,"USD","SOFR",I5732,J5732,0,"Actual360","Simple","Annual","Annual","Annual")</f>
        <v/>
      </c>
      <c r="F5732" s="8">
        <f>QS.TRADE.CREATE("trade.5730",C5732,E5732,A5732,"Receive")</f>
        <v/>
      </c>
      <c r="G5732" s="5"/>
      <c r="H5732" s="7" t="s">
        <v>5773</v>
      </c>
      <c r="I5732" s="9">
        <v>1573000</v>
      </c>
      <c r="J5732" s="10">
        <v>0.03800000000000001</v>
      </c>
    </row>
    <row r="5733" spans="1:10">
      <c r="A5733" s="7" t="s">
        <v>5767</v>
      </c>
      <c r="B5733" s="7" t="s">
        <v>7600</v>
      </c>
      <c r="C5733" s="8">
        <f>QS.CONTEXT.CREATE("market.5731",A5733,"USD","SOFR")</f>
        <v/>
      </c>
      <c r="D5733" s="8">
        <f>QS.CONTEXT.ADD.CURVE(C5733,"SOFR",$K$2:$K$7,$L$2:$L$7,,,"Actual360","LogLinear",TRUE)</f>
        <v/>
      </c>
      <c r="E5733" s="8">
        <f>QS.INSTRUMENT.SWAP("swap.5731",C5733,H5733,B5733,"USD","SOFR",I5733,J5733,0,"Actual360","Simple","Annual","Annual","Annual")</f>
        <v/>
      </c>
      <c r="F5733" s="8">
        <f>QS.TRADE.CREATE("trade.5731",C5733,E5733,A5733,"Receive")</f>
        <v/>
      </c>
      <c r="G5733" s="5"/>
      <c r="H5733" s="7" t="s">
        <v>5774</v>
      </c>
      <c r="I5733" s="9">
        <v>1573100</v>
      </c>
      <c r="J5733" s="10">
        <v>0.0381</v>
      </c>
    </row>
    <row r="5734" spans="1:10">
      <c r="A5734" s="7" t="s">
        <v>5768</v>
      </c>
      <c r="B5734" s="7" t="s">
        <v>7601</v>
      </c>
      <c r="C5734" s="8">
        <f>QS.CONTEXT.CREATE("market.5732",A5734,"USD","SOFR")</f>
        <v/>
      </c>
      <c r="D5734" s="8">
        <f>QS.CONTEXT.ADD.CURVE(C5734,"SOFR",$K$2:$K$7,$L$2:$L$7,,,"Actual360","LogLinear",TRUE)</f>
        <v/>
      </c>
      <c r="E5734" s="8">
        <f>QS.INSTRUMENT.SWAP("swap.5732",C5734,H5734,B5734,"USD","SOFR",I5734,J5734,0,"Actual360","Simple","Annual","Annual","Annual")</f>
        <v/>
      </c>
      <c r="F5734" s="8">
        <f>QS.TRADE.CREATE("trade.5732",C5734,E5734,A5734,"Receive")</f>
        <v/>
      </c>
      <c r="G5734" s="5"/>
      <c r="H5734" s="7" t="s">
        <v>5775</v>
      </c>
      <c r="I5734" s="9">
        <v>1573200</v>
      </c>
      <c r="J5734" s="10">
        <v>0.0382</v>
      </c>
    </row>
    <row r="5735" spans="1:10">
      <c r="A5735" s="7" t="s">
        <v>5769</v>
      </c>
      <c r="B5735" s="7" t="s">
        <v>7602</v>
      </c>
      <c r="C5735" s="8">
        <f>QS.CONTEXT.CREATE("market.5733",A5735,"USD","SOFR")</f>
        <v/>
      </c>
      <c r="D5735" s="8">
        <f>QS.CONTEXT.ADD.CURVE(C5735,"SOFR",$K$2:$K$7,$L$2:$L$7,,,"Actual360","LogLinear",TRUE)</f>
        <v/>
      </c>
      <c r="E5735" s="8">
        <f>QS.INSTRUMENT.SWAP("swap.5733",C5735,H5735,B5735,"USD","SOFR",I5735,J5735,0,"Actual360","Simple","Annual","Annual","Annual")</f>
        <v/>
      </c>
      <c r="F5735" s="8">
        <f>QS.TRADE.CREATE("trade.5733",C5735,E5735,A5735,"Receive")</f>
        <v/>
      </c>
      <c r="G5735" s="5"/>
      <c r="H5735" s="7" t="s">
        <v>5776</v>
      </c>
      <c r="I5735" s="9">
        <v>1573300</v>
      </c>
      <c r="J5735" s="10">
        <v>0.0383</v>
      </c>
    </row>
    <row r="5736" spans="1:10">
      <c r="A5736" s="7" t="s">
        <v>5770</v>
      </c>
      <c r="B5736" s="7" t="s">
        <v>7603</v>
      </c>
      <c r="C5736" s="8">
        <f>QS.CONTEXT.CREATE("market.5734",A5736,"USD","SOFR")</f>
        <v/>
      </c>
      <c r="D5736" s="8">
        <f>QS.CONTEXT.ADD.CURVE(C5736,"SOFR",$K$2:$K$7,$L$2:$L$7,,,"Actual360","LogLinear",TRUE)</f>
        <v/>
      </c>
      <c r="E5736" s="8">
        <f>QS.INSTRUMENT.SWAP("swap.5734",C5736,H5736,B5736,"USD","SOFR",I5736,J5736,0,"Actual360","Simple","Annual","Annual","Annual")</f>
        <v/>
      </c>
      <c r="F5736" s="8">
        <f>QS.TRADE.CREATE("trade.5734",C5736,E5736,A5736,"Receive")</f>
        <v/>
      </c>
      <c r="G5736" s="5"/>
      <c r="H5736" s="7" t="s">
        <v>5777</v>
      </c>
      <c r="I5736" s="9">
        <v>1573400</v>
      </c>
      <c r="J5736" s="10">
        <v>0.0384</v>
      </c>
    </row>
    <row r="5737" spans="1:10">
      <c r="A5737" s="7" t="s">
        <v>5771</v>
      </c>
      <c r="B5737" s="7" t="s">
        <v>7604</v>
      </c>
      <c r="C5737" s="8">
        <f>QS.CONTEXT.CREATE("market.5735",A5737,"USD","SOFR")</f>
        <v/>
      </c>
      <c r="D5737" s="8">
        <f>QS.CONTEXT.ADD.CURVE(C5737,"SOFR",$K$2:$K$7,$L$2:$L$7,,,"Actual360","LogLinear",TRUE)</f>
        <v/>
      </c>
      <c r="E5737" s="8">
        <f>QS.INSTRUMENT.SWAP("swap.5735",C5737,H5737,B5737,"USD","SOFR",I5737,J5737,0,"Actual360","Simple","Annual","Annual","Annual")</f>
        <v/>
      </c>
      <c r="F5737" s="8">
        <f>QS.TRADE.CREATE("trade.5735",C5737,E5737,A5737,"Receive")</f>
        <v/>
      </c>
      <c r="G5737" s="5"/>
      <c r="H5737" s="7" t="s">
        <v>5778</v>
      </c>
      <c r="I5737" s="9">
        <v>1573500</v>
      </c>
      <c r="J5737" s="10">
        <v>0.03850000000000001</v>
      </c>
    </row>
    <row r="5738" spans="1:10">
      <c r="A5738" s="7" t="s">
        <v>5772</v>
      </c>
      <c r="B5738" s="7" t="s">
        <v>7605</v>
      </c>
      <c r="C5738" s="8">
        <f>QS.CONTEXT.CREATE("market.5736",A5738,"USD","SOFR")</f>
        <v/>
      </c>
      <c r="D5738" s="8">
        <f>QS.CONTEXT.ADD.CURVE(C5738,"SOFR",$K$2:$K$7,$L$2:$L$7,,,"Actual360","LogLinear",TRUE)</f>
        <v/>
      </c>
      <c r="E5738" s="8">
        <f>QS.INSTRUMENT.SWAP("swap.5736",C5738,H5738,B5738,"USD","SOFR",I5738,J5738,0,"Actual360","Simple","Annual","Annual","Annual")</f>
        <v/>
      </c>
      <c r="F5738" s="8">
        <f>QS.TRADE.CREATE("trade.5736",C5738,E5738,A5738,"Receive")</f>
        <v/>
      </c>
      <c r="G5738" s="5"/>
      <c r="H5738" s="7" t="s">
        <v>5779</v>
      </c>
      <c r="I5738" s="9">
        <v>1573600</v>
      </c>
      <c r="J5738" s="10">
        <v>0.0386</v>
      </c>
    </row>
    <row r="5739" spans="1:10">
      <c r="A5739" s="7" t="s">
        <v>5773</v>
      </c>
      <c r="B5739" s="7" t="s">
        <v>7606</v>
      </c>
      <c r="C5739" s="8">
        <f>QS.CONTEXT.CREATE("market.5737",A5739,"USD","SOFR")</f>
        <v/>
      </c>
      <c r="D5739" s="8">
        <f>QS.CONTEXT.ADD.CURVE(C5739,"SOFR",$K$2:$K$7,$L$2:$L$7,,,"Actual360","LogLinear",TRUE)</f>
        <v/>
      </c>
      <c r="E5739" s="8">
        <f>QS.INSTRUMENT.SWAP("swap.5737",C5739,H5739,B5739,"USD","SOFR",I5739,J5739,0,"Actual360","Simple","Annual","Annual","Annual")</f>
        <v/>
      </c>
      <c r="F5739" s="8">
        <f>QS.TRADE.CREATE("trade.5737",C5739,E5739,A5739,"Receive")</f>
        <v/>
      </c>
      <c r="G5739" s="5"/>
      <c r="H5739" s="7" t="s">
        <v>5780</v>
      </c>
      <c r="I5739" s="9">
        <v>1573700</v>
      </c>
      <c r="J5739" s="10">
        <v>0.03870000000000001</v>
      </c>
    </row>
    <row r="5740" spans="1:10">
      <c r="A5740" s="7" t="s">
        <v>5774</v>
      </c>
      <c r="B5740" s="7" t="s">
        <v>7607</v>
      </c>
      <c r="C5740" s="8">
        <f>QS.CONTEXT.CREATE("market.5738",A5740,"USD","SOFR")</f>
        <v/>
      </c>
      <c r="D5740" s="8">
        <f>QS.CONTEXT.ADD.CURVE(C5740,"SOFR",$K$2:$K$7,$L$2:$L$7,,,"Actual360","LogLinear",TRUE)</f>
        <v/>
      </c>
      <c r="E5740" s="8">
        <f>QS.INSTRUMENT.SWAP("swap.5738",C5740,H5740,B5740,"USD","SOFR",I5740,J5740,0,"Actual360","Simple","Annual","Annual","Annual")</f>
        <v/>
      </c>
      <c r="F5740" s="8">
        <f>QS.TRADE.CREATE("trade.5738",C5740,E5740,A5740,"Receive")</f>
        <v/>
      </c>
      <c r="G5740" s="5"/>
      <c r="H5740" s="7" t="s">
        <v>5781</v>
      </c>
      <c r="I5740" s="9">
        <v>1573800</v>
      </c>
      <c r="J5740" s="10">
        <v>0.0388</v>
      </c>
    </row>
    <row r="5741" spans="1:10">
      <c r="A5741" s="7" t="s">
        <v>5775</v>
      </c>
      <c r="B5741" s="7" t="s">
        <v>7608</v>
      </c>
      <c r="C5741" s="8">
        <f>QS.CONTEXT.CREATE("market.5739",A5741,"USD","SOFR")</f>
        <v/>
      </c>
      <c r="D5741" s="8">
        <f>QS.CONTEXT.ADD.CURVE(C5741,"SOFR",$K$2:$K$7,$L$2:$L$7,,,"Actual360","LogLinear",TRUE)</f>
        <v/>
      </c>
      <c r="E5741" s="8">
        <f>QS.INSTRUMENT.SWAP("swap.5739",C5741,H5741,B5741,"USD","SOFR",I5741,J5741,0,"Actual360","Simple","Annual","Annual","Annual")</f>
        <v/>
      </c>
      <c r="F5741" s="8">
        <f>QS.TRADE.CREATE("trade.5739",C5741,E5741,A5741,"Receive")</f>
        <v/>
      </c>
      <c r="G5741" s="5"/>
      <c r="H5741" s="7" t="s">
        <v>5782</v>
      </c>
      <c r="I5741" s="9">
        <v>1573900</v>
      </c>
      <c r="J5741" s="10">
        <v>0.0389</v>
      </c>
    </row>
    <row r="5742" spans="1:10">
      <c r="A5742" s="7" t="s">
        <v>5776</v>
      </c>
      <c r="B5742" s="7" t="s">
        <v>7609</v>
      </c>
      <c r="C5742" s="8">
        <f>QS.CONTEXT.CREATE("market.5740",A5742,"USD","SOFR")</f>
        <v/>
      </c>
      <c r="D5742" s="8">
        <f>QS.CONTEXT.ADD.CURVE(C5742,"SOFR",$K$2:$K$7,$L$2:$L$7,,,"Actual360","LogLinear",TRUE)</f>
        <v/>
      </c>
      <c r="E5742" s="8">
        <f>QS.INSTRUMENT.SWAP("swap.5740",C5742,H5742,B5742,"USD","SOFR",I5742,J5742,0,"Actual360","Simple","Annual","Annual","Annual")</f>
        <v/>
      </c>
      <c r="F5742" s="8">
        <f>QS.TRADE.CREATE("trade.5740",C5742,E5742,A5742,"Receive")</f>
        <v/>
      </c>
      <c r="G5742" s="5"/>
      <c r="H5742" s="7" t="s">
        <v>5783</v>
      </c>
      <c r="I5742" s="9">
        <v>1574000</v>
      </c>
      <c r="J5742" s="10">
        <v>0.03900000000000001</v>
      </c>
    </row>
    <row r="5743" spans="1:10">
      <c r="A5743" s="7" t="s">
        <v>5777</v>
      </c>
      <c r="B5743" s="7" t="s">
        <v>7610</v>
      </c>
      <c r="C5743" s="8">
        <f>QS.CONTEXT.CREATE("market.5741",A5743,"USD","SOFR")</f>
        <v/>
      </c>
      <c r="D5743" s="8">
        <f>QS.CONTEXT.ADD.CURVE(C5743,"SOFR",$K$2:$K$7,$L$2:$L$7,,,"Actual360","LogLinear",TRUE)</f>
        <v/>
      </c>
      <c r="E5743" s="8">
        <f>QS.INSTRUMENT.SWAP("swap.5741",C5743,H5743,B5743,"USD","SOFR",I5743,J5743,0,"Actual360","Simple","Annual","Annual","Annual")</f>
        <v/>
      </c>
      <c r="F5743" s="8">
        <f>QS.TRADE.CREATE("trade.5741",C5743,E5743,A5743,"Receive")</f>
        <v/>
      </c>
      <c r="G5743" s="5"/>
      <c r="H5743" s="7" t="s">
        <v>5784</v>
      </c>
      <c r="I5743" s="9">
        <v>1574100</v>
      </c>
      <c r="J5743" s="10">
        <v>0.0391</v>
      </c>
    </row>
    <row r="5744" spans="1:10">
      <c r="A5744" s="7" t="s">
        <v>5778</v>
      </c>
      <c r="B5744" s="7" t="s">
        <v>7611</v>
      </c>
      <c r="C5744" s="8">
        <f>QS.CONTEXT.CREATE("market.5742",A5744,"USD","SOFR")</f>
        <v/>
      </c>
      <c r="D5744" s="8">
        <f>QS.CONTEXT.ADD.CURVE(C5744,"SOFR",$K$2:$K$7,$L$2:$L$7,,,"Actual360","LogLinear",TRUE)</f>
        <v/>
      </c>
      <c r="E5744" s="8">
        <f>QS.INSTRUMENT.SWAP("swap.5742",C5744,H5744,B5744,"USD","SOFR",I5744,J5744,0,"Actual360","Simple","Annual","Annual","Annual")</f>
        <v/>
      </c>
      <c r="F5744" s="8">
        <f>QS.TRADE.CREATE("trade.5742",C5744,E5744,A5744,"Receive")</f>
        <v/>
      </c>
      <c r="G5744" s="5"/>
      <c r="H5744" s="7" t="s">
        <v>5785</v>
      </c>
      <c r="I5744" s="9">
        <v>1574200</v>
      </c>
      <c r="J5744" s="10">
        <v>0.03920000000000001</v>
      </c>
    </row>
    <row r="5745" spans="1:10">
      <c r="A5745" s="7" t="s">
        <v>5779</v>
      </c>
      <c r="B5745" s="7" t="s">
        <v>7612</v>
      </c>
      <c r="C5745" s="8">
        <f>QS.CONTEXT.CREATE("market.5743",A5745,"USD","SOFR")</f>
        <v/>
      </c>
      <c r="D5745" s="8">
        <f>QS.CONTEXT.ADD.CURVE(C5745,"SOFR",$K$2:$K$7,$L$2:$L$7,,,"Actual360","LogLinear",TRUE)</f>
        <v/>
      </c>
      <c r="E5745" s="8">
        <f>QS.INSTRUMENT.SWAP("swap.5743",C5745,H5745,B5745,"USD","SOFR",I5745,J5745,0,"Actual360","Simple","Annual","Annual","Annual")</f>
        <v/>
      </c>
      <c r="F5745" s="8">
        <f>QS.TRADE.CREATE("trade.5743",C5745,E5745,A5745,"Receive")</f>
        <v/>
      </c>
      <c r="G5745" s="5"/>
      <c r="H5745" s="7" t="s">
        <v>5786</v>
      </c>
      <c r="I5745" s="9">
        <v>1574300</v>
      </c>
      <c r="J5745" s="10">
        <v>0.0393</v>
      </c>
    </row>
    <row r="5746" spans="1:10">
      <c r="A5746" s="7" t="s">
        <v>5780</v>
      </c>
      <c r="B5746" s="7" t="s">
        <v>7613</v>
      </c>
      <c r="C5746" s="8">
        <f>QS.CONTEXT.CREATE("market.5744",A5746,"USD","SOFR")</f>
        <v/>
      </c>
      <c r="D5746" s="8">
        <f>QS.CONTEXT.ADD.CURVE(C5746,"SOFR",$K$2:$K$7,$L$2:$L$7,,,"Actual360","LogLinear",TRUE)</f>
        <v/>
      </c>
      <c r="E5746" s="8">
        <f>QS.INSTRUMENT.SWAP("swap.5744",C5746,H5746,B5746,"USD","SOFR",I5746,J5746,0,"Actual360","Simple","Annual","Annual","Annual")</f>
        <v/>
      </c>
      <c r="F5746" s="8">
        <f>QS.TRADE.CREATE("trade.5744",C5746,E5746,A5746,"Receive")</f>
        <v/>
      </c>
      <c r="G5746" s="5"/>
      <c r="H5746" s="7" t="s">
        <v>5787</v>
      </c>
      <c r="I5746" s="9">
        <v>1574400</v>
      </c>
      <c r="J5746" s="10">
        <v>0.0394</v>
      </c>
    </row>
    <row r="5747" spans="1:10">
      <c r="A5747" s="7" t="s">
        <v>5781</v>
      </c>
      <c r="B5747" s="7" t="s">
        <v>7614</v>
      </c>
      <c r="C5747" s="8">
        <f>QS.CONTEXT.CREATE("market.5745",A5747,"USD","SOFR")</f>
        <v/>
      </c>
      <c r="D5747" s="8">
        <f>QS.CONTEXT.ADD.CURVE(C5747,"SOFR",$K$2:$K$7,$L$2:$L$7,,,"Actual360","LogLinear",TRUE)</f>
        <v/>
      </c>
      <c r="E5747" s="8">
        <f>QS.INSTRUMENT.SWAP("swap.5745",C5747,H5747,B5747,"USD","SOFR",I5747,J5747,0,"Actual360","Simple","Annual","Annual","Annual")</f>
        <v/>
      </c>
      <c r="F5747" s="8">
        <f>QS.TRADE.CREATE("trade.5745",C5747,E5747,A5747,"Receive")</f>
        <v/>
      </c>
      <c r="G5747" s="5"/>
      <c r="H5747" s="7" t="s">
        <v>5788</v>
      </c>
      <c r="I5747" s="9">
        <v>1574500</v>
      </c>
      <c r="J5747" s="10">
        <v>0.03950000000000001</v>
      </c>
    </row>
    <row r="5748" spans="1:10">
      <c r="A5748" s="7" t="s">
        <v>5782</v>
      </c>
      <c r="B5748" s="7" t="s">
        <v>7615</v>
      </c>
      <c r="C5748" s="8">
        <f>QS.CONTEXT.CREATE("market.5746",A5748,"USD","SOFR")</f>
        <v/>
      </c>
      <c r="D5748" s="8">
        <f>QS.CONTEXT.ADD.CURVE(C5748,"SOFR",$K$2:$K$7,$L$2:$L$7,,,"Actual360","LogLinear",TRUE)</f>
        <v/>
      </c>
      <c r="E5748" s="8">
        <f>QS.INSTRUMENT.SWAP("swap.5746",C5748,H5748,B5748,"USD","SOFR",I5748,J5748,0,"Actual360","Simple","Annual","Annual","Annual")</f>
        <v/>
      </c>
      <c r="F5748" s="8">
        <f>QS.TRADE.CREATE("trade.5746",C5748,E5748,A5748,"Receive")</f>
        <v/>
      </c>
      <c r="G5748" s="5"/>
      <c r="H5748" s="7" t="s">
        <v>5789</v>
      </c>
      <c r="I5748" s="9">
        <v>1574600</v>
      </c>
      <c r="J5748" s="10">
        <v>0.0396</v>
      </c>
    </row>
    <row r="5749" spans="1:10">
      <c r="A5749" s="7" t="s">
        <v>5783</v>
      </c>
      <c r="B5749" s="7" t="s">
        <v>7616</v>
      </c>
      <c r="C5749" s="8">
        <f>QS.CONTEXT.CREATE("market.5747",A5749,"USD","SOFR")</f>
        <v/>
      </c>
      <c r="D5749" s="8">
        <f>QS.CONTEXT.ADD.CURVE(C5749,"SOFR",$K$2:$K$7,$L$2:$L$7,,,"Actual360","LogLinear",TRUE)</f>
        <v/>
      </c>
      <c r="E5749" s="8">
        <f>QS.INSTRUMENT.SWAP("swap.5747",C5749,H5749,B5749,"USD","SOFR",I5749,J5749,0,"Actual360","Simple","Annual","Annual","Annual")</f>
        <v/>
      </c>
      <c r="F5749" s="8">
        <f>QS.TRADE.CREATE("trade.5747",C5749,E5749,A5749,"Receive")</f>
        <v/>
      </c>
      <c r="G5749" s="5"/>
      <c r="H5749" s="7" t="s">
        <v>5790</v>
      </c>
      <c r="I5749" s="9">
        <v>1574700</v>
      </c>
      <c r="J5749" s="10">
        <v>0.03970000000000001</v>
      </c>
    </row>
    <row r="5750" spans="1:10">
      <c r="A5750" s="7" t="s">
        <v>5784</v>
      </c>
      <c r="B5750" s="7" t="s">
        <v>7617</v>
      </c>
      <c r="C5750" s="8">
        <f>QS.CONTEXT.CREATE("market.5748",A5750,"USD","SOFR")</f>
        <v/>
      </c>
      <c r="D5750" s="8">
        <f>QS.CONTEXT.ADD.CURVE(C5750,"SOFR",$K$2:$K$7,$L$2:$L$7,,,"Actual360","LogLinear",TRUE)</f>
        <v/>
      </c>
      <c r="E5750" s="8">
        <f>QS.INSTRUMENT.SWAP("swap.5748",C5750,H5750,B5750,"USD","SOFR",I5750,J5750,0,"Actual360","Simple","Annual","Annual","Annual")</f>
        <v/>
      </c>
      <c r="F5750" s="8">
        <f>QS.TRADE.CREATE("trade.5748",C5750,E5750,A5750,"Receive")</f>
        <v/>
      </c>
      <c r="G5750" s="5"/>
      <c r="H5750" s="7" t="s">
        <v>5791</v>
      </c>
      <c r="I5750" s="9">
        <v>1574800</v>
      </c>
      <c r="J5750" s="10">
        <v>0.0398</v>
      </c>
    </row>
    <row r="5751" spans="1:10">
      <c r="A5751" s="7" t="s">
        <v>5785</v>
      </c>
      <c r="B5751" s="7" t="s">
        <v>7618</v>
      </c>
      <c r="C5751" s="8">
        <f>QS.CONTEXT.CREATE("market.5749",A5751,"USD","SOFR")</f>
        <v/>
      </c>
      <c r="D5751" s="8">
        <f>QS.CONTEXT.ADD.CURVE(C5751,"SOFR",$K$2:$K$7,$L$2:$L$7,,,"Actual360","LogLinear",TRUE)</f>
        <v/>
      </c>
      <c r="E5751" s="8">
        <f>QS.INSTRUMENT.SWAP("swap.5749",C5751,H5751,B5751,"USD","SOFR",I5751,J5751,0,"Actual360","Simple","Annual","Annual","Annual")</f>
        <v/>
      </c>
      <c r="F5751" s="8">
        <f>QS.TRADE.CREATE("trade.5749",C5751,E5751,A5751,"Receive")</f>
        <v/>
      </c>
      <c r="G5751" s="5"/>
      <c r="H5751" s="7" t="s">
        <v>5792</v>
      </c>
      <c r="I5751" s="9">
        <v>1574900</v>
      </c>
      <c r="J5751" s="10">
        <v>0.0399</v>
      </c>
    </row>
    <row r="5752" spans="1:10">
      <c r="A5752" s="7" t="s">
        <v>5786</v>
      </c>
      <c r="B5752" s="7" t="s">
        <v>7619</v>
      </c>
      <c r="C5752" s="8">
        <f>QS.CONTEXT.CREATE("market.5750",A5752,"USD","SOFR")</f>
        <v/>
      </c>
      <c r="D5752" s="8">
        <f>QS.CONTEXT.ADD.CURVE(C5752,"SOFR",$K$2:$K$7,$L$2:$L$7,,,"Actual360","LogLinear",TRUE)</f>
        <v/>
      </c>
      <c r="E5752" s="8">
        <f>QS.INSTRUMENT.SWAP("swap.5750",C5752,H5752,B5752,"USD","SOFR",I5752,J5752,0,"Actual360","Simple","Annual","Annual","Annual")</f>
        <v/>
      </c>
      <c r="F5752" s="8">
        <f>QS.TRADE.CREATE("trade.5750",C5752,E5752,A5752,"Receive")</f>
        <v/>
      </c>
      <c r="G5752" s="5"/>
      <c r="H5752" s="7" t="s">
        <v>5793</v>
      </c>
      <c r="I5752" s="9">
        <v>1575000</v>
      </c>
      <c r="J5752" s="10">
        <v>0.035</v>
      </c>
    </row>
    <row r="5753" spans="1:10">
      <c r="A5753" s="7" t="s">
        <v>5787</v>
      </c>
      <c r="B5753" s="7" t="s">
        <v>7620</v>
      </c>
      <c r="C5753" s="8">
        <f>QS.CONTEXT.CREATE("market.5751",A5753,"USD","SOFR")</f>
        <v/>
      </c>
      <c r="D5753" s="8">
        <f>QS.CONTEXT.ADD.CURVE(C5753,"SOFR",$K$2:$K$7,$L$2:$L$7,,,"Actual360","LogLinear",TRUE)</f>
        <v/>
      </c>
      <c r="E5753" s="8">
        <f>QS.INSTRUMENT.SWAP("swap.5751",C5753,H5753,B5753,"USD","SOFR",I5753,J5753,0,"Actual360","Simple","Annual","Annual","Annual")</f>
        <v/>
      </c>
      <c r="F5753" s="8">
        <f>QS.TRADE.CREATE("trade.5751",C5753,E5753,A5753,"Receive")</f>
        <v/>
      </c>
      <c r="G5753" s="5"/>
      <c r="H5753" s="7" t="s">
        <v>5794</v>
      </c>
      <c r="I5753" s="9">
        <v>1575100</v>
      </c>
      <c r="J5753" s="10">
        <v>0.03510000000000001</v>
      </c>
    </row>
    <row r="5754" spans="1:10">
      <c r="A5754" s="7" t="s">
        <v>5788</v>
      </c>
      <c r="B5754" s="7" t="s">
        <v>7621</v>
      </c>
      <c r="C5754" s="8">
        <f>QS.CONTEXT.CREATE("market.5752",A5754,"USD","SOFR")</f>
        <v/>
      </c>
      <c r="D5754" s="8">
        <f>QS.CONTEXT.ADD.CURVE(C5754,"SOFR",$K$2:$K$7,$L$2:$L$7,,,"Actual360","LogLinear",TRUE)</f>
        <v/>
      </c>
      <c r="E5754" s="8">
        <f>QS.INSTRUMENT.SWAP("swap.5752",C5754,H5754,B5754,"USD","SOFR",I5754,J5754,0,"Actual360","Simple","Annual","Annual","Annual")</f>
        <v/>
      </c>
      <c r="F5754" s="8">
        <f>QS.TRADE.CREATE("trade.5752",C5754,E5754,A5754,"Receive")</f>
        <v/>
      </c>
      <c r="G5754" s="5"/>
      <c r="H5754" s="7" t="s">
        <v>5795</v>
      </c>
      <c r="I5754" s="9">
        <v>1575200</v>
      </c>
      <c r="J5754" s="10">
        <v>0.0352</v>
      </c>
    </row>
    <row r="5755" spans="1:10">
      <c r="A5755" s="7" t="s">
        <v>5789</v>
      </c>
      <c r="B5755" s="7" t="s">
        <v>7622</v>
      </c>
      <c r="C5755" s="8">
        <f>QS.CONTEXT.CREATE("market.5753",A5755,"USD","SOFR")</f>
        <v/>
      </c>
      <c r="D5755" s="8">
        <f>QS.CONTEXT.ADD.CURVE(C5755,"SOFR",$K$2:$K$7,$L$2:$L$7,,,"Actual360","LogLinear",TRUE)</f>
        <v/>
      </c>
      <c r="E5755" s="8">
        <f>QS.INSTRUMENT.SWAP("swap.5753",C5755,H5755,B5755,"USD","SOFR",I5755,J5755,0,"Actual360","Simple","Annual","Annual","Annual")</f>
        <v/>
      </c>
      <c r="F5755" s="8">
        <f>QS.TRADE.CREATE("trade.5753",C5755,E5755,A5755,"Receive")</f>
        <v/>
      </c>
      <c r="G5755" s="5"/>
      <c r="H5755" s="7" t="s">
        <v>5796</v>
      </c>
      <c r="I5755" s="9">
        <v>1575300</v>
      </c>
      <c r="J5755" s="10">
        <v>0.0353</v>
      </c>
    </row>
    <row r="5756" spans="1:10">
      <c r="A5756" s="7" t="s">
        <v>5790</v>
      </c>
      <c r="B5756" s="7" t="s">
        <v>7623</v>
      </c>
      <c r="C5756" s="8">
        <f>QS.CONTEXT.CREATE("market.5754",A5756,"USD","SOFR")</f>
        <v/>
      </c>
      <c r="D5756" s="8">
        <f>QS.CONTEXT.ADD.CURVE(C5756,"SOFR",$K$2:$K$7,$L$2:$L$7,,,"Actual360","LogLinear",TRUE)</f>
        <v/>
      </c>
      <c r="E5756" s="8">
        <f>QS.INSTRUMENT.SWAP("swap.5754",C5756,H5756,B5756,"USD","SOFR",I5756,J5756,0,"Actual360","Simple","Annual","Annual","Annual")</f>
        <v/>
      </c>
      <c r="F5756" s="8">
        <f>QS.TRADE.CREATE("trade.5754",C5756,E5756,A5756,"Receive")</f>
        <v/>
      </c>
      <c r="G5756" s="5"/>
      <c r="H5756" s="7" t="s">
        <v>5797</v>
      </c>
      <c r="I5756" s="9">
        <v>1575400</v>
      </c>
      <c r="J5756" s="10">
        <v>0.0354</v>
      </c>
    </row>
    <row r="5757" spans="1:10">
      <c r="A5757" s="7" t="s">
        <v>5791</v>
      </c>
      <c r="B5757" s="7" t="s">
        <v>7624</v>
      </c>
      <c r="C5757" s="8">
        <f>QS.CONTEXT.CREATE("market.5755",A5757,"USD","SOFR")</f>
        <v/>
      </c>
      <c r="D5757" s="8">
        <f>QS.CONTEXT.ADD.CURVE(C5757,"SOFR",$K$2:$K$7,$L$2:$L$7,,,"Actual360","LogLinear",TRUE)</f>
        <v/>
      </c>
      <c r="E5757" s="8">
        <f>QS.INSTRUMENT.SWAP("swap.5755",C5757,H5757,B5757,"USD","SOFR",I5757,J5757,0,"Actual360","Simple","Annual","Annual","Annual")</f>
        <v/>
      </c>
      <c r="F5757" s="8">
        <f>QS.TRADE.CREATE("trade.5755",C5757,E5757,A5757,"Receive")</f>
        <v/>
      </c>
      <c r="G5757" s="5"/>
      <c r="H5757" s="7" t="s">
        <v>5798</v>
      </c>
      <c r="I5757" s="9">
        <v>1575500</v>
      </c>
      <c r="J5757" s="10">
        <v>0.0355</v>
      </c>
    </row>
    <row r="5758" spans="1:10">
      <c r="A5758" s="7" t="s">
        <v>5792</v>
      </c>
      <c r="B5758" s="7" t="s">
        <v>7625</v>
      </c>
      <c r="C5758" s="8">
        <f>QS.CONTEXT.CREATE("market.5756",A5758,"USD","SOFR")</f>
        <v/>
      </c>
      <c r="D5758" s="8">
        <f>QS.CONTEXT.ADD.CURVE(C5758,"SOFR",$K$2:$K$7,$L$2:$L$7,,,"Actual360","LogLinear",TRUE)</f>
        <v/>
      </c>
      <c r="E5758" s="8">
        <f>QS.INSTRUMENT.SWAP("swap.5756",C5758,H5758,B5758,"USD","SOFR",I5758,J5758,0,"Actual360","Simple","Annual","Annual","Annual")</f>
        <v/>
      </c>
      <c r="F5758" s="8">
        <f>QS.TRADE.CREATE("trade.5756",C5758,E5758,A5758,"Receive")</f>
        <v/>
      </c>
      <c r="G5758" s="5"/>
      <c r="H5758" s="7" t="s">
        <v>5799</v>
      </c>
      <c r="I5758" s="9">
        <v>1575600</v>
      </c>
      <c r="J5758" s="10">
        <v>0.03560000000000001</v>
      </c>
    </row>
    <row r="5759" spans="1:10">
      <c r="A5759" s="7" t="s">
        <v>5793</v>
      </c>
      <c r="B5759" s="7" t="s">
        <v>7626</v>
      </c>
      <c r="C5759" s="8">
        <f>QS.CONTEXT.CREATE("market.5757",A5759,"USD","SOFR")</f>
        <v/>
      </c>
      <c r="D5759" s="8">
        <f>QS.CONTEXT.ADD.CURVE(C5759,"SOFR",$K$2:$K$7,$L$2:$L$7,,,"Actual360","LogLinear",TRUE)</f>
        <v/>
      </c>
      <c r="E5759" s="8">
        <f>QS.INSTRUMENT.SWAP("swap.5757",C5759,H5759,B5759,"USD","SOFR",I5759,J5759,0,"Actual360","Simple","Annual","Annual","Annual")</f>
        <v/>
      </c>
      <c r="F5759" s="8">
        <f>QS.TRADE.CREATE("trade.5757",C5759,E5759,A5759,"Receive")</f>
        <v/>
      </c>
      <c r="G5759" s="5"/>
      <c r="H5759" s="7" t="s">
        <v>5800</v>
      </c>
      <c r="I5759" s="9">
        <v>1575700</v>
      </c>
      <c r="J5759" s="10">
        <v>0.0357</v>
      </c>
    </row>
    <row r="5760" spans="1:10">
      <c r="A5760" s="7" t="s">
        <v>5794</v>
      </c>
      <c r="B5760" s="7" t="s">
        <v>7627</v>
      </c>
      <c r="C5760" s="8">
        <f>QS.CONTEXT.CREATE("market.5758",A5760,"USD","SOFR")</f>
        <v/>
      </c>
      <c r="D5760" s="8">
        <f>QS.CONTEXT.ADD.CURVE(C5760,"SOFR",$K$2:$K$7,$L$2:$L$7,,,"Actual360","LogLinear",TRUE)</f>
        <v/>
      </c>
      <c r="E5760" s="8">
        <f>QS.INSTRUMENT.SWAP("swap.5758",C5760,H5760,B5760,"USD","SOFR",I5760,J5760,0,"Actual360","Simple","Annual","Annual","Annual")</f>
        <v/>
      </c>
      <c r="F5760" s="8">
        <f>QS.TRADE.CREATE("trade.5758",C5760,E5760,A5760,"Receive")</f>
        <v/>
      </c>
      <c r="G5760" s="5"/>
      <c r="H5760" s="7" t="s">
        <v>5801</v>
      </c>
      <c r="I5760" s="9">
        <v>1575800</v>
      </c>
      <c r="J5760" s="10">
        <v>0.03580000000000001</v>
      </c>
    </row>
    <row r="5761" spans="1:10">
      <c r="A5761" s="7" t="s">
        <v>5795</v>
      </c>
      <c r="B5761" s="7" t="s">
        <v>7628</v>
      </c>
      <c r="C5761" s="8">
        <f>QS.CONTEXT.CREATE("market.5759",A5761,"USD","SOFR")</f>
        <v/>
      </c>
      <c r="D5761" s="8">
        <f>QS.CONTEXT.ADD.CURVE(C5761,"SOFR",$K$2:$K$7,$L$2:$L$7,,,"Actual360","LogLinear",TRUE)</f>
        <v/>
      </c>
      <c r="E5761" s="8">
        <f>QS.INSTRUMENT.SWAP("swap.5759",C5761,H5761,B5761,"USD","SOFR",I5761,J5761,0,"Actual360","Simple","Annual","Annual","Annual")</f>
        <v/>
      </c>
      <c r="F5761" s="8">
        <f>QS.TRADE.CREATE("trade.5759",C5761,E5761,A5761,"Receive")</f>
        <v/>
      </c>
      <c r="G5761" s="5"/>
      <c r="H5761" s="7" t="s">
        <v>5802</v>
      </c>
      <c r="I5761" s="9">
        <v>1575900</v>
      </c>
      <c r="J5761" s="10">
        <v>0.0359</v>
      </c>
    </row>
    <row r="5762" spans="1:10">
      <c r="A5762" s="7" t="s">
        <v>5796</v>
      </c>
      <c r="B5762" s="7" t="s">
        <v>7629</v>
      </c>
      <c r="C5762" s="8">
        <f>QS.CONTEXT.CREATE("market.5760",A5762,"USD","SOFR")</f>
        <v/>
      </c>
      <c r="D5762" s="8">
        <f>QS.CONTEXT.ADD.CURVE(C5762,"SOFR",$K$2:$K$7,$L$2:$L$7,,,"Actual360","LogLinear",TRUE)</f>
        <v/>
      </c>
      <c r="E5762" s="8">
        <f>QS.INSTRUMENT.SWAP("swap.5760",C5762,H5762,B5762,"USD","SOFR",I5762,J5762,0,"Actual360","Simple","Annual","Annual","Annual")</f>
        <v/>
      </c>
      <c r="F5762" s="8">
        <f>QS.TRADE.CREATE("trade.5760",C5762,E5762,A5762,"Receive")</f>
        <v/>
      </c>
      <c r="G5762" s="5"/>
      <c r="H5762" s="7" t="s">
        <v>5803</v>
      </c>
      <c r="I5762" s="9">
        <v>1576000</v>
      </c>
      <c r="J5762" s="10">
        <v>0.036</v>
      </c>
    </row>
    <row r="5763" spans="1:10">
      <c r="A5763" s="7" t="s">
        <v>5797</v>
      </c>
      <c r="B5763" s="7" t="s">
        <v>7630</v>
      </c>
      <c r="C5763" s="8">
        <f>QS.CONTEXT.CREATE("market.5761",A5763,"USD","SOFR")</f>
        <v/>
      </c>
      <c r="D5763" s="8">
        <f>QS.CONTEXT.ADD.CURVE(C5763,"SOFR",$K$2:$K$7,$L$2:$L$7,,,"Actual360","LogLinear",TRUE)</f>
        <v/>
      </c>
      <c r="E5763" s="8">
        <f>QS.INSTRUMENT.SWAP("swap.5761",C5763,H5763,B5763,"USD","SOFR",I5763,J5763,0,"Actual360","Simple","Annual","Annual","Annual")</f>
        <v/>
      </c>
      <c r="F5763" s="8">
        <f>QS.TRADE.CREATE("trade.5761",C5763,E5763,A5763,"Receive")</f>
        <v/>
      </c>
      <c r="G5763" s="5"/>
      <c r="H5763" s="7" t="s">
        <v>5804</v>
      </c>
      <c r="I5763" s="9">
        <v>1576100</v>
      </c>
      <c r="J5763" s="10">
        <v>0.0361</v>
      </c>
    </row>
    <row r="5764" spans="1:10">
      <c r="A5764" s="7" t="s">
        <v>5798</v>
      </c>
      <c r="B5764" s="7" t="s">
        <v>7631</v>
      </c>
      <c r="C5764" s="8">
        <f>QS.CONTEXT.CREATE("market.5762",A5764,"USD","SOFR")</f>
        <v/>
      </c>
      <c r="D5764" s="8">
        <f>QS.CONTEXT.ADD.CURVE(C5764,"SOFR",$K$2:$K$7,$L$2:$L$7,,,"Actual360","LogLinear",TRUE)</f>
        <v/>
      </c>
      <c r="E5764" s="8">
        <f>QS.INSTRUMENT.SWAP("swap.5762",C5764,H5764,B5764,"USD","SOFR",I5764,J5764,0,"Actual360","Simple","Annual","Annual","Annual")</f>
        <v/>
      </c>
      <c r="F5764" s="8">
        <f>QS.TRADE.CREATE("trade.5762",C5764,E5764,A5764,"Receive")</f>
        <v/>
      </c>
      <c r="G5764" s="5"/>
      <c r="H5764" s="7" t="s">
        <v>5805</v>
      </c>
      <c r="I5764" s="9">
        <v>1576200</v>
      </c>
      <c r="J5764" s="10">
        <v>0.0362</v>
      </c>
    </row>
    <row r="5765" spans="1:10">
      <c r="A5765" s="7" t="s">
        <v>5799</v>
      </c>
      <c r="B5765" s="7" t="s">
        <v>7632</v>
      </c>
      <c r="C5765" s="8">
        <f>QS.CONTEXT.CREATE("market.5763",A5765,"USD","SOFR")</f>
        <v/>
      </c>
      <c r="D5765" s="8">
        <f>QS.CONTEXT.ADD.CURVE(C5765,"SOFR",$K$2:$K$7,$L$2:$L$7,,,"Actual360","LogLinear",TRUE)</f>
        <v/>
      </c>
      <c r="E5765" s="8">
        <f>QS.INSTRUMENT.SWAP("swap.5763",C5765,H5765,B5765,"USD","SOFR",I5765,J5765,0,"Actual360","Simple","Annual","Annual","Annual")</f>
        <v/>
      </c>
      <c r="F5765" s="8">
        <f>QS.TRADE.CREATE("trade.5763",C5765,E5765,A5765,"Receive")</f>
        <v/>
      </c>
      <c r="G5765" s="5"/>
      <c r="H5765" s="7" t="s">
        <v>5806</v>
      </c>
      <c r="I5765" s="9">
        <v>1576300</v>
      </c>
      <c r="J5765" s="10">
        <v>0.03630000000000001</v>
      </c>
    </row>
    <row r="5766" spans="1:10">
      <c r="A5766" s="7" t="s">
        <v>5800</v>
      </c>
      <c r="B5766" s="7" t="s">
        <v>7633</v>
      </c>
      <c r="C5766" s="8">
        <f>QS.CONTEXT.CREATE("market.5764",A5766,"USD","SOFR")</f>
        <v/>
      </c>
      <c r="D5766" s="8">
        <f>QS.CONTEXT.ADD.CURVE(C5766,"SOFR",$K$2:$K$7,$L$2:$L$7,,,"Actual360","LogLinear",TRUE)</f>
        <v/>
      </c>
      <c r="E5766" s="8">
        <f>QS.INSTRUMENT.SWAP("swap.5764",C5766,H5766,B5766,"USD","SOFR",I5766,J5766,0,"Actual360","Simple","Annual","Annual","Annual")</f>
        <v/>
      </c>
      <c r="F5766" s="8">
        <f>QS.TRADE.CREATE("trade.5764",C5766,E5766,A5766,"Receive")</f>
        <v/>
      </c>
      <c r="G5766" s="5"/>
      <c r="H5766" s="7" t="s">
        <v>5807</v>
      </c>
      <c r="I5766" s="9">
        <v>1576400</v>
      </c>
      <c r="J5766" s="10">
        <v>0.0364</v>
      </c>
    </row>
    <row r="5767" spans="1:10">
      <c r="A5767" s="7" t="s">
        <v>5801</v>
      </c>
      <c r="B5767" s="7" t="s">
        <v>7634</v>
      </c>
      <c r="C5767" s="8">
        <f>QS.CONTEXT.CREATE("market.5765",A5767,"USD","SOFR")</f>
        <v/>
      </c>
      <c r="D5767" s="8">
        <f>QS.CONTEXT.ADD.CURVE(C5767,"SOFR",$K$2:$K$7,$L$2:$L$7,,,"Actual360","LogLinear",TRUE)</f>
        <v/>
      </c>
      <c r="E5767" s="8">
        <f>QS.INSTRUMENT.SWAP("swap.5765",C5767,H5767,B5767,"USD","SOFR",I5767,J5767,0,"Actual360","Simple","Annual","Annual","Annual")</f>
        <v/>
      </c>
      <c r="F5767" s="8">
        <f>QS.TRADE.CREATE("trade.5765",C5767,E5767,A5767,"Receive")</f>
        <v/>
      </c>
      <c r="G5767" s="5"/>
      <c r="H5767" s="7" t="s">
        <v>5808</v>
      </c>
      <c r="I5767" s="9">
        <v>1576500</v>
      </c>
      <c r="J5767" s="10">
        <v>0.0365</v>
      </c>
    </row>
    <row r="5768" spans="1:10">
      <c r="A5768" s="7" t="s">
        <v>5802</v>
      </c>
      <c r="B5768" s="7" t="s">
        <v>7635</v>
      </c>
      <c r="C5768" s="8">
        <f>QS.CONTEXT.CREATE("market.5766",A5768,"USD","SOFR")</f>
        <v/>
      </c>
      <c r="D5768" s="8">
        <f>QS.CONTEXT.ADD.CURVE(C5768,"SOFR",$K$2:$K$7,$L$2:$L$7,,,"Actual360","LogLinear",TRUE)</f>
        <v/>
      </c>
      <c r="E5768" s="8">
        <f>QS.INSTRUMENT.SWAP("swap.5766",C5768,H5768,B5768,"USD","SOFR",I5768,J5768,0,"Actual360","Simple","Annual","Annual","Annual")</f>
        <v/>
      </c>
      <c r="F5768" s="8">
        <f>QS.TRADE.CREATE("trade.5766",C5768,E5768,A5768,"Receive")</f>
        <v/>
      </c>
      <c r="G5768" s="5"/>
      <c r="H5768" s="7" t="s">
        <v>5809</v>
      </c>
      <c r="I5768" s="9">
        <v>1576600</v>
      </c>
      <c r="J5768" s="10">
        <v>0.0366</v>
      </c>
    </row>
    <row r="5769" spans="1:10">
      <c r="A5769" s="7" t="s">
        <v>5803</v>
      </c>
      <c r="B5769" s="7" t="s">
        <v>7636</v>
      </c>
      <c r="C5769" s="8">
        <f>QS.CONTEXT.CREATE("market.5767",A5769,"USD","SOFR")</f>
        <v/>
      </c>
      <c r="D5769" s="8">
        <f>QS.CONTEXT.ADD.CURVE(C5769,"SOFR",$K$2:$K$7,$L$2:$L$7,,,"Actual360","LogLinear",TRUE)</f>
        <v/>
      </c>
      <c r="E5769" s="8">
        <f>QS.INSTRUMENT.SWAP("swap.5767",C5769,H5769,B5769,"USD","SOFR",I5769,J5769,0,"Actual360","Simple","Annual","Annual","Annual")</f>
        <v/>
      </c>
      <c r="F5769" s="8">
        <f>QS.TRADE.CREATE("trade.5767",C5769,E5769,A5769,"Receive")</f>
        <v/>
      </c>
      <c r="G5769" s="5"/>
      <c r="H5769" s="7" t="s">
        <v>5810</v>
      </c>
      <c r="I5769" s="9">
        <v>1576700</v>
      </c>
      <c r="J5769" s="10">
        <v>0.0367</v>
      </c>
    </row>
    <row r="5770" spans="1:10">
      <c r="A5770" s="7" t="s">
        <v>5804</v>
      </c>
      <c r="B5770" s="7" t="s">
        <v>7637</v>
      </c>
      <c r="C5770" s="8">
        <f>QS.CONTEXT.CREATE("market.5768",A5770,"USD","SOFR")</f>
        <v/>
      </c>
      <c r="D5770" s="8">
        <f>QS.CONTEXT.ADD.CURVE(C5770,"SOFR",$K$2:$K$7,$L$2:$L$7,,,"Actual360","LogLinear",TRUE)</f>
        <v/>
      </c>
      <c r="E5770" s="8">
        <f>QS.INSTRUMENT.SWAP("swap.5768",C5770,H5770,B5770,"USD","SOFR",I5770,J5770,0,"Actual360","Simple","Annual","Annual","Annual")</f>
        <v/>
      </c>
      <c r="F5770" s="8">
        <f>QS.TRADE.CREATE("trade.5768",C5770,E5770,A5770,"Receive")</f>
        <v/>
      </c>
      <c r="G5770" s="5"/>
      <c r="H5770" s="7" t="s">
        <v>5811</v>
      </c>
      <c r="I5770" s="9">
        <v>1576800</v>
      </c>
      <c r="J5770" s="10">
        <v>0.03680000000000001</v>
      </c>
    </row>
    <row r="5771" spans="1:10">
      <c r="A5771" s="7" t="s">
        <v>5805</v>
      </c>
      <c r="B5771" s="7" t="s">
        <v>7638</v>
      </c>
      <c r="C5771" s="8">
        <f>QS.CONTEXT.CREATE("market.5769",A5771,"USD","SOFR")</f>
        <v/>
      </c>
      <c r="D5771" s="8">
        <f>QS.CONTEXT.ADD.CURVE(C5771,"SOFR",$K$2:$K$7,$L$2:$L$7,,,"Actual360","LogLinear",TRUE)</f>
        <v/>
      </c>
      <c r="E5771" s="8">
        <f>QS.INSTRUMENT.SWAP("swap.5769",C5771,H5771,B5771,"USD","SOFR",I5771,J5771,0,"Actual360","Simple","Annual","Annual","Annual")</f>
        <v/>
      </c>
      <c r="F5771" s="8">
        <f>QS.TRADE.CREATE("trade.5769",C5771,E5771,A5771,"Receive")</f>
        <v/>
      </c>
      <c r="G5771" s="5"/>
      <c r="H5771" s="7" t="s">
        <v>5812</v>
      </c>
      <c r="I5771" s="9">
        <v>1576900</v>
      </c>
      <c r="J5771" s="10">
        <v>0.0369</v>
      </c>
    </row>
    <row r="5772" spans="1:10">
      <c r="A5772" s="7" t="s">
        <v>5806</v>
      </c>
      <c r="B5772" s="7" t="s">
        <v>7639</v>
      </c>
      <c r="C5772" s="8">
        <f>QS.CONTEXT.CREATE("market.5770",A5772,"USD","SOFR")</f>
        <v/>
      </c>
      <c r="D5772" s="8">
        <f>QS.CONTEXT.ADD.CURVE(C5772,"SOFR",$K$2:$K$7,$L$2:$L$7,,,"Actual360","LogLinear",TRUE)</f>
        <v/>
      </c>
      <c r="E5772" s="8">
        <f>QS.INSTRUMENT.SWAP("swap.5770",C5772,H5772,B5772,"USD","SOFR",I5772,J5772,0,"Actual360","Simple","Annual","Annual","Annual")</f>
        <v/>
      </c>
      <c r="F5772" s="8">
        <f>QS.TRADE.CREATE("trade.5770",C5772,E5772,A5772,"Receive")</f>
        <v/>
      </c>
      <c r="G5772" s="5"/>
      <c r="H5772" s="7" t="s">
        <v>5813</v>
      </c>
      <c r="I5772" s="9">
        <v>1577000</v>
      </c>
      <c r="J5772" s="10">
        <v>0.03700000000000001</v>
      </c>
    </row>
    <row r="5773" spans="1:10">
      <c r="A5773" s="7" t="s">
        <v>5807</v>
      </c>
      <c r="B5773" s="7" t="s">
        <v>7640</v>
      </c>
      <c r="C5773" s="8">
        <f>QS.CONTEXT.CREATE("market.5771",A5773,"USD","SOFR")</f>
        <v/>
      </c>
      <c r="D5773" s="8">
        <f>QS.CONTEXT.ADD.CURVE(C5773,"SOFR",$K$2:$K$7,$L$2:$L$7,,,"Actual360","LogLinear",TRUE)</f>
        <v/>
      </c>
      <c r="E5773" s="8">
        <f>QS.INSTRUMENT.SWAP("swap.5771",C5773,H5773,B5773,"USD","SOFR",I5773,J5773,0,"Actual360","Simple","Annual","Annual","Annual")</f>
        <v/>
      </c>
      <c r="F5773" s="8">
        <f>QS.TRADE.CREATE("trade.5771",C5773,E5773,A5773,"Receive")</f>
        <v/>
      </c>
      <c r="G5773" s="5"/>
      <c r="H5773" s="7" t="s">
        <v>5814</v>
      </c>
      <c r="I5773" s="9">
        <v>1577100</v>
      </c>
      <c r="J5773" s="10">
        <v>0.0371</v>
      </c>
    </row>
    <row r="5774" spans="1:10">
      <c r="A5774" s="7" t="s">
        <v>5808</v>
      </c>
      <c r="B5774" s="7" t="s">
        <v>7641</v>
      </c>
      <c r="C5774" s="8">
        <f>QS.CONTEXT.CREATE("market.5772",A5774,"USD","SOFR")</f>
        <v/>
      </c>
      <c r="D5774" s="8">
        <f>QS.CONTEXT.ADD.CURVE(C5774,"SOFR",$K$2:$K$7,$L$2:$L$7,,,"Actual360","LogLinear",TRUE)</f>
        <v/>
      </c>
      <c r="E5774" s="8">
        <f>QS.INSTRUMENT.SWAP("swap.5772",C5774,H5774,B5774,"USD","SOFR",I5774,J5774,0,"Actual360","Simple","Annual","Annual","Annual")</f>
        <v/>
      </c>
      <c r="F5774" s="8">
        <f>QS.TRADE.CREATE("trade.5772",C5774,E5774,A5774,"Receive")</f>
        <v/>
      </c>
      <c r="G5774" s="5"/>
      <c r="H5774" s="7" t="s">
        <v>5815</v>
      </c>
      <c r="I5774" s="9">
        <v>1577200</v>
      </c>
      <c r="J5774" s="10">
        <v>0.0372</v>
      </c>
    </row>
    <row r="5775" spans="1:10">
      <c r="A5775" s="7" t="s">
        <v>5809</v>
      </c>
      <c r="B5775" s="7" t="s">
        <v>7642</v>
      </c>
      <c r="C5775" s="8">
        <f>QS.CONTEXT.CREATE("market.5773",A5775,"USD","SOFR")</f>
        <v/>
      </c>
      <c r="D5775" s="8">
        <f>QS.CONTEXT.ADD.CURVE(C5775,"SOFR",$K$2:$K$7,$L$2:$L$7,,,"Actual360","LogLinear",TRUE)</f>
        <v/>
      </c>
      <c r="E5775" s="8">
        <f>QS.INSTRUMENT.SWAP("swap.5773",C5775,H5775,B5775,"USD","SOFR",I5775,J5775,0,"Actual360","Simple","Annual","Annual","Annual")</f>
        <v/>
      </c>
      <c r="F5775" s="8">
        <f>QS.TRADE.CREATE("trade.5773",C5775,E5775,A5775,"Receive")</f>
        <v/>
      </c>
      <c r="G5775" s="5"/>
      <c r="H5775" s="7" t="s">
        <v>5816</v>
      </c>
      <c r="I5775" s="9">
        <v>1577300</v>
      </c>
      <c r="J5775" s="10">
        <v>0.0373</v>
      </c>
    </row>
    <row r="5776" spans="1:10">
      <c r="A5776" s="7" t="s">
        <v>5810</v>
      </c>
      <c r="B5776" s="7" t="s">
        <v>7643</v>
      </c>
      <c r="C5776" s="8">
        <f>QS.CONTEXT.CREATE("market.5774",A5776,"USD","SOFR")</f>
        <v/>
      </c>
      <c r="D5776" s="8">
        <f>QS.CONTEXT.ADD.CURVE(C5776,"SOFR",$K$2:$K$7,$L$2:$L$7,,,"Actual360","LogLinear",TRUE)</f>
        <v/>
      </c>
      <c r="E5776" s="8">
        <f>QS.INSTRUMENT.SWAP("swap.5774",C5776,H5776,B5776,"USD","SOFR",I5776,J5776,0,"Actual360","Simple","Annual","Annual","Annual")</f>
        <v/>
      </c>
      <c r="F5776" s="8">
        <f>QS.TRADE.CREATE("trade.5774",C5776,E5776,A5776,"Receive")</f>
        <v/>
      </c>
      <c r="G5776" s="5"/>
      <c r="H5776" s="7" t="s">
        <v>5817</v>
      </c>
      <c r="I5776" s="9">
        <v>1577400</v>
      </c>
      <c r="J5776" s="10">
        <v>0.0374</v>
      </c>
    </row>
    <row r="5777" spans="1:10">
      <c r="A5777" s="7" t="s">
        <v>5811</v>
      </c>
      <c r="B5777" s="7" t="s">
        <v>7644</v>
      </c>
      <c r="C5777" s="8">
        <f>QS.CONTEXT.CREATE("market.5775",A5777,"USD","SOFR")</f>
        <v/>
      </c>
      <c r="D5777" s="8">
        <f>QS.CONTEXT.ADD.CURVE(C5777,"SOFR",$K$2:$K$7,$L$2:$L$7,,,"Actual360","LogLinear",TRUE)</f>
        <v/>
      </c>
      <c r="E5777" s="8">
        <f>QS.INSTRUMENT.SWAP("swap.5775",C5777,H5777,B5777,"USD","SOFR",I5777,J5777,0,"Actual360","Simple","Annual","Annual","Annual")</f>
        <v/>
      </c>
      <c r="F5777" s="8">
        <f>QS.TRADE.CREATE("trade.5775",C5777,E5777,A5777,"Receive")</f>
        <v/>
      </c>
      <c r="G5777" s="5"/>
      <c r="H5777" s="7" t="s">
        <v>5818</v>
      </c>
      <c r="I5777" s="9">
        <v>1577500</v>
      </c>
      <c r="J5777" s="10">
        <v>0.03750000000000001</v>
      </c>
    </row>
    <row r="5778" spans="1:10">
      <c r="A5778" s="7" t="s">
        <v>5812</v>
      </c>
      <c r="B5778" s="7" t="s">
        <v>7645</v>
      </c>
      <c r="C5778" s="8">
        <f>QS.CONTEXT.CREATE("market.5776",A5778,"USD","SOFR")</f>
        <v/>
      </c>
      <c r="D5778" s="8">
        <f>QS.CONTEXT.ADD.CURVE(C5778,"SOFR",$K$2:$K$7,$L$2:$L$7,,,"Actual360","LogLinear",TRUE)</f>
        <v/>
      </c>
      <c r="E5778" s="8">
        <f>QS.INSTRUMENT.SWAP("swap.5776",C5778,H5778,B5778,"USD","SOFR",I5778,J5778,0,"Actual360","Simple","Annual","Annual","Annual")</f>
        <v/>
      </c>
      <c r="F5778" s="8">
        <f>QS.TRADE.CREATE("trade.5776",C5778,E5778,A5778,"Receive")</f>
        <v/>
      </c>
      <c r="G5778" s="5"/>
      <c r="H5778" s="7" t="s">
        <v>5819</v>
      </c>
      <c r="I5778" s="9">
        <v>1577600</v>
      </c>
      <c r="J5778" s="10">
        <v>0.0376</v>
      </c>
    </row>
    <row r="5779" spans="1:10">
      <c r="A5779" s="7" t="s">
        <v>5813</v>
      </c>
      <c r="B5779" s="7" t="s">
        <v>7646</v>
      </c>
      <c r="C5779" s="8">
        <f>QS.CONTEXT.CREATE("market.5777",A5779,"USD","SOFR")</f>
        <v/>
      </c>
      <c r="D5779" s="8">
        <f>QS.CONTEXT.ADD.CURVE(C5779,"SOFR",$K$2:$K$7,$L$2:$L$7,,,"Actual360","LogLinear",TRUE)</f>
        <v/>
      </c>
      <c r="E5779" s="8">
        <f>QS.INSTRUMENT.SWAP("swap.5777",C5779,H5779,B5779,"USD","SOFR",I5779,J5779,0,"Actual360","Simple","Annual","Annual","Annual")</f>
        <v/>
      </c>
      <c r="F5779" s="8">
        <f>QS.TRADE.CREATE("trade.5777",C5779,E5779,A5779,"Receive")</f>
        <v/>
      </c>
      <c r="G5779" s="5"/>
      <c r="H5779" s="7" t="s">
        <v>5820</v>
      </c>
      <c r="I5779" s="9">
        <v>1577700</v>
      </c>
      <c r="J5779" s="10">
        <v>0.0377</v>
      </c>
    </row>
    <row r="5780" spans="1:10">
      <c r="A5780" s="7" t="s">
        <v>5814</v>
      </c>
      <c r="B5780" s="7" t="s">
        <v>7647</v>
      </c>
      <c r="C5780" s="8">
        <f>QS.CONTEXT.CREATE("market.5778",A5780,"USD","SOFR")</f>
        <v/>
      </c>
      <c r="D5780" s="8">
        <f>QS.CONTEXT.ADD.CURVE(C5780,"SOFR",$K$2:$K$7,$L$2:$L$7,,,"Actual360","LogLinear",TRUE)</f>
        <v/>
      </c>
      <c r="E5780" s="8">
        <f>QS.INSTRUMENT.SWAP("swap.5778",C5780,H5780,B5780,"USD","SOFR",I5780,J5780,0,"Actual360","Simple","Annual","Annual","Annual")</f>
        <v/>
      </c>
      <c r="F5780" s="8">
        <f>QS.TRADE.CREATE("trade.5778",C5780,E5780,A5780,"Receive")</f>
        <v/>
      </c>
      <c r="G5780" s="5"/>
      <c r="H5780" s="7" t="s">
        <v>5821</v>
      </c>
      <c r="I5780" s="9">
        <v>1577800</v>
      </c>
      <c r="J5780" s="10">
        <v>0.0378</v>
      </c>
    </row>
    <row r="5781" spans="1:10">
      <c r="A5781" s="7" t="s">
        <v>5815</v>
      </c>
      <c r="B5781" s="7" t="s">
        <v>7648</v>
      </c>
      <c r="C5781" s="8">
        <f>QS.CONTEXT.CREATE("market.5779",A5781,"USD","SOFR")</f>
        <v/>
      </c>
      <c r="D5781" s="8">
        <f>QS.CONTEXT.ADD.CURVE(C5781,"SOFR",$K$2:$K$7,$L$2:$L$7,,,"Actual360","LogLinear",TRUE)</f>
        <v/>
      </c>
      <c r="E5781" s="8">
        <f>QS.INSTRUMENT.SWAP("swap.5779",C5781,H5781,B5781,"USD","SOFR",I5781,J5781,0,"Actual360","Simple","Annual","Annual","Annual")</f>
        <v/>
      </c>
      <c r="F5781" s="8">
        <f>QS.TRADE.CREATE("trade.5779",C5781,E5781,A5781,"Receive")</f>
        <v/>
      </c>
      <c r="G5781" s="5"/>
      <c r="H5781" s="7" t="s">
        <v>5822</v>
      </c>
      <c r="I5781" s="9">
        <v>1577900</v>
      </c>
      <c r="J5781" s="10">
        <v>0.0379</v>
      </c>
    </row>
    <row r="5782" spans="1:10">
      <c r="A5782" s="7" t="s">
        <v>5816</v>
      </c>
      <c r="B5782" s="7" t="s">
        <v>7649</v>
      </c>
      <c r="C5782" s="8">
        <f>QS.CONTEXT.CREATE("market.5780",A5782,"USD","SOFR")</f>
        <v/>
      </c>
      <c r="D5782" s="8">
        <f>QS.CONTEXT.ADD.CURVE(C5782,"SOFR",$K$2:$K$7,$L$2:$L$7,,,"Actual360","LogLinear",TRUE)</f>
        <v/>
      </c>
      <c r="E5782" s="8">
        <f>QS.INSTRUMENT.SWAP("swap.5780",C5782,H5782,B5782,"USD","SOFR",I5782,J5782,0,"Actual360","Simple","Annual","Annual","Annual")</f>
        <v/>
      </c>
      <c r="F5782" s="8">
        <f>QS.TRADE.CREATE("trade.5780",C5782,E5782,A5782,"Receive")</f>
        <v/>
      </c>
      <c r="G5782" s="5"/>
      <c r="H5782" s="7" t="s">
        <v>5823</v>
      </c>
      <c r="I5782" s="9">
        <v>1578000</v>
      </c>
      <c r="J5782" s="10">
        <v>0.03800000000000001</v>
      </c>
    </row>
    <row r="5783" spans="1:10">
      <c r="A5783" s="7" t="s">
        <v>5817</v>
      </c>
      <c r="B5783" s="7" t="s">
        <v>7650</v>
      </c>
      <c r="C5783" s="8">
        <f>QS.CONTEXT.CREATE("market.5781",A5783,"USD","SOFR")</f>
        <v/>
      </c>
      <c r="D5783" s="8">
        <f>QS.CONTEXT.ADD.CURVE(C5783,"SOFR",$K$2:$K$7,$L$2:$L$7,,,"Actual360","LogLinear",TRUE)</f>
        <v/>
      </c>
      <c r="E5783" s="8">
        <f>QS.INSTRUMENT.SWAP("swap.5781",C5783,H5783,B5783,"USD","SOFR",I5783,J5783,0,"Actual360","Simple","Annual","Annual","Annual")</f>
        <v/>
      </c>
      <c r="F5783" s="8">
        <f>QS.TRADE.CREATE("trade.5781",C5783,E5783,A5783,"Receive")</f>
        <v/>
      </c>
      <c r="G5783" s="5"/>
      <c r="H5783" s="7" t="s">
        <v>5824</v>
      </c>
      <c r="I5783" s="9">
        <v>1578100</v>
      </c>
      <c r="J5783" s="10">
        <v>0.0381</v>
      </c>
    </row>
    <row r="5784" spans="1:10">
      <c r="A5784" s="7" t="s">
        <v>5818</v>
      </c>
      <c r="B5784" s="7" t="s">
        <v>7651</v>
      </c>
      <c r="C5784" s="8">
        <f>QS.CONTEXT.CREATE("market.5782",A5784,"USD","SOFR")</f>
        <v/>
      </c>
      <c r="D5784" s="8">
        <f>QS.CONTEXT.ADD.CURVE(C5784,"SOFR",$K$2:$K$7,$L$2:$L$7,,,"Actual360","LogLinear",TRUE)</f>
        <v/>
      </c>
      <c r="E5784" s="8">
        <f>QS.INSTRUMENT.SWAP("swap.5782",C5784,H5784,B5784,"USD","SOFR",I5784,J5784,0,"Actual360","Simple","Annual","Annual","Annual")</f>
        <v/>
      </c>
      <c r="F5784" s="8">
        <f>QS.TRADE.CREATE("trade.5782",C5784,E5784,A5784,"Receive")</f>
        <v/>
      </c>
      <c r="G5784" s="5"/>
      <c r="H5784" s="7" t="s">
        <v>5825</v>
      </c>
      <c r="I5784" s="9">
        <v>1578200</v>
      </c>
      <c r="J5784" s="10">
        <v>0.0382</v>
      </c>
    </row>
    <row r="5785" spans="1:10">
      <c r="A5785" s="7" t="s">
        <v>5819</v>
      </c>
      <c r="B5785" s="7" t="s">
        <v>7652</v>
      </c>
      <c r="C5785" s="8">
        <f>QS.CONTEXT.CREATE("market.5783",A5785,"USD","SOFR")</f>
        <v/>
      </c>
      <c r="D5785" s="8">
        <f>QS.CONTEXT.ADD.CURVE(C5785,"SOFR",$K$2:$K$7,$L$2:$L$7,,,"Actual360","LogLinear",TRUE)</f>
        <v/>
      </c>
      <c r="E5785" s="8">
        <f>QS.INSTRUMENT.SWAP("swap.5783",C5785,H5785,B5785,"USD","SOFR",I5785,J5785,0,"Actual360","Simple","Annual","Annual","Annual")</f>
        <v/>
      </c>
      <c r="F5785" s="8">
        <f>QS.TRADE.CREATE("trade.5783",C5785,E5785,A5785,"Receive")</f>
        <v/>
      </c>
      <c r="G5785" s="5"/>
      <c r="H5785" s="7" t="s">
        <v>5826</v>
      </c>
      <c r="I5785" s="9">
        <v>1578300</v>
      </c>
      <c r="J5785" s="10">
        <v>0.0383</v>
      </c>
    </row>
    <row r="5786" spans="1:10">
      <c r="A5786" s="7" t="s">
        <v>5820</v>
      </c>
      <c r="B5786" s="7" t="s">
        <v>7653</v>
      </c>
      <c r="C5786" s="8">
        <f>QS.CONTEXT.CREATE("market.5784",A5786,"USD","SOFR")</f>
        <v/>
      </c>
      <c r="D5786" s="8">
        <f>QS.CONTEXT.ADD.CURVE(C5786,"SOFR",$K$2:$K$7,$L$2:$L$7,,,"Actual360","LogLinear",TRUE)</f>
        <v/>
      </c>
      <c r="E5786" s="8">
        <f>QS.INSTRUMENT.SWAP("swap.5784",C5786,H5786,B5786,"USD","SOFR",I5786,J5786,0,"Actual360","Simple","Annual","Annual","Annual")</f>
        <v/>
      </c>
      <c r="F5786" s="8">
        <f>QS.TRADE.CREATE("trade.5784",C5786,E5786,A5786,"Receive")</f>
        <v/>
      </c>
      <c r="G5786" s="5"/>
      <c r="H5786" s="7" t="s">
        <v>5827</v>
      </c>
      <c r="I5786" s="9">
        <v>1578400</v>
      </c>
      <c r="J5786" s="10">
        <v>0.0384</v>
      </c>
    </row>
    <row r="5787" spans="1:10">
      <c r="A5787" s="7" t="s">
        <v>5821</v>
      </c>
      <c r="B5787" s="7" t="s">
        <v>7654</v>
      </c>
      <c r="C5787" s="8">
        <f>QS.CONTEXT.CREATE("market.5785",A5787,"USD","SOFR")</f>
        <v/>
      </c>
      <c r="D5787" s="8">
        <f>QS.CONTEXT.ADD.CURVE(C5787,"SOFR",$K$2:$K$7,$L$2:$L$7,,,"Actual360","LogLinear",TRUE)</f>
        <v/>
      </c>
      <c r="E5787" s="8">
        <f>QS.INSTRUMENT.SWAP("swap.5785",C5787,H5787,B5787,"USD","SOFR",I5787,J5787,0,"Actual360","Simple","Annual","Annual","Annual")</f>
        <v/>
      </c>
      <c r="F5787" s="8">
        <f>QS.TRADE.CREATE("trade.5785",C5787,E5787,A5787,"Receive")</f>
        <v/>
      </c>
      <c r="G5787" s="5"/>
      <c r="H5787" s="7" t="s">
        <v>5828</v>
      </c>
      <c r="I5787" s="9">
        <v>1578500</v>
      </c>
      <c r="J5787" s="10">
        <v>0.03850000000000001</v>
      </c>
    </row>
    <row r="5788" spans="1:10">
      <c r="A5788" s="7" t="s">
        <v>5822</v>
      </c>
      <c r="B5788" s="7" t="s">
        <v>7655</v>
      </c>
      <c r="C5788" s="8">
        <f>QS.CONTEXT.CREATE("market.5786",A5788,"USD","SOFR")</f>
        <v/>
      </c>
      <c r="D5788" s="8">
        <f>QS.CONTEXT.ADD.CURVE(C5788,"SOFR",$K$2:$K$7,$L$2:$L$7,,,"Actual360","LogLinear",TRUE)</f>
        <v/>
      </c>
      <c r="E5788" s="8">
        <f>QS.INSTRUMENT.SWAP("swap.5786",C5788,H5788,B5788,"USD","SOFR",I5788,J5788,0,"Actual360","Simple","Annual","Annual","Annual")</f>
        <v/>
      </c>
      <c r="F5788" s="8">
        <f>QS.TRADE.CREATE("trade.5786",C5788,E5788,A5788,"Receive")</f>
        <v/>
      </c>
      <c r="G5788" s="5"/>
      <c r="H5788" s="7" t="s">
        <v>5829</v>
      </c>
      <c r="I5788" s="9">
        <v>1578600</v>
      </c>
      <c r="J5788" s="10">
        <v>0.0386</v>
      </c>
    </row>
    <row r="5789" spans="1:10">
      <c r="A5789" s="7" t="s">
        <v>5823</v>
      </c>
      <c r="B5789" s="7" t="s">
        <v>7656</v>
      </c>
      <c r="C5789" s="8">
        <f>QS.CONTEXT.CREATE("market.5787",A5789,"USD","SOFR")</f>
        <v/>
      </c>
      <c r="D5789" s="8">
        <f>QS.CONTEXT.ADD.CURVE(C5789,"SOFR",$K$2:$K$7,$L$2:$L$7,,,"Actual360","LogLinear",TRUE)</f>
        <v/>
      </c>
      <c r="E5789" s="8">
        <f>QS.INSTRUMENT.SWAP("swap.5787",C5789,H5789,B5789,"USD","SOFR",I5789,J5789,0,"Actual360","Simple","Annual","Annual","Annual")</f>
        <v/>
      </c>
      <c r="F5789" s="8">
        <f>QS.TRADE.CREATE("trade.5787",C5789,E5789,A5789,"Receive")</f>
        <v/>
      </c>
      <c r="G5789" s="5"/>
      <c r="H5789" s="7" t="s">
        <v>5830</v>
      </c>
      <c r="I5789" s="9">
        <v>1578700</v>
      </c>
      <c r="J5789" s="10">
        <v>0.03870000000000001</v>
      </c>
    </row>
    <row r="5790" spans="1:10">
      <c r="A5790" s="7" t="s">
        <v>5824</v>
      </c>
      <c r="B5790" s="7" t="s">
        <v>7657</v>
      </c>
      <c r="C5790" s="8">
        <f>QS.CONTEXT.CREATE("market.5788",A5790,"USD","SOFR")</f>
        <v/>
      </c>
      <c r="D5790" s="8">
        <f>QS.CONTEXT.ADD.CURVE(C5790,"SOFR",$K$2:$K$7,$L$2:$L$7,,,"Actual360","LogLinear",TRUE)</f>
        <v/>
      </c>
      <c r="E5790" s="8">
        <f>QS.INSTRUMENT.SWAP("swap.5788",C5790,H5790,B5790,"USD","SOFR",I5790,J5790,0,"Actual360","Simple","Annual","Annual","Annual")</f>
        <v/>
      </c>
      <c r="F5790" s="8">
        <f>QS.TRADE.CREATE("trade.5788",C5790,E5790,A5790,"Receive")</f>
        <v/>
      </c>
      <c r="G5790" s="5"/>
      <c r="H5790" s="7" t="s">
        <v>5831</v>
      </c>
      <c r="I5790" s="9">
        <v>1578800</v>
      </c>
      <c r="J5790" s="10">
        <v>0.0388</v>
      </c>
    </row>
    <row r="5791" spans="1:10">
      <c r="A5791" s="7" t="s">
        <v>5825</v>
      </c>
      <c r="B5791" s="7" t="s">
        <v>7658</v>
      </c>
      <c r="C5791" s="8">
        <f>QS.CONTEXT.CREATE("market.5789",A5791,"USD","SOFR")</f>
        <v/>
      </c>
      <c r="D5791" s="8">
        <f>QS.CONTEXT.ADD.CURVE(C5791,"SOFR",$K$2:$K$7,$L$2:$L$7,,,"Actual360","LogLinear",TRUE)</f>
        <v/>
      </c>
      <c r="E5791" s="8">
        <f>QS.INSTRUMENT.SWAP("swap.5789",C5791,H5791,B5791,"USD","SOFR",I5791,J5791,0,"Actual360","Simple","Annual","Annual","Annual")</f>
        <v/>
      </c>
      <c r="F5791" s="8">
        <f>QS.TRADE.CREATE("trade.5789",C5791,E5791,A5791,"Receive")</f>
        <v/>
      </c>
      <c r="G5791" s="5"/>
      <c r="H5791" s="7" t="s">
        <v>5832</v>
      </c>
      <c r="I5791" s="9">
        <v>1578900</v>
      </c>
      <c r="J5791" s="10">
        <v>0.0389</v>
      </c>
    </row>
    <row r="5792" spans="1:10">
      <c r="A5792" s="7" t="s">
        <v>5826</v>
      </c>
      <c r="B5792" s="7" t="s">
        <v>7659</v>
      </c>
      <c r="C5792" s="8">
        <f>QS.CONTEXT.CREATE("market.5790",A5792,"USD","SOFR")</f>
        <v/>
      </c>
      <c r="D5792" s="8">
        <f>QS.CONTEXT.ADD.CURVE(C5792,"SOFR",$K$2:$K$7,$L$2:$L$7,,,"Actual360","LogLinear",TRUE)</f>
        <v/>
      </c>
      <c r="E5792" s="8">
        <f>QS.INSTRUMENT.SWAP("swap.5790",C5792,H5792,B5792,"USD","SOFR",I5792,J5792,0,"Actual360","Simple","Annual","Annual","Annual")</f>
        <v/>
      </c>
      <c r="F5792" s="8">
        <f>QS.TRADE.CREATE("trade.5790",C5792,E5792,A5792,"Receive")</f>
        <v/>
      </c>
      <c r="G5792" s="5"/>
      <c r="H5792" s="7" t="s">
        <v>5833</v>
      </c>
      <c r="I5792" s="9">
        <v>1579000</v>
      </c>
      <c r="J5792" s="10">
        <v>0.03900000000000001</v>
      </c>
    </row>
    <row r="5793" spans="1:10">
      <c r="A5793" s="7" t="s">
        <v>5827</v>
      </c>
      <c r="B5793" s="7" t="s">
        <v>7660</v>
      </c>
      <c r="C5793" s="8">
        <f>QS.CONTEXT.CREATE("market.5791",A5793,"USD","SOFR")</f>
        <v/>
      </c>
      <c r="D5793" s="8">
        <f>QS.CONTEXT.ADD.CURVE(C5793,"SOFR",$K$2:$K$7,$L$2:$L$7,,,"Actual360","LogLinear",TRUE)</f>
        <v/>
      </c>
      <c r="E5793" s="8">
        <f>QS.INSTRUMENT.SWAP("swap.5791",C5793,H5793,B5793,"USD","SOFR",I5793,J5793,0,"Actual360","Simple","Annual","Annual","Annual")</f>
        <v/>
      </c>
      <c r="F5793" s="8">
        <f>QS.TRADE.CREATE("trade.5791",C5793,E5793,A5793,"Receive")</f>
        <v/>
      </c>
      <c r="G5793" s="5"/>
      <c r="H5793" s="7" t="s">
        <v>5834</v>
      </c>
      <c r="I5793" s="9">
        <v>1579100</v>
      </c>
      <c r="J5793" s="10">
        <v>0.0391</v>
      </c>
    </row>
    <row r="5794" spans="1:10">
      <c r="A5794" s="7" t="s">
        <v>5828</v>
      </c>
      <c r="B5794" s="7" t="s">
        <v>7661</v>
      </c>
      <c r="C5794" s="8">
        <f>QS.CONTEXT.CREATE("market.5792",A5794,"USD","SOFR")</f>
        <v/>
      </c>
      <c r="D5794" s="8">
        <f>QS.CONTEXT.ADD.CURVE(C5794,"SOFR",$K$2:$K$7,$L$2:$L$7,,,"Actual360","LogLinear",TRUE)</f>
        <v/>
      </c>
      <c r="E5794" s="8">
        <f>QS.INSTRUMENT.SWAP("swap.5792",C5794,H5794,B5794,"USD","SOFR",I5794,J5794,0,"Actual360","Simple","Annual","Annual","Annual")</f>
        <v/>
      </c>
      <c r="F5794" s="8">
        <f>QS.TRADE.CREATE("trade.5792",C5794,E5794,A5794,"Receive")</f>
        <v/>
      </c>
      <c r="G5794" s="5"/>
      <c r="H5794" s="7" t="s">
        <v>5835</v>
      </c>
      <c r="I5794" s="9">
        <v>1579200</v>
      </c>
      <c r="J5794" s="10">
        <v>0.03920000000000001</v>
      </c>
    </row>
    <row r="5795" spans="1:10">
      <c r="A5795" s="7" t="s">
        <v>5829</v>
      </c>
      <c r="B5795" s="7" t="s">
        <v>7662</v>
      </c>
      <c r="C5795" s="8">
        <f>QS.CONTEXT.CREATE("market.5793",A5795,"USD","SOFR")</f>
        <v/>
      </c>
      <c r="D5795" s="8">
        <f>QS.CONTEXT.ADD.CURVE(C5795,"SOFR",$K$2:$K$7,$L$2:$L$7,,,"Actual360","LogLinear",TRUE)</f>
        <v/>
      </c>
      <c r="E5795" s="8">
        <f>QS.INSTRUMENT.SWAP("swap.5793",C5795,H5795,B5795,"USD","SOFR",I5795,J5795,0,"Actual360","Simple","Annual","Annual","Annual")</f>
        <v/>
      </c>
      <c r="F5795" s="8">
        <f>QS.TRADE.CREATE("trade.5793",C5795,E5795,A5795,"Receive")</f>
        <v/>
      </c>
      <c r="G5795" s="5"/>
      <c r="H5795" s="7" t="s">
        <v>5836</v>
      </c>
      <c r="I5795" s="9">
        <v>1579300</v>
      </c>
      <c r="J5795" s="10">
        <v>0.0393</v>
      </c>
    </row>
    <row r="5796" spans="1:10">
      <c r="A5796" s="7" t="s">
        <v>5830</v>
      </c>
      <c r="B5796" s="7" t="s">
        <v>7663</v>
      </c>
      <c r="C5796" s="8">
        <f>QS.CONTEXT.CREATE("market.5794",A5796,"USD","SOFR")</f>
        <v/>
      </c>
      <c r="D5796" s="8">
        <f>QS.CONTEXT.ADD.CURVE(C5796,"SOFR",$K$2:$K$7,$L$2:$L$7,,,"Actual360","LogLinear",TRUE)</f>
        <v/>
      </c>
      <c r="E5796" s="8">
        <f>QS.INSTRUMENT.SWAP("swap.5794",C5796,H5796,B5796,"USD","SOFR",I5796,J5796,0,"Actual360","Simple","Annual","Annual","Annual")</f>
        <v/>
      </c>
      <c r="F5796" s="8">
        <f>QS.TRADE.CREATE("trade.5794",C5796,E5796,A5796,"Receive")</f>
        <v/>
      </c>
      <c r="G5796" s="5"/>
      <c r="H5796" s="7" t="s">
        <v>5837</v>
      </c>
      <c r="I5796" s="9">
        <v>1579400</v>
      </c>
      <c r="J5796" s="10">
        <v>0.0394</v>
      </c>
    </row>
    <row r="5797" spans="1:10">
      <c r="A5797" s="7" t="s">
        <v>5831</v>
      </c>
      <c r="B5797" s="7" t="s">
        <v>7664</v>
      </c>
      <c r="C5797" s="8">
        <f>QS.CONTEXT.CREATE("market.5795",A5797,"USD","SOFR")</f>
        <v/>
      </c>
      <c r="D5797" s="8">
        <f>QS.CONTEXT.ADD.CURVE(C5797,"SOFR",$K$2:$K$7,$L$2:$L$7,,,"Actual360","LogLinear",TRUE)</f>
        <v/>
      </c>
      <c r="E5797" s="8">
        <f>QS.INSTRUMENT.SWAP("swap.5795",C5797,H5797,B5797,"USD","SOFR",I5797,J5797,0,"Actual360","Simple","Annual","Annual","Annual")</f>
        <v/>
      </c>
      <c r="F5797" s="8">
        <f>QS.TRADE.CREATE("trade.5795",C5797,E5797,A5797,"Receive")</f>
        <v/>
      </c>
      <c r="G5797" s="5"/>
      <c r="H5797" s="7" t="s">
        <v>5838</v>
      </c>
      <c r="I5797" s="9">
        <v>1579500</v>
      </c>
      <c r="J5797" s="10">
        <v>0.03950000000000001</v>
      </c>
    </row>
    <row r="5798" spans="1:10">
      <c r="A5798" s="7" t="s">
        <v>5832</v>
      </c>
      <c r="B5798" s="7" t="s">
        <v>7665</v>
      </c>
      <c r="C5798" s="8">
        <f>QS.CONTEXT.CREATE("market.5796",A5798,"USD","SOFR")</f>
        <v/>
      </c>
      <c r="D5798" s="8">
        <f>QS.CONTEXT.ADD.CURVE(C5798,"SOFR",$K$2:$K$7,$L$2:$L$7,,,"Actual360","LogLinear",TRUE)</f>
        <v/>
      </c>
      <c r="E5798" s="8">
        <f>QS.INSTRUMENT.SWAP("swap.5796",C5798,H5798,B5798,"USD","SOFR",I5798,J5798,0,"Actual360","Simple","Annual","Annual","Annual")</f>
        <v/>
      </c>
      <c r="F5798" s="8">
        <f>QS.TRADE.CREATE("trade.5796",C5798,E5798,A5798,"Receive")</f>
        <v/>
      </c>
      <c r="G5798" s="5"/>
      <c r="H5798" s="7" t="s">
        <v>5839</v>
      </c>
      <c r="I5798" s="9">
        <v>1579600</v>
      </c>
      <c r="J5798" s="10">
        <v>0.0396</v>
      </c>
    </row>
    <row r="5799" spans="1:10">
      <c r="A5799" s="7" t="s">
        <v>5833</v>
      </c>
      <c r="B5799" s="7" t="s">
        <v>7666</v>
      </c>
      <c r="C5799" s="8">
        <f>QS.CONTEXT.CREATE("market.5797",A5799,"USD","SOFR")</f>
        <v/>
      </c>
      <c r="D5799" s="8">
        <f>QS.CONTEXT.ADD.CURVE(C5799,"SOFR",$K$2:$K$7,$L$2:$L$7,,,"Actual360","LogLinear",TRUE)</f>
        <v/>
      </c>
      <c r="E5799" s="8">
        <f>QS.INSTRUMENT.SWAP("swap.5797",C5799,H5799,B5799,"USD","SOFR",I5799,J5799,0,"Actual360","Simple","Annual","Annual","Annual")</f>
        <v/>
      </c>
      <c r="F5799" s="8">
        <f>QS.TRADE.CREATE("trade.5797",C5799,E5799,A5799,"Receive")</f>
        <v/>
      </c>
      <c r="G5799" s="5"/>
      <c r="H5799" s="7" t="s">
        <v>5840</v>
      </c>
      <c r="I5799" s="9">
        <v>1579700</v>
      </c>
      <c r="J5799" s="10">
        <v>0.03970000000000001</v>
      </c>
    </row>
    <row r="5800" spans="1:10">
      <c r="A5800" s="7" t="s">
        <v>5834</v>
      </c>
      <c r="B5800" s="7" t="s">
        <v>7667</v>
      </c>
      <c r="C5800" s="8">
        <f>QS.CONTEXT.CREATE("market.5798",A5800,"USD","SOFR")</f>
        <v/>
      </c>
      <c r="D5800" s="8">
        <f>QS.CONTEXT.ADD.CURVE(C5800,"SOFR",$K$2:$K$7,$L$2:$L$7,,,"Actual360","LogLinear",TRUE)</f>
        <v/>
      </c>
      <c r="E5800" s="8">
        <f>QS.INSTRUMENT.SWAP("swap.5798",C5800,H5800,B5800,"USD","SOFR",I5800,J5800,0,"Actual360","Simple","Annual","Annual","Annual")</f>
        <v/>
      </c>
      <c r="F5800" s="8">
        <f>QS.TRADE.CREATE("trade.5798",C5800,E5800,A5800,"Receive")</f>
        <v/>
      </c>
      <c r="G5800" s="5"/>
      <c r="H5800" s="7" t="s">
        <v>5841</v>
      </c>
      <c r="I5800" s="9">
        <v>1579800</v>
      </c>
      <c r="J5800" s="10">
        <v>0.0398</v>
      </c>
    </row>
    <row r="5801" spans="1:10">
      <c r="A5801" s="7" t="s">
        <v>5835</v>
      </c>
      <c r="B5801" s="7" t="s">
        <v>7668</v>
      </c>
      <c r="C5801" s="8">
        <f>QS.CONTEXT.CREATE("market.5799",A5801,"USD","SOFR")</f>
        <v/>
      </c>
      <c r="D5801" s="8">
        <f>QS.CONTEXT.ADD.CURVE(C5801,"SOFR",$K$2:$K$7,$L$2:$L$7,,,"Actual360","LogLinear",TRUE)</f>
        <v/>
      </c>
      <c r="E5801" s="8">
        <f>QS.INSTRUMENT.SWAP("swap.5799",C5801,H5801,B5801,"USD","SOFR",I5801,J5801,0,"Actual360","Simple","Annual","Annual","Annual")</f>
        <v/>
      </c>
      <c r="F5801" s="8">
        <f>QS.TRADE.CREATE("trade.5799",C5801,E5801,A5801,"Receive")</f>
        <v/>
      </c>
      <c r="G5801" s="5"/>
      <c r="H5801" s="7" t="s">
        <v>5842</v>
      </c>
      <c r="I5801" s="9">
        <v>1579900</v>
      </c>
      <c r="J5801" s="10">
        <v>0.0399</v>
      </c>
    </row>
    <row r="5802" spans="1:10">
      <c r="A5802" s="7" t="s">
        <v>5836</v>
      </c>
      <c r="B5802" s="7" t="s">
        <v>7669</v>
      </c>
      <c r="C5802" s="8">
        <f>QS.CONTEXT.CREATE("market.5800",A5802,"USD","SOFR")</f>
        <v/>
      </c>
      <c r="D5802" s="8">
        <f>QS.CONTEXT.ADD.CURVE(C5802,"SOFR",$K$2:$K$7,$L$2:$L$7,,,"Actual360","LogLinear",TRUE)</f>
        <v/>
      </c>
      <c r="E5802" s="8">
        <f>QS.INSTRUMENT.SWAP("swap.5800",C5802,H5802,B5802,"USD","SOFR",I5802,J5802,0,"Actual360","Simple","Annual","Annual","Annual")</f>
        <v/>
      </c>
      <c r="F5802" s="8">
        <f>QS.TRADE.CREATE("trade.5800",C5802,E5802,A5802,"Receive")</f>
        <v/>
      </c>
      <c r="G5802" s="5"/>
      <c r="H5802" s="7" t="s">
        <v>5843</v>
      </c>
      <c r="I5802" s="9">
        <v>1580000</v>
      </c>
      <c r="J5802" s="10">
        <v>0.035</v>
      </c>
    </row>
    <row r="5803" spans="1:10">
      <c r="A5803" s="7" t="s">
        <v>5837</v>
      </c>
      <c r="B5803" s="7" t="s">
        <v>7670</v>
      </c>
      <c r="C5803" s="8">
        <f>QS.CONTEXT.CREATE("market.5801",A5803,"USD","SOFR")</f>
        <v/>
      </c>
      <c r="D5803" s="8">
        <f>QS.CONTEXT.ADD.CURVE(C5803,"SOFR",$K$2:$K$7,$L$2:$L$7,,,"Actual360","LogLinear",TRUE)</f>
        <v/>
      </c>
      <c r="E5803" s="8">
        <f>QS.INSTRUMENT.SWAP("swap.5801",C5803,H5803,B5803,"USD","SOFR",I5803,J5803,0,"Actual360","Simple","Annual","Annual","Annual")</f>
        <v/>
      </c>
      <c r="F5803" s="8">
        <f>QS.TRADE.CREATE("trade.5801",C5803,E5803,A5803,"Receive")</f>
        <v/>
      </c>
      <c r="G5803" s="5"/>
      <c r="H5803" s="7" t="s">
        <v>5844</v>
      </c>
      <c r="I5803" s="9">
        <v>1580100</v>
      </c>
      <c r="J5803" s="10">
        <v>0.03510000000000001</v>
      </c>
    </row>
    <row r="5804" spans="1:10">
      <c r="A5804" s="7" t="s">
        <v>5838</v>
      </c>
      <c r="B5804" s="7" t="s">
        <v>7671</v>
      </c>
      <c r="C5804" s="8">
        <f>QS.CONTEXT.CREATE("market.5802",A5804,"USD","SOFR")</f>
        <v/>
      </c>
      <c r="D5804" s="8">
        <f>QS.CONTEXT.ADD.CURVE(C5804,"SOFR",$K$2:$K$7,$L$2:$L$7,,,"Actual360","LogLinear",TRUE)</f>
        <v/>
      </c>
      <c r="E5804" s="8">
        <f>QS.INSTRUMENT.SWAP("swap.5802",C5804,H5804,B5804,"USD","SOFR",I5804,J5804,0,"Actual360","Simple","Annual","Annual","Annual")</f>
        <v/>
      </c>
      <c r="F5804" s="8">
        <f>QS.TRADE.CREATE("trade.5802",C5804,E5804,A5804,"Receive")</f>
        <v/>
      </c>
      <c r="G5804" s="5"/>
      <c r="H5804" s="7" t="s">
        <v>5845</v>
      </c>
      <c r="I5804" s="9">
        <v>1580200</v>
      </c>
      <c r="J5804" s="10">
        <v>0.0352</v>
      </c>
    </row>
    <row r="5805" spans="1:10">
      <c r="A5805" s="7" t="s">
        <v>5839</v>
      </c>
      <c r="B5805" s="7" t="s">
        <v>7672</v>
      </c>
      <c r="C5805" s="8">
        <f>QS.CONTEXT.CREATE("market.5803",A5805,"USD","SOFR")</f>
        <v/>
      </c>
      <c r="D5805" s="8">
        <f>QS.CONTEXT.ADD.CURVE(C5805,"SOFR",$K$2:$K$7,$L$2:$L$7,,,"Actual360","LogLinear",TRUE)</f>
        <v/>
      </c>
      <c r="E5805" s="8">
        <f>QS.INSTRUMENT.SWAP("swap.5803",C5805,H5805,B5805,"USD","SOFR",I5805,J5805,0,"Actual360","Simple","Annual","Annual","Annual")</f>
        <v/>
      </c>
      <c r="F5805" s="8">
        <f>QS.TRADE.CREATE("trade.5803",C5805,E5805,A5805,"Receive")</f>
        <v/>
      </c>
      <c r="G5805" s="5"/>
      <c r="H5805" s="7" t="s">
        <v>5846</v>
      </c>
      <c r="I5805" s="9">
        <v>1580300</v>
      </c>
      <c r="J5805" s="10">
        <v>0.0353</v>
      </c>
    </row>
    <row r="5806" spans="1:10">
      <c r="A5806" s="7" t="s">
        <v>5840</v>
      </c>
      <c r="B5806" s="7" t="s">
        <v>7673</v>
      </c>
      <c r="C5806" s="8">
        <f>QS.CONTEXT.CREATE("market.5804",A5806,"USD","SOFR")</f>
        <v/>
      </c>
      <c r="D5806" s="8">
        <f>QS.CONTEXT.ADD.CURVE(C5806,"SOFR",$K$2:$K$7,$L$2:$L$7,,,"Actual360","LogLinear",TRUE)</f>
        <v/>
      </c>
      <c r="E5806" s="8">
        <f>QS.INSTRUMENT.SWAP("swap.5804",C5806,H5806,B5806,"USD","SOFR",I5806,J5806,0,"Actual360","Simple","Annual","Annual","Annual")</f>
        <v/>
      </c>
      <c r="F5806" s="8">
        <f>QS.TRADE.CREATE("trade.5804",C5806,E5806,A5806,"Receive")</f>
        <v/>
      </c>
      <c r="G5806" s="5"/>
      <c r="H5806" s="7" t="s">
        <v>5847</v>
      </c>
      <c r="I5806" s="9">
        <v>1580400</v>
      </c>
      <c r="J5806" s="10">
        <v>0.0354</v>
      </c>
    </row>
    <row r="5807" spans="1:10">
      <c r="A5807" s="7" t="s">
        <v>5841</v>
      </c>
      <c r="B5807" s="7" t="s">
        <v>7674</v>
      </c>
      <c r="C5807" s="8">
        <f>QS.CONTEXT.CREATE("market.5805",A5807,"USD","SOFR")</f>
        <v/>
      </c>
      <c r="D5807" s="8">
        <f>QS.CONTEXT.ADD.CURVE(C5807,"SOFR",$K$2:$K$7,$L$2:$L$7,,,"Actual360","LogLinear",TRUE)</f>
        <v/>
      </c>
      <c r="E5807" s="8">
        <f>QS.INSTRUMENT.SWAP("swap.5805",C5807,H5807,B5807,"USD","SOFR",I5807,J5807,0,"Actual360","Simple","Annual","Annual","Annual")</f>
        <v/>
      </c>
      <c r="F5807" s="8">
        <f>QS.TRADE.CREATE("trade.5805",C5807,E5807,A5807,"Receive")</f>
        <v/>
      </c>
      <c r="G5807" s="5"/>
      <c r="H5807" s="7" t="s">
        <v>5848</v>
      </c>
      <c r="I5807" s="9">
        <v>1580500</v>
      </c>
      <c r="J5807" s="10">
        <v>0.0355</v>
      </c>
    </row>
    <row r="5808" spans="1:10">
      <c r="A5808" s="7" t="s">
        <v>5842</v>
      </c>
      <c r="B5808" s="7" t="s">
        <v>7675</v>
      </c>
      <c r="C5808" s="8">
        <f>QS.CONTEXT.CREATE("market.5806",A5808,"USD","SOFR")</f>
        <v/>
      </c>
      <c r="D5808" s="8">
        <f>QS.CONTEXT.ADD.CURVE(C5808,"SOFR",$K$2:$K$7,$L$2:$L$7,,,"Actual360","LogLinear",TRUE)</f>
        <v/>
      </c>
      <c r="E5808" s="8">
        <f>QS.INSTRUMENT.SWAP("swap.5806",C5808,H5808,B5808,"USD","SOFR",I5808,J5808,0,"Actual360","Simple","Annual","Annual","Annual")</f>
        <v/>
      </c>
      <c r="F5808" s="8">
        <f>QS.TRADE.CREATE("trade.5806",C5808,E5808,A5808,"Receive")</f>
        <v/>
      </c>
      <c r="G5808" s="5"/>
      <c r="H5808" s="7" t="s">
        <v>5849</v>
      </c>
      <c r="I5808" s="9">
        <v>1580600</v>
      </c>
      <c r="J5808" s="10">
        <v>0.03560000000000001</v>
      </c>
    </row>
    <row r="5809" spans="1:10">
      <c r="A5809" s="7" t="s">
        <v>5843</v>
      </c>
      <c r="B5809" s="7" t="s">
        <v>7676</v>
      </c>
      <c r="C5809" s="8">
        <f>QS.CONTEXT.CREATE("market.5807",A5809,"USD","SOFR")</f>
        <v/>
      </c>
      <c r="D5809" s="8">
        <f>QS.CONTEXT.ADD.CURVE(C5809,"SOFR",$K$2:$K$7,$L$2:$L$7,,,"Actual360","LogLinear",TRUE)</f>
        <v/>
      </c>
      <c r="E5809" s="8">
        <f>QS.INSTRUMENT.SWAP("swap.5807",C5809,H5809,B5809,"USD","SOFR",I5809,J5809,0,"Actual360","Simple","Annual","Annual","Annual")</f>
        <v/>
      </c>
      <c r="F5809" s="8">
        <f>QS.TRADE.CREATE("trade.5807",C5809,E5809,A5809,"Receive")</f>
        <v/>
      </c>
      <c r="G5809" s="5"/>
      <c r="H5809" s="7" t="s">
        <v>5850</v>
      </c>
      <c r="I5809" s="9">
        <v>1580700</v>
      </c>
      <c r="J5809" s="10">
        <v>0.0357</v>
      </c>
    </row>
    <row r="5810" spans="1:10">
      <c r="A5810" s="7" t="s">
        <v>5844</v>
      </c>
      <c r="B5810" s="7" t="s">
        <v>7677</v>
      </c>
      <c r="C5810" s="8">
        <f>QS.CONTEXT.CREATE("market.5808",A5810,"USD","SOFR")</f>
        <v/>
      </c>
      <c r="D5810" s="8">
        <f>QS.CONTEXT.ADD.CURVE(C5810,"SOFR",$K$2:$K$7,$L$2:$L$7,,,"Actual360","LogLinear",TRUE)</f>
        <v/>
      </c>
      <c r="E5810" s="8">
        <f>QS.INSTRUMENT.SWAP("swap.5808",C5810,H5810,B5810,"USD","SOFR",I5810,J5810,0,"Actual360","Simple","Annual","Annual","Annual")</f>
        <v/>
      </c>
      <c r="F5810" s="8">
        <f>QS.TRADE.CREATE("trade.5808",C5810,E5810,A5810,"Receive")</f>
        <v/>
      </c>
      <c r="G5810" s="5"/>
      <c r="H5810" s="7" t="s">
        <v>5851</v>
      </c>
      <c r="I5810" s="9">
        <v>1580800</v>
      </c>
      <c r="J5810" s="10">
        <v>0.03580000000000001</v>
      </c>
    </row>
    <row r="5811" spans="1:10">
      <c r="A5811" s="7" t="s">
        <v>5845</v>
      </c>
      <c r="B5811" s="7" t="s">
        <v>7678</v>
      </c>
      <c r="C5811" s="8">
        <f>QS.CONTEXT.CREATE("market.5809",A5811,"USD","SOFR")</f>
        <v/>
      </c>
      <c r="D5811" s="8">
        <f>QS.CONTEXT.ADD.CURVE(C5811,"SOFR",$K$2:$K$7,$L$2:$L$7,,,"Actual360","LogLinear",TRUE)</f>
        <v/>
      </c>
      <c r="E5811" s="8">
        <f>QS.INSTRUMENT.SWAP("swap.5809",C5811,H5811,B5811,"USD","SOFR",I5811,J5811,0,"Actual360","Simple","Annual","Annual","Annual")</f>
        <v/>
      </c>
      <c r="F5811" s="8">
        <f>QS.TRADE.CREATE("trade.5809",C5811,E5811,A5811,"Receive")</f>
        <v/>
      </c>
      <c r="G5811" s="5"/>
      <c r="H5811" s="7" t="s">
        <v>5852</v>
      </c>
      <c r="I5811" s="9">
        <v>1580900</v>
      </c>
      <c r="J5811" s="10">
        <v>0.0359</v>
      </c>
    </row>
    <row r="5812" spans="1:10">
      <c r="A5812" s="7" t="s">
        <v>5846</v>
      </c>
      <c r="B5812" s="7" t="s">
        <v>7679</v>
      </c>
      <c r="C5812" s="8">
        <f>QS.CONTEXT.CREATE("market.5810",A5812,"USD","SOFR")</f>
        <v/>
      </c>
      <c r="D5812" s="8">
        <f>QS.CONTEXT.ADD.CURVE(C5812,"SOFR",$K$2:$K$7,$L$2:$L$7,,,"Actual360","LogLinear",TRUE)</f>
        <v/>
      </c>
      <c r="E5812" s="8">
        <f>QS.INSTRUMENT.SWAP("swap.5810",C5812,H5812,B5812,"USD","SOFR",I5812,J5812,0,"Actual360","Simple","Annual","Annual","Annual")</f>
        <v/>
      </c>
      <c r="F5812" s="8">
        <f>QS.TRADE.CREATE("trade.5810",C5812,E5812,A5812,"Receive")</f>
        <v/>
      </c>
      <c r="G5812" s="5"/>
      <c r="H5812" s="7" t="s">
        <v>5853</v>
      </c>
      <c r="I5812" s="9">
        <v>1581000</v>
      </c>
      <c r="J5812" s="10">
        <v>0.036</v>
      </c>
    </row>
    <row r="5813" spans="1:10">
      <c r="A5813" s="7" t="s">
        <v>5847</v>
      </c>
      <c r="B5813" s="7" t="s">
        <v>7680</v>
      </c>
      <c r="C5813" s="8">
        <f>QS.CONTEXT.CREATE("market.5811",A5813,"USD","SOFR")</f>
        <v/>
      </c>
      <c r="D5813" s="8">
        <f>QS.CONTEXT.ADD.CURVE(C5813,"SOFR",$K$2:$K$7,$L$2:$L$7,,,"Actual360","LogLinear",TRUE)</f>
        <v/>
      </c>
      <c r="E5813" s="8">
        <f>QS.INSTRUMENT.SWAP("swap.5811",C5813,H5813,B5813,"USD","SOFR",I5813,J5813,0,"Actual360","Simple","Annual","Annual","Annual")</f>
        <v/>
      </c>
      <c r="F5813" s="8">
        <f>QS.TRADE.CREATE("trade.5811",C5813,E5813,A5813,"Receive")</f>
        <v/>
      </c>
      <c r="G5813" s="5"/>
      <c r="H5813" s="7" t="s">
        <v>5854</v>
      </c>
      <c r="I5813" s="9">
        <v>1581100</v>
      </c>
      <c r="J5813" s="10">
        <v>0.0361</v>
      </c>
    </row>
    <row r="5814" spans="1:10">
      <c r="A5814" s="7" t="s">
        <v>5848</v>
      </c>
      <c r="B5814" s="7" t="s">
        <v>7681</v>
      </c>
      <c r="C5814" s="8">
        <f>QS.CONTEXT.CREATE("market.5812",A5814,"USD","SOFR")</f>
        <v/>
      </c>
      <c r="D5814" s="8">
        <f>QS.CONTEXT.ADD.CURVE(C5814,"SOFR",$K$2:$K$7,$L$2:$L$7,,,"Actual360","LogLinear",TRUE)</f>
        <v/>
      </c>
      <c r="E5814" s="8">
        <f>QS.INSTRUMENT.SWAP("swap.5812",C5814,H5814,B5814,"USD","SOFR",I5814,J5814,0,"Actual360","Simple","Annual","Annual","Annual")</f>
        <v/>
      </c>
      <c r="F5814" s="8">
        <f>QS.TRADE.CREATE("trade.5812",C5814,E5814,A5814,"Receive")</f>
        <v/>
      </c>
      <c r="G5814" s="5"/>
      <c r="H5814" s="7" t="s">
        <v>5855</v>
      </c>
      <c r="I5814" s="9">
        <v>1581200</v>
      </c>
      <c r="J5814" s="10">
        <v>0.0362</v>
      </c>
    </row>
    <row r="5815" spans="1:10">
      <c r="A5815" s="7" t="s">
        <v>5849</v>
      </c>
      <c r="B5815" s="7" t="s">
        <v>7682</v>
      </c>
      <c r="C5815" s="8">
        <f>QS.CONTEXT.CREATE("market.5813",A5815,"USD","SOFR")</f>
        <v/>
      </c>
      <c r="D5815" s="8">
        <f>QS.CONTEXT.ADD.CURVE(C5815,"SOFR",$K$2:$K$7,$L$2:$L$7,,,"Actual360","LogLinear",TRUE)</f>
        <v/>
      </c>
      <c r="E5815" s="8">
        <f>QS.INSTRUMENT.SWAP("swap.5813",C5815,H5815,B5815,"USD","SOFR",I5815,J5815,0,"Actual360","Simple","Annual","Annual","Annual")</f>
        <v/>
      </c>
      <c r="F5815" s="8">
        <f>QS.TRADE.CREATE("trade.5813",C5815,E5815,A5815,"Receive")</f>
        <v/>
      </c>
      <c r="G5815" s="5"/>
      <c r="H5815" s="7" t="s">
        <v>5856</v>
      </c>
      <c r="I5815" s="9">
        <v>1581300</v>
      </c>
      <c r="J5815" s="10">
        <v>0.03630000000000001</v>
      </c>
    </row>
    <row r="5816" spans="1:10">
      <c r="A5816" s="7" t="s">
        <v>5850</v>
      </c>
      <c r="B5816" s="7" t="s">
        <v>7683</v>
      </c>
      <c r="C5816" s="8">
        <f>QS.CONTEXT.CREATE("market.5814",A5816,"USD","SOFR")</f>
        <v/>
      </c>
      <c r="D5816" s="8">
        <f>QS.CONTEXT.ADD.CURVE(C5816,"SOFR",$K$2:$K$7,$L$2:$L$7,,,"Actual360","LogLinear",TRUE)</f>
        <v/>
      </c>
      <c r="E5816" s="8">
        <f>QS.INSTRUMENT.SWAP("swap.5814",C5816,H5816,B5816,"USD","SOFR",I5816,J5816,0,"Actual360","Simple","Annual","Annual","Annual")</f>
        <v/>
      </c>
      <c r="F5816" s="8">
        <f>QS.TRADE.CREATE("trade.5814",C5816,E5816,A5816,"Receive")</f>
        <v/>
      </c>
      <c r="G5816" s="5"/>
      <c r="H5816" s="7" t="s">
        <v>5857</v>
      </c>
      <c r="I5816" s="9">
        <v>1581400</v>
      </c>
      <c r="J5816" s="10">
        <v>0.0364</v>
      </c>
    </row>
    <row r="5817" spans="1:10">
      <c r="A5817" s="7" t="s">
        <v>5851</v>
      </c>
      <c r="B5817" s="7" t="s">
        <v>7684</v>
      </c>
      <c r="C5817" s="8">
        <f>QS.CONTEXT.CREATE("market.5815",A5817,"USD","SOFR")</f>
        <v/>
      </c>
      <c r="D5817" s="8">
        <f>QS.CONTEXT.ADD.CURVE(C5817,"SOFR",$K$2:$K$7,$L$2:$L$7,,,"Actual360","LogLinear",TRUE)</f>
        <v/>
      </c>
      <c r="E5817" s="8">
        <f>QS.INSTRUMENT.SWAP("swap.5815",C5817,H5817,B5817,"USD","SOFR",I5817,J5817,0,"Actual360","Simple","Annual","Annual","Annual")</f>
        <v/>
      </c>
      <c r="F5817" s="8">
        <f>QS.TRADE.CREATE("trade.5815",C5817,E5817,A5817,"Receive")</f>
        <v/>
      </c>
      <c r="G5817" s="5"/>
      <c r="H5817" s="7" t="s">
        <v>5858</v>
      </c>
      <c r="I5817" s="9">
        <v>1581500</v>
      </c>
      <c r="J5817" s="10">
        <v>0.0365</v>
      </c>
    </row>
    <row r="5818" spans="1:10">
      <c r="A5818" s="7" t="s">
        <v>5852</v>
      </c>
      <c r="B5818" s="7" t="s">
        <v>7685</v>
      </c>
      <c r="C5818" s="8">
        <f>QS.CONTEXT.CREATE("market.5816",A5818,"USD","SOFR")</f>
        <v/>
      </c>
      <c r="D5818" s="8">
        <f>QS.CONTEXT.ADD.CURVE(C5818,"SOFR",$K$2:$K$7,$L$2:$L$7,,,"Actual360","LogLinear",TRUE)</f>
        <v/>
      </c>
      <c r="E5818" s="8">
        <f>QS.INSTRUMENT.SWAP("swap.5816",C5818,H5818,B5818,"USD","SOFR",I5818,J5818,0,"Actual360","Simple","Annual","Annual","Annual")</f>
        <v/>
      </c>
      <c r="F5818" s="8">
        <f>QS.TRADE.CREATE("trade.5816",C5818,E5818,A5818,"Receive")</f>
        <v/>
      </c>
      <c r="G5818" s="5"/>
      <c r="H5818" s="7" t="s">
        <v>5859</v>
      </c>
      <c r="I5818" s="9">
        <v>1581600</v>
      </c>
      <c r="J5818" s="10">
        <v>0.0366</v>
      </c>
    </row>
    <row r="5819" spans="1:10">
      <c r="A5819" s="7" t="s">
        <v>5853</v>
      </c>
      <c r="B5819" s="7" t="s">
        <v>7686</v>
      </c>
      <c r="C5819" s="8">
        <f>QS.CONTEXT.CREATE("market.5817",A5819,"USD","SOFR")</f>
        <v/>
      </c>
      <c r="D5819" s="8">
        <f>QS.CONTEXT.ADD.CURVE(C5819,"SOFR",$K$2:$K$7,$L$2:$L$7,,,"Actual360","LogLinear",TRUE)</f>
        <v/>
      </c>
      <c r="E5819" s="8">
        <f>QS.INSTRUMENT.SWAP("swap.5817",C5819,H5819,B5819,"USD","SOFR",I5819,J5819,0,"Actual360","Simple","Annual","Annual","Annual")</f>
        <v/>
      </c>
      <c r="F5819" s="8">
        <f>QS.TRADE.CREATE("trade.5817",C5819,E5819,A5819,"Receive")</f>
        <v/>
      </c>
      <c r="G5819" s="5"/>
      <c r="H5819" s="7" t="s">
        <v>5860</v>
      </c>
      <c r="I5819" s="9">
        <v>1581700</v>
      </c>
      <c r="J5819" s="10">
        <v>0.0367</v>
      </c>
    </row>
    <row r="5820" spans="1:10">
      <c r="A5820" s="7" t="s">
        <v>5854</v>
      </c>
      <c r="B5820" s="7" t="s">
        <v>7687</v>
      </c>
      <c r="C5820" s="8">
        <f>QS.CONTEXT.CREATE("market.5818",A5820,"USD","SOFR")</f>
        <v/>
      </c>
      <c r="D5820" s="8">
        <f>QS.CONTEXT.ADD.CURVE(C5820,"SOFR",$K$2:$K$7,$L$2:$L$7,,,"Actual360","LogLinear",TRUE)</f>
        <v/>
      </c>
      <c r="E5820" s="8">
        <f>QS.INSTRUMENT.SWAP("swap.5818",C5820,H5820,B5820,"USD","SOFR",I5820,J5820,0,"Actual360","Simple","Annual","Annual","Annual")</f>
        <v/>
      </c>
      <c r="F5820" s="8">
        <f>QS.TRADE.CREATE("trade.5818",C5820,E5820,A5820,"Receive")</f>
        <v/>
      </c>
      <c r="G5820" s="5"/>
      <c r="H5820" s="7" t="s">
        <v>5861</v>
      </c>
      <c r="I5820" s="9">
        <v>1581800</v>
      </c>
      <c r="J5820" s="10">
        <v>0.03680000000000001</v>
      </c>
    </row>
    <row r="5821" spans="1:10">
      <c r="A5821" s="7" t="s">
        <v>5855</v>
      </c>
      <c r="B5821" s="7" t="s">
        <v>7688</v>
      </c>
      <c r="C5821" s="8">
        <f>QS.CONTEXT.CREATE("market.5819",A5821,"USD","SOFR")</f>
        <v/>
      </c>
      <c r="D5821" s="8">
        <f>QS.CONTEXT.ADD.CURVE(C5821,"SOFR",$K$2:$K$7,$L$2:$L$7,,,"Actual360","LogLinear",TRUE)</f>
        <v/>
      </c>
      <c r="E5821" s="8">
        <f>QS.INSTRUMENT.SWAP("swap.5819",C5821,H5821,B5821,"USD","SOFR",I5821,J5821,0,"Actual360","Simple","Annual","Annual","Annual")</f>
        <v/>
      </c>
      <c r="F5821" s="8">
        <f>QS.TRADE.CREATE("trade.5819",C5821,E5821,A5821,"Receive")</f>
        <v/>
      </c>
      <c r="G5821" s="5"/>
      <c r="H5821" s="7" t="s">
        <v>5862</v>
      </c>
      <c r="I5821" s="9">
        <v>1581900</v>
      </c>
      <c r="J5821" s="10">
        <v>0.0369</v>
      </c>
    </row>
    <row r="5822" spans="1:10">
      <c r="A5822" s="7" t="s">
        <v>5856</v>
      </c>
      <c r="B5822" s="7" t="s">
        <v>7689</v>
      </c>
      <c r="C5822" s="8">
        <f>QS.CONTEXT.CREATE("market.5820",A5822,"USD","SOFR")</f>
        <v/>
      </c>
      <c r="D5822" s="8">
        <f>QS.CONTEXT.ADD.CURVE(C5822,"SOFR",$K$2:$K$7,$L$2:$L$7,,,"Actual360","LogLinear",TRUE)</f>
        <v/>
      </c>
      <c r="E5822" s="8">
        <f>QS.INSTRUMENT.SWAP("swap.5820",C5822,H5822,B5822,"USD","SOFR",I5822,J5822,0,"Actual360","Simple","Annual","Annual","Annual")</f>
        <v/>
      </c>
      <c r="F5822" s="8">
        <f>QS.TRADE.CREATE("trade.5820",C5822,E5822,A5822,"Receive")</f>
        <v/>
      </c>
      <c r="G5822" s="5"/>
      <c r="H5822" s="7" t="s">
        <v>5863</v>
      </c>
      <c r="I5822" s="9">
        <v>1582000</v>
      </c>
      <c r="J5822" s="10">
        <v>0.03700000000000001</v>
      </c>
    </row>
    <row r="5823" spans="1:10">
      <c r="A5823" s="7" t="s">
        <v>5857</v>
      </c>
      <c r="B5823" s="7" t="s">
        <v>7690</v>
      </c>
      <c r="C5823" s="8">
        <f>QS.CONTEXT.CREATE("market.5821",A5823,"USD","SOFR")</f>
        <v/>
      </c>
      <c r="D5823" s="8">
        <f>QS.CONTEXT.ADD.CURVE(C5823,"SOFR",$K$2:$K$7,$L$2:$L$7,,,"Actual360","LogLinear",TRUE)</f>
        <v/>
      </c>
      <c r="E5823" s="8">
        <f>QS.INSTRUMENT.SWAP("swap.5821",C5823,H5823,B5823,"USD","SOFR",I5823,J5823,0,"Actual360","Simple","Annual","Annual","Annual")</f>
        <v/>
      </c>
      <c r="F5823" s="8">
        <f>QS.TRADE.CREATE("trade.5821",C5823,E5823,A5823,"Receive")</f>
        <v/>
      </c>
      <c r="G5823" s="5"/>
      <c r="H5823" s="7" t="s">
        <v>5864</v>
      </c>
      <c r="I5823" s="9">
        <v>1582100</v>
      </c>
      <c r="J5823" s="10">
        <v>0.0371</v>
      </c>
    </row>
    <row r="5824" spans="1:10">
      <c r="A5824" s="7" t="s">
        <v>5858</v>
      </c>
      <c r="B5824" s="7" t="s">
        <v>7691</v>
      </c>
      <c r="C5824" s="8">
        <f>QS.CONTEXT.CREATE("market.5822",A5824,"USD","SOFR")</f>
        <v/>
      </c>
      <c r="D5824" s="8">
        <f>QS.CONTEXT.ADD.CURVE(C5824,"SOFR",$K$2:$K$7,$L$2:$L$7,,,"Actual360","LogLinear",TRUE)</f>
        <v/>
      </c>
      <c r="E5824" s="8">
        <f>QS.INSTRUMENT.SWAP("swap.5822",C5824,H5824,B5824,"USD","SOFR",I5824,J5824,0,"Actual360","Simple","Annual","Annual","Annual")</f>
        <v/>
      </c>
      <c r="F5824" s="8">
        <f>QS.TRADE.CREATE("trade.5822",C5824,E5824,A5824,"Receive")</f>
        <v/>
      </c>
      <c r="G5824" s="5"/>
      <c r="H5824" s="7" t="s">
        <v>5865</v>
      </c>
      <c r="I5824" s="9">
        <v>1582200</v>
      </c>
      <c r="J5824" s="10">
        <v>0.0372</v>
      </c>
    </row>
    <row r="5825" spans="1:10">
      <c r="A5825" s="7" t="s">
        <v>5859</v>
      </c>
      <c r="B5825" s="7" t="s">
        <v>7692</v>
      </c>
      <c r="C5825" s="8">
        <f>QS.CONTEXT.CREATE("market.5823",A5825,"USD","SOFR")</f>
        <v/>
      </c>
      <c r="D5825" s="8">
        <f>QS.CONTEXT.ADD.CURVE(C5825,"SOFR",$K$2:$K$7,$L$2:$L$7,,,"Actual360","LogLinear",TRUE)</f>
        <v/>
      </c>
      <c r="E5825" s="8">
        <f>QS.INSTRUMENT.SWAP("swap.5823",C5825,H5825,B5825,"USD","SOFR",I5825,J5825,0,"Actual360","Simple","Annual","Annual","Annual")</f>
        <v/>
      </c>
      <c r="F5825" s="8">
        <f>QS.TRADE.CREATE("trade.5823",C5825,E5825,A5825,"Receive")</f>
        <v/>
      </c>
      <c r="G5825" s="5"/>
      <c r="H5825" s="7" t="s">
        <v>5866</v>
      </c>
      <c r="I5825" s="9">
        <v>1582300</v>
      </c>
      <c r="J5825" s="10">
        <v>0.0373</v>
      </c>
    </row>
    <row r="5826" spans="1:10">
      <c r="A5826" s="7" t="s">
        <v>5860</v>
      </c>
      <c r="B5826" s="7" t="s">
        <v>7693</v>
      </c>
      <c r="C5826" s="8">
        <f>QS.CONTEXT.CREATE("market.5824",A5826,"USD","SOFR")</f>
        <v/>
      </c>
      <c r="D5826" s="8">
        <f>QS.CONTEXT.ADD.CURVE(C5826,"SOFR",$K$2:$K$7,$L$2:$L$7,,,"Actual360","LogLinear",TRUE)</f>
        <v/>
      </c>
      <c r="E5826" s="8">
        <f>QS.INSTRUMENT.SWAP("swap.5824",C5826,H5826,B5826,"USD","SOFR",I5826,J5826,0,"Actual360","Simple","Annual","Annual","Annual")</f>
        <v/>
      </c>
      <c r="F5826" s="8">
        <f>QS.TRADE.CREATE("trade.5824",C5826,E5826,A5826,"Receive")</f>
        <v/>
      </c>
      <c r="G5826" s="5"/>
      <c r="H5826" s="7" t="s">
        <v>5867</v>
      </c>
      <c r="I5826" s="9">
        <v>1582400</v>
      </c>
      <c r="J5826" s="10">
        <v>0.0374</v>
      </c>
    </row>
    <row r="5827" spans="1:10">
      <c r="A5827" s="7" t="s">
        <v>5861</v>
      </c>
      <c r="B5827" s="7" t="s">
        <v>7694</v>
      </c>
      <c r="C5827" s="8">
        <f>QS.CONTEXT.CREATE("market.5825",A5827,"USD","SOFR")</f>
        <v/>
      </c>
      <c r="D5827" s="8">
        <f>QS.CONTEXT.ADD.CURVE(C5827,"SOFR",$K$2:$K$7,$L$2:$L$7,,,"Actual360","LogLinear",TRUE)</f>
        <v/>
      </c>
      <c r="E5827" s="8">
        <f>QS.INSTRUMENT.SWAP("swap.5825",C5827,H5827,B5827,"USD","SOFR",I5827,J5827,0,"Actual360","Simple","Annual","Annual","Annual")</f>
        <v/>
      </c>
      <c r="F5827" s="8">
        <f>QS.TRADE.CREATE("trade.5825",C5827,E5827,A5827,"Receive")</f>
        <v/>
      </c>
      <c r="G5827" s="5"/>
      <c r="H5827" s="7" t="s">
        <v>5868</v>
      </c>
      <c r="I5827" s="9">
        <v>1582500</v>
      </c>
      <c r="J5827" s="10">
        <v>0.03750000000000001</v>
      </c>
    </row>
    <row r="5828" spans="1:10">
      <c r="A5828" s="7" t="s">
        <v>5862</v>
      </c>
      <c r="B5828" s="7" t="s">
        <v>7695</v>
      </c>
      <c r="C5828" s="8">
        <f>QS.CONTEXT.CREATE("market.5826",A5828,"USD","SOFR")</f>
        <v/>
      </c>
      <c r="D5828" s="8">
        <f>QS.CONTEXT.ADD.CURVE(C5828,"SOFR",$K$2:$K$7,$L$2:$L$7,,,"Actual360","LogLinear",TRUE)</f>
        <v/>
      </c>
      <c r="E5828" s="8">
        <f>QS.INSTRUMENT.SWAP("swap.5826",C5828,H5828,B5828,"USD","SOFR",I5828,J5828,0,"Actual360","Simple","Annual","Annual","Annual")</f>
        <v/>
      </c>
      <c r="F5828" s="8">
        <f>QS.TRADE.CREATE("trade.5826",C5828,E5828,A5828,"Receive")</f>
        <v/>
      </c>
      <c r="G5828" s="5"/>
      <c r="H5828" s="7" t="s">
        <v>5869</v>
      </c>
      <c r="I5828" s="9">
        <v>1582600</v>
      </c>
      <c r="J5828" s="10">
        <v>0.0376</v>
      </c>
    </row>
    <row r="5829" spans="1:10">
      <c r="A5829" s="7" t="s">
        <v>5863</v>
      </c>
      <c r="B5829" s="7" t="s">
        <v>7696</v>
      </c>
      <c r="C5829" s="8">
        <f>QS.CONTEXT.CREATE("market.5827",A5829,"USD","SOFR")</f>
        <v/>
      </c>
      <c r="D5829" s="8">
        <f>QS.CONTEXT.ADD.CURVE(C5829,"SOFR",$K$2:$K$7,$L$2:$L$7,,,"Actual360","LogLinear",TRUE)</f>
        <v/>
      </c>
      <c r="E5829" s="8">
        <f>QS.INSTRUMENT.SWAP("swap.5827",C5829,H5829,B5829,"USD","SOFR",I5829,J5829,0,"Actual360","Simple","Annual","Annual","Annual")</f>
        <v/>
      </c>
      <c r="F5829" s="8">
        <f>QS.TRADE.CREATE("trade.5827",C5829,E5829,A5829,"Receive")</f>
        <v/>
      </c>
      <c r="G5829" s="5"/>
      <c r="H5829" s="7" t="s">
        <v>5870</v>
      </c>
      <c r="I5829" s="9">
        <v>1582700</v>
      </c>
      <c r="J5829" s="10">
        <v>0.0377</v>
      </c>
    </row>
    <row r="5830" spans="1:10">
      <c r="A5830" s="7" t="s">
        <v>5864</v>
      </c>
      <c r="B5830" s="7" t="s">
        <v>7697</v>
      </c>
      <c r="C5830" s="8">
        <f>QS.CONTEXT.CREATE("market.5828",A5830,"USD","SOFR")</f>
        <v/>
      </c>
      <c r="D5830" s="8">
        <f>QS.CONTEXT.ADD.CURVE(C5830,"SOFR",$K$2:$K$7,$L$2:$L$7,,,"Actual360","LogLinear",TRUE)</f>
        <v/>
      </c>
      <c r="E5830" s="8">
        <f>QS.INSTRUMENT.SWAP("swap.5828",C5830,H5830,B5830,"USD","SOFR",I5830,J5830,0,"Actual360","Simple","Annual","Annual","Annual")</f>
        <v/>
      </c>
      <c r="F5830" s="8">
        <f>QS.TRADE.CREATE("trade.5828",C5830,E5830,A5830,"Receive")</f>
        <v/>
      </c>
      <c r="G5830" s="5"/>
      <c r="H5830" s="7" t="s">
        <v>5871</v>
      </c>
      <c r="I5830" s="9">
        <v>1582800</v>
      </c>
      <c r="J5830" s="10">
        <v>0.0378</v>
      </c>
    </row>
    <row r="5831" spans="1:10">
      <c r="A5831" s="7" t="s">
        <v>5865</v>
      </c>
      <c r="B5831" s="7" t="s">
        <v>7698</v>
      </c>
      <c r="C5831" s="8">
        <f>QS.CONTEXT.CREATE("market.5829",A5831,"USD","SOFR")</f>
        <v/>
      </c>
      <c r="D5831" s="8">
        <f>QS.CONTEXT.ADD.CURVE(C5831,"SOFR",$K$2:$K$7,$L$2:$L$7,,,"Actual360","LogLinear",TRUE)</f>
        <v/>
      </c>
      <c r="E5831" s="8">
        <f>QS.INSTRUMENT.SWAP("swap.5829",C5831,H5831,B5831,"USD","SOFR",I5831,J5831,0,"Actual360","Simple","Annual","Annual","Annual")</f>
        <v/>
      </c>
      <c r="F5831" s="8">
        <f>QS.TRADE.CREATE("trade.5829",C5831,E5831,A5831,"Receive")</f>
        <v/>
      </c>
      <c r="G5831" s="5"/>
      <c r="H5831" s="7" t="s">
        <v>5872</v>
      </c>
      <c r="I5831" s="9">
        <v>1582900</v>
      </c>
      <c r="J5831" s="10">
        <v>0.0379</v>
      </c>
    </row>
    <row r="5832" spans="1:10">
      <c r="A5832" s="7" t="s">
        <v>5866</v>
      </c>
      <c r="B5832" s="7" t="s">
        <v>7699</v>
      </c>
      <c r="C5832" s="8">
        <f>QS.CONTEXT.CREATE("market.5830",A5832,"USD","SOFR")</f>
        <v/>
      </c>
      <c r="D5832" s="8">
        <f>QS.CONTEXT.ADD.CURVE(C5832,"SOFR",$K$2:$K$7,$L$2:$L$7,,,"Actual360","LogLinear",TRUE)</f>
        <v/>
      </c>
      <c r="E5832" s="8">
        <f>QS.INSTRUMENT.SWAP("swap.5830",C5832,H5832,B5832,"USD","SOFR",I5832,J5832,0,"Actual360","Simple","Annual","Annual","Annual")</f>
        <v/>
      </c>
      <c r="F5832" s="8">
        <f>QS.TRADE.CREATE("trade.5830",C5832,E5832,A5832,"Receive")</f>
        <v/>
      </c>
      <c r="G5832" s="5"/>
      <c r="H5832" s="7" t="s">
        <v>5873</v>
      </c>
      <c r="I5832" s="9">
        <v>1583000</v>
      </c>
      <c r="J5832" s="10">
        <v>0.03800000000000001</v>
      </c>
    </row>
    <row r="5833" spans="1:10">
      <c r="A5833" s="7" t="s">
        <v>5867</v>
      </c>
      <c r="B5833" s="7" t="s">
        <v>7700</v>
      </c>
      <c r="C5833" s="8">
        <f>QS.CONTEXT.CREATE("market.5831",A5833,"USD","SOFR")</f>
        <v/>
      </c>
      <c r="D5833" s="8">
        <f>QS.CONTEXT.ADD.CURVE(C5833,"SOFR",$K$2:$K$7,$L$2:$L$7,,,"Actual360","LogLinear",TRUE)</f>
        <v/>
      </c>
      <c r="E5833" s="8">
        <f>QS.INSTRUMENT.SWAP("swap.5831",C5833,H5833,B5833,"USD","SOFR",I5833,J5833,0,"Actual360","Simple","Annual","Annual","Annual")</f>
        <v/>
      </c>
      <c r="F5833" s="8">
        <f>QS.TRADE.CREATE("trade.5831",C5833,E5833,A5833,"Receive")</f>
        <v/>
      </c>
      <c r="G5833" s="5"/>
      <c r="H5833" s="7" t="s">
        <v>5874</v>
      </c>
      <c r="I5833" s="9">
        <v>1583100</v>
      </c>
      <c r="J5833" s="10">
        <v>0.0381</v>
      </c>
    </row>
    <row r="5834" spans="1:10">
      <c r="A5834" s="7" t="s">
        <v>5868</v>
      </c>
      <c r="B5834" s="7" t="s">
        <v>7701</v>
      </c>
      <c r="C5834" s="8">
        <f>QS.CONTEXT.CREATE("market.5832",A5834,"USD","SOFR")</f>
        <v/>
      </c>
      <c r="D5834" s="8">
        <f>QS.CONTEXT.ADD.CURVE(C5834,"SOFR",$K$2:$K$7,$L$2:$L$7,,,"Actual360","LogLinear",TRUE)</f>
        <v/>
      </c>
      <c r="E5834" s="8">
        <f>QS.INSTRUMENT.SWAP("swap.5832",C5834,H5834,B5834,"USD","SOFR",I5834,J5834,0,"Actual360","Simple","Annual","Annual","Annual")</f>
        <v/>
      </c>
      <c r="F5834" s="8">
        <f>QS.TRADE.CREATE("trade.5832",C5834,E5834,A5834,"Receive")</f>
        <v/>
      </c>
      <c r="G5834" s="5"/>
      <c r="H5834" s="7" t="s">
        <v>5875</v>
      </c>
      <c r="I5834" s="9">
        <v>1583200</v>
      </c>
      <c r="J5834" s="10">
        <v>0.0382</v>
      </c>
    </row>
    <row r="5835" spans="1:10">
      <c r="A5835" s="7" t="s">
        <v>5869</v>
      </c>
      <c r="B5835" s="7" t="s">
        <v>7702</v>
      </c>
      <c r="C5835" s="8">
        <f>QS.CONTEXT.CREATE("market.5833",A5835,"USD","SOFR")</f>
        <v/>
      </c>
      <c r="D5835" s="8">
        <f>QS.CONTEXT.ADD.CURVE(C5835,"SOFR",$K$2:$K$7,$L$2:$L$7,,,"Actual360","LogLinear",TRUE)</f>
        <v/>
      </c>
      <c r="E5835" s="8">
        <f>QS.INSTRUMENT.SWAP("swap.5833",C5835,H5835,B5835,"USD","SOFR",I5835,J5835,0,"Actual360","Simple","Annual","Annual","Annual")</f>
        <v/>
      </c>
      <c r="F5835" s="8">
        <f>QS.TRADE.CREATE("trade.5833",C5835,E5835,A5835,"Receive")</f>
        <v/>
      </c>
      <c r="G5835" s="5"/>
      <c r="H5835" s="7" t="s">
        <v>5876</v>
      </c>
      <c r="I5835" s="9">
        <v>1583300</v>
      </c>
      <c r="J5835" s="10">
        <v>0.0383</v>
      </c>
    </row>
    <row r="5836" spans="1:10">
      <c r="A5836" s="7" t="s">
        <v>5870</v>
      </c>
      <c r="B5836" s="7" t="s">
        <v>7703</v>
      </c>
      <c r="C5836" s="8">
        <f>QS.CONTEXT.CREATE("market.5834",A5836,"USD","SOFR")</f>
        <v/>
      </c>
      <c r="D5836" s="8">
        <f>QS.CONTEXT.ADD.CURVE(C5836,"SOFR",$K$2:$K$7,$L$2:$L$7,,,"Actual360","LogLinear",TRUE)</f>
        <v/>
      </c>
      <c r="E5836" s="8">
        <f>QS.INSTRUMENT.SWAP("swap.5834",C5836,H5836,B5836,"USD","SOFR",I5836,J5836,0,"Actual360","Simple","Annual","Annual","Annual")</f>
        <v/>
      </c>
      <c r="F5836" s="8">
        <f>QS.TRADE.CREATE("trade.5834",C5836,E5836,A5836,"Receive")</f>
        <v/>
      </c>
      <c r="G5836" s="5"/>
      <c r="H5836" s="7" t="s">
        <v>5877</v>
      </c>
      <c r="I5836" s="9">
        <v>1583400</v>
      </c>
      <c r="J5836" s="10">
        <v>0.0384</v>
      </c>
    </row>
    <row r="5837" spans="1:10">
      <c r="A5837" s="7" t="s">
        <v>5871</v>
      </c>
      <c r="B5837" s="7" t="s">
        <v>7704</v>
      </c>
      <c r="C5837" s="8">
        <f>QS.CONTEXT.CREATE("market.5835",A5837,"USD","SOFR")</f>
        <v/>
      </c>
      <c r="D5837" s="8">
        <f>QS.CONTEXT.ADD.CURVE(C5837,"SOFR",$K$2:$K$7,$L$2:$L$7,,,"Actual360","LogLinear",TRUE)</f>
        <v/>
      </c>
      <c r="E5837" s="8">
        <f>QS.INSTRUMENT.SWAP("swap.5835",C5837,H5837,B5837,"USD","SOFR",I5837,J5837,0,"Actual360","Simple","Annual","Annual","Annual")</f>
        <v/>
      </c>
      <c r="F5837" s="8">
        <f>QS.TRADE.CREATE("trade.5835",C5837,E5837,A5837,"Receive")</f>
        <v/>
      </c>
      <c r="G5837" s="5"/>
      <c r="H5837" s="7" t="s">
        <v>5878</v>
      </c>
      <c r="I5837" s="9">
        <v>1583500</v>
      </c>
      <c r="J5837" s="10">
        <v>0.03850000000000001</v>
      </c>
    </row>
    <row r="5838" spans="1:10">
      <c r="A5838" s="7" t="s">
        <v>5872</v>
      </c>
      <c r="B5838" s="7" t="s">
        <v>7705</v>
      </c>
      <c r="C5838" s="8">
        <f>QS.CONTEXT.CREATE("market.5836",A5838,"USD","SOFR")</f>
        <v/>
      </c>
      <c r="D5838" s="8">
        <f>QS.CONTEXT.ADD.CURVE(C5838,"SOFR",$K$2:$K$7,$L$2:$L$7,,,"Actual360","LogLinear",TRUE)</f>
        <v/>
      </c>
      <c r="E5838" s="8">
        <f>QS.INSTRUMENT.SWAP("swap.5836",C5838,H5838,B5838,"USD","SOFR",I5838,J5838,0,"Actual360","Simple","Annual","Annual","Annual")</f>
        <v/>
      </c>
      <c r="F5838" s="8">
        <f>QS.TRADE.CREATE("trade.5836",C5838,E5838,A5838,"Receive")</f>
        <v/>
      </c>
      <c r="G5838" s="5"/>
      <c r="H5838" s="7" t="s">
        <v>5879</v>
      </c>
      <c r="I5838" s="9">
        <v>1583600</v>
      </c>
      <c r="J5838" s="10">
        <v>0.0386</v>
      </c>
    </row>
    <row r="5839" spans="1:10">
      <c r="A5839" s="7" t="s">
        <v>5873</v>
      </c>
      <c r="B5839" s="7" t="s">
        <v>7706</v>
      </c>
      <c r="C5839" s="8">
        <f>QS.CONTEXT.CREATE("market.5837",A5839,"USD","SOFR")</f>
        <v/>
      </c>
      <c r="D5839" s="8">
        <f>QS.CONTEXT.ADD.CURVE(C5839,"SOFR",$K$2:$K$7,$L$2:$L$7,,,"Actual360","LogLinear",TRUE)</f>
        <v/>
      </c>
      <c r="E5839" s="8">
        <f>QS.INSTRUMENT.SWAP("swap.5837",C5839,H5839,B5839,"USD","SOFR",I5839,J5839,0,"Actual360","Simple","Annual","Annual","Annual")</f>
        <v/>
      </c>
      <c r="F5839" s="8">
        <f>QS.TRADE.CREATE("trade.5837",C5839,E5839,A5839,"Receive")</f>
        <v/>
      </c>
      <c r="G5839" s="5"/>
      <c r="H5839" s="7" t="s">
        <v>5880</v>
      </c>
      <c r="I5839" s="9">
        <v>1583700</v>
      </c>
      <c r="J5839" s="10">
        <v>0.03870000000000001</v>
      </c>
    </row>
    <row r="5840" spans="1:10">
      <c r="A5840" s="7" t="s">
        <v>5874</v>
      </c>
      <c r="B5840" s="7" t="s">
        <v>7707</v>
      </c>
      <c r="C5840" s="8">
        <f>QS.CONTEXT.CREATE("market.5838",A5840,"USD","SOFR")</f>
        <v/>
      </c>
      <c r="D5840" s="8">
        <f>QS.CONTEXT.ADD.CURVE(C5840,"SOFR",$K$2:$K$7,$L$2:$L$7,,,"Actual360","LogLinear",TRUE)</f>
        <v/>
      </c>
      <c r="E5840" s="8">
        <f>QS.INSTRUMENT.SWAP("swap.5838",C5840,H5840,B5840,"USD","SOFR",I5840,J5840,0,"Actual360","Simple","Annual","Annual","Annual")</f>
        <v/>
      </c>
      <c r="F5840" s="8">
        <f>QS.TRADE.CREATE("trade.5838",C5840,E5840,A5840,"Receive")</f>
        <v/>
      </c>
      <c r="G5840" s="5"/>
      <c r="H5840" s="7" t="s">
        <v>5881</v>
      </c>
      <c r="I5840" s="9">
        <v>1583800</v>
      </c>
      <c r="J5840" s="10">
        <v>0.0388</v>
      </c>
    </row>
    <row r="5841" spans="1:10">
      <c r="A5841" s="7" t="s">
        <v>5875</v>
      </c>
      <c r="B5841" s="7" t="s">
        <v>7708</v>
      </c>
      <c r="C5841" s="8">
        <f>QS.CONTEXT.CREATE("market.5839",A5841,"USD","SOFR")</f>
        <v/>
      </c>
      <c r="D5841" s="8">
        <f>QS.CONTEXT.ADD.CURVE(C5841,"SOFR",$K$2:$K$7,$L$2:$L$7,,,"Actual360","LogLinear",TRUE)</f>
        <v/>
      </c>
      <c r="E5841" s="8">
        <f>QS.INSTRUMENT.SWAP("swap.5839",C5841,H5841,B5841,"USD","SOFR",I5841,J5841,0,"Actual360","Simple","Annual","Annual","Annual")</f>
        <v/>
      </c>
      <c r="F5841" s="8">
        <f>QS.TRADE.CREATE("trade.5839",C5841,E5841,A5841,"Receive")</f>
        <v/>
      </c>
      <c r="G5841" s="5"/>
      <c r="H5841" s="7" t="s">
        <v>5882</v>
      </c>
      <c r="I5841" s="9">
        <v>1583900</v>
      </c>
      <c r="J5841" s="10">
        <v>0.0389</v>
      </c>
    </row>
    <row r="5842" spans="1:10">
      <c r="A5842" s="7" t="s">
        <v>5876</v>
      </c>
      <c r="B5842" s="7" t="s">
        <v>7709</v>
      </c>
      <c r="C5842" s="8">
        <f>QS.CONTEXT.CREATE("market.5840",A5842,"USD","SOFR")</f>
        <v/>
      </c>
      <c r="D5842" s="8">
        <f>QS.CONTEXT.ADD.CURVE(C5842,"SOFR",$K$2:$K$7,$L$2:$L$7,,,"Actual360","LogLinear",TRUE)</f>
        <v/>
      </c>
      <c r="E5842" s="8">
        <f>QS.INSTRUMENT.SWAP("swap.5840",C5842,H5842,B5842,"USD","SOFR",I5842,J5842,0,"Actual360","Simple","Annual","Annual","Annual")</f>
        <v/>
      </c>
      <c r="F5842" s="8">
        <f>QS.TRADE.CREATE("trade.5840",C5842,E5842,A5842,"Receive")</f>
        <v/>
      </c>
      <c r="G5842" s="5"/>
      <c r="H5842" s="7" t="s">
        <v>5883</v>
      </c>
      <c r="I5842" s="9">
        <v>1584000</v>
      </c>
      <c r="J5842" s="10">
        <v>0.03900000000000001</v>
      </c>
    </row>
    <row r="5843" spans="1:10">
      <c r="A5843" s="7" t="s">
        <v>5877</v>
      </c>
      <c r="B5843" s="7" t="s">
        <v>7710</v>
      </c>
      <c r="C5843" s="8">
        <f>QS.CONTEXT.CREATE("market.5841",A5843,"USD","SOFR")</f>
        <v/>
      </c>
      <c r="D5843" s="8">
        <f>QS.CONTEXT.ADD.CURVE(C5843,"SOFR",$K$2:$K$7,$L$2:$L$7,,,"Actual360","LogLinear",TRUE)</f>
        <v/>
      </c>
      <c r="E5843" s="8">
        <f>QS.INSTRUMENT.SWAP("swap.5841",C5843,H5843,B5843,"USD","SOFR",I5843,J5843,0,"Actual360","Simple","Annual","Annual","Annual")</f>
        <v/>
      </c>
      <c r="F5843" s="8">
        <f>QS.TRADE.CREATE("trade.5841",C5843,E5843,A5843,"Receive")</f>
        <v/>
      </c>
      <c r="G5843" s="5"/>
      <c r="H5843" s="7" t="s">
        <v>5884</v>
      </c>
      <c r="I5843" s="9">
        <v>1584100</v>
      </c>
      <c r="J5843" s="10">
        <v>0.0391</v>
      </c>
    </row>
    <row r="5844" spans="1:10">
      <c r="A5844" s="7" t="s">
        <v>5878</v>
      </c>
      <c r="B5844" s="7" t="s">
        <v>7711</v>
      </c>
      <c r="C5844" s="8">
        <f>QS.CONTEXT.CREATE("market.5842",A5844,"USD","SOFR")</f>
        <v/>
      </c>
      <c r="D5844" s="8">
        <f>QS.CONTEXT.ADD.CURVE(C5844,"SOFR",$K$2:$K$7,$L$2:$L$7,,,"Actual360","LogLinear",TRUE)</f>
        <v/>
      </c>
      <c r="E5844" s="8">
        <f>QS.INSTRUMENT.SWAP("swap.5842",C5844,H5844,B5844,"USD","SOFR",I5844,J5844,0,"Actual360","Simple","Annual","Annual","Annual")</f>
        <v/>
      </c>
      <c r="F5844" s="8">
        <f>QS.TRADE.CREATE("trade.5842",C5844,E5844,A5844,"Receive")</f>
        <v/>
      </c>
      <c r="G5844" s="5"/>
      <c r="H5844" s="7" t="s">
        <v>5885</v>
      </c>
      <c r="I5844" s="9">
        <v>1584200</v>
      </c>
      <c r="J5844" s="10">
        <v>0.03920000000000001</v>
      </c>
    </row>
    <row r="5845" spans="1:10">
      <c r="A5845" s="7" t="s">
        <v>5879</v>
      </c>
      <c r="B5845" s="7" t="s">
        <v>7712</v>
      </c>
      <c r="C5845" s="8">
        <f>QS.CONTEXT.CREATE("market.5843",A5845,"USD","SOFR")</f>
        <v/>
      </c>
      <c r="D5845" s="8">
        <f>QS.CONTEXT.ADD.CURVE(C5845,"SOFR",$K$2:$K$7,$L$2:$L$7,,,"Actual360","LogLinear",TRUE)</f>
        <v/>
      </c>
      <c r="E5845" s="8">
        <f>QS.INSTRUMENT.SWAP("swap.5843",C5845,H5845,B5845,"USD","SOFR",I5845,J5845,0,"Actual360","Simple","Annual","Annual","Annual")</f>
        <v/>
      </c>
      <c r="F5845" s="8">
        <f>QS.TRADE.CREATE("trade.5843",C5845,E5845,A5845,"Receive")</f>
        <v/>
      </c>
      <c r="G5845" s="5"/>
      <c r="H5845" s="7" t="s">
        <v>5886</v>
      </c>
      <c r="I5845" s="9">
        <v>1584300</v>
      </c>
      <c r="J5845" s="10">
        <v>0.0393</v>
      </c>
    </row>
    <row r="5846" spans="1:10">
      <c r="A5846" s="7" t="s">
        <v>5880</v>
      </c>
      <c r="B5846" s="7" t="s">
        <v>7713</v>
      </c>
      <c r="C5846" s="8">
        <f>QS.CONTEXT.CREATE("market.5844",A5846,"USD","SOFR")</f>
        <v/>
      </c>
      <c r="D5846" s="8">
        <f>QS.CONTEXT.ADD.CURVE(C5846,"SOFR",$K$2:$K$7,$L$2:$L$7,,,"Actual360","LogLinear",TRUE)</f>
        <v/>
      </c>
      <c r="E5846" s="8">
        <f>QS.INSTRUMENT.SWAP("swap.5844",C5846,H5846,B5846,"USD","SOFR",I5846,J5846,0,"Actual360","Simple","Annual","Annual","Annual")</f>
        <v/>
      </c>
      <c r="F5846" s="8">
        <f>QS.TRADE.CREATE("trade.5844",C5846,E5846,A5846,"Receive")</f>
        <v/>
      </c>
      <c r="G5846" s="5"/>
      <c r="H5846" s="7" t="s">
        <v>5887</v>
      </c>
      <c r="I5846" s="9">
        <v>1584400</v>
      </c>
      <c r="J5846" s="10">
        <v>0.0394</v>
      </c>
    </row>
    <row r="5847" spans="1:10">
      <c r="A5847" s="7" t="s">
        <v>5881</v>
      </c>
      <c r="B5847" s="7" t="s">
        <v>7714</v>
      </c>
      <c r="C5847" s="8">
        <f>QS.CONTEXT.CREATE("market.5845",A5847,"USD","SOFR")</f>
        <v/>
      </c>
      <c r="D5847" s="8">
        <f>QS.CONTEXT.ADD.CURVE(C5847,"SOFR",$K$2:$K$7,$L$2:$L$7,,,"Actual360","LogLinear",TRUE)</f>
        <v/>
      </c>
      <c r="E5847" s="8">
        <f>QS.INSTRUMENT.SWAP("swap.5845",C5847,H5847,B5847,"USD","SOFR",I5847,J5847,0,"Actual360","Simple","Annual","Annual","Annual")</f>
        <v/>
      </c>
      <c r="F5847" s="8">
        <f>QS.TRADE.CREATE("trade.5845",C5847,E5847,A5847,"Receive")</f>
        <v/>
      </c>
      <c r="G5847" s="5"/>
      <c r="H5847" s="7" t="s">
        <v>5888</v>
      </c>
      <c r="I5847" s="9">
        <v>1584500</v>
      </c>
      <c r="J5847" s="10">
        <v>0.03950000000000001</v>
      </c>
    </row>
    <row r="5848" spans="1:10">
      <c r="A5848" s="7" t="s">
        <v>5882</v>
      </c>
      <c r="B5848" s="7" t="s">
        <v>7715</v>
      </c>
      <c r="C5848" s="8">
        <f>QS.CONTEXT.CREATE("market.5846",A5848,"USD","SOFR")</f>
        <v/>
      </c>
      <c r="D5848" s="8">
        <f>QS.CONTEXT.ADD.CURVE(C5848,"SOFR",$K$2:$K$7,$L$2:$L$7,,,"Actual360","LogLinear",TRUE)</f>
        <v/>
      </c>
      <c r="E5848" s="8">
        <f>QS.INSTRUMENT.SWAP("swap.5846",C5848,H5848,B5848,"USD","SOFR",I5848,J5848,0,"Actual360","Simple","Annual","Annual","Annual")</f>
        <v/>
      </c>
      <c r="F5848" s="8">
        <f>QS.TRADE.CREATE("trade.5846",C5848,E5848,A5848,"Receive")</f>
        <v/>
      </c>
      <c r="G5848" s="5"/>
      <c r="H5848" s="7" t="s">
        <v>5889</v>
      </c>
      <c r="I5848" s="9">
        <v>1584600</v>
      </c>
      <c r="J5848" s="10">
        <v>0.0396</v>
      </c>
    </row>
    <row r="5849" spans="1:10">
      <c r="A5849" s="7" t="s">
        <v>5883</v>
      </c>
      <c r="B5849" s="7" t="s">
        <v>7716</v>
      </c>
      <c r="C5849" s="8">
        <f>QS.CONTEXT.CREATE("market.5847",A5849,"USD","SOFR")</f>
        <v/>
      </c>
      <c r="D5849" s="8">
        <f>QS.CONTEXT.ADD.CURVE(C5849,"SOFR",$K$2:$K$7,$L$2:$L$7,,,"Actual360","LogLinear",TRUE)</f>
        <v/>
      </c>
      <c r="E5849" s="8">
        <f>QS.INSTRUMENT.SWAP("swap.5847",C5849,H5849,B5849,"USD","SOFR",I5849,J5849,0,"Actual360","Simple","Annual","Annual","Annual")</f>
        <v/>
      </c>
      <c r="F5849" s="8">
        <f>QS.TRADE.CREATE("trade.5847",C5849,E5849,A5849,"Receive")</f>
        <v/>
      </c>
      <c r="G5849" s="5"/>
      <c r="H5849" s="7" t="s">
        <v>5890</v>
      </c>
      <c r="I5849" s="9">
        <v>1584700</v>
      </c>
      <c r="J5849" s="10">
        <v>0.03970000000000001</v>
      </c>
    </row>
    <row r="5850" spans="1:10">
      <c r="A5850" s="7" t="s">
        <v>5884</v>
      </c>
      <c r="B5850" s="7" t="s">
        <v>7717</v>
      </c>
      <c r="C5850" s="8">
        <f>QS.CONTEXT.CREATE("market.5848",A5850,"USD","SOFR")</f>
        <v/>
      </c>
      <c r="D5850" s="8">
        <f>QS.CONTEXT.ADD.CURVE(C5850,"SOFR",$K$2:$K$7,$L$2:$L$7,,,"Actual360","LogLinear",TRUE)</f>
        <v/>
      </c>
      <c r="E5850" s="8">
        <f>QS.INSTRUMENT.SWAP("swap.5848",C5850,H5850,B5850,"USD","SOFR",I5850,J5850,0,"Actual360","Simple","Annual","Annual","Annual")</f>
        <v/>
      </c>
      <c r="F5850" s="8">
        <f>QS.TRADE.CREATE("trade.5848",C5850,E5850,A5850,"Receive")</f>
        <v/>
      </c>
      <c r="G5850" s="5"/>
      <c r="H5850" s="7" t="s">
        <v>5891</v>
      </c>
      <c r="I5850" s="9">
        <v>1584800</v>
      </c>
      <c r="J5850" s="10">
        <v>0.0398</v>
      </c>
    </row>
    <row r="5851" spans="1:10">
      <c r="A5851" s="7" t="s">
        <v>5885</v>
      </c>
      <c r="B5851" s="7" t="s">
        <v>7718</v>
      </c>
      <c r="C5851" s="8">
        <f>QS.CONTEXT.CREATE("market.5849",A5851,"USD","SOFR")</f>
        <v/>
      </c>
      <c r="D5851" s="8">
        <f>QS.CONTEXT.ADD.CURVE(C5851,"SOFR",$K$2:$K$7,$L$2:$L$7,,,"Actual360","LogLinear",TRUE)</f>
        <v/>
      </c>
      <c r="E5851" s="8">
        <f>QS.INSTRUMENT.SWAP("swap.5849",C5851,H5851,B5851,"USD","SOFR",I5851,J5851,0,"Actual360","Simple","Annual","Annual","Annual")</f>
        <v/>
      </c>
      <c r="F5851" s="8">
        <f>QS.TRADE.CREATE("trade.5849",C5851,E5851,A5851,"Receive")</f>
        <v/>
      </c>
      <c r="G5851" s="5"/>
      <c r="H5851" s="7" t="s">
        <v>5892</v>
      </c>
      <c r="I5851" s="9">
        <v>1584900</v>
      </c>
      <c r="J5851" s="10">
        <v>0.0399</v>
      </c>
    </row>
    <row r="5852" spans="1:10">
      <c r="A5852" s="7" t="s">
        <v>5886</v>
      </c>
      <c r="B5852" s="7" t="s">
        <v>7719</v>
      </c>
      <c r="C5852" s="8">
        <f>QS.CONTEXT.CREATE("market.5850",A5852,"USD","SOFR")</f>
        <v/>
      </c>
      <c r="D5852" s="8">
        <f>QS.CONTEXT.ADD.CURVE(C5852,"SOFR",$K$2:$K$7,$L$2:$L$7,,,"Actual360","LogLinear",TRUE)</f>
        <v/>
      </c>
      <c r="E5852" s="8">
        <f>QS.INSTRUMENT.SWAP("swap.5850",C5852,H5852,B5852,"USD","SOFR",I5852,J5852,0,"Actual360","Simple","Annual","Annual","Annual")</f>
        <v/>
      </c>
      <c r="F5852" s="8">
        <f>QS.TRADE.CREATE("trade.5850",C5852,E5852,A5852,"Receive")</f>
        <v/>
      </c>
      <c r="G5852" s="5"/>
      <c r="H5852" s="7" t="s">
        <v>5893</v>
      </c>
      <c r="I5852" s="9">
        <v>1585000</v>
      </c>
      <c r="J5852" s="10">
        <v>0.035</v>
      </c>
    </row>
    <row r="5853" spans="1:10">
      <c r="A5853" s="7" t="s">
        <v>5887</v>
      </c>
      <c r="B5853" s="7" t="s">
        <v>7720</v>
      </c>
      <c r="C5853" s="8">
        <f>QS.CONTEXT.CREATE("market.5851",A5853,"USD","SOFR")</f>
        <v/>
      </c>
      <c r="D5853" s="8">
        <f>QS.CONTEXT.ADD.CURVE(C5853,"SOFR",$K$2:$K$7,$L$2:$L$7,,,"Actual360","LogLinear",TRUE)</f>
        <v/>
      </c>
      <c r="E5853" s="8">
        <f>QS.INSTRUMENT.SWAP("swap.5851",C5853,H5853,B5853,"USD","SOFR",I5853,J5853,0,"Actual360","Simple","Annual","Annual","Annual")</f>
        <v/>
      </c>
      <c r="F5853" s="8">
        <f>QS.TRADE.CREATE("trade.5851",C5853,E5853,A5853,"Receive")</f>
        <v/>
      </c>
      <c r="G5853" s="5"/>
      <c r="H5853" s="7" t="s">
        <v>5894</v>
      </c>
      <c r="I5853" s="9">
        <v>1585100</v>
      </c>
      <c r="J5853" s="10">
        <v>0.03510000000000001</v>
      </c>
    </row>
    <row r="5854" spans="1:10">
      <c r="A5854" s="7" t="s">
        <v>5888</v>
      </c>
      <c r="B5854" s="7" t="s">
        <v>7721</v>
      </c>
      <c r="C5854" s="8">
        <f>QS.CONTEXT.CREATE("market.5852",A5854,"USD","SOFR")</f>
        <v/>
      </c>
      <c r="D5854" s="8">
        <f>QS.CONTEXT.ADD.CURVE(C5854,"SOFR",$K$2:$K$7,$L$2:$L$7,,,"Actual360","LogLinear",TRUE)</f>
        <v/>
      </c>
      <c r="E5854" s="8">
        <f>QS.INSTRUMENT.SWAP("swap.5852",C5854,H5854,B5854,"USD","SOFR",I5854,J5854,0,"Actual360","Simple","Annual","Annual","Annual")</f>
        <v/>
      </c>
      <c r="F5854" s="8">
        <f>QS.TRADE.CREATE("trade.5852",C5854,E5854,A5854,"Receive")</f>
        <v/>
      </c>
      <c r="G5854" s="5"/>
      <c r="H5854" s="7" t="s">
        <v>5895</v>
      </c>
      <c r="I5854" s="9">
        <v>1585200</v>
      </c>
      <c r="J5854" s="10">
        <v>0.0352</v>
      </c>
    </row>
    <row r="5855" spans="1:10">
      <c r="A5855" s="7" t="s">
        <v>5889</v>
      </c>
      <c r="B5855" s="7" t="s">
        <v>7722</v>
      </c>
      <c r="C5855" s="8">
        <f>QS.CONTEXT.CREATE("market.5853",A5855,"USD","SOFR")</f>
        <v/>
      </c>
      <c r="D5855" s="8">
        <f>QS.CONTEXT.ADD.CURVE(C5855,"SOFR",$K$2:$K$7,$L$2:$L$7,,,"Actual360","LogLinear",TRUE)</f>
        <v/>
      </c>
      <c r="E5855" s="8">
        <f>QS.INSTRUMENT.SWAP("swap.5853",C5855,H5855,B5855,"USD","SOFR",I5855,J5855,0,"Actual360","Simple","Annual","Annual","Annual")</f>
        <v/>
      </c>
      <c r="F5855" s="8">
        <f>QS.TRADE.CREATE("trade.5853",C5855,E5855,A5855,"Receive")</f>
        <v/>
      </c>
      <c r="G5855" s="5"/>
      <c r="H5855" s="7" t="s">
        <v>5896</v>
      </c>
      <c r="I5855" s="9">
        <v>1585300</v>
      </c>
      <c r="J5855" s="10">
        <v>0.0353</v>
      </c>
    </row>
    <row r="5856" spans="1:10">
      <c r="A5856" s="7" t="s">
        <v>5890</v>
      </c>
      <c r="B5856" s="7" t="s">
        <v>7723</v>
      </c>
      <c r="C5856" s="8">
        <f>QS.CONTEXT.CREATE("market.5854",A5856,"USD","SOFR")</f>
        <v/>
      </c>
      <c r="D5856" s="8">
        <f>QS.CONTEXT.ADD.CURVE(C5856,"SOFR",$K$2:$K$7,$L$2:$L$7,,,"Actual360","LogLinear",TRUE)</f>
        <v/>
      </c>
      <c r="E5856" s="8">
        <f>QS.INSTRUMENT.SWAP("swap.5854",C5856,H5856,B5856,"USD","SOFR",I5856,J5856,0,"Actual360","Simple","Annual","Annual","Annual")</f>
        <v/>
      </c>
      <c r="F5856" s="8">
        <f>QS.TRADE.CREATE("trade.5854",C5856,E5856,A5856,"Receive")</f>
        <v/>
      </c>
      <c r="G5856" s="5"/>
      <c r="H5856" s="7" t="s">
        <v>5897</v>
      </c>
      <c r="I5856" s="9">
        <v>1585400</v>
      </c>
      <c r="J5856" s="10">
        <v>0.0354</v>
      </c>
    </row>
    <row r="5857" spans="1:10">
      <c r="A5857" s="7" t="s">
        <v>5891</v>
      </c>
      <c r="B5857" s="7" t="s">
        <v>7724</v>
      </c>
      <c r="C5857" s="8">
        <f>QS.CONTEXT.CREATE("market.5855",A5857,"USD","SOFR")</f>
        <v/>
      </c>
      <c r="D5857" s="8">
        <f>QS.CONTEXT.ADD.CURVE(C5857,"SOFR",$K$2:$K$7,$L$2:$L$7,,,"Actual360","LogLinear",TRUE)</f>
        <v/>
      </c>
      <c r="E5857" s="8">
        <f>QS.INSTRUMENT.SWAP("swap.5855",C5857,H5857,B5857,"USD","SOFR",I5857,J5857,0,"Actual360","Simple","Annual","Annual","Annual")</f>
        <v/>
      </c>
      <c r="F5857" s="8">
        <f>QS.TRADE.CREATE("trade.5855",C5857,E5857,A5857,"Receive")</f>
        <v/>
      </c>
      <c r="G5857" s="5"/>
      <c r="H5857" s="7" t="s">
        <v>5898</v>
      </c>
      <c r="I5857" s="9">
        <v>1585500</v>
      </c>
      <c r="J5857" s="10">
        <v>0.0355</v>
      </c>
    </row>
    <row r="5858" spans="1:10">
      <c r="A5858" s="7" t="s">
        <v>5892</v>
      </c>
      <c r="B5858" s="7" t="s">
        <v>7725</v>
      </c>
      <c r="C5858" s="8">
        <f>QS.CONTEXT.CREATE("market.5856",A5858,"USD","SOFR")</f>
        <v/>
      </c>
      <c r="D5858" s="8">
        <f>QS.CONTEXT.ADD.CURVE(C5858,"SOFR",$K$2:$K$7,$L$2:$L$7,,,"Actual360","LogLinear",TRUE)</f>
        <v/>
      </c>
      <c r="E5858" s="8">
        <f>QS.INSTRUMENT.SWAP("swap.5856",C5858,H5858,B5858,"USD","SOFR",I5858,J5858,0,"Actual360","Simple","Annual","Annual","Annual")</f>
        <v/>
      </c>
      <c r="F5858" s="8">
        <f>QS.TRADE.CREATE("trade.5856",C5858,E5858,A5858,"Receive")</f>
        <v/>
      </c>
      <c r="G5858" s="5"/>
      <c r="H5858" s="7" t="s">
        <v>5899</v>
      </c>
      <c r="I5858" s="9">
        <v>1585600</v>
      </c>
      <c r="J5858" s="10">
        <v>0.03560000000000001</v>
      </c>
    </row>
    <row r="5859" spans="1:10">
      <c r="A5859" s="7" t="s">
        <v>5893</v>
      </c>
      <c r="B5859" s="7" t="s">
        <v>7726</v>
      </c>
      <c r="C5859" s="8">
        <f>QS.CONTEXT.CREATE("market.5857",A5859,"USD","SOFR")</f>
        <v/>
      </c>
      <c r="D5859" s="8">
        <f>QS.CONTEXT.ADD.CURVE(C5859,"SOFR",$K$2:$K$7,$L$2:$L$7,,,"Actual360","LogLinear",TRUE)</f>
        <v/>
      </c>
      <c r="E5859" s="8">
        <f>QS.INSTRUMENT.SWAP("swap.5857",C5859,H5859,B5859,"USD","SOFR",I5859,J5859,0,"Actual360","Simple","Annual","Annual","Annual")</f>
        <v/>
      </c>
      <c r="F5859" s="8">
        <f>QS.TRADE.CREATE("trade.5857",C5859,E5859,A5859,"Receive")</f>
        <v/>
      </c>
      <c r="G5859" s="5"/>
      <c r="H5859" s="7" t="s">
        <v>5900</v>
      </c>
      <c r="I5859" s="9">
        <v>1585700</v>
      </c>
      <c r="J5859" s="10">
        <v>0.0357</v>
      </c>
    </row>
    <row r="5860" spans="1:10">
      <c r="A5860" s="7" t="s">
        <v>5894</v>
      </c>
      <c r="B5860" s="7" t="s">
        <v>7727</v>
      </c>
      <c r="C5860" s="8">
        <f>QS.CONTEXT.CREATE("market.5858",A5860,"USD","SOFR")</f>
        <v/>
      </c>
      <c r="D5860" s="8">
        <f>QS.CONTEXT.ADD.CURVE(C5860,"SOFR",$K$2:$K$7,$L$2:$L$7,,,"Actual360","LogLinear",TRUE)</f>
        <v/>
      </c>
      <c r="E5860" s="8">
        <f>QS.INSTRUMENT.SWAP("swap.5858",C5860,H5860,B5860,"USD","SOFR",I5860,J5860,0,"Actual360","Simple","Annual","Annual","Annual")</f>
        <v/>
      </c>
      <c r="F5860" s="8">
        <f>QS.TRADE.CREATE("trade.5858",C5860,E5860,A5860,"Receive")</f>
        <v/>
      </c>
      <c r="G5860" s="5"/>
      <c r="H5860" s="7" t="s">
        <v>5901</v>
      </c>
      <c r="I5860" s="9">
        <v>1585800</v>
      </c>
      <c r="J5860" s="10">
        <v>0.03580000000000001</v>
      </c>
    </row>
    <row r="5861" spans="1:10">
      <c r="A5861" s="7" t="s">
        <v>5895</v>
      </c>
      <c r="B5861" s="7" t="s">
        <v>7728</v>
      </c>
      <c r="C5861" s="8">
        <f>QS.CONTEXT.CREATE("market.5859",A5861,"USD","SOFR")</f>
        <v/>
      </c>
      <c r="D5861" s="8">
        <f>QS.CONTEXT.ADD.CURVE(C5861,"SOFR",$K$2:$K$7,$L$2:$L$7,,,"Actual360","LogLinear",TRUE)</f>
        <v/>
      </c>
      <c r="E5861" s="8">
        <f>QS.INSTRUMENT.SWAP("swap.5859",C5861,H5861,B5861,"USD","SOFR",I5861,J5861,0,"Actual360","Simple","Annual","Annual","Annual")</f>
        <v/>
      </c>
      <c r="F5861" s="8">
        <f>QS.TRADE.CREATE("trade.5859",C5861,E5861,A5861,"Receive")</f>
        <v/>
      </c>
      <c r="G5861" s="5"/>
      <c r="H5861" s="7" t="s">
        <v>5902</v>
      </c>
      <c r="I5861" s="9">
        <v>1585900</v>
      </c>
      <c r="J5861" s="10">
        <v>0.0359</v>
      </c>
    </row>
    <row r="5862" spans="1:10">
      <c r="A5862" s="7" t="s">
        <v>5896</v>
      </c>
      <c r="B5862" s="7" t="s">
        <v>7729</v>
      </c>
      <c r="C5862" s="8">
        <f>QS.CONTEXT.CREATE("market.5860",A5862,"USD","SOFR")</f>
        <v/>
      </c>
      <c r="D5862" s="8">
        <f>QS.CONTEXT.ADD.CURVE(C5862,"SOFR",$K$2:$K$7,$L$2:$L$7,,,"Actual360","LogLinear",TRUE)</f>
        <v/>
      </c>
      <c r="E5862" s="8">
        <f>QS.INSTRUMENT.SWAP("swap.5860",C5862,H5862,B5862,"USD","SOFR",I5862,J5862,0,"Actual360","Simple","Annual","Annual","Annual")</f>
        <v/>
      </c>
      <c r="F5862" s="8">
        <f>QS.TRADE.CREATE("trade.5860",C5862,E5862,A5862,"Receive")</f>
        <v/>
      </c>
      <c r="G5862" s="5"/>
      <c r="H5862" s="7" t="s">
        <v>5903</v>
      </c>
      <c r="I5862" s="9">
        <v>1586000</v>
      </c>
      <c r="J5862" s="10">
        <v>0.036</v>
      </c>
    </row>
    <row r="5863" spans="1:10">
      <c r="A5863" s="7" t="s">
        <v>5897</v>
      </c>
      <c r="B5863" s="7" t="s">
        <v>7730</v>
      </c>
      <c r="C5863" s="8">
        <f>QS.CONTEXT.CREATE("market.5861",A5863,"USD","SOFR")</f>
        <v/>
      </c>
      <c r="D5863" s="8">
        <f>QS.CONTEXT.ADD.CURVE(C5863,"SOFR",$K$2:$K$7,$L$2:$L$7,,,"Actual360","LogLinear",TRUE)</f>
        <v/>
      </c>
      <c r="E5863" s="8">
        <f>QS.INSTRUMENT.SWAP("swap.5861",C5863,H5863,B5863,"USD","SOFR",I5863,J5863,0,"Actual360","Simple","Annual","Annual","Annual")</f>
        <v/>
      </c>
      <c r="F5863" s="8">
        <f>QS.TRADE.CREATE("trade.5861",C5863,E5863,A5863,"Receive")</f>
        <v/>
      </c>
      <c r="G5863" s="5"/>
      <c r="H5863" s="7" t="s">
        <v>5904</v>
      </c>
      <c r="I5863" s="9">
        <v>1586100</v>
      </c>
      <c r="J5863" s="10">
        <v>0.0361</v>
      </c>
    </row>
    <row r="5864" spans="1:10">
      <c r="A5864" s="7" t="s">
        <v>5898</v>
      </c>
      <c r="B5864" s="7" t="s">
        <v>7731</v>
      </c>
      <c r="C5864" s="8">
        <f>QS.CONTEXT.CREATE("market.5862",A5864,"USD","SOFR")</f>
        <v/>
      </c>
      <c r="D5864" s="8">
        <f>QS.CONTEXT.ADD.CURVE(C5864,"SOFR",$K$2:$K$7,$L$2:$L$7,,,"Actual360","LogLinear",TRUE)</f>
        <v/>
      </c>
      <c r="E5864" s="8">
        <f>QS.INSTRUMENT.SWAP("swap.5862",C5864,H5864,B5864,"USD","SOFR",I5864,J5864,0,"Actual360","Simple","Annual","Annual","Annual")</f>
        <v/>
      </c>
      <c r="F5864" s="8">
        <f>QS.TRADE.CREATE("trade.5862",C5864,E5864,A5864,"Receive")</f>
        <v/>
      </c>
      <c r="G5864" s="5"/>
      <c r="H5864" s="7" t="s">
        <v>5905</v>
      </c>
      <c r="I5864" s="9">
        <v>1586200</v>
      </c>
      <c r="J5864" s="10">
        <v>0.0362</v>
      </c>
    </row>
    <row r="5865" spans="1:10">
      <c r="A5865" s="7" t="s">
        <v>5899</v>
      </c>
      <c r="B5865" s="7" t="s">
        <v>7732</v>
      </c>
      <c r="C5865" s="8">
        <f>QS.CONTEXT.CREATE("market.5863",A5865,"USD","SOFR")</f>
        <v/>
      </c>
      <c r="D5865" s="8">
        <f>QS.CONTEXT.ADD.CURVE(C5865,"SOFR",$K$2:$K$7,$L$2:$L$7,,,"Actual360","LogLinear",TRUE)</f>
        <v/>
      </c>
      <c r="E5865" s="8">
        <f>QS.INSTRUMENT.SWAP("swap.5863",C5865,H5865,B5865,"USD","SOFR",I5865,J5865,0,"Actual360","Simple","Annual","Annual","Annual")</f>
        <v/>
      </c>
      <c r="F5865" s="8">
        <f>QS.TRADE.CREATE("trade.5863",C5865,E5865,A5865,"Receive")</f>
        <v/>
      </c>
      <c r="G5865" s="5"/>
      <c r="H5865" s="7" t="s">
        <v>5906</v>
      </c>
      <c r="I5865" s="9">
        <v>1586300</v>
      </c>
      <c r="J5865" s="10">
        <v>0.03630000000000001</v>
      </c>
    </row>
    <row r="5866" spans="1:10">
      <c r="A5866" s="7" t="s">
        <v>5900</v>
      </c>
      <c r="B5866" s="7" t="s">
        <v>7733</v>
      </c>
      <c r="C5866" s="8">
        <f>QS.CONTEXT.CREATE("market.5864",A5866,"USD","SOFR")</f>
        <v/>
      </c>
      <c r="D5866" s="8">
        <f>QS.CONTEXT.ADD.CURVE(C5866,"SOFR",$K$2:$K$7,$L$2:$L$7,,,"Actual360","LogLinear",TRUE)</f>
        <v/>
      </c>
      <c r="E5866" s="8">
        <f>QS.INSTRUMENT.SWAP("swap.5864",C5866,H5866,B5866,"USD","SOFR",I5866,J5866,0,"Actual360","Simple","Annual","Annual","Annual")</f>
        <v/>
      </c>
      <c r="F5866" s="8">
        <f>QS.TRADE.CREATE("trade.5864",C5866,E5866,A5866,"Receive")</f>
        <v/>
      </c>
      <c r="G5866" s="5"/>
      <c r="H5866" s="7" t="s">
        <v>5907</v>
      </c>
      <c r="I5866" s="9">
        <v>1586400</v>
      </c>
      <c r="J5866" s="10">
        <v>0.0364</v>
      </c>
    </row>
    <row r="5867" spans="1:10">
      <c r="A5867" s="7" t="s">
        <v>5901</v>
      </c>
      <c r="B5867" s="7" t="s">
        <v>7734</v>
      </c>
      <c r="C5867" s="8">
        <f>QS.CONTEXT.CREATE("market.5865",A5867,"USD","SOFR")</f>
        <v/>
      </c>
      <c r="D5867" s="8">
        <f>QS.CONTEXT.ADD.CURVE(C5867,"SOFR",$K$2:$K$7,$L$2:$L$7,,,"Actual360","LogLinear",TRUE)</f>
        <v/>
      </c>
      <c r="E5867" s="8">
        <f>QS.INSTRUMENT.SWAP("swap.5865",C5867,H5867,B5867,"USD","SOFR",I5867,J5867,0,"Actual360","Simple","Annual","Annual","Annual")</f>
        <v/>
      </c>
      <c r="F5867" s="8">
        <f>QS.TRADE.CREATE("trade.5865",C5867,E5867,A5867,"Receive")</f>
        <v/>
      </c>
      <c r="G5867" s="5"/>
      <c r="H5867" s="7" t="s">
        <v>5908</v>
      </c>
      <c r="I5867" s="9">
        <v>1586500</v>
      </c>
      <c r="J5867" s="10">
        <v>0.0365</v>
      </c>
    </row>
    <row r="5868" spans="1:10">
      <c r="A5868" s="7" t="s">
        <v>5902</v>
      </c>
      <c r="B5868" s="7" t="s">
        <v>7735</v>
      </c>
      <c r="C5868" s="8">
        <f>QS.CONTEXT.CREATE("market.5866",A5868,"USD","SOFR")</f>
        <v/>
      </c>
      <c r="D5868" s="8">
        <f>QS.CONTEXT.ADD.CURVE(C5868,"SOFR",$K$2:$K$7,$L$2:$L$7,,,"Actual360","LogLinear",TRUE)</f>
        <v/>
      </c>
      <c r="E5868" s="8">
        <f>QS.INSTRUMENT.SWAP("swap.5866",C5868,H5868,B5868,"USD","SOFR",I5868,J5868,0,"Actual360","Simple","Annual","Annual","Annual")</f>
        <v/>
      </c>
      <c r="F5868" s="8">
        <f>QS.TRADE.CREATE("trade.5866",C5868,E5868,A5868,"Receive")</f>
        <v/>
      </c>
      <c r="G5868" s="5"/>
      <c r="H5868" s="7" t="s">
        <v>5909</v>
      </c>
      <c r="I5868" s="9">
        <v>1586600</v>
      </c>
      <c r="J5868" s="10">
        <v>0.0366</v>
      </c>
    </row>
    <row r="5869" spans="1:10">
      <c r="A5869" s="7" t="s">
        <v>5903</v>
      </c>
      <c r="B5869" s="7" t="s">
        <v>7736</v>
      </c>
      <c r="C5869" s="8">
        <f>QS.CONTEXT.CREATE("market.5867",A5869,"USD","SOFR")</f>
        <v/>
      </c>
      <c r="D5869" s="8">
        <f>QS.CONTEXT.ADD.CURVE(C5869,"SOFR",$K$2:$K$7,$L$2:$L$7,,,"Actual360","LogLinear",TRUE)</f>
        <v/>
      </c>
      <c r="E5869" s="8">
        <f>QS.INSTRUMENT.SWAP("swap.5867",C5869,H5869,B5869,"USD","SOFR",I5869,J5869,0,"Actual360","Simple","Annual","Annual","Annual")</f>
        <v/>
      </c>
      <c r="F5869" s="8">
        <f>QS.TRADE.CREATE("trade.5867",C5869,E5869,A5869,"Receive")</f>
        <v/>
      </c>
      <c r="G5869" s="5"/>
      <c r="H5869" s="7" t="s">
        <v>5910</v>
      </c>
      <c r="I5869" s="9">
        <v>1586700</v>
      </c>
      <c r="J5869" s="10">
        <v>0.0367</v>
      </c>
    </row>
    <row r="5870" spans="1:10">
      <c r="A5870" s="7" t="s">
        <v>5904</v>
      </c>
      <c r="B5870" s="7" t="s">
        <v>7737</v>
      </c>
      <c r="C5870" s="8">
        <f>QS.CONTEXT.CREATE("market.5868",A5870,"USD","SOFR")</f>
        <v/>
      </c>
      <c r="D5870" s="8">
        <f>QS.CONTEXT.ADD.CURVE(C5870,"SOFR",$K$2:$K$7,$L$2:$L$7,,,"Actual360","LogLinear",TRUE)</f>
        <v/>
      </c>
      <c r="E5870" s="8">
        <f>QS.INSTRUMENT.SWAP("swap.5868",C5870,H5870,B5870,"USD","SOFR",I5870,J5870,0,"Actual360","Simple","Annual","Annual","Annual")</f>
        <v/>
      </c>
      <c r="F5870" s="8">
        <f>QS.TRADE.CREATE("trade.5868",C5870,E5870,A5870,"Receive")</f>
        <v/>
      </c>
      <c r="G5870" s="5"/>
      <c r="H5870" s="7" t="s">
        <v>5911</v>
      </c>
      <c r="I5870" s="9">
        <v>1586800</v>
      </c>
      <c r="J5870" s="10">
        <v>0.03680000000000001</v>
      </c>
    </row>
    <row r="5871" spans="1:10">
      <c r="A5871" s="7" t="s">
        <v>5905</v>
      </c>
      <c r="B5871" s="7" t="s">
        <v>7738</v>
      </c>
      <c r="C5871" s="8">
        <f>QS.CONTEXT.CREATE("market.5869",A5871,"USD","SOFR")</f>
        <v/>
      </c>
      <c r="D5871" s="8">
        <f>QS.CONTEXT.ADD.CURVE(C5871,"SOFR",$K$2:$K$7,$L$2:$L$7,,,"Actual360","LogLinear",TRUE)</f>
        <v/>
      </c>
      <c r="E5871" s="8">
        <f>QS.INSTRUMENT.SWAP("swap.5869",C5871,H5871,B5871,"USD","SOFR",I5871,J5871,0,"Actual360","Simple","Annual","Annual","Annual")</f>
        <v/>
      </c>
      <c r="F5871" s="8">
        <f>QS.TRADE.CREATE("trade.5869",C5871,E5871,A5871,"Receive")</f>
        <v/>
      </c>
      <c r="G5871" s="5"/>
      <c r="H5871" s="7" t="s">
        <v>5912</v>
      </c>
      <c r="I5871" s="9">
        <v>1586900</v>
      </c>
      <c r="J5871" s="10">
        <v>0.0369</v>
      </c>
    </row>
    <row r="5872" spans="1:10">
      <c r="A5872" s="7" t="s">
        <v>5906</v>
      </c>
      <c r="B5872" s="7" t="s">
        <v>7739</v>
      </c>
      <c r="C5872" s="8">
        <f>QS.CONTEXT.CREATE("market.5870",A5872,"USD","SOFR")</f>
        <v/>
      </c>
      <c r="D5872" s="8">
        <f>QS.CONTEXT.ADD.CURVE(C5872,"SOFR",$K$2:$K$7,$L$2:$L$7,,,"Actual360","LogLinear",TRUE)</f>
        <v/>
      </c>
      <c r="E5872" s="8">
        <f>QS.INSTRUMENT.SWAP("swap.5870",C5872,H5872,B5872,"USD","SOFR",I5872,J5872,0,"Actual360","Simple","Annual","Annual","Annual")</f>
        <v/>
      </c>
      <c r="F5872" s="8">
        <f>QS.TRADE.CREATE("trade.5870",C5872,E5872,A5872,"Receive")</f>
        <v/>
      </c>
      <c r="G5872" s="5"/>
      <c r="H5872" s="7" t="s">
        <v>5913</v>
      </c>
      <c r="I5872" s="9">
        <v>1587000</v>
      </c>
      <c r="J5872" s="10">
        <v>0.03700000000000001</v>
      </c>
    </row>
    <row r="5873" spans="1:10">
      <c r="A5873" s="7" t="s">
        <v>5907</v>
      </c>
      <c r="B5873" s="7" t="s">
        <v>7740</v>
      </c>
      <c r="C5873" s="8">
        <f>QS.CONTEXT.CREATE("market.5871",A5873,"USD","SOFR")</f>
        <v/>
      </c>
      <c r="D5873" s="8">
        <f>QS.CONTEXT.ADD.CURVE(C5873,"SOFR",$K$2:$K$7,$L$2:$L$7,,,"Actual360","LogLinear",TRUE)</f>
        <v/>
      </c>
      <c r="E5873" s="8">
        <f>QS.INSTRUMENT.SWAP("swap.5871",C5873,H5873,B5873,"USD","SOFR",I5873,J5873,0,"Actual360","Simple","Annual","Annual","Annual")</f>
        <v/>
      </c>
      <c r="F5873" s="8">
        <f>QS.TRADE.CREATE("trade.5871",C5873,E5873,A5873,"Receive")</f>
        <v/>
      </c>
      <c r="G5873" s="5"/>
      <c r="H5873" s="7" t="s">
        <v>5914</v>
      </c>
      <c r="I5873" s="9">
        <v>1587100</v>
      </c>
      <c r="J5873" s="10">
        <v>0.0371</v>
      </c>
    </row>
    <row r="5874" spans="1:10">
      <c r="A5874" s="7" t="s">
        <v>5908</v>
      </c>
      <c r="B5874" s="7" t="s">
        <v>7741</v>
      </c>
      <c r="C5874" s="8">
        <f>QS.CONTEXT.CREATE("market.5872",A5874,"USD","SOFR")</f>
        <v/>
      </c>
      <c r="D5874" s="8">
        <f>QS.CONTEXT.ADD.CURVE(C5874,"SOFR",$K$2:$K$7,$L$2:$L$7,,,"Actual360","LogLinear",TRUE)</f>
        <v/>
      </c>
      <c r="E5874" s="8">
        <f>QS.INSTRUMENT.SWAP("swap.5872",C5874,H5874,B5874,"USD","SOFR",I5874,J5874,0,"Actual360","Simple","Annual","Annual","Annual")</f>
        <v/>
      </c>
      <c r="F5874" s="8">
        <f>QS.TRADE.CREATE("trade.5872",C5874,E5874,A5874,"Receive")</f>
        <v/>
      </c>
      <c r="G5874" s="5"/>
      <c r="H5874" s="7" t="s">
        <v>5915</v>
      </c>
      <c r="I5874" s="9">
        <v>1587200</v>
      </c>
      <c r="J5874" s="10">
        <v>0.0372</v>
      </c>
    </row>
    <row r="5875" spans="1:10">
      <c r="A5875" s="7" t="s">
        <v>5909</v>
      </c>
      <c r="B5875" s="7" t="s">
        <v>7742</v>
      </c>
      <c r="C5875" s="8">
        <f>QS.CONTEXT.CREATE("market.5873",A5875,"USD","SOFR")</f>
        <v/>
      </c>
      <c r="D5875" s="8">
        <f>QS.CONTEXT.ADD.CURVE(C5875,"SOFR",$K$2:$K$7,$L$2:$L$7,,,"Actual360","LogLinear",TRUE)</f>
        <v/>
      </c>
      <c r="E5875" s="8">
        <f>QS.INSTRUMENT.SWAP("swap.5873",C5875,H5875,B5875,"USD","SOFR",I5875,J5875,0,"Actual360","Simple","Annual","Annual","Annual")</f>
        <v/>
      </c>
      <c r="F5875" s="8">
        <f>QS.TRADE.CREATE("trade.5873",C5875,E5875,A5875,"Receive")</f>
        <v/>
      </c>
      <c r="G5875" s="5"/>
      <c r="H5875" s="7" t="s">
        <v>5916</v>
      </c>
      <c r="I5875" s="9">
        <v>1587300</v>
      </c>
      <c r="J5875" s="10">
        <v>0.0373</v>
      </c>
    </row>
    <row r="5876" spans="1:10">
      <c r="A5876" s="7" t="s">
        <v>5910</v>
      </c>
      <c r="B5876" s="7" t="s">
        <v>7743</v>
      </c>
      <c r="C5876" s="8">
        <f>QS.CONTEXT.CREATE("market.5874",A5876,"USD","SOFR")</f>
        <v/>
      </c>
      <c r="D5876" s="8">
        <f>QS.CONTEXT.ADD.CURVE(C5876,"SOFR",$K$2:$K$7,$L$2:$L$7,,,"Actual360","LogLinear",TRUE)</f>
        <v/>
      </c>
      <c r="E5876" s="8">
        <f>QS.INSTRUMENT.SWAP("swap.5874",C5876,H5876,B5876,"USD","SOFR",I5876,J5876,0,"Actual360","Simple","Annual","Annual","Annual")</f>
        <v/>
      </c>
      <c r="F5876" s="8">
        <f>QS.TRADE.CREATE("trade.5874",C5876,E5876,A5876,"Receive")</f>
        <v/>
      </c>
      <c r="G5876" s="5"/>
      <c r="H5876" s="7" t="s">
        <v>5917</v>
      </c>
      <c r="I5876" s="9">
        <v>1587400</v>
      </c>
      <c r="J5876" s="10">
        <v>0.0374</v>
      </c>
    </row>
    <row r="5877" spans="1:10">
      <c r="A5877" s="7" t="s">
        <v>5911</v>
      </c>
      <c r="B5877" s="7" t="s">
        <v>7744</v>
      </c>
      <c r="C5877" s="8">
        <f>QS.CONTEXT.CREATE("market.5875",A5877,"USD","SOFR")</f>
        <v/>
      </c>
      <c r="D5877" s="8">
        <f>QS.CONTEXT.ADD.CURVE(C5877,"SOFR",$K$2:$K$7,$L$2:$L$7,,,"Actual360","LogLinear",TRUE)</f>
        <v/>
      </c>
      <c r="E5877" s="8">
        <f>QS.INSTRUMENT.SWAP("swap.5875",C5877,H5877,B5877,"USD","SOFR",I5877,J5877,0,"Actual360","Simple","Annual","Annual","Annual")</f>
        <v/>
      </c>
      <c r="F5877" s="8">
        <f>QS.TRADE.CREATE("trade.5875",C5877,E5877,A5877,"Receive")</f>
        <v/>
      </c>
      <c r="G5877" s="5"/>
      <c r="H5877" s="7" t="s">
        <v>5918</v>
      </c>
      <c r="I5877" s="9">
        <v>1587500</v>
      </c>
      <c r="J5877" s="10">
        <v>0.03750000000000001</v>
      </c>
    </row>
    <row r="5878" spans="1:10">
      <c r="A5878" s="7" t="s">
        <v>5912</v>
      </c>
      <c r="B5878" s="7" t="s">
        <v>7745</v>
      </c>
      <c r="C5878" s="8">
        <f>QS.CONTEXT.CREATE("market.5876",A5878,"USD","SOFR")</f>
        <v/>
      </c>
      <c r="D5878" s="8">
        <f>QS.CONTEXT.ADD.CURVE(C5878,"SOFR",$K$2:$K$7,$L$2:$L$7,,,"Actual360","LogLinear",TRUE)</f>
        <v/>
      </c>
      <c r="E5878" s="8">
        <f>QS.INSTRUMENT.SWAP("swap.5876",C5878,H5878,B5878,"USD","SOFR",I5878,J5878,0,"Actual360","Simple","Annual","Annual","Annual")</f>
        <v/>
      </c>
      <c r="F5878" s="8">
        <f>QS.TRADE.CREATE("trade.5876",C5878,E5878,A5878,"Receive")</f>
        <v/>
      </c>
      <c r="G5878" s="5"/>
      <c r="H5878" s="7" t="s">
        <v>5919</v>
      </c>
      <c r="I5878" s="9">
        <v>1587600</v>
      </c>
      <c r="J5878" s="10">
        <v>0.0376</v>
      </c>
    </row>
    <row r="5879" spans="1:10">
      <c r="A5879" s="7" t="s">
        <v>5913</v>
      </c>
      <c r="B5879" s="7" t="s">
        <v>7746</v>
      </c>
      <c r="C5879" s="8">
        <f>QS.CONTEXT.CREATE("market.5877",A5879,"USD","SOFR")</f>
        <v/>
      </c>
      <c r="D5879" s="8">
        <f>QS.CONTEXT.ADD.CURVE(C5879,"SOFR",$K$2:$K$7,$L$2:$L$7,,,"Actual360","LogLinear",TRUE)</f>
        <v/>
      </c>
      <c r="E5879" s="8">
        <f>QS.INSTRUMENT.SWAP("swap.5877",C5879,H5879,B5879,"USD","SOFR",I5879,J5879,0,"Actual360","Simple","Annual","Annual","Annual")</f>
        <v/>
      </c>
      <c r="F5879" s="8">
        <f>QS.TRADE.CREATE("trade.5877",C5879,E5879,A5879,"Receive")</f>
        <v/>
      </c>
      <c r="G5879" s="5"/>
      <c r="H5879" s="7" t="s">
        <v>5920</v>
      </c>
      <c r="I5879" s="9">
        <v>1587700</v>
      </c>
      <c r="J5879" s="10">
        <v>0.0377</v>
      </c>
    </row>
    <row r="5880" spans="1:10">
      <c r="A5880" s="7" t="s">
        <v>5914</v>
      </c>
      <c r="B5880" s="7" t="s">
        <v>7747</v>
      </c>
      <c r="C5880" s="8">
        <f>QS.CONTEXT.CREATE("market.5878",A5880,"USD","SOFR")</f>
        <v/>
      </c>
      <c r="D5880" s="8">
        <f>QS.CONTEXT.ADD.CURVE(C5880,"SOFR",$K$2:$K$7,$L$2:$L$7,,,"Actual360","LogLinear",TRUE)</f>
        <v/>
      </c>
      <c r="E5880" s="8">
        <f>QS.INSTRUMENT.SWAP("swap.5878",C5880,H5880,B5880,"USD","SOFR",I5880,J5880,0,"Actual360","Simple","Annual","Annual","Annual")</f>
        <v/>
      </c>
      <c r="F5880" s="8">
        <f>QS.TRADE.CREATE("trade.5878",C5880,E5880,A5880,"Receive")</f>
        <v/>
      </c>
      <c r="G5880" s="5"/>
      <c r="H5880" s="7" t="s">
        <v>5921</v>
      </c>
      <c r="I5880" s="9">
        <v>1587800</v>
      </c>
      <c r="J5880" s="10">
        <v>0.0378</v>
      </c>
    </row>
    <row r="5881" spans="1:10">
      <c r="A5881" s="7" t="s">
        <v>5915</v>
      </c>
      <c r="B5881" s="7" t="s">
        <v>7748</v>
      </c>
      <c r="C5881" s="8">
        <f>QS.CONTEXT.CREATE("market.5879",A5881,"USD","SOFR")</f>
        <v/>
      </c>
      <c r="D5881" s="8">
        <f>QS.CONTEXT.ADD.CURVE(C5881,"SOFR",$K$2:$K$7,$L$2:$L$7,,,"Actual360","LogLinear",TRUE)</f>
        <v/>
      </c>
      <c r="E5881" s="8">
        <f>QS.INSTRUMENT.SWAP("swap.5879",C5881,H5881,B5881,"USD","SOFR",I5881,J5881,0,"Actual360","Simple","Annual","Annual","Annual")</f>
        <v/>
      </c>
      <c r="F5881" s="8">
        <f>QS.TRADE.CREATE("trade.5879",C5881,E5881,A5881,"Receive")</f>
        <v/>
      </c>
      <c r="G5881" s="5"/>
      <c r="H5881" s="7" t="s">
        <v>5922</v>
      </c>
      <c r="I5881" s="9">
        <v>1587900</v>
      </c>
      <c r="J5881" s="10">
        <v>0.0379</v>
      </c>
    </row>
    <row r="5882" spans="1:10">
      <c r="A5882" s="7" t="s">
        <v>5916</v>
      </c>
      <c r="B5882" s="7" t="s">
        <v>7749</v>
      </c>
      <c r="C5882" s="8">
        <f>QS.CONTEXT.CREATE("market.5880",A5882,"USD","SOFR")</f>
        <v/>
      </c>
      <c r="D5882" s="8">
        <f>QS.CONTEXT.ADD.CURVE(C5882,"SOFR",$K$2:$K$7,$L$2:$L$7,,,"Actual360","LogLinear",TRUE)</f>
        <v/>
      </c>
      <c r="E5882" s="8">
        <f>QS.INSTRUMENT.SWAP("swap.5880",C5882,H5882,B5882,"USD","SOFR",I5882,J5882,0,"Actual360","Simple","Annual","Annual","Annual")</f>
        <v/>
      </c>
      <c r="F5882" s="8">
        <f>QS.TRADE.CREATE("trade.5880",C5882,E5882,A5882,"Receive")</f>
        <v/>
      </c>
      <c r="G5882" s="5"/>
      <c r="H5882" s="7" t="s">
        <v>5923</v>
      </c>
      <c r="I5882" s="9">
        <v>1588000</v>
      </c>
      <c r="J5882" s="10">
        <v>0.03800000000000001</v>
      </c>
    </row>
    <row r="5883" spans="1:10">
      <c r="A5883" s="7" t="s">
        <v>5917</v>
      </c>
      <c r="B5883" s="7" t="s">
        <v>7750</v>
      </c>
      <c r="C5883" s="8">
        <f>QS.CONTEXT.CREATE("market.5881",A5883,"USD","SOFR")</f>
        <v/>
      </c>
      <c r="D5883" s="8">
        <f>QS.CONTEXT.ADD.CURVE(C5883,"SOFR",$K$2:$K$7,$L$2:$L$7,,,"Actual360","LogLinear",TRUE)</f>
        <v/>
      </c>
      <c r="E5883" s="8">
        <f>QS.INSTRUMENT.SWAP("swap.5881",C5883,H5883,B5883,"USD","SOFR",I5883,J5883,0,"Actual360","Simple","Annual","Annual","Annual")</f>
        <v/>
      </c>
      <c r="F5883" s="8">
        <f>QS.TRADE.CREATE("trade.5881",C5883,E5883,A5883,"Receive")</f>
        <v/>
      </c>
      <c r="G5883" s="5"/>
      <c r="H5883" s="7" t="s">
        <v>5924</v>
      </c>
      <c r="I5883" s="9">
        <v>1588100</v>
      </c>
      <c r="J5883" s="10">
        <v>0.0381</v>
      </c>
    </row>
    <row r="5884" spans="1:10">
      <c r="A5884" s="7" t="s">
        <v>5918</v>
      </c>
      <c r="B5884" s="7" t="s">
        <v>7751</v>
      </c>
      <c r="C5884" s="8">
        <f>QS.CONTEXT.CREATE("market.5882",A5884,"USD","SOFR")</f>
        <v/>
      </c>
      <c r="D5884" s="8">
        <f>QS.CONTEXT.ADD.CURVE(C5884,"SOFR",$K$2:$K$7,$L$2:$L$7,,,"Actual360","LogLinear",TRUE)</f>
        <v/>
      </c>
      <c r="E5884" s="8">
        <f>QS.INSTRUMENT.SWAP("swap.5882",C5884,H5884,B5884,"USD","SOFR",I5884,J5884,0,"Actual360","Simple","Annual","Annual","Annual")</f>
        <v/>
      </c>
      <c r="F5884" s="8">
        <f>QS.TRADE.CREATE("trade.5882",C5884,E5884,A5884,"Receive")</f>
        <v/>
      </c>
      <c r="G5884" s="5"/>
      <c r="H5884" s="7" t="s">
        <v>5925</v>
      </c>
      <c r="I5884" s="9">
        <v>1588200</v>
      </c>
      <c r="J5884" s="10">
        <v>0.0382</v>
      </c>
    </row>
    <row r="5885" spans="1:10">
      <c r="A5885" s="7" t="s">
        <v>5919</v>
      </c>
      <c r="B5885" s="7" t="s">
        <v>7752</v>
      </c>
      <c r="C5885" s="8">
        <f>QS.CONTEXT.CREATE("market.5883",A5885,"USD","SOFR")</f>
        <v/>
      </c>
      <c r="D5885" s="8">
        <f>QS.CONTEXT.ADD.CURVE(C5885,"SOFR",$K$2:$K$7,$L$2:$L$7,,,"Actual360","LogLinear",TRUE)</f>
        <v/>
      </c>
      <c r="E5885" s="8">
        <f>QS.INSTRUMENT.SWAP("swap.5883",C5885,H5885,B5885,"USD","SOFR",I5885,J5885,0,"Actual360","Simple","Annual","Annual","Annual")</f>
        <v/>
      </c>
      <c r="F5885" s="8">
        <f>QS.TRADE.CREATE("trade.5883",C5885,E5885,A5885,"Receive")</f>
        <v/>
      </c>
      <c r="G5885" s="5"/>
      <c r="H5885" s="7" t="s">
        <v>5926</v>
      </c>
      <c r="I5885" s="9">
        <v>1588300</v>
      </c>
      <c r="J5885" s="10">
        <v>0.0383</v>
      </c>
    </row>
    <row r="5886" spans="1:10">
      <c r="A5886" s="7" t="s">
        <v>5920</v>
      </c>
      <c r="B5886" s="7" t="s">
        <v>7753</v>
      </c>
      <c r="C5886" s="8">
        <f>QS.CONTEXT.CREATE("market.5884",A5886,"USD","SOFR")</f>
        <v/>
      </c>
      <c r="D5886" s="8">
        <f>QS.CONTEXT.ADD.CURVE(C5886,"SOFR",$K$2:$K$7,$L$2:$L$7,,,"Actual360","LogLinear",TRUE)</f>
        <v/>
      </c>
      <c r="E5886" s="8">
        <f>QS.INSTRUMENT.SWAP("swap.5884",C5886,H5886,B5886,"USD","SOFR",I5886,J5886,0,"Actual360","Simple","Annual","Annual","Annual")</f>
        <v/>
      </c>
      <c r="F5886" s="8">
        <f>QS.TRADE.CREATE("trade.5884",C5886,E5886,A5886,"Receive")</f>
        <v/>
      </c>
      <c r="G5886" s="5"/>
      <c r="H5886" s="7" t="s">
        <v>5927</v>
      </c>
      <c r="I5886" s="9">
        <v>1588400</v>
      </c>
      <c r="J5886" s="10">
        <v>0.0384</v>
      </c>
    </row>
    <row r="5887" spans="1:10">
      <c r="A5887" s="7" t="s">
        <v>5921</v>
      </c>
      <c r="B5887" s="7" t="s">
        <v>7754</v>
      </c>
      <c r="C5887" s="8">
        <f>QS.CONTEXT.CREATE("market.5885",A5887,"USD","SOFR")</f>
        <v/>
      </c>
      <c r="D5887" s="8">
        <f>QS.CONTEXT.ADD.CURVE(C5887,"SOFR",$K$2:$K$7,$L$2:$L$7,,,"Actual360","LogLinear",TRUE)</f>
        <v/>
      </c>
      <c r="E5887" s="8">
        <f>QS.INSTRUMENT.SWAP("swap.5885",C5887,H5887,B5887,"USD","SOFR",I5887,J5887,0,"Actual360","Simple","Annual","Annual","Annual")</f>
        <v/>
      </c>
      <c r="F5887" s="8">
        <f>QS.TRADE.CREATE("trade.5885",C5887,E5887,A5887,"Receive")</f>
        <v/>
      </c>
      <c r="G5887" s="5"/>
      <c r="H5887" s="7" t="s">
        <v>5928</v>
      </c>
      <c r="I5887" s="9">
        <v>1588500</v>
      </c>
      <c r="J5887" s="10">
        <v>0.03850000000000001</v>
      </c>
    </row>
    <row r="5888" spans="1:10">
      <c r="A5888" s="7" t="s">
        <v>5922</v>
      </c>
      <c r="B5888" s="7" t="s">
        <v>7755</v>
      </c>
      <c r="C5888" s="8">
        <f>QS.CONTEXT.CREATE("market.5886",A5888,"USD","SOFR")</f>
        <v/>
      </c>
      <c r="D5888" s="8">
        <f>QS.CONTEXT.ADD.CURVE(C5888,"SOFR",$K$2:$K$7,$L$2:$L$7,,,"Actual360","LogLinear",TRUE)</f>
        <v/>
      </c>
      <c r="E5888" s="8">
        <f>QS.INSTRUMENT.SWAP("swap.5886",C5888,H5888,B5888,"USD","SOFR",I5888,J5888,0,"Actual360","Simple","Annual","Annual","Annual")</f>
        <v/>
      </c>
      <c r="F5888" s="8">
        <f>QS.TRADE.CREATE("trade.5886",C5888,E5888,A5888,"Receive")</f>
        <v/>
      </c>
      <c r="G5888" s="5"/>
      <c r="H5888" s="7" t="s">
        <v>5929</v>
      </c>
      <c r="I5888" s="9">
        <v>1588600</v>
      </c>
      <c r="J5888" s="10">
        <v>0.0386</v>
      </c>
    </row>
    <row r="5889" spans="1:10">
      <c r="A5889" s="7" t="s">
        <v>5923</v>
      </c>
      <c r="B5889" s="7" t="s">
        <v>7756</v>
      </c>
      <c r="C5889" s="8">
        <f>QS.CONTEXT.CREATE("market.5887",A5889,"USD","SOFR")</f>
        <v/>
      </c>
      <c r="D5889" s="8">
        <f>QS.CONTEXT.ADD.CURVE(C5889,"SOFR",$K$2:$K$7,$L$2:$L$7,,,"Actual360","LogLinear",TRUE)</f>
        <v/>
      </c>
      <c r="E5889" s="8">
        <f>QS.INSTRUMENT.SWAP("swap.5887",C5889,H5889,B5889,"USD","SOFR",I5889,J5889,0,"Actual360","Simple","Annual","Annual","Annual")</f>
        <v/>
      </c>
      <c r="F5889" s="8">
        <f>QS.TRADE.CREATE("trade.5887",C5889,E5889,A5889,"Receive")</f>
        <v/>
      </c>
      <c r="G5889" s="5"/>
      <c r="H5889" s="7" t="s">
        <v>5930</v>
      </c>
      <c r="I5889" s="9">
        <v>1588700</v>
      </c>
      <c r="J5889" s="10">
        <v>0.03870000000000001</v>
      </c>
    </row>
    <row r="5890" spans="1:10">
      <c r="A5890" s="7" t="s">
        <v>5924</v>
      </c>
      <c r="B5890" s="7" t="s">
        <v>7757</v>
      </c>
      <c r="C5890" s="8">
        <f>QS.CONTEXT.CREATE("market.5888",A5890,"USD","SOFR")</f>
        <v/>
      </c>
      <c r="D5890" s="8">
        <f>QS.CONTEXT.ADD.CURVE(C5890,"SOFR",$K$2:$K$7,$L$2:$L$7,,,"Actual360","LogLinear",TRUE)</f>
        <v/>
      </c>
      <c r="E5890" s="8">
        <f>QS.INSTRUMENT.SWAP("swap.5888",C5890,H5890,B5890,"USD","SOFR",I5890,J5890,0,"Actual360","Simple","Annual","Annual","Annual")</f>
        <v/>
      </c>
      <c r="F5890" s="8">
        <f>QS.TRADE.CREATE("trade.5888",C5890,E5890,A5890,"Receive")</f>
        <v/>
      </c>
      <c r="G5890" s="5"/>
      <c r="H5890" s="7" t="s">
        <v>5931</v>
      </c>
      <c r="I5890" s="9">
        <v>1588800</v>
      </c>
      <c r="J5890" s="10">
        <v>0.0388</v>
      </c>
    </row>
    <row r="5891" spans="1:10">
      <c r="A5891" s="7" t="s">
        <v>5925</v>
      </c>
      <c r="B5891" s="7" t="s">
        <v>7758</v>
      </c>
      <c r="C5891" s="8">
        <f>QS.CONTEXT.CREATE("market.5889",A5891,"USD","SOFR")</f>
        <v/>
      </c>
      <c r="D5891" s="8">
        <f>QS.CONTEXT.ADD.CURVE(C5891,"SOFR",$K$2:$K$7,$L$2:$L$7,,,"Actual360","LogLinear",TRUE)</f>
        <v/>
      </c>
      <c r="E5891" s="8">
        <f>QS.INSTRUMENT.SWAP("swap.5889",C5891,H5891,B5891,"USD","SOFR",I5891,J5891,0,"Actual360","Simple","Annual","Annual","Annual")</f>
        <v/>
      </c>
      <c r="F5891" s="8">
        <f>QS.TRADE.CREATE("trade.5889",C5891,E5891,A5891,"Receive")</f>
        <v/>
      </c>
      <c r="G5891" s="5"/>
      <c r="H5891" s="7" t="s">
        <v>5932</v>
      </c>
      <c r="I5891" s="9">
        <v>1588900</v>
      </c>
      <c r="J5891" s="10">
        <v>0.0389</v>
      </c>
    </row>
    <row r="5892" spans="1:10">
      <c r="A5892" s="7" t="s">
        <v>5926</v>
      </c>
      <c r="B5892" s="7" t="s">
        <v>7759</v>
      </c>
      <c r="C5892" s="8">
        <f>QS.CONTEXT.CREATE("market.5890",A5892,"USD","SOFR")</f>
        <v/>
      </c>
      <c r="D5892" s="8">
        <f>QS.CONTEXT.ADD.CURVE(C5892,"SOFR",$K$2:$K$7,$L$2:$L$7,,,"Actual360","LogLinear",TRUE)</f>
        <v/>
      </c>
      <c r="E5892" s="8">
        <f>QS.INSTRUMENT.SWAP("swap.5890",C5892,H5892,B5892,"USD","SOFR",I5892,J5892,0,"Actual360","Simple","Annual","Annual","Annual")</f>
        <v/>
      </c>
      <c r="F5892" s="8">
        <f>QS.TRADE.CREATE("trade.5890",C5892,E5892,A5892,"Receive")</f>
        <v/>
      </c>
      <c r="G5892" s="5"/>
      <c r="H5892" s="7" t="s">
        <v>5933</v>
      </c>
      <c r="I5892" s="9">
        <v>1589000</v>
      </c>
      <c r="J5892" s="10">
        <v>0.03900000000000001</v>
      </c>
    </row>
    <row r="5893" spans="1:10">
      <c r="A5893" s="7" t="s">
        <v>5927</v>
      </c>
      <c r="B5893" s="7" t="s">
        <v>7760</v>
      </c>
      <c r="C5893" s="8">
        <f>QS.CONTEXT.CREATE("market.5891",A5893,"USD","SOFR")</f>
        <v/>
      </c>
      <c r="D5893" s="8">
        <f>QS.CONTEXT.ADD.CURVE(C5893,"SOFR",$K$2:$K$7,$L$2:$L$7,,,"Actual360","LogLinear",TRUE)</f>
        <v/>
      </c>
      <c r="E5893" s="8">
        <f>QS.INSTRUMENT.SWAP("swap.5891",C5893,H5893,B5893,"USD","SOFR",I5893,J5893,0,"Actual360","Simple","Annual","Annual","Annual")</f>
        <v/>
      </c>
      <c r="F5893" s="8">
        <f>QS.TRADE.CREATE("trade.5891",C5893,E5893,A5893,"Receive")</f>
        <v/>
      </c>
      <c r="G5893" s="5"/>
      <c r="H5893" s="7" t="s">
        <v>5934</v>
      </c>
      <c r="I5893" s="9">
        <v>1589100</v>
      </c>
      <c r="J5893" s="10">
        <v>0.0391</v>
      </c>
    </row>
    <row r="5894" spans="1:10">
      <c r="A5894" s="7" t="s">
        <v>5928</v>
      </c>
      <c r="B5894" s="7" t="s">
        <v>7761</v>
      </c>
      <c r="C5894" s="8">
        <f>QS.CONTEXT.CREATE("market.5892",A5894,"USD","SOFR")</f>
        <v/>
      </c>
      <c r="D5894" s="8">
        <f>QS.CONTEXT.ADD.CURVE(C5894,"SOFR",$K$2:$K$7,$L$2:$L$7,,,"Actual360","LogLinear",TRUE)</f>
        <v/>
      </c>
      <c r="E5894" s="8">
        <f>QS.INSTRUMENT.SWAP("swap.5892",C5894,H5894,B5894,"USD","SOFR",I5894,J5894,0,"Actual360","Simple","Annual","Annual","Annual")</f>
        <v/>
      </c>
      <c r="F5894" s="8">
        <f>QS.TRADE.CREATE("trade.5892",C5894,E5894,A5894,"Receive")</f>
        <v/>
      </c>
      <c r="G5894" s="5"/>
      <c r="H5894" s="7" t="s">
        <v>5935</v>
      </c>
      <c r="I5894" s="9">
        <v>1589200</v>
      </c>
      <c r="J5894" s="10">
        <v>0.03920000000000001</v>
      </c>
    </row>
    <row r="5895" spans="1:10">
      <c r="A5895" s="7" t="s">
        <v>5929</v>
      </c>
      <c r="B5895" s="7" t="s">
        <v>7762</v>
      </c>
      <c r="C5895" s="8">
        <f>QS.CONTEXT.CREATE("market.5893",A5895,"USD","SOFR")</f>
        <v/>
      </c>
      <c r="D5895" s="8">
        <f>QS.CONTEXT.ADD.CURVE(C5895,"SOFR",$K$2:$K$7,$L$2:$L$7,,,"Actual360","LogLinear",TRUE)</f>
        <v/>
      </c>
      <c r="E5895" s="8">
        <f>QS.INSTRUMENT.SWAP("swap.5893",C5895,H5895,B5895,"USD","SOFR",I5895,J5895,0,"Actual360","Simple","Annual","Annual","Annual")</f>
        <v/>
      </c>
      <c r="F5895" s="8">
        <f>QS.TRADE.CREATE("trade.5893",C5895,E5895,A5895,"Receive")</f>
        <v/>
      </c>
      <c r="G5895" s="5"/>
      <c r="H5895" s="7" t="s">
        <v>5936</v>
      </c>
      <c r="I5895" s="9">
        <v>1589300</v>
      </c>
      <c r="J5895" s="10">
        <v>0.0393</v>
      </c>
    </row>
    <row r="5896" spans="1:10">
      <c r="A5896" s="7" t="s">
        <v>5930</v>
      </c>
      <c r="B5896" s="7" t="s">
        <v>7763</v>
      </c>
      <c r="C5896" s="8">
        <f>QS.CONTEXT.CREATE("market.5894",A5896,"USD","SOFR")</f>
        <v/>
      </c>
      <c r="D5896" s="8">
        <f>QS.CONTEXT.ADD.CURVE(C5896,"SOFR",$K$2:$K$7,$L$2:$L$7,,,"Actual360","LogLinear",TRUE)</f>
        <v/>
      </c>
      <c r="E5896" s="8">
        <f>QS.INSTRUMENT.SWAP("swap.5894",C5896,H5896,B5896,"USD","SOFR",I5896,J5896,0,"Actual360","Simple","Annual","Annual","Annual")</f>
        <v/>
      </c>
      <c r="F5896" s="8">
        <f>QS.TRADE.CREATE("trade.5894",C5896,E5896,A5896,"Receive")</f>
        <v/>
      </c>
      <c r="G5896" s="5"/>
      <c r="H5896" s="7" t="s">
        <v>5937</v>
      </c>
      <c r="I5896" s="9">
        <v>1589400</v>
      </c>
      <c r="J5896" s="10">
        <v>0.0394</v>
      </c>
    </row>
    <row r="5897" spans="1:10">
      <c r="A5897" s="7" t="s">
        <v>5931</v>
      </c>
      <c r="B5897" s="7" t="s">
        <v>7764</v>
      </c>
      <c r="C5897" s="8">
        <f>QS.CONTEXT.CREATE("market.5895",A5897,"USD","SOFR")</f>
        <v/>
      </c>
      <c r="D5897" s="8">
        <f>QS.CONTEXT.ADD.CURVE(C5897,"SOFR",$K$2:$K$7,$L$2:$L$7,,,"Actual360","LogLinear",TRUE)</f>
        <v/>
      </c>
      <c r="E5897" s="8">
        <f>QS.INSTRUMENT.SWAP("swap.5895",C5897,H5897,B5897,"USD","SOFR",I5897,J5897,0,"Actual360","Simple","Annual","Annual","Annual")</f>
        <v/>
      </c>
      <c r="F5897" s="8">
        <f>QS.TRADE.CREATE("trade.5895",C5897,E5897,A5897,"Receive")</f>
        <v/>
      </c>
      <c r="G5897" s="5"/>
      <c r="H5897" s="7" t="s">
        <v>5938</v>
      </c>
      <c r="I5897" s="9">
        <v>1589500</v>
      </c>
      <c r="J5897" s="10">
        <v>0.03950000000000001</v>
      </c>
    </row>
    <row r="5898" spans="1:10">
      <c r="A5898" s="7" t="s">
        <v>5932</v>
      </c>
      <c r="B5898" s="7" t="s">
        <v>7765</v>
      </c>
      <c r="C5898" s="8">
        <f>QS.CONTEXT.CREATE("market.5896",A5898,"USD","SOFR")</f>
        <v/>
      </c>
      <c r="D5898" s="8">
        <f>QS.CONTEXT.ADD.CURVE(C5898,"SOFR",$K$2:$K$7,$L$2:$L$7,,,"Actual360","LogLinear",TRUE)</f>
        <v/>
      </c>
      <c r="E5898" s="8">
        <f>QS.INSTRUMENT.SWAP("swap.5896",C5898,H5898,B5898,"USD","SOFR",I5898,J5898,0,"Actual360","Simple","Annual","Annual","Annual")</f>
        <v/>
      </c>
      <c r="F5898" s="8">
        <f>QS.TRADE.CREATE("trade.5896",C5898,E5898,A5898,"Receive")</f>
        <v/>
      </c>
      <c r="G5898" s="5"/>
      <c r="H5898" s="7" t="s">
        <v>5939</v>
      </c>
      <c r="I5898" s="9">
        <v>1589600</v>
      </c>
      <c r="J5898" s="10">
        <v>0.0396</v>
      </c>
    </row>
    <row r="5899" spans="1:10">
      <c r="A5899" s="7" t="s">
        <v>5933</v>
      </c>
      <c r="B5899" s="7" t="s">
        <v>7766</v>
      </c>
      <c r="C5899" s="8">
        <f>QS.CONTEXT.CREATE("market.5897",A5899,"USD","SOFR")</f>
        <v/>
      </c>
      <c r="D5899" s="8">
        <f>QS.CONTEXT.ADD.CURVE(C5899,"SOFR",$K$2:$K$7,$L$2:$L$7,,,"Actual360","LogLinear",TRUE)</f>
        <v/>
      </c>
      <c r="E5899" s="8">
        <f>QS.INSTRUMENT.SWAP("swap.5897",C5899,H5899,B5899,"USD","SOFR",I5899,J5899,0,"Actual360","Simple","Annual","Annual","Annual")</f>
        <v/>
      </c>
      <c r="F5899" s="8">
        <f>QS.TRADE.CREATE("trade.5897",C5899,E5899,A5899,"Receive")</f>
        <v/>
      </c>
      <c r="G5899" s="5"/>
      <c r="H5899" s="7" t="s">
        <v>5940</v>
      </c>
      <c r="I5899" s="9">
        <v>1589700</v>
      </c>
      <c r="J5899" s="10">
        <v>0.03970000000000001</v>
      </c>
    </row>
    <row r="5900" spans="1:10">
      <c r="A5900" s="7" t="s">
        <v>5934</v>
      </c>
      <c r="B5900" s="7" t="s">
        <v>7767</v>
      </c>
      <c r="C5900" s="8">
        <f>QS.CONTEXT.CREATE("market.5898",A5900,"USD","SOFR")</f>
        <v/>
      </c>
      <c r="D5900" s="8">
        <f>QS.CONTEXT.ADD.CURVE(C5900,"SOFR",$K$2:$K$7,$L$2:$L$7,,,"Actual360","LogLinear",TRUE)</f>
        <v/>
      </c>
      <c r="E5900" s="8">
        <f>QS.INSTRUMENT.SWAP("swap.5898",C5900,H5900,B5900,"USD","SOFR",I5900,J5900,0,"Actual360","Simple","Annual","Annual","Annual")</f>
        <v/>
      </c>
      <c r="F5900" s="8">
        <f>QS.TRADE.CREATE("trade.5898",C5900,E5900,A5900,"Receive")</f>
        <v/>
      </c>
      <c r="G5900" s="5"/>
      <c r="H5900" s="7" t="s">
        <v>5941</v>
      </c>
      <c r="I5900" s="9">
        <v>1589800</v>
      </c>
      <c r="J5900" s="10">
        <v>0.0398</v>
      </c>
    </row>
    <row r="5901" spans="1:10">
      <c r="A5901" s="7" t="s">
        <v>5935</v>
      </c>
      <c r="B5901" s="7" t="s">
        <v>7768</v>
      </c>
      <c r="C5901" s="8">
        <f>QS.CONTEXT.CREATE("market.5899",A5901,"USD","SOFR")</f>
        <v/>
      </c>
      <c r="D5901" s="8">
        <f>QS.CONTEXT.ADD.CURVE(C5901,"SOFR",$K$2:$K$7,$L$2:$L$7,,,"Actual360","LogLinear",TRUE)</f>
        <v/>
      </c>
      <c r="E5901" s="8">
        <f>QS.INSTRUMENT.SWAP("swap.5899",C5901,H5901,B5901,"USD","SOFR",I5901,J5901,0,"Actual360","Simple","Annual","Annual","Annual")</f>
        <v/>
      </c>
      <c r="F5901" s="8">
        <f>QS.TRADE.CREATE("trade.5899",C5901,E5901,A5901,"Receive")</f>
        <v/>
      </c>
      <c r="G5901" s="5"/>
      <c r="H5901" s="7" t="s">
        <v>5942</v>
      </c>
      <c r="I5901" s="9">
        <v>1589900</v>
      </c>
      <c r="J5901" s="10">
        <v>0.0399</v>
      </c>
    </row>
    <row r="5902" spans="1:10">
      <c r="A5902" s="7" t="s">
        <v>5936</v>
      </c>
      <c r="B5902" s="7" t="s">
        <v>7769</v>
      </c>
      <c r="C5902" s="8">
        <f>QS.CONTEXT.CREATE("market.5900",A5902,"USD","SOFR")</f>
        <v/>
      </c>
      <c r="D5902" s="8">
        <f>QS.CONTEXT.ADD.CURVE(C5902,"SOFR",$K$2:$K$7,$L$2:$L$7,,,"Actual360","LogLinear",TRUE)</f>
        <v/>
      </c>
      <c r="E5902" s="8">
        <f>QS.INSTRUMENT.SWAP("swap.5900",C5902,H5902,B5902,"USD","SOFR",I5902,J5902,0,"Actual360","Simple","Annual","Annual","Annual")</f>
        <v/>
      </c>
      <c r="F5902" s="8">
        <f>QS.TRADE.CREATE("trade.5900",C5902,E5902,A5902,"Receive")</f>
        <v/>
      </c>
      <c r="G5902" s="5"/>
      <c r="H5902" s="7" t="s">
        <v>5943</v>
      </c>
      <c r="I5902" s="9">
        <v>1590000</v>
      </c>
      <c r="J5902" s="10">
        <v>0.035</v>
      </c>
    </row>
    <row r="5903" spans="1:10">
      <c r="A5903" s="7" t="s">
        <v>5937</v>
      </c>
      <c r="B5903" s="7" t="s">
        <v>7770</v>
      </c>
      <c r="C5903" s="8">
        <f>QS.CONTEXT.CREATE("market.5901",A5903,"USD","SOFR")</f>
        <v/>
      </c>
      <c r="D5903" s="8">
        <f>QS.CONTEXT.ADD.CURVE(C5903,"SOFR",$K$2:$K$7,$L$2:$L$7,,,"Actual360","LogLinear",TRUE)</f>
        <v/>
      </c>
      <c r="E5903" s="8">
        <f>QS.INSTRUMENT.SWAP("swap.5901",C5903,H5903,B5903,"USD","SOFR",I5903,J5903,0,"Actual360","Simple","Annual","Annual","Annual")</f>
        <v/>
      </c>
      <c r="F5903" s="8">
        <f>QS.TRADE.CREATE("trade.5901",C5903,E5903,A5903,"Receive")</f>
        <v/>
      </c>
      <c r="G5903" s="5"/>
      <c r="H5903" s="7" t="s">
        <v>5944</v>
      </c>
      <c r="I5903" s="9">
        <v>1590100</v>
      </c>
      <c r="J5903" s="10">
        <v>0.03510000000000001</v>
      </c>
    </row>
    <row r="5904" spans="1:10">
      <c r="A5904" s="7" t="s">
        <v>5938</v>
      </c>
      <c r="B5904" s="7" t="s">
        <v>7771</v>
      </c>
      <c r="C5904" s="8">
        <f>QS.CONTEXT.CREATE("market.5902",A5904,"USD","SOFR")</f>
        <v/>
      </c>
      <c r="D5904" s="8">
        <f>QS.CONTEXT.ADD.CURVE(C5904,"SOFR",$K$2:$K$7,$L$2:$L$7,,,"Actual360","LogLinear",TRUE)</f>
        <v/>
      </c>
      <c r="E5904" s="8">
        <f>QS.INSTRUMENT.SWAP("swap.5902",C5904,H5904,B5904,"USD","SOFR",I5904,J5904,0,"Actual360","Simple","Annual","Annual","Annual")</f>
        <v/>
      </c>
      <c r="F5904" s="8">
        <f>QS.TRADE.CREATE("trade.5902",C5904,E5904,A5904,"Receive")</f>
        <v/>
      </c>
      <c r="G5904" s="5"/>
      <c r="H5904" s="7" t="s">
        <v>5945</v>
      </c>
      <c r="I5904" s="9">
        <v>1590200</v>
      </c>
      <c r="J5904" s="10">
        <v>0.0352</v>
      </c>
    </row>
    <row r="5905" spans="1:10">
      <c r="A5905" s="7" t="s">
        <v>5939</v>
      </c>
      <c r="B5905" s="7" t="s">
        <v>7772</v>
      </c>
      <c r="C5905" s="8">
        <f>QS.CONTEXT.CREATE("market.5903",A5905,"USD","SOFR")</f>
        <v/>
      </c>
      <c r="D5905" s="8">
        <f>QS.CONTEXT.ADD.CURVE(C5905,"SOFR",$K$2:$K$7,$L$2:$L$7,,,"Actual360","LogLinear",TRUE)</f>
        <v/>
      </c>
      <c r="E5905" s="8">
        <f>QS.INSTRUMENT.SWAP("swap.5903",C5905,H5905,B5905,"USD","SOFR",I5905,J5905,0,"Actual360","Simple","Annual","Annual","Annual")</f>
        <v/>
      </c>
      <c r="F5905" s="8">
        <f>QS.TRADE.CREATE("trade.5903",C5905,E5905,A5905,"Receive")</f>
        <v/>
      </c>
      <c r="G5905" s="5"/>
      <c r="H5905" s="7" t="s">
        <v>5946</v>
      </c>
      <c r="I5905" s="9">
        <v>1590300</v>
      </c>
      <c r="J5905" s="10">
        <v>0.0353</v>
      </c>
    </row>
    <row r="5906" spans="1:10">
      <c r="A5906" s="7" t="s">
        <v>5940</v>
      </c>
      <c r="B5906" s="7" t="s">
        <v>7773</v>
      </c>
      <c r="C5906" s="8">
        <f>QS.CONTEXT.CREATE("market.5904",A5906,"USD","SOFR")</f>
        <v/>
      </c>
      <c r="D5906" s="8">
        <f>QS.CONTEXT.ADD.CURVE(C5906,"SOFR",$K$2:$K$7,$L$2:$L$7,,,"Actual360","LogLinear",TRUE)</f>
        <v/>
      </c>
      <c r="E5906" s="8">
        <f>QS.INSTRUMENT.SWAP("swap.5904",C5906,H5906,B5906,"USD","SOFR",I5906,J5906,0,"Actual360","Simple","Annual","Annual","Annual")</f>
        <v/>
      </c>
      <c r="F5906" s="8">
        <f>QS.TRADE.CREATE("trade.5904",C5906,E5906,A5906,"Receive")</f>
        <v/>
      </c>
      <c r="G5906" s="5"/>
      <c r="H5906" s="7" t="s">
        <v>5947</v>
      </c>
      <c r="I5906" s="9">
        <v>1590400</v>
      </c>
      <c r="J5906" s="10">
        <v>0.0354</v>
      </c>
    </row>
    <row r="5907" spans="1:10">
      <c r="A5907" s="7" t="s">
        <v>5941</v>
      </c>
      <c r="B5907" s="7" t="s">
        <v>7774</v>
      </c>
      <c r="C5907" s="8">
        <f>QS.CONTEXT.CREATE("market.5905",A5907,"USD","SOFR")</f>
        <v/>
      </c>
      <c r="D5907" s="8">
        <f>QS.CONTEXT.ADD.CURVE(C5907,"SOFR",$K$2:$K$7,$L$2:$L$7,,,"Actual360","LogLinear",TRUE)</f>
        <v/>
      </c>
      <c r="E5907" s="8">
        <f>QS.INSTRUMENT.SWAP("swap.5905",C5907,H5907,B5907,"USD","SOFR",I5907,J5907,0,"Actual360","Simple","Annual","Annual","Annual")</f>
        <v/>
      </c>
      <c r="F5907" s="8">
        <f>QS.TRADE.CREATE("trade.5905",C5907,E5907,A5907,"Receive")</f>
        <v/>
      </c>
      <c r="G5907" s="5"/>
      <c r="H5907" s="7" t="s">
        <v>5948</v>
      </c>
      <c r="I5907" s="9">
        <v>1590500</v>
      </c>
      <c r="J5907" s="10">
        <v>0.0355</v>
      </c>
    </row>
    <row r="5908" spans="1:10">
      <c r="A5908" s="7" t="s">
        <v>5942</v>
      </c>
      <c r="B5908" s="7" t="s">
        <v>7775</v>
      </c>
      <c r="C5908" s="8">
        <f>QS.CONTEXT.CREATE("market.5906",A5908,"USD","SOFR")</f>
        <v/>
      </c>
      <c r="D5908" s="8">
        <f>QS.CONTEXT.ADD.CURVE(C5908,"SOFR",$K$2:$K$7,$L$2:$L$7,,,"Actual360","LogLinear",TRUE)</f>
        <v/>
      </c>
      <c r="E5908" s="8">
        <f>QS.INSTRUMENT.SWAP("swap.5906",C5908,H5908,B5908,"USD","SOFR",I5908,J5908,0,"Actual360","Simple","Annual","Annual","Annual")</f>
        <v/>
      </c>
      <c r="F5908" s="8">
        <f>QS.TRADE.CREATE("trade.5906",C5908,E5908,A5908,"Receive")</f>
        <v/>
      </c>
      <c r="G5908" s="5"/>
      <c r="H5908" s="7" t="s">
        <v>5949</v>
      </c>
      <c r="I5908" s="9">
        <v>1590600</v>
      </c>
      <c r="J5908" s="10">
        <v>0.03560000000000001</v>
      </c>
    </row>
    <row r="5909" spans="1:10">
      <c r="A5909" s="7" t="s">
        <v>5943</v>
      </c>
      <c r="B5909" s="7" t="s">
        <v>7776</v>
      </c>
      <c r="C5909" s="8">
        <f>QS.CONTEXT.CREATE("market.5907",A5909,"USD","SOFR")</f>
        <v/>
      </c>
      <c r="D5909" s="8">
        <f>QS.CONTEXT.ADD.CURVE(C5909,"SOFR",$K$2:$K$7,$L$2:$L$7,,,"Actual360","LogLinear",TRUE)</f>
        <v/>
      </c>
      <c r="E5909" s="8">
        <f>QS.INSTRUMENT.SWAP("swap.5907",C5909,H5909,B5909,"USD","SOFR",I5909,J5909,0,"Actual360","Simple","Annual","Annual","Annual")</f>
        <v/>
      </c>
      <c r="F5909" s="8">
        <f>QS.TRADE.CREATE("trade.5907",C5909,E5909,A5909,"Receive")</f>
        <v/>
      </c>
      <c r="G5909" s="5"/>
      <c r="H5909" s="7" t="s">
        <v>5950</v>
      </c>
      <c r="I5909" s="9">
        <v>1590700</v>
      </c>
      <c r="J5909" s="10">
        <v>0.0357</v>
      </c>
    </row>
    <row r="5910" spans="1:10">
      <c r="A5910" s="7" t="s">
        <v>5944</v>
      </c>
      <c r="B5910" s="7" t="s">
        <v>7777</v>
      </c>
      <c r="C5910" s="8">
        <f>QS.CONTEXT.CREATE("market.5908",A5910,"USD","SOFR")</f>
        <v/>
      </c>
      <c r="D5910" s="8">
        <f>QS.CONTEXT.ADD.CURVE(C5910,"SOFR",$K$2:$K$7,$L$2:$L$7,,,"Actual360","LogLinear",TRUE)</f>
        <v/>
      </c>
      <c r="E5910" s="8">
        <f>QS.INSTRUMENT.SWAP("swap.5908",C5910,H5910,B5910,"USD","SOFR",I5910,J5910,0,"Actual360","Simple","Annual","Annual","Annual")</f>
        <v/>
      </c>
      <c r="F5910" s="8">
        <f>QS.TRADE.CREATE("trade.5908",C5910,E5910,A5910,"Receive")</f>
        <v/>
      </c>
      <c r="G5910" s="5"/>
      <c r="H5910" s="7" t="s">
        <v>5951</v>
      </c>
      <c r="I5910" s="9">
        <v>1590800</v>
      </c>
      <c r="J5910" s="10">
        <v>0.03580000000000001</v>
      </c>
    </row>
    <row r="5911" spans="1:10">
      <c r="A5911" s="7" t="s">
        <v>5945</v>
      </c>
      <c r="B5911" s="7" t="s">
        <v>7778</v>
      </c>
      <c r="C5911" s="8">
        <f>QS.CONTEXT.CREATE("market.5909",A5911,"USD","SOFR")</f>
        <v/>
      </c>
      <c r="D5911" s="8">
        <f>QS.CONTEXT.ADD.CURVE(C5911,"SOFR",$K$2:$K$7,$L$2:$L$7,,,"Actual360","LogLinear",TRUE)</f>
        <v/>
      </c>
      <c r="E5911" s="8">
        <f>QS.INSTRUMENT.SWAP("swap.5909",C5911,H5911,B5911,"USD","SOFR",I5911,J5911,0,"Actual360","Simple","Annual","Annual","Annual")</f>
        <v/>
      </c>
      <c r="F5911" s="8">
        <f>QS.TRADE.CREATE("trade.5909",C5911,E5911,A5911,"Receive")</f>
        <v/>
      </c>
      <c r="G5911" s="5"/>
      <c r="H5911" s="7" t="s">
        <v>5952</v>
      </c>
      <c r="I5911" s="9">
        <v>1590900</v>
      </c>
      <c r="J5911" s="10">
        <v>0.0359</v>
      </c>
    </row>
    <row r="5912" spans="1:10">
      <c r="A5912" s="7" t="s">
        <v>5946</v>
      </c>
      <c r="B5912" s="7" t="s">
        <v>7779</v>
      </c>
      <c r="C5912" s="8">
        <f>QS.CONTEXT.CREATE("market.5910",A5912,"USD","SOFR")</f>
        <v/>
      </c>
      <c r="D5912" s="8">
        <f>QS.CONTEXT.ADD.CURVE(C5912,"SOFR",$K$2:$K$7,$L$2:$L$7,,,"Actual360","LogLinear",TRUE)</f>
        <v/>
      </c>
      <c r="E5912" s="8">
        <f>QS.INSTRUMENT.SWAP("swap.5910",C5912,H5912,B5912,"USD","SOFR",I5912,J5912,0,"Actual360","Simple","Annual","Annual","Annual")</f>
        <v/>
      </c>
      <c r="F5912" s="8">
        <f>QS.TRADE.CREATE("trade.5910",C5912,E5912,A5912,"Receive")</f>
        <v/>
      </c>
      <c r="G5912" s="5"/>
      <c r="H5912" s="7" t="s">
        <v>5953</v>
      </c>
      <c r="I5912" s="9">
        <v>1591000</v>
      </c>
      <c r="J5912" s="10">
        <v>0.036</v>
      </c>
    </row>
    <row r="5913" spans="1:10">
      <c r="A5913" s="7" t="s">
        <v>5947</v>
      </c>
      <c r="B5913" s="7" t="s">
        <v>7780</v>
      </c>
      <c r="C5913" s="8">
        <f>QS.CONTEXT.CREATE("market.5911",A5913,"USD","SOFR")</f>
        <v/>
      </c>
      <c r="D5913" s="8">
        <f>QS.CONTEXT.ADD.CURVE(C5913,"SOFR",$K$2:$K$7,$L$2:$L$7,,,"Actual360","LogLinear",TRUE)</f>
        <v/>
      </c>
      <c r="E5913" s="8">
        <f>QS.INSTRUMENT.SWAP("swap.5911",C5913,H5913,B5913,"USD","SOFR",I5913,J5913,0,"Actual360","Simple","Annual","Annual","Annual")</f>
        <v/>
      </c>
      <c r="F5913" s="8">
        <f>QS.TRADE.CREATE("trade.5911",C5913,E5913,A5913,"Receive")</f>
        <v/>
      </c>
      <c r="G5913" s="5"/>
      <c r="H5913" s="7" t="s">
        <v>5954</v>
      </c>
      <c r="I5913" s="9">
        <v>1591100</v>
      </c>
      <c r="J5913" s="10">
        <v>0.0361</v>
      </c>
    </row>
    <row r="5914" spans="1:10">
      <c r="A5914" s="7" t="s">
        <v>5948</v>
      </c>
      <c r="B5914" s="7" t="s">
        <v>7781</v>
      </c>
      <c r="C5914" s="8">
        <f>QS.CONTEXT.CREATE("market.5912",A5914,"USD","SOFR")</f>
        <v/>
      </c>
      <c r="D5914" s="8">
        <f>QS.CONTEXT.ADD.CURVE(C5914,"SOFR",$K$2:$K$7,$L$2:$L$7,,,"Actual360","LogLinear",TRUE)</f>
        <v/>
      </c>
      <c r="E5914" s="8">
        <f>QS.INSTRUMENT.SWAP("swap.5912",C5914,H5914,B5914,"USD","SOFR",I5914,J5914,0,"Actual360","Simple","Annual","Annual","Annual")</f>
        <v/>
      </c>
      <c r="F5914" s="8">
        <f>QS.TRADE.CREATE("trade.5912",C5914,E5914,A5914,"Receive")</f>
        <v/>
      </c>
      <c r="G5914" s="5"/>
      <c r="H5914" s="7" t="s">
        <v>5955</v>
      </c>
      <c r="I5914" s="9">
        <v>1591200</v>
      </c>
      <c r="J5914" s="10">
        <v>0.0362</v>
      </c>
    </row>
    <row r="5915" spans="1:10">
      <c r="A5915" s="7" t="s">
        <v>5949</v>
      </c>
      <c r="B5915" s="7" t="s">
        <v>7782</v>
      </c>
      <c r="C5915" s="8">
        <f>QS.CONTEXT.CREATE("market.5913",A5915,"USD","SOFR")</f>
        <v/>
      </c>
      <c r="D5915" s="8">
        <f>QS.CONTEXT.ADD.CURVE(C5915,"SOFR",$K$2:$K$7,$L$2:$L$7,,,"Actual360","LogLinear",TRUE)</f>
        <v/>
      </c>
      <c r="E5915" s="8">
        <f>QS.INSTRUMENT.SWAP("swap.5913",C5915,H5915,B5915,"USD","SOFR",I5915,J5915,0,"Actual360","Simple","Annual","Annual","Annual")</f>
        <v/>
      </c>
      <c r="F5915" s="8">
        <f>QS.TRADE.CREATE("trade.5913",C5915,E5915,A5915,"Receive")</f>
        <v/>
      </c>
      <c r="G5915" s="5"/>
      <c r="H5915" s="7" t="s">
        <v>5956</v>
      </c>
      <c r="I5915" s="9">
        <v>1591300</v>
      </c>
      <c r="J5915" s="10">
        <v>0.03630000000000001</v>
      </c>
    </row>
    <row r="5916" spans="1:10">
      <c r="A5916" s="7" t="s">
        <v>5950</v>
      </c>
      <c r="B5916" s="7" t="s">
        <v>7783</v>
      </c>
      <c r="C5916" s="8">
        <f>QS.CONTEXT.CREATE("market.5914",A5916,"USD","SOFR")</f>
        <v/>
      </c>
      <c r="D5916" s="8">
        <f>QS.CONTEXT.ADD.CURVE(C5916,"SOFR",$K$2:$K$7,$L$2:$L$7,,,"Actual360","LogLinear",TRUE)</f>
        <v/>
      </c>
      <c r="E5916" s="8">
        <f>QS.INSTRUMENT.SWAP("swap.5914",C5916,H5916,B5916,"USD","SOFR",I5916,J5916,0,"Actual360","Simple","Annual","Annual","Annual")</f>
        <v/>
      </c>
      <c r="F5916" s="8">
        <f>QS.TRADE.CREATE("trade.5914",C5916,E5916,A5916,"Receive")</f>
        <v/>
      </c>
      <c r="G5916" s="5"/>
      <c r="H5916" s="7" t="s">
        <v>5957</v>
      </c>
      <c r="I5916" s="9">
        <v>1591400</v>
      </c>
      <c r="J5916" s="10">
        <v>0.0364</v>
      </c>
    </row>
    <row r="5917" spans="1:10">
      <c r="A5917" s="7" t="s">
        <v>5951</v>
      </c>
      <c r="B5917" s="7" t="s">
        <v>7784</v>
      </c>
      <c r="C5917" s="8">
        <f>QS.CONTEXT.CREATE("market.5915",A5917,"USD","SOFR")</f>
        <v/>
      </c>
      <c r="D5917" s="8">
        <f>QS.CONTEXT.ADD.CURVE(C5917,"SOFR",$K$2:$K$7,$L$2:$L$7,,,"Actual360","LogLinear",TRUE)</f>
        <v/>
      </c>
      <c r="E5917" s="8">
        <f>QS.INSTRUMENT.SWAP("swap.5915",C5917,H5917,B5917,"USD","SOFR",I5917,J5917,0,"Actual360","Simple","Annual","Annual","Annual")</f>
        <v/>
      </c>
      <c r="F5917" s="8">
        <f>QS.TRADE.CREATE("trade.5915",C5917,E5917,A5917,"Receive")</f>
        <v/>
      </c>
      <c r="G5917" s="5"/>
      <c r="H5917" s="7" t="s">
        <v>5958</v>
      </c>
      <c r="I5917" s="9">
        <v>1591500</v>
      </c>
      <c r="J5917" s="10">
        <v>0.0365</v>
      </c>
    </row>
    <row r="5918" spans="1:10">
      <c r="A5918" s="7" t="s">
        <v>5952</v>
      </c>
      <c r="B5918" s="7" t="s">
        <v>7785</v>
      </c>
      <c r="C5918" s="8">
        <f>QS.CONTEXT.CREATE("market.5916",A5918,"USD","SOFR")</f>
        <v/>
      </c>
      <c r="D5918" s="8">
        <f>QS.CONTEXT.ADD.CURVE(C5918,"SOFR",$K$2:$K$7,$L$2:$L$7,,,"Actual360","LogLinear",TRUE)</f>
        <v/>
      </c>
      <c r="E5918" s="8">
        <f>QS.INSTRUMENT.SWAP("swap.5916",C5918,H5918,B5918,"USD","SOFR",I5918,J5918,0,"Actual360","Simple","Annual","Annual","Annual")</f>
        <v/>
      </c>
      <c r="F5918" s="8">
        <f>QS.TRADE.CREATE("trade.5916",C5918,E5918,A5918,"Receive")</f>
        <v/>
      </c>
      <c r="G5918" s="5"/>
      <c r="H5918" s="7" t="s">
        <v>5959</v>
      </c>
      <c r="I5918" s="9">
        <v>1591600</v>
      </c>
      <c r="J5918" s="10">
        <v>0.0366</v>
      </c>
    </row>
    <row r="5919" spans="1:10">
      <c r="A5919" s="7" t="s">
        <v>5953</v>
      </c>
      <c r="B5919" s="7" t="s">
        <v>7786</v>
      </c>
      <c r="C5919" s="8">
        <f>QS.CONTEXT.CREATE("market.5917",A5919,"USD","SOFR")</f>
        <v/>
      </c>
      <c r="D5919" s="8">
        <f>QS.CONTEXT.ADD.CURVE(C5919,"SOFR",$K$2:$K$7,$L$2:$L$7,,,"Actual360","LogLinear",TRUE)</f>
        <v/>
      </c>
      <c r="E5919" s="8">
        <f>QS.INSTRUMENT.SWAP("swap.5917",C5919,H5919,B5919,"USD","SOFR",I5919,J5919,0,"Actual360","Simple","Annual","Annual","Annual")</f>
        <v/>
      </c>
      <c r="F5919" s="8">
        <f>QS.TRADE.CREATE("trade.5917",C5919,E5919,A5919,"Receive")</f>
        <v/>
      </c>
      <c r="G5919" s="5"/>
      <c r="H5919" s="7" t="s">
        <v>5960</v>
      </c>
      <c r="I5919" s="9">
        <v>1591700</v>
      </c>
      <c r="J5919" s="10">
        <v>0.0367</v>
      </c>
    </row>
    <row r="5920" spans="1:10">
      <c r="A5920" s="7" t="s">
        <v>5954</v>
      </c>
      <c r="B5920" s="7" t="s">
        <v>7787</v>
      </c>
      <c r="C5920" s="8">
        <f>QS.CONTEXT.CREATE("market.5918",A5920,"USD","SOFR")</f>
        <v/>
      </c>
      <c r="D5920" s="8">
        <f>QS.CONTEXT.ADD.CURVE(C5920,"SOFR",$K$2:$K$7,$L$2:$L$7,,,"Actual360","LogLinear",TRUE)</f>
        <v/>
      </c>
      <c r="E5920" s="8">
        <f>QS.INSTRUMENT.SWAP("swap.5918",C5920,H5920,B5920,"USD","SOFR",I5920,J5920,0,"Actual360","Simple","Annual","Annual","Annual")</f>
        <v/>
      </c>
      <c r="F5920" s="8">
        <f>QS.TRADE.CREATE("trade.5918",C5920,E5920,A5920,"Receive")</f>
        <v/>
      </c>
      <c r="G5920" s="5"/>
      <c r="H5920" s="7" t="s">
        <v>5961</v>
      </c>
      <c r="I5920" s="9">
        <v>1591800</v>
      </c>
      <c r="J5920" s="10">
        <v>0.03680000000000001</v>
      </c>
    </row>
    <row r="5921" spans="1:10">
      <c r="A5921" s="7" t="s">
        <v>5955</v>
      </c>
      <c r="B5921" s="7" t="s">
        <v>7788</v>
      </c>
      <c r="C5921" s="8">
        <f>QS.CONTEXT.CREATE("market.5919",A5921,"USD","SOFR")</f>
        <v/>
      </c>
      <c r="D5921" s="8">
        <f>QS.CONTEXT.ADD.CURVE(C5921,"SOFR",$K$2:$K$7,$L$2:$L$7,,,"Actual360","LogLinear",TRUE)</f>
        <v/>
      </c>
      <c r="E5921" s="8">
        <f>QS.INSTRUMENT.SWAP("swap.5919",C5921,H5921,B5921,"USD","SOFR",I5921,J5921,0,"Actual360","Simple","Annual","Annual","Annual")</f>
        <v/>
      </c>
      <c r="F5921" s="8">
        <f>QS.TRADE.CREATE("trade.5919",C5921,E5921,A5921,"Receive")</f>
        <v/>
      </c>
      <c r="G5921" s="5"/>
      <c r="H5921" s="7" t="s">
        <v>5962</v>
      </c>
      <c r="I5921" s="9">
        <v>1591900</v>
      </c>
      <c r="J5921" s="10">
        <v>0.0369</v>
      </c>
    </row>
    <row r="5922" spans="1:10">
      <c r="A5922" s="7" t="s">
        <v>5956</v>
      </c>
      <c r="B5922" s="7" t="s">
        <v>7789</v>
      </c>
      <c r="C5922" s="8">
        <f>QS.CONTEXT.CREATE("market.5920",A5922,"USD","SOFR")</f>
        <v/>
      </c>
      <c r="D5922" s="8">
        <f>QS.CONTEXT.ADD.CURVE(C5922,"SOFR",$K$2:$K$7,$L$2:$L$7,,,"Actual360","LogLinear",TRUE)</f>
        <v/>
      </c>
      <c r="E5922" s="8">
        <f>QS.INSTRUMENT.SWAP("swap.5920",C5922,H5922,B5922,"USD","SOFR",I5922,J5922,0,"Actual360","Simple","Annual","Annual","Annual")</f>
        <v/>
      </c>
      <c r="F5922" s="8">
        <f>QS.TRADE.CREATE("trade.5920",C5922,E5922,A5922,"Receive")</f>
        <v/>
      </c>
      <c r="G5922" s="5"/>
      <c r="H5922" s="7" t="s">
        <v>5963</v>
      </c>
      <c r="I5922" s="9">
        <v>1592000</v>
      </c>
      <c r="J5922" s="10">
        <v>0.03700000000000001</v>
      </c>
    </row>
    <row r="5923" spans="1:10">
      <c r="A5923" s="7" t="s">
        <v>5957</v>
      </c>
      <c r="B5923" s="7" t="s">
        <v>7790</v>
      </c>
      <c r="C5923" s="8">
        <f>QS.CONTEXT.CREATE("market.5921",A5923,"USD","SOFR")</f>
        <v/>
      </c>
      <c r="D5923" s="8">
        <f>QS.CONTEXT.ADD.CURVE(C5923,"SOFR",$K$2:$K$7,$L$2:$L$7,,,"Actual360","LogLinear",TRUE)</f>
        <v/>
      </c>
      <c r="E5923" s="8">
        <f>QS.INSTRUMENT.SWAP("swap.5921",C5923,H5923,B5923,"USD","SOFR",I5923,J5923,0,"Actual360","Simple","Annual","Annual","Annual")</f>
        <v/>
      </c>
      <c r="F5923" s="8">
        <f>QS.TRADE.CREATE("trade.5921",C5923,E5923,A5923,"Receive")</f>
        <v/>
      </c>
      <c r="G5923" s="5"/>
      <c r="H5923" s="7" t="s">
        <v>5964</v>
      </c>
      <c r="I5923" s="9">
        <v>1592100</v>
      </c>
      <c r="J5923" s="10">
        <v>0.0371</v>
      </c>
    </row>
    <row r="5924" spans="1:10">
      <c r="A5924" s="7" t="s">
        <v>5958</v>
      </c>
      <c r="B5924" s="7" t="s">
        <v>7791</v>
      </c>
      <c r="C5924" s="8">
        <f>QS.CONTEXT.CREATE("market.5922",A5924,"USD","SOFR")</f>
        <v/>
      </c>
      <c r="D5924" s="8">
        <f>QS.CONTEXT.ADD.CURVE(C5924,"SOFR",$K$2:$K$7,$L$2:$L$7,,,"Actual360","LogLinear",TRUE)</f>
        <v/>
      </c>
      <c r="E5924" s="8">
        <f>QS.INSTRUMENT.SWAP("swap.5922",C5924,H5924,B5924,"USD","SOFR",I5924,J5924,0,"Actual360","Simple","Annual","Annual","Annual")</f>
        <v/>
      </c>
      <c r="F5924" s="8">
        <f>QS.TRADE.CREATE("trade.5922",C5924,E5924,A5924,"Receive")</f>
        <v/>
      </c>
      <c r="G5924" s="5"/>
      <c r="H5924" s="7" t="s">
        <v>5965</v>
      </c>
      <c r="I5924" s="9">
        <v>1592200</v>
      </c>
      <c r="J5924" s="10">
        <v>0.0372</v>
      </c>
    </row>
    <row r="5925" spans="1:10">
      <c r="A5925" s="7" t="s">
        <v>5959</v>
      </c>
      <c r="B5925" s="7" t="s">
        <v>7792</v>
      </c>
      <c r="C5925" s="8">
        <f>QS.CONTEXT.CREATE("market.5923",A5925,"USD","SOFR")</f>
        <v/>
      </c>
      <c r="D5925" s="8">
        <f>QS.CONTEXT.ADD.CURVE(C5925,"SOFR",$K$2:$K$7,$L$2:$L$7,,,"Actual360","LogLinear",TRUE)</f>
        <v/>
      </c>
      <c r="E5925" s="8">
        <f>QS.INSTRUMENT.SWAP("swap.5923",C5925,H5925,B5925,"USD","SOFR",I5925,J5925,0,"Actual360","Simple","Annual","Annual","Annual")</f>
        <v/>
      </c>
      <c r="F5925" s="8">
        <f>QS.TRADE.CREATE("trade.5923",C5925,E5925,A5925,"Receive")</f>
        <v/>
      </c>
      <c r="G5925" s="5"/>
      <c r="H5925" s="7" t="s">
        <v>5966</v>
      </c>
      <c r="I5925" s="9">
        <v>1592300</v>
      </c>
      <c r="J5925" s="10">
        <v>0.0373</v>
      </c>
    </row>
    <row r="5926" spans="1:10">
      <c r="A5926" s="7" t="s">
        <v>5960</v>
      </c>
      <c r="B5926" s="7" t="s">
        <v>7793</v>
      </c>
      <c r="C5926" s="8">
        <f>QS.CONTEXT.CREATE("market.5924",A5926,"USD","SOFR")</f>
        <v/>
      </c>
      <c r="D5926" s="8">
        <f>QS.CONTEXT.ADD.CURVE(C5926,"SOFR",$K$2:$K$7,$L$2:$L$7,,,"Actual360","LogLinear",TRUE)</f>
        <v/>
      </c>
      <c r="E5926" s="8">
        <f>QS.INSTRUMENT.SWAP("swap.5924",C5926,H5926,B5926,"USD","SOFR",I5926,J5926,0,"Actual360","Simple","Annual","Annual","Annual")</f>
        <v/>
      </c>
      <c r="F5926" s="8">
        <f>QS.TRADE.CREATE("trade.5924",C5926,E5926,A5926,"Receive")</f>
        <v/>
      </c>
      <c r="G5926" s="5"/>
      <c r="H5926" s="7" t="s">
        <v>5967</v>
      </c>
      <c r="I5926" s="9">
        <v>1592400</v>
      </c>
      <c r="J5926" s="10">
        <v>0.0374</v>
      </c>
    </row>
    <row r="5927" spans="1:10">
      <c r="A5927" s="7" t="s">
        <v>5961</v>
      </c>
      <c r="B5927" s="7" t="s">
        <v>7794</v>
      </c>
      <c r="C5927" s="8">
        <f>QS.CONTEXT.CREATE("market.5925",A5927,"USD","SOFR")</f>
        <v/>
      </c>
      <c r="D5927" s="8">
        <f>QS.CONTEXT.ADD.CURVE(C5927,"SOFR",$K$2:$K$7,$L$2:$L$7,,,"Actual360","LogLinear",TRUE)</f>
        <v/>
      </c>
      <c r="E5927" s="8">
        <f>QS.INSTRUMENT.SWAP("swap.5925",C5927,H5927,B5927,"USD","SOFR",I5927,J5927,0,"Actual360","Simple","Annual","Annual","Annual")</f>
        <v/>
      </c>
      <c r="F5927" s="8">
        <f>QS.TRADE.CREATE("trade.5925",C5927,E5927,A5927,"Receive")</f>
        <v/>
      </c>
      <c r="G5927" s="5"/>
      <c r="H5927" s="7" t="s">
        <v>5968</v>
      </c>
      <c r="I5927" s="9">
        <v>1592500</v>
      </c>
      <c r="J5927" s="10">
        <v>0.03750000000000001</v>
      </c>
    </row>
    <row r="5928" spans="1:10">
      <c r="A5928" s="7" t="s">
        <v>5962</v>
      </c>
      <c r="B5928" s="7" t="s">
        <v>7795</v>
      </c>
      <c r="C5928" s="8">
        <f>QS.CONTEXT.CREATE("market.5926",A5928,"USD","SOFR")</f>
        <v/>
      </c>
      <c r="D5928" s="8">
        <f>QS.CONTEXT.ADD.CURVE(C5928,"SOFR",$K$2:$K$7,$L$2:$L$7,,,"Actual360","LogLinear",TRUE)</f>
        <v/>
      </c>
      <c r="E5928" s="8">
        <f>QS.INSTRUMENT.SWAP("swap.5926",C5928,H5928,B5928,"USD","SOFR",I5928,J5928,0,"Actual360","Simple","Annual","Annual","Annual")</f>
        <v/>
      </c>
      <c r="F5928" s="8">
        <f>QS.TRADE.CREATE("trade.5926",C5928,E5928,A5928,"Receive")</f>
        <v/>
      </c>
      <c r="G5928" s="5"/>
      <c r="H5928" s="7" t="s">
        <v>5969</v>
      </c>
      <c r="I5928" s="9">
        <v>1592600</v>
      </c>
      <c r="J5928" s="10">
        <v>0.0376</v>
      </c>
    </row>
    <row r="5929" spans="1:10">
      <c r="A5929" s="7" t="s">
        <v>5963</v>
      </c>
      <c r="B5929" s="7" t="s">
        <v>7796</v>
      </c>
      <c r="C5929" s="8">
        <f>QS.CONTEXT.CREATE("market.5927",A5929,"USD","SOFR")</f>
        <v/>
      </c>
      <c r="D5929" s="8">
        <f>QS.CONTEXT.ADD.CURVE(C5929,"SOFR",$K$2:$K$7,$L$2:$L$7,,,"Actual360","LogLinear",TRUE)</f>
        <v/>
      </c>
      <c r="E5929" s="8">
        <f>QS.INSTRUMENT.SWAP("swap.5927",C5929,H5929,B5929,"USD","SOFR",I5929,J5929,0,"Actual360","Simple","Annual","Annual","Annual")</f>
        <v/>
      </c>
      <c r="F5929" s="8">
        <f>QS.TRADE.CREATE("trade.5927",C5929,E5929,A5929,"Receive")</f>
        <v/>
      </c>
      <c r="G5929" s="5"/>
      <c r="H5929" s="7" t="s">
        <v>5970</v>
      </c>
      <c r="I5929" s="9">
        <v>1592700</v>
      </c>
      <c r="J5929" s="10">
        <v>0.0377</v>
      </c>
    </row>
    <row r="5930" spans="1:10">
      <c r="A5930" s="7" t="s">
        <v>5964</v>
      </c>
      <c r="B5930" s="7" t="s">
        <v>7797</v>
      </c>
      <c r="C5930" s="8">
        <f>QS.CONTEXT.CREATE("market.5928",A5930,"USD","SOFR")</f>
        <v/>
      </c>
      <c r="D5930" s="8">
        <f>QS.CONTEXT.ADD.CURVE(C5930,"SOFR",$K$2:$K$7,$L$2:$L$7,,,"Actual360","LogLinear",TRUE)</f>
        <v/>
      </c>
      <c r="E5930" s="8">
        <f>QS.INSTRUMENT.SWAP("swap.5928",C5930,H5930,B5930,"USD","SOFR",I5930,J5930,0,"Actual360","Simple","Annual","Annual","Annual")</f>
        <v/>
      </c>
      <c r="F5930" s="8">
        <f>QS.TRADE.CREATE("trade.5928",C5930,E5930,A5930,"Receive")</f>
        <v/>
      </c>
      <c r="G5930" s="5"/>
      <c r="H5930" s="7" t="s">
        <v>5971</v>
      </c>
      <c r="I5930" s="9">
        <v>1592800</v>
      </c>
      <c r="J5930" s="10">
        <v>0.0378</v>
      </c>
    </row>
    <row r="5931" spans="1:10">
      <c r="A5931" s="7" t="s">
        <v>5965</v>
      </c>
      <c r="B5931" s="7" t="s">
        <v>7798</v>
      </c>
      <c r="C5931" s="8">
        <f>QS.CONTEXT.CREATE("market.5929",A5931,"USD","SOFR")</f>
        <v/>
      </c>
      <c r="D5931" s="8">
        <f>QS.CONTEXT.ADD.CURVE(C5931,"SOFR",$K$2:$K$7,$L$2:$L$7,,,"Actual360","LogLinear",TRUE)</f>
        <v/>
      </c>
      <c r="E5931" s="8">
        <f>QS.INSTRUMENT.SWAP("swap.5929",C5931,H5931,B5931,"USD","SOFR",I5931,J5931,0,"Actual360","Simple","Annual","Annual","Annual")</f>
        <v/>
      </c>
      <c r="F5931" s="8">
        <f>QS.TRADE.CREATE("trade.5929",C5931,E5931,A5931,"Receive")</f>
        <v/>
      </c>
      <c r="G5931" s="5"/>
      <c r="H5931" s="7" t="s">
        <v>5972</v>
      </c>
      <c r="I5931" s="9">
        <v>1592900</v>
      </c>
      <c r="J5931" s="10">
        <v>0.0379</v>
      </c>
    </row>
    <row r="5932" spans="1:10">
      <c r="A5932" s="7" t="s">
        <v>5966</v>
      </c>
      <c r="B5932" s="7" t="s">
        <v>7799</v>
      </c>
      <c r="C5932" s="8">
        <f>QS.CONTEXT.CREATE("market.5930",A5932,"USD","SOFR")</f>
        <v/>
      </c>
      <c r="D5932" s="8">
        <f>QS.CONTEXT.ADD.CURVE(C5932,"SOFR",$K$2:$K$7,$L$2:$L$7,,,"Actual360","LogLinear",TRUE)</f>
        <v/>
      </c>
      <c r="E5932" s="8">
        <f>QS.INSTRUMENT.SWAP("swap.5930",C5932,H5932,B5932,"USD","SOFR",I5932,J5932,0,"Actual360","Simple","Annual","Annual","Annual")</f>
        <v/>
      </c>
      <c r="F5932" s="8">
        <f>QS.TRADE.CREATE("trade.5930",C5932,E5932,A5932,"Receive")</f>
        <v/>
      </c>
      <c r="G5932" s="5"/>
      <c r="H5932" s="7" t="s">
        <v>5973</v>
      </c>
      <c r="I5932" s="9">
        <v>1593000</v>
      </c>
      <c r="J5932" s="10">
        <v>0.03800000000000001</v>
      </c>
    </row>
    <row r="5933" spans="1:10">
      <c r="A5933" s="7" t="s">
        <v>5967</v>
      </c>
      <c r="B5933" s="7" t="s">
        <v>7800</v>
      </c>
      <c r="C5933" s="8">
        <f>QS.CONTEXT.CREATE("market.5931",A5933,"USD","SOFR")</f>
        <v/>
      </c>
      <c r="D5933" s="8">
        <f>QS.CONTEXT.ADD.CURVE(C5933,"SOFR",$K$2:$K$7,$L$2:$L$7,,,"Actual360","LogLinear",TRUE)</f>
        <v/>
      </c>
      <c r="E5933" s="8">
        <f>QS.INSTRUMENT.SWAP("swap.5931",C5933,H5933,B5933,"USD","SOFR",I5933,J5933,0,"Actual360","Simple","Annual","Annual","Annual")</f>
        <v/>
      </c>
      <c r="F5933" s="8">
        <f>QS.TRADE.CREATE("trade.5931",C5933,E5933,A5933,"Receive")</f>
        <v/>
      </c>
      <c r="G5933" s="5"/>
      <c r="H5933" s="7" t="s">
        <v>5974</v>
      </c>
      <c r="I5933" s="9">
        <v>1593100</v>
      </c>
      <c r="J5933" s="10">
        <v>0.0381</v>
      </c>
    </row>
    <row r="5934" spans="1:10">
      <c r="A5934" s="7" t="s">
        <v>5968</v>
      </c>
      <c r="B5934" s="7" t="s">
        <v>7801</v>
      </c>
      <c r="C5934" s="8">
        <f>QS.CONTEXT.CREATE("market.5932",A5934,"USD","SOFR")</f>
        <v/>
      </c>
      <c r="D5934" s="8">
        <f>QS.CONTEXT.ADD.CURVE(C5934,"SOFR",$K$2:$K$7,$L$2:$L$7,,,"Actual360","LogLinear",TRUE)</f>
        <v/>
      </c>
      <c r="E5934" s="8">
        <f>QS.INSTRUMENT.SWAP("swap.5932",C5934,H5934,B5934,"USD","SOFR",I5934,J5934,0,"Actual360","Simple","Annual","Annual","Annual")</f>
        <v/>
      </c>
      <c r="F5934" s="8">
        <f>QS.TRADE.CREATE("trade.5932",C5934,E5934,A5934,"Receive")</f>
        <v/>
      </c>
      <c r="G5934" s="5"/>
      <c r="H5934" s="7" t="s">
        <v>5975</v>
      </c>
      <c r="I5934" s="9">
        <v>1593200</v>
      </c>
      <c r="J5934" s="10">
        <v>0.0382</v>
      </c>
    </row>
    <row r="5935" spans="1:10">
      <c r="A5935" s="7" t="s">
        <v>5969</v>
      </c>
      <c r="B5935" s="7" t="s">
        <v>7802</v>
      </c>
      <c r="C5935" s="8">
        <f>QS.CONTEXT.CREATE("market.5933",A5935,"USD","SOFR")</f>
        <v/>
      </c>
      <c r="D5935" s="8">
        <f>QS.CONTEXT.ADD.CURVE(C5935,"SOFR",$K$2:$K$7,$L$2:$L$7,,,"Actual360","LogLinear",TRUE)</f>
        <v/>
      </c>
      <c r="E5935" s="8">
        <f>QS.INSTRUMENT.SWAP("swap.5933",C5935,H5935,B5935,"USD","SOFR",I5935,J5935,0,"Actual360","Simple","Annual","Annual","Annual")</f>
        <v/>
      </c>
      <c r="F5935" s="8">
        <f>QS.TRADE.CREATE("trade.5933",C5935,E5935,A5935,"Receive")</f>
        <v/>
      </c>
      <c r="G5935" s="5"/>
      <c r="H5935" s="7" t="s">
        <v>5976</v>
      </c>
      <c r="I5935" s="9">
        <v>1593300</v>
      </c>
      <c r="J5935" s="10">
        <v>0.0383</v>
      </c>
    </row>
    <row r="5936" spans="1:10">
      <c r="A5936" s="7" t="s">
        <v>5970</v>
      </c>
      <c r="B5936" s="7" t="s">
        <v>7803</v>
      </c>
      <c r="C5936" s="8">
        <f>QS.CONTEXT.CREATE("market.5934",A5936,"USD","SOFR")</f>
        <v/>
      </c>
      <c r="D5936" s="8">
        <f>QS.CONTEXT.ADD.CURVE(C5936,"SOFR",$K$2:$K$7,$L$2:$L$7,,,"Actual360","LogLinear",TRUE)</f>
        <v/>
      </c>
      <c r="E5936" s="8">
        <f>QS.INSTRUMENT.SWAP("swap.5934",C5936,H5936,B5936,"USD","SOFR",I5936,J5936,0,"Actual360","Simple","Annual","Annual","Annual")</f>
        <v/>
      </c>
      <c r="F5936" s="8">
        <f>QS.TRADE.CREATE("trade.5934",C5936,E5936,A5936,"Receive")</f>
        <v/>
      </c>
      <c r="G5936" s="5"/>
      <c r="H5936" s="7" t="s">
        <v>5977</v>
      </c>
      <c r="I5936" s="9">
        <v>1593400</v>
      </c>
      <c r="J5936" s="10">
        <v>0.0384</v>
      </c>
    </row>
    <row r="5937" spans="1:10">
      <c r="A5937" s="7" t="s">
        <v>5971</v>
      </c>
      <c r="B5937" s="7" t="s">
        <v>7804</v>
      </c>
      <c r="C5937" s="8">
        <f>QS.CONTEXT.CREATE("market.5935",A5937,"USD","SOFR")</f>
        <v/>
      </c>
      <c r="D5937" s="8">
        <f>QS.CONTEXT.ADD.CURVE(C5937,"SOFR",$K$2:$K$7,$L$2:$L$7,,,"Actual360","LogLinear",TRUE)</f>
        <v/>
      </c>
      <c r="E5937" s="8">
        <f>QS.INSTRUMENT.SWAP("swap.5935",C5937,H5937,B5937,"USD","SOFR",I5937,J5937,0,"Actual360","Simple","Annual","Annual","Annual")</f>
        <v/>
      </c>
      <c r="F5937" s="8">
        <f>QS.TRADE.CREATE("trade.5935",C5937,E5937,A5937,"Receive")</f>
        <v/>
      </c>
      <c r="G5937" s="5"/>
      <c r="H5937" s="7" t="s">
        <v>5978</v>
      </c>
      <c r="I5937" s="9">
        <v>1593500</v>
      </c>
      <c r="J5937" s="10">
        <v>0.03850000000000001</v>
      </c>
    </row>
    <row r="5938" spans="1:10">
      <c r="A5938" s="7" t="s">
        <v>5972</v>
      </c>
      <c r="B5938" s="7" t="s">
        <v>7805</v>
      </c>
      <c r="C5938" s="8">
        <f>QS.CONTEXT.CREATE("market.5936",A5938,"USD","SOFR")</f>
        <v/>
      </c>
      <c r="D5938" s="8">
        <f>QS.CONTEXT.ADD.CURVE(C5938,"SOFR",$K$2:$K$7,$L$2:$L$7,,,"Actual360","LogLinear",TRUE)</f>
        <v/>
      </c>
      <c r="E5938" s="8">
        <f>QS.INSTRUMENT.SWAP("swap.5936",C5938,H5938,B5938,"USD","SOFR",I5938,J5938,0,"Actual360","Simple","Annual","Annual","Annual")</f>
        <v/>
      </c>
      <c r="F5938" s="8">
        <f>QS.TRADE.CREATE("trade.5936",C5938,E5938,A5938,"Receive")</f>
        <v/>
      </c>
      <c r="G5938" s="5"/>
      <c r="H5938" s="7" t="s">
        <v>5979</v>
      </c>
      <c r="I5938" s="9">
        <v>1593600</v>
      </c>
      <c r="J5938" s="10">
        <v>0.0386</v>
      </c>
    </row>
    <row r="5939" spans="1:10">
      <c r="A5939" s="7" t="s">
        <v>5973</v>
      </c>
      <c r="B5939" s="7" t="s">
        <v>7806</v>
      </c>
      <c r="C5939" s="8">
        <f>QS.CONTEXT.CREATE("market.5937",A5939,"USD","SOFR")</f>
        <v/>
      </c>
      <c r="D5939" s="8">
        <f>QS.CONTEXT.ADD.CURVE(C5939,"SOFR",$K$2:$K$7,$L$2:$L$7,,,"Actual360","LogLinear",TRUE)</f>
        <v/>
      </c>
      <c r="E5939" s="8">
        <f>QS.INSTRUMENT.SWAP("swap.5937",C5939,H5939,B5939,"USD","SOFR",I5939,J5939,0,"Actual360","Simple","Annual","Annual","Annual")</f>
        <v/>
      </c>
      <c r="F5939" s="8">
        <f>QS.TRADE.CREATE("trade.5937",C5939,E5939,A5939,"Receive")</f>
        <v/>
      </c>
      <c r="G5939" s="5"/>
      <c r="H5939" s="7" t="s">
        <v>5980</v>
      </c>
      <c r="I5939" s="9">
        <v>1593700</v>
      </c>
      <c r="J5939" s="10">
        <v>0.03870000000000001</v>
      </c>
    </row>
    <row r="5940" spans="1:10">
      <c r="A5940" s="7" t="s">
        <v>5974</v>
      </c>
      <c r="B5940" s="7" t="s">
        <v>7807</v>
      </c>
      <c r="C5940" s="8">
        <f>QS.CONTEXT.CREATE("market.5938",A5940,"USD","SOFR")</f>
        <v/>
      </c>
      <c r="D5940" s="8">
        <f>QS.CONTEXT.ADD.CURVE(C5940,"SOFR",$K$2:$K$7,$L$2:$L$7,,,"Actual360","LogLinear",TRUE)</f>
        <v/>
      </c>
      <c r="E5940" s="8">
        <f>QS.INSTRUMENT.SWAP("swap.5938",C5940,H5940,B5940,"USD","SOFR",I5940,J5940,0,"Actual360","Simple","Annual","Annual","Annual")</f>
        <v/>
      </c>
      <c r="F5940" s="8">
        <f>QS.TRADE.CREATE("trade.5938",C5940,E5940,A5940,"Receive")</f>
        <v/>
      </c>
      <c r="G5940" s="5"/>
      <c r="H5940" s="7" t="s">
        <v>5981</v>
      </c>
      <c r="I5940" s="9">
        <v>1593800</v>
      </c>
      <c r="J5940" s="10">
        <v>0.0388</v>
      </c>
    </row>
    <row r="5941" spans="1:10">
      <c r="A5941" s="7" t="s">
        <v>5975</v>
      </c>
      <c r="B5941" s="7" t="s">
        <v>7808</v>
      </c>
      <c r="C5941" s="8">
        <f>QS.CONTEXT.CREATE("market.5939",A5941,"USD","SOFR")</f>
        <v/>
      </c>
      <c r="D5941" s="8">
        <f>QS.CONTEXT.ADD.CURVE(C5941,"SOFR",$K$2:$K$7,$L$2:$L$7,,,"Actual360","LogLinear",TRUE)</f>
        <v/>
      </c>
      <c r="E5941" s="8">
        <f>QS.INSTRUMENT.SWAP("swap.5939",C5941,H5941,B5941,"USD","SOFR",I5941,J5941,0,"Actual360","Simple","Annual","Annual","Annual")</f>
        <v/>
      </c>
      <c r="F5941" s="8">
        <f>QS.TRADE.CREATE("trade.5939",C5941,E5941,A5941,"Receive")</f>
        <v/>
      </c>
      <c r="G5941" s="5"/>
      <c r="H5941" s="7" t="s">
        <v>5982</v>
      </c>
      <c r="I5941" s="9">
        <v>1593900</v>
      </c>
      <c r="J5941" s="10">
        <v>0.0389</v>
      </c>
    </row>
    <row r="5942" spans="1:10">
      <c r="A5942" s="7" t="s">
        <v>5976</v>
      </c>
      <c r="B5942" s="7" t="s">
        <v>7809</v>
      </c>
      <c r="C5942" s="8">
        <f>QS.CONTEXT.CREATE("market.5940",A5942,"USD","SOFR")</f>
        <v/>
      </c>
      <c r="D5942" s="8">
        <f>QS.CONTEXT.ADD.CURVE(C5942,"SOFR",$K$2:$K$7,$L$2:$L$7,,,"Actual360","LogLinear",TRUE)</f>
        <v/>
      </c>
      <c r="E5942" s="8">
        <f>QS.INSTRUMENT.SWAP("swap.5940",C5942,H5942,B5942,"USD","SOFR",I5942,J5942,0,"Actual360","Simple","Annual","Annual","Annual")</f>
        <v/>
      </c>
      <c r="F5942" s="8">
        <f>QS.TRADE.CREATE("trade.5940",C5942,E5942,A5942,"Receive")</f>
        <v/>
      </c>
      <c r="G5942" s="5"/>
      <c r="H5942" s="7" t="s">
        <v>5983</v>
      </c>
      <c r="I5942" s="9">
        <v>1594000</v>
      </c>
      <c r="J5942" s="10">
        <v>0.03900000000000001</v>
      </c>
    </row>
    <row r="5943" spans="1:10">
      <c r="A5943" s="7" t="s">
        <v>5977</v>
      </c>
      <c r="B5943" s="7" t="s">
        <v>7810</v>
      </c>
      <c r="C5943" s="8">
        <f>QS.CONTEXT.CREATE("market.5941",A5943,"USD","SOFR")</f>
        <v/>
      </c>
      <c r="D5943" s="8">
        <f>QS.CONTEXT.ADD.CURVE(C5943,"SOFR",$K$2:$K$7,$L$2:$L$7,,,"Actual360","LogLinear",TRUE)</f>
        <v/>
      </c>
      <c r="E5943" s="8">
        <f>QS.INSTRUMENT.SWAP("swap.5941",C5943,H5943,B5943,"USD","SOFR",I5943,J5943,0,"Actual360","Simple","Annual","Annual","Annual")</f>
        <v/>
      </c>
      <c r="F5943" s="8">
        <f>QS.TRADE.CREATE("trade.5941",C5943,E5943,A5943,"Receive")</f>
        <v/>
      </c>
      <c r="G5943" s="5"/>
      <c r="H5943" s="7" t="s">
        <v>5984</v>
      </c>
      <c r="I5943" s="9">
        <v>1594100</v>
      </c>
      <c r="J5943" s="10">
        <v>0.0391</v>
      </c>
    </row>
    <row r="5944" spans="1:10">
      <c r="A5944" s="7" t="s">
        <v>5978</v>
      </c>
      <c r="B5944" s="7" t="s">
        <v>7811</v>
      </c>
      <c r="C5944" s="8">
        <f>QS.CONTEXT.CREATE("market.5942",A5944,"USD","SOFR")</f>
        <v/>
      </c>
      <c r="D5944" s="8">
        <f>QS.CONTEXT.ADD.CURVE(C5944,"SOFR",$K$2:$K$7,$L$2:$L$7,,,"Actual360","LogLinear",TRUE)</f>
        <v/>
      </c>
      <c r="E5944" s="8">
        <f>QS.INSTRUMENT.SWAP("swap.5942",C5944,H5944,B5944,"USD","SOFR",I5944,J5944,0,"Actual360","Simple","Annual","Annual","Annual")</f>
        <v/>
      </c>
      <c r="F5944" s="8">
        <f>QS.TRADE.CREATE("trade.5942",C5944,E5944,A5944,"Receive")</f>
        <v/>
      </c>
      <c r="G5944" s="5"/>
      <c r="H5944" s="7" t="s">
        <v>5985</v>
      </c>
      <c r="I5944" s="9">
        <v>1594200</v>
      </c>
      <c r="J5944" s="10">
        <v>0.03920000000000001</v>
      </c>
    </row>
    <row r="5945" spans="1:10">
      <c r="A5945" s="7" t="s">
        <v>5979</v>
      </c>
      <c r="B5945" s="7" t="s">
        <v>7812</v>
      </c>
      <c r="C5945" s="8">
        <f>QS.CONTEXT.CREATE("market.5943",A5945,"USD","SOFR")</f>
        <v/>
      </c>
      <c r="D5945" s="8">
        <f>QS.CONTEXT.ADD.CURVE(C5945,"SOFR",$K$2:$K$7,$L$2:$L$7,,,"Actual360","LogLinear",TRUE)</f>
        <v/>
      </c>
      <c r="E5945" s="8">
        <f>QS.INSTRUMENT.SWAP("swap.5943",C5945,H5945,B5945,"USD","SOFR",I5945,J5945,0,"Actual360","Simple","Annual","Annual","Annual")</f>
        <v/>
      </c>
      <c r="F5945" s="8">
        <f>QS.TRADE.CREATE("trade.5943",C5945,E5945,A5945,"Receive")</f>
        <v/>
      </c>
      <c r="G5945" s="5"/>
      <c r="H5945" s="7" t="s">
        <v>5986</v>
      </c>
      <c r="I5945" s="9">
        <v>1594300</v>
      </c>
      <c r="J5945" s="10">
        <v>0.0393</v>
      </c>
    </row>
    <row r="5946" spans="1:10">
      <c r="A5946" s="7" t="s">
        <v>5980</v>
      </c>
      <c r="B5946" s="7" t="s">
        <v>7813</v>
      </c>
      <c r="C5946" s="8">
        <f>QS.CONTEXT.CREATE("market.5944",A5946,"USD","SOFR")</f>
        <v/>
      </c>
      <c r="D5946" s="8">
        <f>QS.CONTEXT.ADD.CURVE(C5946,"SOFR",$K$2:$K$7,$L$2:$L$7,,,"Actual360","LogLinear",TRUE)</f>
        <v/>
      </c>
      <c r="E5946" s="8">
        <f>QS.INSTRUMENT.SWAP("swap.5944",C5946,H5946,B5946,"USD","SOFR",I5946,J5946,0,"Actual360","Simple","Annual","Annual","Annual")</f>
        <v/>
      </c>
      <c r="F5946" s="8">
        <f>QS.TRADE.CREATE("trade.5944",C5946,E5946,A5946,"Receive")</f>
        <v/>
      </c>
      <c r="G5946" s="5"/>
      <c r="H5946" s="7" t="s">
        <v>5987</v>
      </c>
      <c r="I5946" s="9">
        <v>1594400</v>
      </c>
      <c r="J5946" s="10">
        <v>0.0394</v>
      </c>
    </row>
    <row r="5947" spans="1:10">
      <c r="A5947" s="7" t="s">
        <v>5981</v>
      </c>
      <c r="B5947" s="7" t="s">
        <v>7814</v>
      </c>
      <c r="C5947" s="8">
        <f>QS.CONTEXT.CREATE("market.5945",A5947,"USD","SOFR")</f>
        <v/>
      </c>
      <c r="D5947" s="8">
        <f>QS.CONTEXT.ADD.CURVE(C5947,"SOFR",$K$2:$K$7,$L$2:$L$7,,,"Actual360","LogLinear",TRUE)</f>
        <v/>
      </c>
      <c r="E5947" s="8">
        <f>QS.INSTRUMENT.SWAP("swap.5945",C5947,H5947,B5947,"USD","SOFR",I5947,J5947,0,"Actual360","Simple","Annual","Annual","Annual")</f>
        <v/>
      </c>
      <c r="F5947" s="8">
        <f>QS.TRADE.CREATE("trade.5945",C5947,E5947,A5947,"Receive")</f>
        <v/>
      </c>
      <c r="G5947" s="5"/>
      <c r="H5947" s="7" t="s">
        <v>5988</v>
      </c>
      <c r="I5947" s="9">
        <v>1594500</v>
      </c>
      <c r="J5947" s="10">
        <v>0.03950000000000001</v>
      </c>
    </row>
    <row r="5948" spans="1:10">
      <c r="A5948" s="7" t="s">
        <v>5982</v>
      </c>
      <c r="B5948" s="7" t="s">
        <v>7815</v>
      </c>
      <c r="C5948" s="8">
        <f>QS.CONTEXT.CREATE("market.5946",A5948,"USD","SOFR")</f>
        <v/>
      </c>
      <c r="D5948" s="8">
        <f>QS.CONTEXT.ADD.CURVE(C5948,"SOFR",$K$2:$K$7,$L$2:$L$7,,,"Actual360","LogLinear",TRUE)</f>
        <v/>
      </c>
      <c r="E5948" s="8">
        <f>QS.INSTRUMENT.SWAP("swap.5946",C5948,H5948,B5948,"USD","SOFR",I5948,J5948,0,"Actual360","Simple","Annual","Annual","Annual")</f>
        <v/>
      </c>
      <c r="F5948" s="8">
        <f>QS.TRADE.CREATE("trade.5946",C5948,E5948,A5948,"Receive")</f>
        <v/>
      </c>
      <c r="G5948" s="5"/>
      <c r="H5948" s="7" t="s">
        <v>5989</v>
      </c>
      <c r="I5948" s="9">
        <v>1594600</v>
      </c>
      <c r="J5948" s="10">
        <v>0.0396</v>
      </c>
    </row>
    <row r="5949" spans="1:10">
      <c r="A5949" s="7" t="s">
        <v>5983</v>
      </c>
      <c r="B5949" s="7" t="s">
        <v>7816</v>
      </c>
      <c r="C5949" s="8">
        <f>QS.CONTEXT.CREATE("market.5947",A5949,"USD","SOFR")</f>
        <v/>
      </c>
      <c r="D5949" s="8">
        <f>QS.CONTEXT.ADD.CURVE(C5949,"SOFR",$K$2:$K$7,$L$2:$L$7,,,"Actual360","LogLinear",TRUE)</f>
        <v/>
      </c>
      <c r="E5949" s="8">
        <f>QS.INSTRUMENT.SWAP("swap.5947",C5949,H5949,B5949,"USD","SOFR",I5949,J5949,0,"Actual360","Simple","Annual","Annual","Annual")</f>
        <v/>
      </c>
      <c r="F5949" s="8">
        <f>QS.TRADE.CREATE("trade.5947",C5949,E5949,A5949,"Receive")</f>
        <v/>
      </c>
      <c r="G5949" s="5"/>
      <c r="H5949" s="7" t="s">
        <v>5990</v>
      </c>
      <c r="I5949" s="9">
        <v>1594700</v>
      </c>
      <c r="J5949" s="10">
        <v>0.03970000000000001</v>
      </c>
    </row>
    <row r="5950" spans="1:10">
      <c r="A5950" s="7" t="s">
        <v>5984</v>
      </c>
      <c r="B5950" s="7" t="s">
        <v>7817</v>
      </c>
      <c r="C5950" s="8">
        <f>QS.CONTEXT.CREATE("market.5948",A5950,"USD","SOFR")</f>
        <v/>
      </c>
      <c r="D5950" s="8">
        <f>QS.CONTEXT.ADD.CURVE(C5950,"SOFR",$K$2:$K$7,$L$2:$L$7,,,"Actual360","LogLinear",TRUE)</f>
        <v/>
      </c>
      <c r="E5950" s="8">
        <f>QS.INSTRUMENT.SWAP("swap.5948",C5950,H5950,B5950,"USD","SOFR",I5950,J5950,0,"Actual360","Simple","Annual","Annual","Annual")</f>
        <v/>
      </c>
      <c r="F5950" s="8">
        <f>QS.TRADE.CREATE("trade.5948",C5950,E5950,A5950,"Receive")</f>
        <v/>
      </c>
      <c r="G5950" s="5"/>
      <c r="H5950" s="7" t="s">
        <v>5991</v>
      </c>
      <c r="I5950" s="9">
        <v>1594800</v>
      </c>
      <c r="J5950" s="10">
        <v>0.0398</v>
      </c>
    </row>
    <row r="5951" spans="1:10">
      <c r="A5951" s="7" t="s">
        <v>5985</v>
      </c>
      <c r="B5951" s="7" t="s">
        <v>7818</v>
      </c>
      <c r="C5951" s="8">
        <f>QS.CONTEXT.CREATE("market.5949",A5951,"USD","SOFR")</f>
        <v/>
      </c>
      <c r="D5951" s="8">
        <f>QS.CONTEXT.ADD.CURVE(C5951,"SOFR",$K$2:$K$7,$L$2:$L$7,,,"Actual360","LogLinear",TRUE)</f>
        <v/>
      </c>
      <c r="E5951" s="8">
        <f>QS.INSTRUMENT.SWAP("swap.5949",C5951,H5951,B5951,"USD","SOFR",I5951,J5951,0,"Actual360","Simple","Annual","Annual","Annual")</f>
        <v/>
      </c>
      <c r="F5951" s="8">
        <f>QS.TRADE.CREATE("trade.5949",C5951,E5951,A5951,"Receive")</f>
        <v/>
      </c>
      <c r="G5951" s="5"/>
      <c r="H5951" s="7" t="s">
        <v>5992</v>
      </c>
      <c r="I5951" s="9">
        <v>1594900</v>
      </c>
      <c r="J5951" s="10">
        <v>0.0399</v>
      </c>
    </row>
    <row r="5952" spans="1:10">
      <c r="A5952" s="7" t="s">
        <v>5986</v>
      </c>
      <c r="B5952" s="7" t="s">
        <v>7819</v>
      </c>
      <c r="C5952" s="8">
        <f>QS.CONTEXT.CREATE("market.5950",A5952,"USD","SOFR")</f>
        <v/>
      </c>
      <c r="D5952" s="8">
        <f>QS.CONTEXT.ADD.CURVE(C5952,"SOFR",$K$2:$K$7,$L$2:$L$7,,,"Actual360","LogLinear",TRUE)</f>
        <v/>
      </c>
      <c r="E5952" s="8">
        <f>QS.INSTRUMENT.SWAP("swap.5950",C5952,H5952,B5952,"USD","SOFR",I5952,J5952,0,"Actual360","Simple","Annual","Annual","Annual")</f>
        <v/>
      </c>
      <c r="F5952" s="8">
        <f>QS.TRADE.CREATE("trade.5950",C5952,E5952,A5952,"Receive")</f>
        <v/>
      </c>
      <c r="G5952" s="5"/>
      <c r="H5952" s="7" t="s">
        <v>5993</v>
      </c>
      <c r="I5952" s="9">
        <v>1595000</v>
      </c>
      <c r="J5952" s="10">
        <v>0.035</v>
      </c>
    </row>
    <row r="5953" spans="1:10">
      <c r="A5953" s="7" t="s">
        <v>5987</v>
      </c>
      <c r="B5953" s="7" t="s">
        <v>7820</v>
      </c>
      <c r="C5953" s="8">
        <f>QS.CONTEXT.CREATE("market.5951",A5953,"USD","SOFR")</f>
        <v/>
      </c>
      <c r="D5953" s="8">
        <f>QS.CONTEXT.ADD.CURVE(C5953,"SOFR",$K$2:$K$7,$L$2:$L$7,,,"Actual360","LogLinear",TRUE)</f>
        <v/>
      </c>
      <c r="E5953" s="8">
        <f>QS.INSTRUMENT.SWAP("swap.5951",C5953,H5953,B5953,"USD","SOFR",I5953,J5953,0,"Actual360","Simple","Annual","Annual","Annual")</f>
        <v/>
      </c>
      <c r="F5953" s="8">
        <f>QS.TRADE.CREATE("trade.5951",C5953,E5953,A5953,"Receive")</f>
        <v/>
      </c>
      <c r="G5953" s="5"/>
      <c r="H5953" s="7" t="s">
        <v>5994</v>
      </c>
      <c r="I5953" s="9">
        <v>1595100</v>
      </c>
      <c r="J5953" s="10">
        <v>0.03510000000000001</v>
      </c>
    </row>
    <row r="5954" spans="1:10">
      <c r="A5954" s="7" t="s">
        <v>5988</v>
      </c>
      <c r="B5954" s="7" t="s">
        <v>7821</v>
      </c>
      <c r="C5954" s="8">
        <f>QS.CONTEXT.CREATE("market.5952",A5954,"USD","SOFR")</f>
        <v/>
      </c>
      <c r="D5954" s="8">
        <f>QS.CONTEXT.ADD.CURVE(C5954,"SOFR",$K$2:$K$7,$L$2:$L$7,,,"Actual360","LogLinear",TRUE)</f>
        <v/>
      </c>
      <c r="E5954" s="8">
        <f>QS.INSTRUMENT.SWAP("swap.5952",C5954,H5954,B5954,"USD","SOFR",I5954,J5954,0,"Actual360","Simple","Annual","Annual","Annual")</f>
        <v/>
      </c>
      <c r="F5954" s="8">
        <f>QS.TRADE.CREATE("trade.5952",C5954,E5954,A5954,"Receive")</f>
        <v/>
      </c>
      <c r="G5954" s="5"/>
      <c r="H5954" s="7" t="s">
        <v>5995</v>
      </c>
      <c r="I5954" s="9">
        <v>1595200</v>
      </c>
      <c r="J5954" s="10">
        <v>0.0352</v>
      </c>
    </row>
    <row r="5955" spans="1:10">
      <c r="A5955" s="7" t="s">
        <v>5989</v>
      </c>
      <c r="B5955" s="7" t="s">
        <v>7822</v>
      </c>
      <c r="C5955" s="8">
        <f>QS.CONTEXT.CREATE("market.5953",A5955,"USD","SOFR")</f>
        <v/>
      </c>
      <c r="D5955" s="8">
        <f>QS.CONTEXT.ADD.CURVE(C5955,"SOFR",$K$2:$K$7,$L$2:$L$7,,,"Actual360","LogLinear",TRUE)</f>
        <v/>
      </c>
      <c r="E5955" s="8">
        <f>QS.INSTRUMENT.SWAP("swap.5953",C5955,H5955,B5955,"USD","SOFR",I5955,J5955,0,"Actual360","Simple","Annual","Annual","Annual")</f>
        <v/>
      </c>
      <c r="F5955" s="8">
        <f>QS.TRADE.CREATE("trade.5953",C5955,E5955,A5955,"Receive")</f>
        <v/>
      </c>
      <c r="G5955" s="5"/>
      <c r="H5955" s="7" t="s">
        <v>5996</v>
      </c>
      <c r="I5955" s="9">
        <v>1595300</v>
      </c>
      <c r="J5955" s="10">
        <v>0.0353</v>
      </c>
    </row>
    <row r="5956" spans="1:10">
      <c r="A5956" s="7" t="s">
        <v>5990</v>
      </c>
      <c r="B5956" s="7" t="s">
        <v>7823</v>
      </c>
      <c r="C5956" s="8">
        <f>QS.CONTEXT.CREATE("market.5954",A5956,"USD","SOFR")</f>
        <v/>
      </c>
      <c r="D5956" s="8">
        <f>QS.CONTEXT.ADD.CURVE(C5956,"SOFR",$K$2:$K$7,$L$2:$L$7,,,"Actual360","LogLinear",TRUE)</f>
        <v/>
      </c>
      <c r="E5956" s="8">
        <f>QS.INSTRUMENT.SWAP("swap.5954",C5956,H5956,B5956,"USD","SOFR",I5956,J5956,0,"Actual360","Simple","Annual","Annual","Annual")</f>
        <v/>
      </c>
      <c r="F5956" s="8">
        <f>QS.TRADE.CREATE("trade.5954",C5956,E5956,A5956,"Receive")</f>
        <v/>
      </c>
      <c r="G5956" s="5"/>
      <c r="H5956" s="7" t="s">
        <v>5997</v>
      </c>
      <c r="I5956" s="9">
        <v>1595400</v>
      </c>
      <c r="J5956" s="10">
        <v>0.0354</v>
      </c>
    </row>
    <row r="5957" spans="1:10">
      <c r="A5957" s="7" t="s">
        <v>5991</v>
      </c>
      <c r="B5957" s="7" t="s">
        <v>7824</v>
      </c>
      <c r="C5957" s="8">
        <f>QS.CONTEXT.CREATE("market.5955",A5957,"USD","SOFR")</f>
        <v/>
      </c>
      <c r="D5957" s="8">
        <f>QS.CONTEXT.ADD.CURVE(C5957,"SOFR",$K$2:$K$7,$L$2:$L$7,,,"Actual360","LogLinear",TRUE)</f>
        <v/>
      </c>
      <c r="E5957" s="8">
        <f>QS.INSTRUMENT.SWAP("swap.5955",C5957,H5957,B5957,"USD","SOFR",I5957,J5957,0,"Actual360","Simple","Annual","Annual","Annual")</f>
        <v/>
      </c>
      <c r="F5957" s="8">
        <f>QS.TRADE.CREATE("trade.5955",C5957,E5957,A5957,"Receive")</f>
        <v/>
      </c>
      <c r="G5957" s="5"/>
      <c r="H5957" s="7" t="s">
        <v>5998</v>
      </c>
      <c r="I5957" s="9">
        <v>1595500</v>
      </c>
      <c r="J5957" s="10">
        <v>0.0355</v>
      </c>
    </row>
    <row r="5958" spans="1:10">
      <c r="A5958" s="7" t="s">
        <v>5992</v>
      </c>
      <c r="B5958" s="7" t="s">
        <v>7825</v>
      </c>
      <c r="C5958" s="8">
        <f>QS.CONTEXT.CREATE("market.5956",A5958,"USD","SOFR")</f>
        <v/>
      </c>
      <c r="D5958" s="8">
        <f>QS.CONTEXT.ADD.CURVE(C5958,"SOFR",$K$2:$K$7,$L$2:$L$7,,,"Actual360","LogLinear",TRUE)</f>
        <v/>
      </c>
      <c r="E5958" s="8">
        <f>QS.INSTRUMENT.SWAP("swap.5956",C5958,H5958,B5958,"USD","SOFR",I5958,J5958,0,"Actual360","Simple","Annual","Annual","Annual")</f>
        <v/>
      </c>
      <c r="F5958" s="8">
        <f>QS.TRADE.CREATE("trade.5956",C5958,E5958,A5958,"Receive")</f>
        <v/>
      </c>
      <c r="G5958" s="5"/>
      <c r="H5958" s="7" t="s">
        <v>5999</v>
      </c>
      <c r="I5958" s="9">
        <v>1595600</v>
      </c>
      <c r="J5958" s="10">
        <v>0.03560000000000001</v>
      </c>
    </row>
    <row r="5959" spans="1:10">
      <c r="A5959" s="7" t="s">
        <v>5993</v>
      </c>
      <c r="B5959" s="7" t="s">
        <v>7826</v>
      </c>
      <c r="C5959" s="8">
        <f>QS.CONTEXT.CREATE("market.5957",A5959,"USD","SOFR")</f>
        <v/>
      </c>
      <c r="D5959" s="8">
        <f>QS.CONTEXT.ADD.CURVE(C5959,"SOFR",$K$2:$K$7,$L$2:$L$7,,,"Actual360","LogLinear",TRUE)</f>
        <v/>
      </c>
      <c r="E5959" s="8">
        <f>QS.INSTRUMENT.SWAP("swap.5957",C5959,H5959,B5959,"USD","SOFR",I5959,J5959,0,"Actual360","Simple","Annual","Annual","Annual")</f>
        <v/>
      </c>
      <c r="F5959" s="8">
        <f>QS.TRADE.CREATE("trade.5957",C5959,E5959,A5959,"Receive")</f>
        <v/>
      </c>
      <c r="G5959" s="5"/>
      <c r="H5959" s="7" t="s">
        <v>6000</v>
      </c>
      <c r="I5959" s="9">
        <v>1595700</v>
      </c>
      <c r="J5959" s="10">
        <v>0.0357</v>
      </c>
    </row>
    <row r="5960" spans="1:10">
      <c r="A5960" s="7" t="s">
        <v>5994</v>
      </c>
      <c r="B5960" s="7" t="s">
        <v>7827</v>
      </c>
      <c r="C5960" s="8">
        <f>QS.CONTEXT.CREATE("market.5958",A5960,"USD","SOFR")</f>
        <v/>
      </c>
      <c r="D5960" s="8">
        <f>QS.CONTEXT.ADD.CURVE(C5960,"SOFR",$K$2:$K$7,$L$2:$L$7,,,"Actual360","LogLinear",TRUE)</f>
        <v/>
      </c>
      <c r="E5960" s="8">
        <f>QS.INSTRUMENT.SWAP("swap.5958",C5960,H5960,B5960,"USD","SOFR",I5960,J5960,0,"Actual360","Simple","Annual","Annual","Annual")</f>
        <v/>
      </c>
      <c r="F5960" s="8">
        <f>QS.TRADE.CREATE("trade.5958",C5960,E5960,A5960,"Receive")</f>
        <v/>
      </c>
      <c r="G5960" s="5"/>
      <c r="H5960" s="7" t="s">
        <v>6001</v>
      </c>
      <c r="I5960" s="9">
        <v>1595800</v>
      </c>
      <c r="J5960" s="10">
        <v>0.03580000000000001</v>
      </c>
    </row>
    <row r="5961" spans="1:10">
      <c r="A5961" s="7" t="s">
        <v>5995</v>
      </c>
      <c r="B5961" s="7" t="s">
        <v>7828</v>
      </c>
      <c r="C5961" s="8">
        <f>QS.CONTEXT.CREATE("market.5959",A5961,"USD","SOFR")</f>
        <v/>
      </c>
      <c r="D5961" s="8">
        <f>QS.CONTEXT.ADD.CURVE(C5961,"SOFR",$K$2:$K$7,$L$2:$L$7,,,"Actual360","LogLinear",TRUE)</f>
        <v/>
      </c>
      <c r="E5961" s="8">
        <f>QS.INSTRUMENT.SWAP("swap.5959",C5961,H5961,B5961,"USD","SOFR",I5961,J5961,0,"Actual360","Simple","Annual","Annual","Annual")</f>
        <v/>
      </c>
      <c r="F5961" s="8">
        <f>QS.TRADE.CREATE("trade.5959",C5961,E5961,A5961,"Receive")</f>
        <v/>
      </c>
      <c r="G5961" s="5"/>
      <c r="H5961" s="7" t="s">
        <v>6002</v>
      </c>
      <c r="I5961" s="9">
        <v>1595900</v>
      </c>
      <c r="J5961" s="10">
        <v>0.0359</v>
      </c>
    </row>
    <row r="5962" spans="1:10">
      <c r="A5962" s="7" t="s">
        <v>5996</v>
      </c>
      <c r="B5962" s="7" t="s">
        <v>7829</v>
      </c>
      <c r="C5962" s="8">
        <f>QS.CONTEXT.CREATE("market.5960",A5962,"USD","SOFR")</f>
        <v/>
      </c>
      <c r="D5962" s="8">
        <f>QS.CONTEXT.ADD.CURVE(C5962,"SOFR",$K$2:$K$7,$L$2:$L$7,,,"Actual360","LogLinear",TRUE)</f>
        <v/>
      </c>
      <c r="E5962" s="8">
        <f>QS.INSTRUMENT.SWAP("swap.5960",C5962,H5962,B5962,"USD","SOFR",I5962,J5962,0,"Actual360","Simple","Annual","Annual","Annual")</f>
        <v/>
      </c>
      <c r="F5962" s="8">
        <f>QS.TRADE.CREATE("trade.5960",C5962,E5962,A5962,"Receive")</f>
        <v/>
      </c>
      <c r="G5962" s="5"/>
      <c r="H5962" s="7" t="s">
        <v>6003</v>
      </c>
      <c r="I5962" s="9">
        <v>1596000</v>
      </c>
      <c r="J5962" s="10">
        <v>0.036</v>
      </c>
    </row>
    <row r="5963" spans="1:10">
      <c r="A5963" s="7" t="s">
        <v>5997</v>
      </c>
      <c r="B5963" s="7" t="s">
        <v>7830</v>
      </c>
      <c r="C5963" s="8">
        <f>QS.CONTEXT.CREATE("market.5961",A5963,"USD","SOFR")</f>
        <v/>
      </c>
      <c r="D5963" s="8">
        <f>QS.CONTEXT.ADD.CURVE(C5963,"SOFR",$K$2:$K$7,$L$2:$L$7,,,"Actual360","LogLinear",TRUE)</f>
        <v/>
      </c>
      <c r="E5963" s="8">
        <f>QS.INSTRUMENT.SWAP("swap.5961",C5963,H5963,B5963,"USD","SOFR",I5963,J5963,0,"Actual360","Simple","Annual","Annual","Annual")</f>
        <v/>
      </c>
      <c r="F5963" s="8">
        <f>QS.TRADE.CREATE("trade.5961",C5963,E5963,A5963,"Receive")</f>
        <v/>
      </c>
      <c r="G5963" s="5"/>
      <c r="H5963" s="7" t="s">
        <v>6004</v>
      </c>
      <c r="I5963" s="9">
        <v>1596100</v>
      </c>
      <c r="J5963" s="10">
        <v>0.0361</v>
      </c>
    </row>
    <row r="5964" spans="1:10">
      <c r="A5964" s="7" t="s">
        <v>5998</v>
      </c>
      <c r="B5964" s="7" t="s">
        <v>7831</v>
      </c>
      <c r="C5964" s="8">
        <f>QS.CONTEXT.CREATE("market.5962",A5964,"USD","SOFR")</f>
        <v/>
      </c>
      <c r="D5964" s="8">
        <f>QS.CONTEXT.ADD.CURVE(C5964,"SOFR",$K$2:$K$7,$L$2:$L$7,,,"Actual360","LogLinear",TRUE)</f>
        <v/>
      </c>
      <c r="E5964" s="8">
        <f>QS.INSTRUMENT.SWAP("swap.5962",C5964,H5964,B5964,"USD","SOFR",I5964,J5964,0,"Actual360","Simple","Annual","Annual","Annual")</f>
        <v/>
      </c>
      <c r="F5964" s="8">
        <f>QS.TRADE.CREATE("trade.5962",C5964,E5964,A5964,"Receive")</f>
        <v/>
      </c>
      <c r="G5964" s="5"/>
      <c r="H5964" s="7" t="s">
        <v>6005</v>
      </c>
      <c r="I5964" s="9">
        <v>1596200</v>
      </c>
      <c r="J5964" s="10">
        <v>0.0362</v>
      </c>
    </row>
    <row r="5965" spans="1:10">
      <c r="A5965" s="7" t="s">
        <v>5999</v>
      </c>
      <c r="B5965" s="7" t="s">
        <v>7832</v>
      </c>
      <c r="C5965" s="8">
        <f>QS.CONTEXT.CREATE("market.5963",A5965,"USD","SOFR")</f>
        <v/>
      </c>
      <c r="D5965" s="8">
        <f>QS.CONTEXT.ADD.CURVE(C5965,"SOFR",$K$2:$K$7,$L$2:$L$7,,,"Actual360","LogLinear",TRUE)</f>
        <v/>
      </c>
      <c r="E5965" s="8">
        <f>QS.INSTRUMENT.SWAP("swap.5963",C5965,H5965,B5965,"USD","SOFR",I5965,J5965,0,"Actual360","Simple","Annual","Annual","Annual")</f>
        <v/>
      </c>
      <c r="F5965" s="8">
        <f>QS.TRADE.CREATE("trade.5963",C5965,E5965,A5965,"Receive")</f>
        <v/>
      </c>
      <c r="G5965" s="5"/>
      <c r="H5965" s="7" t="s">
        <v>6006</v>
      </c>
      <c r="I5965" s="9">
        <v>1596300</v>
      </c>
      <c r="J5965" s="10">
        <v>0.03630000000000001</v>
      </c>
    </row>
    <row r="5966" spans="1:10">
      <c r="A5966" s="7" t="s">
        <v>6000</v>
      </c>
      <c r="B5966" s="7" t="s">
        <v>7833</v>
      </c>
      <c r="C5966" s="8">
        <f>QS.CONTEXT.CREATE("market.5964",A5966,"USD","SOFR")</f>
        <v/>
      </c>
      <c r="D5966" s="8">
        <f>QS.CONTEXT.ADD.CURVE(C5966,"SOFR",$K$2:$K$7,$L$2:$L$7,,,"Actual360","LogLinear",TRUE)</f>
        <v/>
      </c>
      <c r="E5966" s="8">
        <f>QS.INSTRUMENT.SWAP("swap.5964",C5966,H5966,B5966,"USD","SOFR",I5966,J5966,0,"Actual360","Simple","Annual","Annual","Annual")</f>
        <v/>
      </c>
      <c r="F5966" s="8">
        <f>QS.TRADE.CREATE("trade.5964",C5966,E5966,A5966,"Receive")</f>
        <v/>
      </c>
      <c r="G5966" s="5"/>
      <c r="H5966" s="7" t="s">
        <v>6007</v>
      </c>
      <c r="I5966" s="9">
        <v>1596400</v>
      </c>
      <c r="J5966" s="10">
        <v>0.0364</v>
      </c>
    </row>
    <row r="5967" spans="1:10">
      <c r="A5967" s="7" t="s">
        <v>6001</v>
      </c>
      <c r="B5967" s="7" t="s">
        <v>7834</v>
      </c>
      <c r="C5967" s="8">
        <f>QS.CONTEXT.CREATE("market.5965",A5967,"USD","SOFR")</f>
        <v/>
      </c>
      <c r="D5967" s="8">
        <f>QS.CONTEXT.ADD.CURVE(C5967,"SOFR",$K$2:$K$7,$L$2:$L$7,,,"Actual360","LogLinear",TRUE)</f>
        <v/>
      </c>
      <c r="E5967" s="8">
        <f>QS.INSTRUMENT.SWAP("swap.5965",C5967,H5967,B5967,"USD","SOFR",I5967,J5967,0,"Actual360","Simple","Annual","Annual","Annual")</f>
        <v/>
      </c>
      <c r="F5967" s="8">
        <f>QS.TRADE.CREATE("trade.5965",C5967,E5967,A5967,"Receive")</f>
        <v/>
      </c>
      <c r="G5967" s="5"/>
      <c r="H5967" s="7" t="s">
        <v>6008</v>
      </c>
      <c r="I5967" s="9">
        <v>1596500</v>
      </c>
      <c r="J5967" s="10">
        <v>0.0365</v>
      </c>
    </row>
    <row r="5968" spans="1:10">
      <c r="A5968" s="7" t="s">
        <v>6002</v>
      </c>
      <c r="B5968" s="7" t="s">
        <v>7835</v>
      </c>
      <c r="C5968" s="8">
        <f>QS.CONTEXT.CREATE("market.5966",A5968,"USD","SOFR")</f>
        <v/>
      </c>
      <c r="D5968" s="8">
        <f>QS.CONTEXT.ADD.CURVE(C5968,"SOFR",$K$2:$K$7,$L$2:$L$7,,,"Actual360","LogLinear",TRUE)</f>
        <v/>
      </c>
      <c r="E5968" s="8">
        <f>QS.INSTRUMENT.SWAP("swap.5966",C5968,H5968,B5968,"USD","SOFR",I5968,J5968,0,"Actual360","Simple","Annual","Annual","Annual")</f>
        <v/>
      </c>
      <c r="F5968" s="8">
        <f>QS.TRADE.CREATE("trade.5966",C5968,E5968,A5968,"Receive")</f>
        <v/>
      </c>
      <c r="G5968" s="5"/>
      <c r="H5968" s="7" t="s">
        <v>6009</v>
      </c>
      <c r="I5968" s="9">
        <v>1596600</v>
      </c>
      <c r="J5968" s="10">
        <v>0.0366</v>
      </c>
    </row>
    <row r="5969" spans="1:10">
      <c r="A5969" s="7" t="s">
        <v>6003</v>
      </c>
      <c r="B5969" s="7" t="s">
        <v>7836</v>
      </c>
      <c r="C5969" s="8">
        <f>QS.CONTEXT.CREATE("market.5967",A5969,"USD","SOFR")</f>
        <v/>
      </c>
      <c r="D5969" s="8">
        <f>QS.CONTEXT.ADD.CURVE(C5969,"SOFR",$K$2:$K$7,$L$2:$L$7,,,"Actual360","LogLinear",TRUE)</f>
        <v/>
      </c>
      <c r="E5969" s="8">
        <f>QS.INSTRUMENT.SWAP("swap.5967",C5969,H5969,B5969,"USD","SOFR",I5969,J5969,0,"Actual360","Simple","Annual","Annual","Annual")</f>
        <v/>
      </c>
      <c r="F5969" s="8">
        <f>QS.TRADE.CREATE("trade.5967",C5969,E5969,A5969,"Receive")</f>
        <v/>
      </c>
      <c r="G5969" s="5"/>
      <c r="H5969" s="7" t="s">
        <v>6010</v>
      </c>
      <c r="I5969" s="9">
        <v>1596700</v>
      </c>
      <c r="J5969" s="10">
        <v>0.0367</v>
      </c>
    </row>
    <row r="5970" spans="1:10">
      <c r="A5970" s="7" t="s">
        <v>6004</v>
      </c>
      <c r="B5970" s="7" t="s">
        <v>7837</v>
      </c>
      <c r="C5970" s="8">
        <f>QS.CONTEXT.CREATE("market.5968",A5970,"USD","SOFR")</f>
        <v/>
      </c>
      <c r="D5970" s="8">
        <f>QS.CONTEXT.ADD.CURVE(C5970,"SOFR",$K$2:$K$7,$L$2:$L$7,,,"Actual360","LogLinear",TRUE)</f>
        <v/>
      </c>
      <c r="E5970" s="8">
        <f>QS.INSTRUMENT.SWAP("swap.5968",C5970,H5970,B5970,"USD","SOFR",I5970,J5970,0,"Actual360","Simple","Annual","Annual","Annual")</f>
        <v/>
      </c>
      <c r="F5970" s="8">
        <f>QS.TRADE.CREATE("trade.5968",C5970,E5970,A5970,"Receive")</f>
        <v/>
      </c>
      <c r="G5970" s="5"/>
      <c r="H5970" s="7" t="s">
        <v>6011</v>
      </c>
      <c r="I5970" s="9">
        <v>1596800</v>
      </c>
      <c r="J5970" s="10">
        <v>0.03680000000000001</v>
      </c>
    </row>
    <row r="5971" spans="1:10">
      <c r="A5971" s="7" t="s">
        <v>6005</v>
      </c>
      <c r="B5971" s="7" t="s">
        <v>7838</v>
      </c>
      <c r="C5971" s="8">
        <f>QS.CONTEXT.CREATE("market.5969",A5971,"USD","SOFR")</f>
        <v/>
      </c>
      <c r="D5971" s="8">
        <f>QS.CONTEXT.ADD.CURVE(C5971,"SOFR",$K$2:$K$7,$L$2:$L$7,,,"Actual360","LogLinear",TRUE)</f>
        <v/>
      </c>
      <c r="E5971" s="8">
        <f>QS.INSTRUMENT.SWAP("swap.5969",C5971,H5971,B5971,"USD","SOFR",I5971,J5971,0,"Actual360","Simple","Annual","Annual","Annual")</f>
        <v/>
      </c>
      <c r="F5971" s="8">
        <f>QS.TRADE.CREATE("trade.5969",C5971,E5971,A5971,"Receive")</f>
        <v/>
      </c>
      <c r="G5971" s="5"/>
      <c r="H5971" s="7" t="s">
        <v>6012</v>
      </c>
      <c r="I5971" s="9">
        <v>1596900</v>
      </c>
      <c r="J5971" s="10">
        <v>0.0369</v>
      </c>
    </row>
    <row r="5972" spans="1:10">
      <c r="A5972" s="7" t="s">
        <v>6006</v>
      </c>
      <c r="B5972" s="7" t="s">
        <v>7839</v>
      </c>
      <c r="C5972" s="8">
        <f>QS.CONTEXT.CREATE("market.5970",A5972,"USD","SOFR")</f>
        <v/>
      </c>
      <c r="D5972" s="8">
        <f>QS.CONTEXT.ADD.CURVE(C5972,"SOFR",$K$2:$K$7,$L$2:$L$7,,,"Actual360","LogLinear",TRUE)</f>
        <v/>
      </c>
      <c r="E5972" s="8">
        <f>QS.INSTRUMENT.SWAP("swap.5970",C5972,H5972,B5972,"USD","SOFR",I5972,J5972,0,"Actual360","Simple","Annual","Annual","Annual")</f>
        <v/>
      </c>
      <c r="F5972" s="8">
        <f>QS.TRADE.CREATE("trade.5970",C5972,E5972,A5972,"Receive")</f>
        <v/>
      </c>
      <c r="G5972" s="5"/>
      <c r="H5972" s="7" t="s">
        <v>6013</v>
      </c>
      <c r="I5972" s="9">
        <v>1597000</v>
      </c>
      <c r="J5972" s="10">
        <v>0.03700000000000001</v>
      </c>
    </row>
    <row r="5973" spans="1:10">
      <c r="A5973" s="7" t="s">
        <v>6007</v>
      </c>
      <c r="B5973" s="7" t="s">
        <v>7840</v>
      </c>
      <c r="C5973" s="8">
        <f>QS.CONTEXT.CREATE("market.5971",A5973,"USD","SOFR")</f>
        <v/>
      </c>
      <c r="D5973" s="8">
        <f>QS.CONTEXT.ADD.CURVE(C5973,"SOFR",$K$2:$K$7,$L$2:$L$7,,,"Actual360","LogLinear",TRUE)</f>
        <v/>
      </c>
      <c r="E5973" s="8">
        <f>QS.INSTRUMENT.SWAP("swap.5971",C5973,H5973,B5973,"USD","SOFR",I5973,J5973,0,"Actual360","Simple","Annual","Annual","Annual")</f>
        <v/>
      </c>
      <c r="F5973" s="8">
        <f>QS.TRADE.CREATE("trade.5971",C5973,E5973,A5973,"Receive")</f>
        <v/>
      </c>
      <c r="G5973" s="5"/>
      <c r="H5973" s="7" t="s">
        <v>6014</v>
      </c>
      <c r="I5973" s="9">
        <v>1597100</v>
      </c>
      <c r="J5973" s="10">
        <v>0.0371</v>
      </c>
    </row>
    <row r="5974" spans="1:10">
      <c r="A5974" s="7" t="s">
        <v>6008</v>
      </c>
      <c r="B5974" s="7" t="s">
        <v>7841</v>
      </c>
      <c r="C5974" s="8">
        <f>QS.CONTEXT.CREATE("market.5972",A5974,"USD","SOFR")</f>
        <v/>
      </c>
      <c r="D5974" s="8">
        <f>QS.CONTEXT.ADD.CURVE(C5974,"SOFR",$K$2:$K$7,$L$2:$L$7,,,"Actual360","LogLinear",TRUE)</f>
        <v/>
      </c>
      <c r="E5974" s="8">
        <f>QS.INSTRUMENT.SWAP("swap.5972",C5974,H5974,B5974,"USD","SOFR",I5974,J5974,0,"Actual360","Simple","Annual","Annual","Annual")</f>
        <v/>
      </c>
      <c r="F5974" s="8">
        <f>QS.TRADE.CREATE("trade.5972",C5974,E5974,A5974,"Receive")</f>
        <v/>
      </c>
      <c r="G5974" s="5"/>
      <c r="H5974" s="7" t="s">
        <v>6015</v>
      </c>
      <c r="I5974" s="9">
        <v>1597200</v>
      </c>
      <c r="J5974" s="10">
        <v>0.0372</v>
      </c>
    </row>
    <row r="5975" spans="1:10">
      <c r="A5975" s="7" t="s">
        <v>6009</v>
      </c>
      <c r="B5975" s="7" t="s">
        <v>7842</v>
      </c>
      <c r="C5975" s="8">
        <f>QS.CONTEXT.CREATE("market.5973",A5975,"USD","SOFR")</f>
        <v/>
      </c>
      <c r="D5975" s="8">
        <f>QS.CONTEXT.ADD.CURVE(C5975,"SOFR",$K$2:$K$7,$L$2:$L$7,,,"Actual360","LogLinear",TRUE)</f>
        <v/>
      </c>
      <c r="E5975" s="8">
        <f>QS.INSTRUMENT.SWAP("swap.5973",C5975,H5975,B5975,"USD","SOFR",I5975,J5975,0,"Actual360","Simple","Annual","Annual","Annual")</f>
        <v/>
      </c>
      <c r="F5975" s="8">
        <f>QS.TRADE.CREATE("trade.5973",C5975,E5975,A5975,"Receive")</f>
        <v/>
      </c>
      <c r="G5975" s="5"/>
      <c r="H5975" s="7" t="s">
        <v>6016</v>
      </c>
      <c r="I5975" s="9">
        <v>1597300</v>
      </c>
      <c r="J5975" s="10">
        <v>0.0373</v>
      </c>
    </row>
    <row r="5976" spans="1:10">
      <c r="A5976" s="7" t="s">
        <v>6010</v>
      </c>
      <c r="B5976" s="7" t="s">
        <v>7843</v>
      </c>
      <c r="C5976" s="8">
        <f>QS.CONTEXT.CREATE("market.5974",A5976,"USD","SOFR")</f>
        <v/>
      </c>
      <c r="D5976" s="8">
        <f>QS.CONTEXT.ADD.CURVE(C5976,"SOFR",$K$2:$K$7,$L$2:$L$7,,,"Actual360","LogLinear",TRUE)</f>
        <v/>
      </c>
      <c r="E5976" s="8">
        <f>QS.INSTRUMENT.SWAP("swap.5974",C5976,H5976,B5976,"USD","SOFR",I5976,J5976,0,"Actual360","Simple","Annual","Annual","Annual")</f>
        <v/>
      </c>
      <c r="F5976" s="8">
        <f>QS.TRADE.CREATE("trade.5974",C5976,E5976,A5976,"Receive")</f>
        <v/>
      </c>
      <c r="G5976" s="5"/>
      <c r="H5976" s="7" t="s">
        <v>6017</v>
      </c>
      <c r="I5976" s="9">
        <v>1597400</v>
      </c>
      <c r="J5976" s="10">
        <v>0.0374</v>
      </c>
    </row>
    <row r="5977" spans="1:10">
      <c r="A5977" s="7" t="s">
        <v>6011</v>
      </c>
      <c r="B5977" s="7" t="s">
        <v>7844</v>
      </c>
      <c r="C5977" s="8">
        <f>QS.CONTEXT.CREATE("market.5975",A5977,"USD","SOFR")</f>
        <v/>
      </c>
      <c r="D5977" s="8">
        <f>QS.CONTEXT.ADD.CURVE(C5977,"SOFR",$K$2:$K$7,$L$2:$L$7,,,"Actual360","LogLinear",TRUE)</f>
        <v/>
      </c>
      <c r="E5977" s="8">
        <f>QS.INSTRUMENT.SWAP("swap.5975",C5977,H5977,B5977,"USD","SOFR",I5977,J5977,0,"Actual360","Simple","Annual","Annual","Annual")</f>
        <v/>
      </c>
      <c r="F5977" s="8">
        <f>QS.TRADE.CREATE("trade.5975",C5977,E5977,A5977,"Receive")</f>
        <v/>
      </c>
      <c r="G5977" s="5"/>
      <c r="H5977" s="7" t="s">
        <v>6018</v>
      </c>
      <c r="I5977" s="9">
        <v>1597500</v>
      </c>
      <c r="J5977" s="10">
        <v>0.03750000000000001</v>
      </c>
    </row>
    <row r="5978" spans="1:10">
      <c r="A5978" s="7" t="s">
        <v>6012</v>
      </c>
      <c r="B5978" s="7" t="s">
        <v>7845</v>
      </c>
      <c r="C5978" s="8">
        <f>QS.CONTEXT.CREATE("market.5976",A5978,"USD","SOFR")</f>
        <v/>
      </c>
      <c r="D5978" s="8">
        <f>QS.CONTEXT.ADD.CURVE(C5978,"SOFR",$K$2:$K$7,$L$2:$L$7,,,"Actual360","LogLinear",TRUE)</f>
        <v/>
      </c>
      <c r="E5978" s="8">
        <f>QS.INSTRUMENT.SWAP("swap.5976",C5978,H5978,B5978,"USD","SOFR",I5978,J5978,0,"Actual360","Simple","Annual","Annual","Annual")</f>
        <v/>
      </c>
      <c r="F5978" s="8">
        <f>QS.TRADE.CREATE("trade.5976",C5978,E5978,A5978,"Receive")</f>
        <v/>
      </c>
      <c r="G5978" s="5"/>
      <c r="H5978" s="7" t="s">
        <v>6019</v>
      </c>
      <c r="I5978" s="9">
        <v>1597600</v>
      </c>
      <c r="J5978" s="10">
        <v>0.0376</v>
      </c>
    </row>
    <row r="5979" spans="1:10">
      <c r="A5979" s="7" t="s">
        <v>6013</v>
      </c>
      <c r="B5979" s="7" t="s">
        <v>7846</v>
      </c>
      <c r="C5979" s="8">
        <f>QS.CONTEXT.CREATE("market.5977",A5979,"USD","SOFR")</f>
        <v/>
      </c>
      <c r="D5979" s="8">
        <f>QS.CONTEXT.ADD.CURVE(C5979,"SOFR",$K$2:$K$7,$L$2:$L$7,,,"Actual360","LogLinear",TRUE)</f>
        <v/>
      </c>
      <c r="E5979" s="8">
        <f>QS.INSTRUMENT.SWAP("swap.5977",C5979,H5979,B5979,"USD","SOFR",I5979,J5979,0,"Actual360","Simple","Annual","Annual","Annual")</f>
        <v/>
      </c>
      <c r="F5979" s="8">
        <f>QS.TRADE.CREATE("trade.5977",C5979,E5979,A5979,"Receive")</f>
        <v/>
      </c>
      <c r="G5979" s="5"/>
      <c r="H5979" s="7" t="s">
        <v>6020</v>
      </c>
      <c r="I5979" s="9">
        <v>1597700</v>
      </c>
      <c r="J5979" s="10">
        <v>0.0377</v>
      </c>
    </row>
    <row r="5980" spans="1:10">
      <c r="A5980" s="7" t="s">
        <v>6014</v>
      </c>
      <c r="B5980" s="7" t="s">
        <v>7847</v>
      </c>
      <c r="C5980" s="8">
        <f>QS.CONTEXT.CREATE("market.5978",A5980,"USD","SOFR")</f>
        <v/>
      </c>
      <c r="D5980" s="8">
        <f>QS.CONTEXT.ADD.CURVE(C5980,"SOFR",$K$2:$K$7,$L$2:$L$7,,,"Actual360","LogLinear",TRUE)</f>
        <v/>
      </c>
      <c r="E5980" s="8">
        <f>QS.INSTRUMENT.SWAP("swap.5978",C5980,H5980,B5980,"USD","SOFR",I5980,J5980,0,"Actual360","Simple","Annual","Annual","Annual")</f>
        <v/>
      </c>
      <c r="F5980" s="8">
        <f>QS.TRADE.CREATE("trade.5978",C5980,E5980,A5980,"Receive")</f>
        <v/>
      </c>
      <c r="G5980" s="5"/>
      <c r="H5980" s="7" t="s">
        <v>6021</v>
      </c>
      <c r="I5980" s="9">
        <v>1597800</v>
      </c>
      <c r="J5980" s="10">
        <v>0.0378</v>
      </c>
    </row>
    <row r="5981" spans="1:10">
      <c r="A5981" s="7" t="s">
        <v>6015</v>
      </c>
      <c r="B5981" s="7" t="s">
        <v>7848</v>
      </c>
      <c r="C5981" s="8">
        <f>QS.CONTEXT.CREATE("market.5979",A5981,"USD","SOFR")</f>
        <v/>
      </c>
      <c r="D5981" s="8">
        <f>QS.CONTEXT.ADD.CURVE(C5981,"SOFR",$K$2:$K$7,$L$2:$L$7,,,"Actual360","LogLinear",TRUE)</f>
        <v/>
      </c>
      <c r="E5981" s="8">
        <f>QS.INSTRUMENT.SWAP("swap.5979",C5981,H5981,B5981,"USD","SOFR",I5981,J5981,0,"Actual360","Simple","Annual","Annual","Annual")</f>
        <v/>
      </c>
      <c r="F5981" s="8">
        <f>QS.TRADE.CREATE("trade.5979",C5981,E5981,A5981,"Receive")</f>
        <v/>
      </c>
      <c r="G5981" s="5"/>
      <c r="H5981" s="7" t="s">
        <v>6022</v>
      </c>
      <c r="I5981" s="9">
        <v>1597900</v>
      </c>
      <c r="J5981" s="10">
        <v>0.0379</v>
      </c>
    </row>
    <row r="5982" spans="1:10">
      <c r="A5982" s="7" t="s">
        <v>6016</v>
      </c>
      <c r="B5982" s="7" t="s">
        <v>7849</v>
      </c>
      <c r="C5982" s="8">
        <f>QS.CONTEXT.CREATE("market.5980",A5982,"USD","SOFR")</f>
        <v/>
      </c>
      <c r="D5982" s="8">
        <f>QS.CONTEXT.ADD.CURVE(C5982,"SOFR",$K$2:$K$7,$L$2:$L$7,,,"Actual360","LogLinear",TRUE)</f>
        <v/>
      </c>
      <c r="E5982" s="8">
        <f>QS.INSTRUMENT.SWAP("swap.5980",C5982,H5982,B5982,"USD","SOFR",I5982,J5982,0,"Actual360","Simple","Annual","Annual","Annual")</f>
        <v/>
      </c>
      <c r="F5982" s="8">
        <f>QS.TRADE.CREATE("trade.5980",C5982,E5982,A5982,"Receive")</f>
        <v/>
      </c>
      <c r="G5982" s="5"/>
      <c r="H5982" s="7" t="s">
        <v>6023</v>
      </c>
      <c r="I5982" s="9">
        <v>1598000</v>
      </c>
      <c r="J5982" s="10">
        <v>0.03800000000000001</v>
      </c>
    </row>
    <row r="5983" spans="1:10">
      <c r="A5983" s="7" t="s">
        <v>6017</v>
      </c>
      <c r="B5983" s="7" t="s">
        <v>7850</v>
      </c>
      <c r="C5983" s="8">
        <f>QS.CONTEXT.CREATE("market.5981",A5983,"USD","SOFR")</f>
        <v/>
      </c>
      <c r="D5983" s="8">
        <f>QS.CONTEXT.ADD.CURVE(C5983,"SOFR",$K$2:$K$7,$L$2:$L$7,,,"Actual360","LogLinear",TRUE)</f>
        <v/>
      </c>
      <c r="E5983" s="8">
        <f>QS.INSTRUMENT.SWAP("swap.5981",C5983,H5983,B5983,"USD","SOFR",I5983,J5983,0,"Actual360","Simple","Annual","Annual","Annual")</f>
        <v/>
      </c>
      <c r="F5983" s="8">
        <f>QS.TRADE.CREATE("trade.5981",C5983,E5983,A5983,"Receive")</f>
        <v/>
      </c>
      <c r="G5983" s="5"/>
      <c r="H5983" s="7" t="s">
        <v>6024</v>
      </c>
      <c r="I5983" s="9">
        <v>1598100</v>
      </c>
      <c r="J5983" s="10">
        <v>0.0381</v>
      </c>
    </row>
    <row r="5984" spans="1:10">
      <c r="A5984" s="7" t="s">
        <v>6018</v>
      </c>
      <c r="B5984" s="7" t="s">
        <v>7851</v>
      </c>
      <c r="C5984" s="8">
        <f>QS.CONTEXT.CREATE("market.5982",A5984,"USD","SOFR")</f>
        <v/>
      </c>
      <c r="D5984" s="8">
        <f>QS.CONTEXT.ADD.CURVE(C5984,"SOFR",$K$2:$K$7,$L$2:$L$7,,,"Actual360","LogLinear",TRUE)</f>
        <v/>
      </c>
      <c r="E5984" s="8">
        <f>QS.INSTRUMENT.SWAP("swap.5982",C5984,H5984,B5984,"USD","SOFR",I5984,J5984,0,"Actual360","Simple","Annual","Annual","Annual")</f>
        <v/>
      </c>
      <c r="F5984" s="8">
        <f>QS.TRADE.CREATE("trade.5982",C5984,E5984,A5984,"Receive")</f>
        <v/>
      </c>
      <c r="G5984" s="5"/>
      <c r="H5984" s="7" t="s">
        <v>6025</v>
      </c>
      <c r="I5984" s="9">
        <v>1598200</v>
      </c>
      <c r="J5984" s="10">
        <v>0.0382</v>
      </c>
    </row>
    <row r="5985" spans="1:10">
      <c r="A5985" s="7" t="s">
        <v>6019</v>
      </c>
      <c r="B5985" s="7" t="s">
        <v>7852</v>
      </c>
      <c r="C5985" s="8">
        <f>QS.CONTEXT.CREATE("market.5983",A5985,"USD","SOFR")</f>
        <v/>
      </c>
      <c r="D5985" s="8">
        <f>QS.CONTEXT.ADD.CURVE(C5985,"SOFR",$K$2:$K$7,$L$2:$L$7,,,"Actual360","LogLinear",TRUE)</f>
        <v/>
      </c>
      <c r="E5985" s="8">
        <f>QS.INSTRUMENT.SWAP("swap.5983",C5985,H5985,B5985,"USD","SOFR",I5985,J5985,0,"Actual360","Simple","Annual","Annual","Annual")</f>
        <v/>
      </c>
      <c r="F5985" s="8">
        <f>QS.TRADE.CREATE("trade.5983",C5985,E5985,A5985,"Receive")</f>
        <v/>
      </c>
      <c r="G5985" s="5"/>
      <c r="H5985" s="7" t="s">
        <v>6026</v>
      </c>
      <c r="I5985" s="9">
        <v>1598300</v>
      </c>
      <c r="J5985" s="10">
        <v>0.0383</v>
      </c>
    </row>
    <row r="5986" spans="1:10">
      <c r="A5986" s="7" t="s">
        <v>6020</v>
      </c>
      <c r="B5986" s="7" t="s">
        <v>7853</v>
      </c>
      <c r="C5986" s="8">
        <f>QS.CONTEXT.CREATE("market.5984",A5986,"USD","SOFR")</f>
        <v/>
      </c>
      <c r="D5986" s="8">
        <f>QS.CONTEXT.ADD.CURVE(C5986,"SOFR",$K$2:$K$7,$L$2:$L$7,,,"Actual360","LogLinear",TRUE)</f>
        <v/>
      </c>
      <c r="E5986" s="8">
        <f>QS.INSTRUMENT.SWAP("swap.5984",C5986,H5986,B5986,"USD","SOFR",I5986,J5986,0,"Actual360","Simple","Annual","Annual","Annual")</f>
        <v/>
      </c>
      <c r="F5986" s="8">
        <f>QS.TRADE.CREATE("trade.5984",C5986,E5986,A5986,"Receive")</f>
        <v/>
      </c>
      <c r="G5986" s="5"/>
      <c r="H5986" s="7" t="s">
        <v>6027</v>
      </c>
      <c r="I5986" s="9">
        <v>1598400</v>
      </c>
      <c r="J5986" s="10">
        <v>0.0384</v>
      </c>
    </row>
    <row r="5987" spans="1:10">
      <c r="A5987" s="7" t="s">
        <v>6021</v>
      </c>
      <c r="B5987" s="7" t="s">
        <v>7854</v>
      </c>
      <c r="C5987" s="8">
        <f>QS.CONTEXT.CREATE("market.5985",A5987,"USD","SOFR")</f>
        <v/>
      </c>
      <c r="D5987" s="8">
        <f>QS.CONTEXT.ADD.CURVE(C5987,"SOFR",$K$2:$K$7,$L$2:$L$7,,,"Actual360","LogLinear",TRUE)</f>
        <v/>
      </c>
      <c r="E5987" s="8">
        <f>QS.INSTRUMENT.SWAP("swap.5985",C5987,H5987,B5987,"USD","SOFR",I5987,J5987,0,"Actual360","Simple","Annual","Annual","Annual")</f>
        <v/>
      </c>
      <c r="F5987" s="8">
        <f>QS.TRADE.CREATE("trade.5985",C5987,E5987,A5987,"Receive")</f>
        <v/>
      </c>
      <c r="G5987" s="5"/>
      <c r="H5987" s="7" t="s">
        <v>6028</v>
      </c>
      <c r="I5987" s="9">
        <v>1598500</v>
      </c>
      <c r="J5987" s="10">
        <v>0.03850000000000001</v>
      </c>
    </row>
    <row r="5988" spans="1:10">
      <c r="A5988" s="7" t="s">
        <v>6022</v>
      </c>
      <c r="B5988" s="7" t="s">
        <v>7855</v>
      </c>
      <c r="C5988" s="8">
        <f>QS.CONTEXT.CREATE("market.5986",A5988,"USD","SOFR")</f>
        <v/>
      </c>
      <c r="D5988" s="8">
        <f>QS.CONTEXT.ADD.CURVE(C5988,"SOFR",$K$2:$K$7,$L$2:$L$7,,,"Actual360","LogLinear",TRUE)</f>
        <v/>
      </c>
      <c r="E5988" s="8">
        <f>QS.INSTRUMENT.SWAP("swap.5986",C5988,H5988,B5988,"USD","SOFR",I5988,J5988,0,"Actual360","Simple","Annual","Annual","Annual")</f>
        <v/>
      </c>
      <c r="F5988" s="8">
        <f>QS.TRADE.CREATE("trade.5986",C5988,E5988,A5988,"Receive")</f>
        <v/>
      </c>
      <c r="G5988" s="5"/>
      <c r="H5988" s="7" t="s">
        <v>6029</v>
      </c>
      <c r="I5988" s="9">
        <v>1598600</v>
      </c>
      <c r="J5988" s="10">
        <v>0.0386</v>
      </c>
    </row>
    <row r="5989" spans="1:10">
      <c r="A5989" s="7" t="s">
        <v>6023</v>
      </c>
      <c r="B5989" s="7" t="s">
        <v>7856</v>
      </c>
      <c r="C5989" s="8">
        <f>QS.CONTEXT.CREATE("market.5987",A5989,"USD","SOFR")</f>
        <v/>
      </c>
      <c r="D5989" s="8">
        <f>QS.CONTEXT.ADD.CURVE(C5989,"SOFR",$K$2:$K$7,$L$2:$L$7,,,"Actual360","LogLinear",TRUE)</f>
        <v/>
      </c>
      <c r="E5989" s="8">
        <f>QS.INSTRUMENT.SWAP("swap.5987",C5989,H5989,B5989,"USD","SOFR",I5989,J5989,0,"Actual360","Simple","Annual","Annual","Annual")</f>
        <v/>
      </c>
      <c r="F5989" s="8">
        <f>QS.TRADE.CREATE("trade.5987",C5989,E5989,A5989,"Receive")</f>
        <v/>
      </c>
      <c r="G5989" s="5"/>
      <c r="H5989" s="7" t="s">
        <v>6030</v>
      </c>
      <c r="I5989" s="9">
        <v>1598700</v>
      </c>
      <c r="J5989" s="10">
        <v>0.03870000000000001</v>
      </c>
    </row>
    <row r="5990" spans="1:10">
      <c r="A5990" s="7" t="s">
        <v>6024</v>
      </c>
      <c r="B5990" s="7" t="s">
        <v>7857</v>
      </c>
      <c r="C5990" s="8">
        <f>QS.CONTEXT.CREATE("market.5988",A5990,"USD","SOFR")</f>
        <v/>
      </c>
      <c r="D5990" s="8">
        <f>QS.CONTEXT.ADD.CURVE(C5990,"SOFR",$K$2:$K$7,$L$2:$L$7,,,"Actual360","LogLinear",TRUE)</f>
        <v/>
      </c>
      <c r="E5990" s="8">
        <f>QS.INSTRUMENT.SWAP("swap.5988",C5990,H5990,B5990,"USD","SOFR",I5990,J5990,0,"Actual360","Simple","Annual","Annual","Annual")</f>
        <v/>
      </c>
      <c r="F5990" s="8">
        <f>QS.TRADE.CREATE("trade.5988",C5990,E5990,A5990,"Receive")</f>
        <v/>
      </c>
      <c r="G5990" s="5"/>
      <c r="H5990" s="7" t="s">
        <v>6031</v>
      </c>
      <c r="I5990" s="9">
        <v>1598800</v>
      </c>
      <c r="J5990" s="10">
        <v>0.0388</v>
      </c>
    </row>
    <row r="5991" spans="1:10">
      <c r="A5991" s="7" t="s">
        <v>6025</v>
      </c>
      <c r="B5991" s="7" t="s">
        <v>7858</v>
      </c>
      <c r="C5991" s="8">
        <f>QS.CONTEXT.CREATE("market.5989",A5991,"USD","SOFR")</f>
        <v/>
      </c>
      <c r="D5991" s="8">
        <f>QS.CONTEXT.ADD.CURVE(C5991,"SOFR",$K$2:$K$7,$L$2:$L$7,,,"Actual360","LogLinear",TRUE)</f>
        <v/>
      </c>
      <c r="E5991" s="8">
        <f>QS.INSTRUMENT.SWAP("swap.5989",C5991,H5991,B5991,"USD","SOFR",I5991,J5991,0,"Actual360","Simple","Annual","Annual","Annual")</f>
        <v/>
      </c>
      <c r="F5991" s="8">
        <f>QS.TRADE.CREATE("trade.5989",C5991,E5991,A5991,"Receive")</f>
        <v/>
      </c>
      <c r="G5991" s="5"/>
      <c r="H5991" s="7" t="s">
        <v>6032</v>
      </c>
      <c r="I5991" s="9">
        <v>1598900</v>
      </c>
      <c r="J5991" s="10">
        <v>0.0389</v>
      </c>
    </row>
    <row r="5992" spans="1:10">
      <c r="A5992" s="7" t="s">
        <v>6026</v>
      </c>
      <c r="B5992" s="7" t="s">
        <v>7859</v>
      </c>
      <c r="C5992" s="8">
        <f>QS.CONTEXT.CREATE("market.5990",A5992,"USD","SOFR")</f>
        <v/>
      </c>
      <c r="D5992" s="8">
        <f>QS.CONTEXT.ADD.CURVE(C5992,"SOFR",$K$2:$K$7,$L$2:$L$7,,,"Actual360","LogLinear",TRUE)</f>
        <v/>
      </c>
      <c r="E5992" s="8">
        <f>QS.INSTRUMENT.SWAP("swap.5990",C5992,H5992,B5992,"USD","SOFR",I5992,J5992,0,"Actual360","Simple","Annual","Annual","Annual")</f>
        <v/>
      </c>
      <c r="F5992" s="8">
        <f>QS.TRADE.CREATE("trade.5990",C5992,E5992,A5992,"Receive")</f>
        <v/>
      </c>
      <c r="G5992" s="5"/>
      <c r="H5992" s="7" t="s">
        <v>6033</v>
      </c>
      <c r="I5992" s="9">
        <v>1599000</v>
      </c>
      <c r="J5992" s="10">
        <v>0.03900000000000001</v>
      </c>
    </row>
    <row r="5993" spans="1:10">
      <c r="A5993" s="7" t="s">
        <v>6027</v>
      </c>
      <c r="B5993" s="7" t="s">
        <v>7860</v>
      </c>
      <c r="C5993" s="8">
        <f>QS.CONTEXT.CREATE("market.5991",A5993,"USD","SOFR")</f>
        <v/>
      </c>
      <c r="D5993" s="8">
        <f>QS.CONTEXT.ADD.CURVE(C5993,"SOFR",$K$2:$K$7,$L$2:$L$7,,,"Actual360","LogLinear",TRUE)</f>
        <v/>
      </c>
      <c r="E5993" s="8">
        <f>QS.INSTRUMENT.SWAP("swap.5991",C5993,H5993,B5993,"USD","SOFR",I5993,J5993,0,"Actual360","Simple","Annual","Annual","Annual")</f>
        <v/>
      </c>
      <c r="F5993" s="8">
        <f>QS.TRADE.CREATE("trade.5991",C5993,E5993,A5993,"Receive")</f>
        <v/>
      </c>
      <c r="G5993" s="5"/>
      <c r="H5993" s="7" t="s">
        <v>6034</v>
      </c>
      <c r="I5993" s="9">
        <v>1599100</v>
      </c>
      <c r="J5993" s="10">
        <v>0.0391</v>
      </c>
    </row>
    <row r="5994" spans="1:10">
      <c r="A5994" s="7" t="s">
        <v>6028</v>
      </c>
      <c r="B5994" s="7" t="s">
        <v>7861</v>
      </c>
      <c r="C5994" s="8">
        <f>QS.CONTEXT.CREATE("market.5992",A5994,"USD","SOFR")</f>
        <v/>
      </c>
      <c r="D5994" s="8">
        <f>QS.CONTEXT.ADD.CURVE(C5994,"SOFR",$K$2:$K$7,$L$2:$L$7,,,"Actual360","LogLinear",TRUE)</f>
        <v/>
      </c>
      <c r="E5994" s="8">
        <f>QS.INSTRUMENT.SWAP("swap.5992",C5994,H5994,B5994,"USD","SOFR",I5994,J5994,0,"Actual360","Simple","Annual","Annual","Annual")</f>
        <v/>
      </c>
      <c r="F5994" s="8">
        <f>QS.TRADE.CREATE("trade.5992",C5994,E5994,A5994,"Receive")</f>
        <v/>
      </c>
      <c r="G5994" s="5"/>
      <c r="H5994" s="7" t="s">
        <v>6035</v>
      </c>
      <c r="I5994" s="9">
        <v>1599200</v>
      </c>
      <c r="J5994" s="10">
        <v>0.03920000000000001</v>
      </c>
    </row>
    <row r="5995" spans="1:10">
      <c r="A5995" s="7" t="s">
        <v>6029</v>
      </c>
      <c r="B5995" s="7" t="s">
        <v>7862</v>
      </c>
      <c r="C5995" s="8">
        <f>QS.CONTEXT.CREATE("market.5993",A5995,"USD","SOFR")</f>
        <v/>
      </c>
      <c r="D5995" s="8">
        <f>QS.CONTEXT.ADD.CURVE(C5995,"SOFR",$K$2:$K$7,$L$2:$L$7,,,"Actual360","LogLinear",TRUE)</f>
        <v/>
      </c>
      <c r="E5995" s="8">
        <f>QS.INSTRUMENT.SWAP("swap.5993",C5995,H5995,B5995,"USD","SOFR",I5995,J5995,0,"Actual360","Simple","Annual","Annual","Annual")</f>
        <v/>
      </c>
      <c r="F5995" s="8">
        <f>QS.TRADE.CREATE("trade.5993",C5995,E5995,A5995,"Receive")</f>
        <v/>
      </c>
      <c r="G5995" s="5"/>
      <c r="H5995" s="7" t="s">
        <v>6036</v>
      </c>
      <c r="I5995" s="9">
        <v>1599300</v>
      </c>
      <c r="J5995" s="10">
        <v>0.0393</v>
      </c>
    </row>
    <row r="5996" spans="1:10">
      <c r="A5996" s="7" t="s">
        <v>6030</v>
      </c>
      <c r="B5996" s="7" t="s">
        <v>7863</v>
      </c>
      <c r="C5996" s="8">
        <f>QS.CONTEXT.CREATE("market.5994",A5996,"USD","SOFR")</f>
        <v/>
      </c>
      <c r="D5996" s="8">
        <f>QS.CONTEXT.ADD.CURVE(C5996,"SOFR",$K$2:$K$7,$L$2:$L$7,,,"Actual360","LogLinear",TRUE)</f>
        <v/>
      </c>
      <c r="E5996" s="8">
        <f>QS.INSTRUMENT.SWAP("swap.5994",C5996,H5996,B5996,"USD","SOFR",I5996,J5996,0,"Actual360","Simple","Annual","Annual","Annual")</f>
        <v/>
      </c>
      <c r="F5996" s="8">
        <f>QS.TRADE.CREATE("trade.5994",C5996,E5996,A5996,"Receive")</f>
        <v/>
      </c>
      <c r="G5996" s="5"/>
      <c r="H5996" s="7" t="s">
        <v>6037</v>
      </c>
      <c r="I5996" s="9">
        <v>1599400</v>
      </c>
      <c r="J5996" s="10">
        <v>0.0394</v>
      </c>
    </row>
    <row r="5997" spans="1:10">
      <c r="A5997" s="7" t="s">
        <v>6031</v>
      </c>
      <c r="B5997" s="7" t="s">
        <v>7864</v>
      </c>
      <c r="C5997" s="8">
        <f>QS.CONTEXT.CREATE("market.5995",A5997,"USD","SOFR")</f>
        <v/>
      </c>
      <c r="D5997" s="8">
        <f>QS.CONTEXT.ADD.CURVE(C5997,"SOFR",$K$2:$K$7,$L$2:$L$7,,,"Actual360","LogLinear",TRUE)</f>
        <v/>
      </c>
      <c r="E5997" s="8">
        <f>QS.INSTRUMENT.SWAP("swap.5995",C5997,H5997,B5997,"USD","SOFR",I5997,J5997,0,"Actual360","Simple","Annual","Annual","Annual")</f>
        <v/>
      </c>
      <c r="F5997" s="8">
        <f>QS.TRADE.CREATE("trade.5995",C5997,E5997,A5997,"Receive")</f>
        <v/>
      </c>
      <c r="G5997" s="5"/>
      <c r="H5997" s="7" t="s">
        <v>6038</v>
      </c>
      <c r="I5997" s="9">
        <v>1599500</v>
      </c>
      <c r="J5997" s="10">
        <v>0.03950000000000001</v>
      </c>
    </row>
    <row r="5998" spans="1:10">
      <c r="A5998" s="7" t="s">
        <v>6032</v>
      </c>
      <c r="B5998" s="7" t="s">
        <v>7865</v>
      </c>
      <c r="C5998" s="8">
        <f>QS.CONTEXT.CREATE("market.5996",A5998,"USD","SOFR")</f>
        <v/>
      </c>
      <c r="D5998" s="8">
        <f>QS.CONTEXT.ADD.CURVE(C5998,"SOFR",$K$2:$K$7,$L$2:$L$7,,,"Actual360","LogLinear",TRUE)</f>
        <v/>
      </c>
      <c r="E5998" s="8">
        <f>QS.INSTRUMENT.SWAP("swap.5996",C5998,H5998,B5998,"USD","SOFR",I5998,J5998,0,"Actual360","Simple","Annual","Annual","Annual")</f>
        <v/>
      </c>
      <c r="F5998" s="8">
        <f>QS.TRADE.CREATE("trade.5996",C5998,E5998,A5998,"Receive")</f>
        <v/>
      </c>
      <c r="G5998" s="5"/>
      <c r="H5998" s="7" t="s">
        <v>6039</v>
      </c>
      <c r="I5998" s="9">
        <v>1599600</v>
      </c>
      <c r="J5998" s="10">
        <v>0.0396</v>
      </c>
    </row>
    <row r="5999" spans="1:10">
      <c r="A5999" s="7" t="s">
        <v>6033</v>
      </c>
      <c r="B5999" s="7" t="s">
        <v>7866</v>
      </c>
      <c r="C5999" s="8">
        <f>QS.CONTEXT.CREATE("market.5997",A5999,"USD","SOFR")</f>
        <v/>
      </c>
      <c r="D5999" s="8">
        <f>QS.CONTEXT.ADD.CURVE(C5999,"SOFR",$K$2:$K$7,$L$2:$L$7,,,"Actual360","LogLinear",TRUE)</f>
        <v/>
      </c>
      <c r="E5999" s="8">
        <f>QS.INSTRUMENT.SWAP("swap.5997",C5999,H5999,B5999,"USD","SOFR",I5999,J5999,0,"Actual360","Simple","Annual","Annual","Annual")</f>
        <v/>
      </c>
      <c r="F5999" s="8">
        <f>QS.TRADE.CREATE("trade.5997",C5999,E5999,A5999,"Receive")</f>
        <v/>
      </c>
      <c r="G5999" s="5"/>
      <c r="H5999" s="7" t="s">
        <v>6040</v>
      </c>
      <c r="I5999" s="9">
        <v>1599700</v>
      </c>
      <c r="J5999" s="10">
        <v>0.03970000000000001</v>
      </c>
    </row>
    <row r="6000" spans="1:10">
      <c r="A6000" s="7" t="s">
        <v>6034</v>
      </c>
      <c r="B6000" s="7" t="s">
        <v>7867</v>
      </c>
      <c r="C6000" s="8">
        <f>QS.CONTEXT.CREATE("market.5998",A6000,"USD","SOFR")</f>
        <v/>
      </c>
      <c r="D6000" s="8">
        <f>QS.CONTEXT.ADD.CURVE(C6000,"SOFR",$K$2:$K$7,$L$2:$L$7,,,"Actual360","LogLinear",TRUE)</f>
        <v/>
      </c>
      <c r="E6000" s="8">
        <f>QS.INSTRUMENT.SWAP("swap.5998",C6000,H6000,B6000,"USD","SOFR",I6000,J6000,0,"Actual360","Simple","Annual","Annual","Annual")</f>
        <v/>
      </c>
      <c r="F6000" s="8">
        <f>QS.TRADE.CREATE("trade.5998",C6000,E6000,A6000,"Receive")</f>
        <v/>
      </c>
      <c r="G6000" s="5"/>
      <c r="H6000" s="7" t="s">
        <v>6041</v>
      </c>
      <c r="I6000" s="9">
        <v>1599800</v>
      </c>
      <c r="J6000" s="10">
        <v>0.0398</v>
      </c>
    </row>
    <row r="6001" spans="1:10">
      <c r="A6001" s="7" t="s">
        <v>6035</v>
      </c>
      <c r="B6001" s="7" t="s">
        <v>7868</v>
      </c>
      <c r="C6001" s="8">
        <f>QS.CONTEXT.CREATE("market.5999",A6001,"USD","SOFR")</f>
        <v/>
      </c>
      <c r="D6001" s="8">
        <f>QS.CONTEXT.ADD.CURVE(C6001,"SOFR",$K$2:$K$7,$L$2:$L$7,,,"Actual360","LogLinear",TRUE)</f>
        <v/>
      </c>
      <c r="E6001" s="8">
        <f>QS.INSTRUMENT.SWAP("swap.5999",C6001,H6001,B6001,"USD","SOFR",I6001,J6001,0,"Actual360","Simple","Annual","Annual","Annual")</f>
        <v/>
      </c>
      <c r="F6001" s="8">
        <f>QS.TRADE.CREATE("trade.5999",C6001,E6001,A6001,"Receive")</f>
        <v/>
      </c>
      <c r="G6001" s="5"/>
      <c r="H6001" s="7" t="s">
        <v>6042</v>
      </c>
      <c r="I6001" s="9">
        <v>1599900</v>
      </c>
      <c r="J6001" s="10">
        <v>0.0399</v>
      </c>
    </row>
    <row r="6002" spans="1:10">
      <c r="A6002" s="7" t="s">
        <v>6036</v>
      </c>
      <c r="B6002" s="7" t="s">
        <v>7869</v>
      </c>
      <c r="C6002" s="8">
        <f>QS.CONTEXT.CREATE("market.6000",A6002,"USD","SOFR")</f>
        <v/>
      </c>
      <c r="D6002" s="8">
        <f>QS.CONTEXT.ADD.CURVE(C6002,"SOFR",$K$2:$K$7,$L$2:$L$7,,,"Actual360","LogLinear",TRUE)</f>
        <v/>
      </c>
      <c r="E6002" s="8">
        <f>QS.INSTRUMENT.SWAP("swap.6000",C6002,H6002,B6002,"USD","SOFR",I6002,J6002,0,"Actual360","Simple","Annual","Annual","Annual")</f>
        <v/>
      </c>
      <c r="F6002" s="8">
        <f>QS.TRADE.CREATE("trade.6000",C6002,E6002,A6002,"Receive")</f>
        <v/>
      </c>
      <c r="G6002" s="5"/>
      <c r="H6002" s="7" t="s">
        <v>6043</v>
      </c>
      <c r="I6002" s="9">
        <v>1600000</v>
      </c>
      <c r="J6002" s="10">
        <v>0.035</v>
      </c>
    </row>
    <row r="6003" spans="1:10">
      <c r="A6003" s="7" t="s">
        <v>6037</v>
      </c>
      <c r="B6003" s="7" t="s">
        <v>7870</v>
      </c>
      <c r="C6003" s="8">
        <f>QS.CONTEXT.CREATE("market.6001",A6003,"USD","SOFR")</f>
        <v/>
      </c>
      <c r="D6003" s="8">
        <f>QS.CONTEXT.ADD.CURVE(C6003,"SOFR",$K$2:$K$7,$L$2:$L$7,,,"Actual360","LogLinear",TRUE)</f>
        <v/>
      </c>
      <c r="E6003" s="8">
        <f>QS.INSTRUMENT.SWAP("swap.6001",C6003,H6003,B6003,"USD","SOFR",I6003,J6003,0,"Actual360","Simple","Annual","Annual","Annual")</f>
        <v/>
      </c>
      <c r="F6003" s="8">
        <f>QS.TRADE.CREATE("trade.6001",C6003,E6003,A6003,"Receive")</f>
        <v/>
      </c>
      <c r="G6003" s="5"/>
      <c r="H6003" s="7" t="s">
        <v>6044</v>
      </c>
      <c r="I6003" s="9">
        <v>1600100</v>
      </c>
      <c r="J6003" s="10">
        <v>0.03510000000000001</v>
      </c>
    </row>
    <row r="6004" spans="1:10">
      <c r="A6004" s="7" t="s">
        <v>6038</v>
      </c>
      <c r="B6004" s="7" t="s">
        <v>7871</v>
      </c>
      <c r="C6004" s="8">
        <f>QS.CONTEXT.CREATE("market.6002",A6004,"USD","SOFR")</f>
        <v/>
      </c>
      <c r="D6004" s="8">
        <f>QS.CONTEXT.ADD.CURVE(C6004,"SOFR",$K$2:$K$7,$L$2:$L$7,,,"Actual360","LogLinear",TRUE)</f>
        <v/>
      </c>
      <c r="E6004" s="8">
        <f>QS.INSTRUMENT.SWAP("swap.6002",C6004,H6004,B6004,"USD","SOFR",I6004,J6004,0,"Actual360","Simple","Annual","Annual","Annual")</f>
        <v/>
      </c>
      <c r="F6004" s="8">
        <f>QS.TRADE.CREATE("trade.6002",C6004,E6004,A6004,"Receive")</f>
        <v/>
      </c>
      <c r="G6004" s="5"/>
      <c r="H6004" s="7" t="s">
        <v>6045</v>
      </c>
      <c r="I6004" s="9">
        <v>1600200</v>
      </c>
      <c r="J6004" s="10">
        <v>0.0352</v>
      </c>
    </row>
    <row r="6005" spans="1:10">
      <c r="A6005" s="7" t="s">
        <v>6039</v>
      </c>
      <c r="B6005" s="7" t="s">
        <v>7872</v>
      </c>
      <c r="C6005" s="8">
        <f>QS.CONTEXT.CREATE("market.6003",A6005,"USD","SOFR")</f>
        <v/>
      </c>
      <c r="D6005" s="8">
        <f>QS.CONTEXT.ADD.CURVE(C6005,"SOFR",$K$2:$K$7,$L$2:$L$7,,,"Actual360","LogLinear",TRUE)</f>
        <v/>
      </c>
      <c r="E6005" s="8">
        <f>QS.INSTRUMENT.SWAP("swap.6003",C6005,H6005,B6005,"USD","SOFR",I6005,J6005,0,"Actual360","Simple","Annual","Annual","Annual")</f>
        <v/>
      </c>
      <c r="F6005" s="8">
        <f>QS.TRADE.CREATE("trade.6003",C6005,E6005,A6005,"Receive")</f>
        <v/>
      </c>
      <c r="G6005" s="5"/>
      <c r="H6005" s="7" t="s">
        <v>6046</v>
      </c>
      <c r="I6005" s="9">
        <v>1600300</v>
      </c>
      <c r="J6005" s="10">
        <v>0.0353</v>
      </c>
    </row>
    <row r="6006" spans="1:10">
      <c r="A6006" s="7" t="s">
        <v>6040</v>
      </c>
      <c r="B6006" s="7" t="s">
        <v>7873</v>
      </c>
      <c r="C6006" s="8">
        <f>QS.CONTEXT.CREATE("market.6004",A6006,"USD","SOFR")</f>
        <v/>
      </c>
      <c r="D6006" s="8">
        <f>QS.CONTEXT.ADD.CURVE(C6006,"SOFR",$K$2:$K$7,$L$2:$L$7,,,"Actual360","LogLinear",TRUE)</f>
        <v/>
      </c>
      <c r="E6006" s="8">
        <f>QS.INSTRUMENT.SWAP("swap.6004",C6006,H6006,B6006,"USD","SOFR",I6006,J6006,0,"Actual360","Simple","Annual","Annual","Annual")</f>
        <v/>
      </c>
      <c r="F6006" s="8">
        <f>QS.TRADE.CREATE("trade.6004",C6006,E6006,A6006,"Receive")</f>
        <v/>
      </c>
      <c r="G6006" s="5"/>
      <c r="H6006" s="7" t="s">
        <v>6047</v>
      </c>
      <c r="I6006" s="9">
        <v>1600400</v>
      </c>
      <c r="J6006" s="10">
        <v>0.0354</v>
      </c>
    </row>
    <row r="6007" spans="1:10">
      <c r="A6007" s="7" t="s">
        <v>6041</v>
      </c>
      <c r="B6007" s="7" t="s">
        <v>7874</v>
      </c>
      <c r="C6007" s="8">
        <f>QS.CONTEXT.CREATE("market.6005",A6007,"USD","SOFR")</f>
        <v/>
      </c>
      <c r="D6007" s="8">
        <f>QS.CONTEXT.ADD.CURVE(C6007,"SOFR",$K$2:$K$7,$L$2:$L$7,,,"Actual360","LogLinear",TRUE)</f>
        <v/>
      </c>
      <c r="E6007" s="8">
        <f>QS.INSTRUMENT.SWAP("swap.6005",C6007,H6007,B6007,"USD","SOFR",I6007,J6007,0,"Actual360","Simple","Annual","Annual","Annual")</f>
        <v/>
      </c>
      <c r="F6007" s="8">
        <f>QS.TRADE.CREATE("trade.6005",C6007,E6007,A6007,"Receive")</f>
        <v/>
      </c>
      <c r="G6007" s="5"/>
      <c r="H6007" s="7" t="s">
        <v>6048</v>
      </c>
      <c r="I6007" s="9">
        <v>1600500</v>
      </c>
      <c r="J6007" s="10">
        <v>0.0355</v>
      </c>
    </row>
    <row r="6008" spans="1:10">
      <c r="A6008" s="7" t="s">
        <v>6042</v>
      </c>
      <c r="B6008" s="7" t="s">
        <v>7875</v>
      </c>
      <c r="C6008" s="8">
        <f>QS.CONTEXT.CREATE("market.6006",A6008,"USD","SOFR")</f>
        <v/>
      </c>
      <c r="D6008" s="8">
        <f>QS.CONTEXT.ADD.CURVE(C6008,"SOFR",$K$2:$K$7,$L$2:$L$7,,,"Actual360","LogLinear",TRUE)</f>
        <v/>
      </c>
      <c r="E6008" s="8">
        <f>QS.INSTRUMENT.SWAP("swap.6006",C6008,H6008,B6008,"USD","SOFR",I6008,J6008,0,"Actual360","Simple","Annual","Annual","Annual")</f>
        <v/>
      </c>
      <c r="F6008" s="8">
        <f>QS.TRADE.CREATE("trade.6006",C6008,E6008,A6008,"Receive")</f>
        <v/>
      </c>
      <c r="G6008" s="5"/>
      <c r="H6008" s="7" t="s">
        <v>6049</v>
      </c>
      <c r="I6008" s="9">
        <v>1600600</v>
      </c>
      <c r="J6008" s="10">
        <v>0.03560000000000001</v>
      </c>
    </row>
    <row r="6009" spans="1:10">
      <c r="A6009" s="7" t="s">
        <v>6043</v>
      </c>
      <c r="B6009" s="7" t="s">
        <v>7876</v>
      </c>
      <c r="C6009" s="8">
        <f>QS.CONTEXT.CREATE("market.6007",A6009,"USD","SOFR")</f>
        <v/>
      </c>
      <c r="D6009" s="8">
        <f>QS.CONTEXT.ADD.CURVE(C6009,"SOFR",$K$2:$K$7,$L$2:$L$7,,,"Actual360","LogLinear",TRUE)</f>
        <v/>
      </c>
      <c r="E6009" s="8">
        <f>QS.INSTRUMENT.SWAP("swap.6007",C6009,H6009,B6009,"USD","SOFR",I6009,J6009,0,"Actual360","Simple","Annual","Annual","Annual")</f>
        <v/>
      </c>
      <c r="F6009" s="8">
        <f>QS.TRADE.CREATE("trade.6007",C6009,E6009,A6009,"Receive")</f>
        <v/>
      </c>
      <c r="G6009" s="5"/>
      <c r="H6009" s="7" t="s">
        <v>6050</v>
      </c>
      <c r="I6009" s="9">
        <v>1600700</v>
      </c>
      <c r="J6009" s="10">
        <v>0.0357</v>
      </c>
    </row>
    <row r="6010" spans="1:10">
      <c r="A6010" s="7" t="s">
        <v>6044</v>
      </c>
      <c r="B6010" s="7" t="s">
        <v>7877</v>
      </c>
      <c r="C6010" s="8">
        <f>QS.CONTEXT.CREATE("market.6008",A6010,"USD","SOFR")</f>
        <v/>
      </c>
      <c r="D6010" s="8">
        <f>QS.CONTEXT.ADD.CURVE(C6010,"SOFR",$K$2:$K$7,$L$2:$L$7,,,"Actual360","LogLinear",TRUE)</f>
        <v/>
      </c>
      <c r="E6010" s="8">
        <f>QS.INSTRUMENT.SWAP("swap.6008",C6010,H6010,B6010,"USD","SOFR",I6010,J6010,0,"Actual360","Simple","Annual","Annual","Annual")</f>
        <v/>
      </c>
      <c r="F6010" s="8">
        <f>QS.TRADE.CREATE("trade.6008",C6010,E6010,A6010,"Receive")</f>
        <v/>
      </c>
      <c r="G6010" s="5"/>
      <c r="H6010" s="7" t="s">
        <v>6051</v>
      </c>
      <c r="I6010" s="9">
        <v>1600800</v>
      </c>
      <c r="J6010" s="10">
        <v>0.03580000000000001</v>
      </c>
    </row>
    <row r="6011" spans="1:10">
      <c r="A6011" s="7" t="s">
        <v>6045</v>
      </c>
      <c r="B6011" s="7" t="s">
        <v>7878</v>
      </c>
      <c r="C6011" s="8">
        <f>QS.CONTEXT.CREATE("market.6009",A6011,"USD","SOFR")</f>
        <v/>
      </c>
      <c r="D6011" s="8">
        <f>QS.CONTEXT.ADD.CURVE(C6011,"SOFR",$K$2:$K$7,$L$2:$L$7,,,"Actual360","LogLinear",TRUE)</f>
        <v/>
      </c>
      <c r="E6011" s="8">
        <f>QS.INSTRUMENT.SWAP("swap.6009",C6011,H6011,B6011,"USD","SOFR",I6011,J6011,0,"Actual360","Simple","Annual","Annual","Annual")</f>
        <v/>
      </c>
      <c r="F6011" s="8">
        <f>QS.TRADE.CREATE("trade.6009",C6011,E6011,A6011,"Receive")</f>
        <v/>
      </c>
      <c r="G6011" s="5"/>
      <c r="H6011" s="7" t="s">
        <v>6052</v>
      </c>
      <c r="I6011" s="9">
        <v>1600900</v>
      </c>
      <c r="J6011" s="10">
        <v>0.0359</v>
      </c>
    </row>
    <row r="6012" spans="1:10">
      <c r="A6012" s="7" t="s">
        <v>6046</v>
      </c>
      <c r="B6012" s="7" t="s">
        <v>7879</v>
      </c>
      <c r="C6012" s="8">
        <f>QS.CONTEXT.CREATE("market.6010",A6012,"USD","SOFR")</f>
        <v/>
      </c>
      <c r="D6012" s="8">
        <f>QS.CONTEXT.ADD.CURVE(C6012,"SOFR",$K$2:$K$7,$L$2:$L$7,,,"Actual360","LogLinear",TRUE)</f>
        <v/>
      </c>
      <c r="E6012" s="8">
        <f>QS.INSTRUMENT.SWAP("swap.6010",C6012,H6012,B6012,"USD","SOFR",I6012,J6012,0,"Actual360","Simple","Annual","Annual","Annual")</f>
        <v/>
      </c>
      <c r="F6012" s="8">
        <f>QS.TRADE.CREATE("trade.6010",C6012,E6012,A6012,"Receive")</f>
        <v/>
      </c>
      <c r="G6012" s="5"/>
      <c r="H6012" s="7" t="s">
        <v>6053</v>
      </c>
      <c r="I6012" s="9">
        <v>1601000</v>
      </c>
      <c r="J6012" s="10">
        <v>0.036</v>
      </c>
    </row>
    <row r="6013" spans="1:10">
      <c r="A6013" s="7" t="s">
        <v>6047</v>
      </c>
      <c r="B6013" s="7" t="s">
        <v>7880</v>
      </c>
      <c r="C6013" s="8">
        <f>QS.CONTEXT.CREATE("market.6011",A6013,"USD","SOFR")</f>
        <v/>
      </c>
      <c r="D6013" s="8">
        <f>QS.CONTEXT.ADD.CURVE(C6013,"SOFR",$K$2:$K$7,$L$2:$L$7,,,"Actual360","LogLinear",TRUE)</f>
        <v/>
      </c>
      <c r="E6013" s="8">
        <f>QS.INSTRUMENT.SWAP("swap.6011",C6013,H6013,B6013,"USD","SOFR",I6013,J6013,0,"Actual360","Simple","Annual","Annual","Annual")</f>
        <v/>
      </c>
      <c r="F6013" s="8">
        <f>QS.TRADE.CREATE("trade.6011",C6013,E6013,A6013,"Receive")</f>
        <v/>
      </c>
      <c r="G6013" s="5"/>
      <c r="H6013" s="7" t="s">
        <v>6054</v>
      </c>
      <c r="I6013" s="9">
        <v>1601100</v>
      </c>
      <c r="J6013" s="10">
        <v>0.0361</v>
      </c>
    </row>
    <row r="6014" spans="1:10">
      <c r="A6014" s="7" t="s">
        <v>6048</v>
      </c>
      <c r="B6014" s="7" t="s">
        <v>7881</v>
      </c>
      <c r="C6014" s="8">
        <f>QS.CONTEXT.CREATE("market.6012",A6014,"USD","SOFR")</f>
        <v/>
      </c>
      <c r="D6014" s="8">
        <f>QS.CONTEXT.ADD.CURVE(C6014,"SOFR",$K$2:$K$7,$L$2:$L$7,,,"Actual360","LogLinear",TRUE)</f>
        <v/>
      </c>
      <c r="E6014" s="8">
        <f>QS.INSTRUMENT.SWAP("swap.6012",C6014,H6014,B6014,"USD","SOFR",I6014,J6014,0,"Actual360","Simple","Annual","Annual","Annual")</f>
        <v/>
      </c>
      <c r="F6014" s="8">
        <f>QS.TRADE.CREATE("trade.6012",C6014,E6014,A6014,"Receive")</f>
        <v/>
      </c>
      <c r="G6014" s="5"/>
      <c r="H6014" s="7" t="s">
        <v>6055</v>
      </c>
      <c r="I6014" s="9">
        <v>1601200</v>
      </c>
      <c r="J6014" s="10">
        <v>0.0362</v>
      </c>
    </row>
    <row r="6015" spans="1:10">
      <c r="A6015" s="7" t="s">
        <v>6049</v>
      </c>
      <c r="B6015" s="7" t="s">
        <v>7882</v>
      </c>
      <c r="C6015" s="8">
        <f>QS.CONTEXT.CREATE("market.6013",A6015,"USD","SOFR")</f>
        <v/>
      </c>
      <c r="D6015" s="8">
        <f>QS.CONTEXT.ADD.CURVE(C6015,"SOFR",$K$2:$K$7,$L$2:$L$7,,,"Actual360","LogLinear",TRUE)</f>
        <v/>
      </c>
      <c r="E6015" s="8">
        <f>QS.INSTRUMENT.SWAP("swap.6013",C6015,H6015,B6015,"USD","SOFR",I6015,J6015,0,"Actual360","Simple","Annual","Annual","Annual")</f>
        <v/>
      </c>
      <c r="F6015" s="8">
        <f>QS.TRADE.CREATE("trade.6013",C6015,E6015,A6015,"Receive")</f>
        <v/>
      </c>
      <c r="G6015" s="5"/>
      <c r="H6015" s="7" t="s">
        <v>6056</v>
      </c>
      <c r="I6015" s="9">
        <v>1601300</v>
      </c>
      <c r="J6015" s="10">
        <v>0.03630000000000001</v>
      </c>
    </row>
    <row r="6016" spans="1:10">
      <c r="A6016" s="7" t="s">
        <v>6050</v>
      </c>
      <c r="B6016" s="7" t="s">
        <v>7883</v>
      </c>
      <c r="C6016" s="8">
        <f>QS.CONTEXT.CREATE("market.6014",A6016,"USD","SOFR")</f>
        <v/>
      </c>
      <c r="D6016" s="8">
        <f>QS.CONTEXT.ADD.CURVE(C6016,"SOFR",$K$2:$K$7,$L$2:$L$7,,,"Actual360","LogLinear",TRUE)</f>
        <v/>
      </c>
      <c r="E6016" s="8">
        <f>QS.INSTRUMENT.SWAP("swap.6014",C6016,H6016,B6016,"USD","SOFR",I6016,J6016,0,"Actual360","Simple","Annual","Annual","Annual")</f>
        <v/>
      </c>
      <c r="F6016" s="8">
        <f>QS.TRADE.CREATE("trade.6014",C6016,E6016,A6016,"Receive")</f>
        <v/>
      </c>
      <c r="G6016" s="5"/>
      <c r="H6016" s="7" t="s">
        <v>6057</v>
      </c>
      <c r="I6016" s="9">
        <v>1601400</v>
      </c>
      <c r="J6016" s="10">
        <v>0.0364</v>
      </c>
    </row>
    <row r="6017" spans="1:10">
      <c r="A6017" s="7" t="s">
        <v>6051</v>
      </c>
      <c r="B6017" s="7" t="s">
        <v>7884</v>
      </c>
      <c r="C6017" s="8">
        <f>QS.CONTEXT.CREATE("market.6015",A6017,"USD","SOFR")</f>
        <v/>
      </c>
      <c r="D6017" s="8">
        <f>QS.CONTEXT.ADD.CURVE(C6017,"SOFR",$K$2:$K$7,$L$2:$L$7,,,"Actual360","LogLinear",TRUE)</f>
        <v/>
      </c>
      <c r="E6017" s="8">
        <f>QS.INSTRUMENT.SWAP("swap.6015",C6017,H6017,B6017,"USD","SOFR",I6017,J6017,0,"Actual360","Simple","Annual","Annual","Annual")</f>
        <v/>
      </c>
      <c r="F6017" s="8">
        <f>QS.TRADE.CREATE("trade.6015",C6017,E6017,A6017,"Receive")</f>
        <v/>
      </c>
      <c r="G6017" s="5"/>
      <c r="H6017" s="7" t="s">
        <v>6058</v>
      </c>
      <c r="I6017" s="9">
        <v>1601500</v>
      </c>
      <c r="J6017" s="10">
        <v>0.0365</v>
      </c>
    </row>
    <row r="6018" spans="1:10">
      <c r="A6018" s="7" t="s">
        <v>6052</v>
      </c>
      <c r="B6018" s="7" t="s">
        <v>7885</v>
      </c>
      <c r="C6018" s="8">
        <f>QS.CONTEXT.CREATE("market.6016",A6018,"USD","SOFR")</f>
        <v/>
      </c>
      <c r="D6018" s="8">
        <f>QS.CONTEXT.ADD.CURVE(C6018,"SOFR",$K$2:$K$7,$L$2:$L$7,,,"Actual360","LogLinear",TRUE)</f>
        <v/>
      </c>
      <c r="E6018" s="8">
        <f>QS.INSTRUMENT.SWAP("swap.6016",C6018,H6018,B6018,"USD","SOFR",I6018,J6018,0,"Actual360","Simple","Annual","Annual","Annual")</f>
        <v/>
      </c>
      <c r="F6018" s="8">
        <f>QS.TRADE.CREATE("trade.6016",C6018,E6018,A6018,"Receive")</f>
        <v/>
      </c>
      <c r="G6018" s="5"/>
      <c r="H6018" s="7" t="s">
        <v>6059</v>
      </c>
      <c r="I6018" s="9">
        <v>1601600</v>
      </c>
      <c r="J6018" s="10">
        <v>0.0366</v>
      </c>
    </row>
    <row r="6019" spans="1:10">
      <c r="A6019" s="7" t="s">
        <v>6053</v>
      </c>
      <c r="B6019" s="7" t="s">
        <v>7886</v>
      </c>
      <c r="C6019" s="8">
        <f>QS.CONTEXT.CREATE("market.6017",A6019,"USD","SOFR")</f>
        <v/>
      </c>
      <c r="D6019" s="8">
        <f>QS.CONTEXT.ADD.CURVE(C6019,"SOFR",$K$2:$K$7,$L$2:$L$7,,,"Actual360","LogLinear",TRUE)</f>
        <v/>
      </c>
      <c r="E6019" s="8">
        <f>QS.INSTRUMENT.SWAP("swap.6017",C6019,H6019,B6019,"USD","SOFR",I6019,J6019,0,"Actual360","Simple","Annual","Annual","Annual")</f>
        <v/>
      </c>
      <c r="F6019" s="8">
        <f>QS.TRADE.CREATE("trade.6017",C6019,E6019,A6019,"Receive")</f>
        <v/>
      </c>
      <c r="G6019" s="5"/>
      <c r="H6019" s="7" t="s">
        <v>6060</v>
      </c>
      <c r="I6019" s="9">
        <v>1601700</v>
      </c>
      <c r="J6019" s="10">
        <v>0.0367</v>
      </c>
    </row>
    <row r="6020" spans="1:10">
      <c r="A6020" s="7" t="s">
        <v>6054</v>
      </c>
      <c r="B6020" s="7" t="s">
        <v>7887</v>
      </c>
      <c r="C6020" s="8">
        <f>QS.CONTEXT.CREATE("market.6018",A6020,"USD","SOFR")</f>
        <v/>
      </c>
      <c r="D6020" s="8">
        <f>QS.CONTEXT.ADD.CURVE(C6020,"SOFR",$K$2:$K$7,$L$2:$L$7,,,"Actual360","LogLinear",TRUE)</f>
        <v/>
      </c>
      <c r="E6020" s="8">
        <f>QS.INSTRUMENT.SWAP("swap.6018",C6020,H6020,B6020,"USD","SOFR",I6020,J6020,0,"Actual360","Simple","Annual","Annual","Annual")</f>
        <v/>
      </c>
      <c r="F6020" s="8">
        <f>QS.TRADE.CREATE("trade.6018",C6020,E6020,A6020,"Receive")</f>
        <v/>
      </c>
      <c r="G6020" s="5"/>
      <c r="H6020" s="7" t="s">
        <v>6061</v>
      </c>
      <c r="I6020" s="9">
        <v>1601800</v>
      </c>
      <c r="J6020" s="10">
        <v>0.03680000000000001</v>
      </c>
    </row>
    <row r="6021" spans="1:10">
      <c r="A6021" s="7" t="s">
        <v>6055</v>
      </c>
      <c r="B6021" s="7" t="s">
        <v>7888</v>
      </c>
      <c r="C6021" s="8">
        <f>QS.CONTEXT.CREATE("market.6019",A6021,"USD","SOFR")</f>
        <v/>
      </c>
      <c r="D6021" s="8">
        <f>QS.CONTEXT.ADD.CURVE(C6021,"SOFR",$K$2:$K$7,$L$2:$L$7,,,"Actual360","LogLinear",TRUE)</f>
        <v/>
      </c>
      <c r="E6021" s="8">
        <f>QS.INSTRUMENT.SWAP("swap.6019",C6021,H6021,B6021,"USD","SOFR",I6021,J6021,0,"Actual360","Simple","Annual","Annual","Annual")</f>
        <v/>
      </c>
      <c r="F6021" s="8">
        <f>QS.TRADE.CREATE("trade.6019",C6021,E6021,A6021,"Receive")</f>
        <v/>
      </c>
      <c r="G6021" s="5"/>
      <c r="H6021" s="7" t="s">
        <v>6062</v>
      </c>
      <c r="I6021" s="9">
        <v>1601900</v>
      </c>
      <c r="J6021" s="10">
        <v>0.0369</v>
      </c>
    </row>
    <row r="6022" spans="1:10">
      <c r="A6022" s="7" t="s">
        <v>6056</v>
      </c>
      <c r="B6022" s="7" t="s">
        <v>7889</v>
      </c>
      <c r="C6022" s="8">
        <f>QS.CONTEXT.CREATE("market.6020",A6022,"USD","SOFR")</f>
        <v/>
      </c>
      <c r="D6022" s="8">
        <f>QS.CONTEXT.ADD.CURVE(C6022,"SOFR",$K$2:$K$7,$L$2:$L$7,,,"Actual360","LogLinear",TRUE)</f>
        <v/>
      </c>
      <c r="E6022" s="8">
        <f>QS.INSTRUMENT.SWAP("swap.6020",C6022,H6022,B6022,"USD","SOFR",I6022,J6022,0,"Actual360","Simple","Annual","Annual","Annual")</f>
        <v/>
      </c>
      <c r="F6022" s="8">
        <f>QS.TRADE.CREATE("trade.6020",C6022,E6022,A6022,"Receive")</f>
        <v/>
      </c>
      <c r="G6022" s="5"/>
      <c r="H6022" s="7" t="s">
        <v>6063</v>
      </c>
      <c r="I6022" s="9">
        <v>1602000</v>
      </c>
      <c r="J6022" s="10">
        <v>0.03700000000000001</v>
      </c>
    </row>
    <row r="6023" spans="1:10">
      <c r="A6023" s="7" t="s">
        <v>6057</v>
      </c>
      <c r="B6023" s="7" t="s">
        <v>7890</v>
      </c>
      <c r="C6023" s="8">
        <f>QS.CONTEXT.CREATE("market.6021",A6023,"USD","SOFR")</f>
        <v/>
      </c>
      <c r="D6023" s="8">
        <f>QS.CONTEXT.ADD.CURVE(C6023,"SOFR",$K$2:$K$7,$L$2:$L$7,,,"Actual360","LogLinear",TRUE)</f>
        <v/>
      </c>
      <c r="E6023" s="8">
        <f>QS.INSTRUMENT.SWAP("swap.6021",C6023,H6023,B6023,"USD","SOFR",I6023,J6023,0,"Actual360","Simple","Annual","Annual","Annual")</f>
        <v/>
      </c>
      <c r="F6023" s="8">
        <f>QS.TRADE.CREATE("trade.6021",C6023,E6023,A6023,"Receive")</f>
        <v/>
      </c>
      <c r="G6023" s="5"/>
      <c r="H6023" s="7" t="s">
        <v>6064</v>
      </c>
      <c r="I6023" s="9">
        <v>1602100</v>
      </c>
      <c r="J6023" s="10">
        <v>0.0371</v>
      </c>
    </row>
    <row r="6024" spans="1:10">
      <c r="A6024" s="7" t="s">
        <v>6058</v>
      </c>
      <c r="B6024" s="7" t="s">
        <v>7891</v>
      </c>
      <c r="C6024" s="8">
        <f>QS.CONTEXT.CREATE("market.6022",A6024,"USD","SOFR")</f>
        <v/>
      </c>
      <c r="D6024" s="8">
        <f>QS.CONTEXT.ADD.CURVE(C6024,"SOFR",$K$2:$K$7,$L$2:$L$7,,,"Actual360","LogLinear",TRUE)</f>
        <v/>
      </c>
      <c r="E6024" s="8">
        <f>QS.INSTRUMENT.SWAP("swap.6022",C6024,H6024,B6024,"USD","SOFR",I6024,J6024,0,"Actual360","Simple","Annual","Annual","Annual")</f>
        <v/>
      </c>
      <c r="F6024" s="8">
        <f>QS.TRADE.CREATE("trade.6022",C6024,E6024,A6024,"Receive")</f>
        <v/>
      </c>
      <c r="G6024" s="5"/>
      <c r="H6024" s="7" t="s">
        <v>6065</v>
      </c>
      <c r="I6024" s="9">
        <v>1602200</v>
      </c>
      <c r="J6024" s="10">
        <v>0.0372</v>
      </c>
    </row>
    <row r="6025" spans="1:10">
      <c r="A6025" s="7" t="s">
        <v>6059</v>
      </c>
      <c r="B6025" s="7" t="s">
        <v>7892</v>
      </c>
      <c r="C6025" s="8">
        <f>QS.CONTEXT.CREATE("market.6023",A6025,"USD","SOFR")</f>
        <v/>
      </c>
      <c r="D6025" s="8">
        <f>QS.CONTEXT.ADD.CURVE(C6025,"SOFR",$K$2:$K$7,$L$2:$L$7,,,"Actual360","LogLinear",TRUE)</f>
        <v/>
      </c>
      <c r="E6025" s="8">
        <f>QS.INSTRUMENT.SWAP("swap.6023",C6025,H6025,B6025,"USD","SOFR",I6025,J6025,0,"Actual360","Simple","Annual","Annual","Annual")</f>
        <v/>
      </c>
      <c r="F6025" s="8">
        <f>QS.TRADE.CREATE("trade.6023",C6025,E6025,A6025,"Receive")</f>
        <v/>
      </c>
      <c r="G6025" s="5"/>
      <c r="H6025" s="7" t="s">
        <v>6066</v>
      </c>
      <c r="I6025" s="9">
        <v>1602300</v>
      </c>
      <c r="J6025" s="10">
        <v>0.0373</v>
      </c>
    </row>
    <row r="6026" spans="1:10">
      <c r="A6026" s="7" t="s">
        <v>6060</v>
      </c>
      <c r="B6026" s="7" t="s">
        <v>7893</v>
      </c>
      <c r="C6026" s="8">
        <f>QS.CONTEXT.CREATE("market.6024",A6026,"USD","SOFR")</f>
        <v/>
      </c>
      <c r="D6026" s="8">
        <f>QS.CONTEXT.ADD.CURVE(C6026,"SOFR",$K$2:$K$7,$L$2:$L$7,,,"Actual360","LogLinear",TRUE)</f>
        <v/>
      </c>
      <c r="E6026" s="8">
        <f>QS.INSTRUMENT.SWAP("swap.6024",C6026,H6026,B6026,"USD","SOFR",I6026,J6026,0,"Actual360","Simple","Annual","Annual","Annual")</f>
        <v/>
      </c>
      <c r="F6026" s="8">
        <f>QS.TRADE.CREATE("trade.6024",C6026,E6026,A6026,"Receive")</f>
        <v/>
      </c>
      <c r="G6026" s="5"/>
      <c r="H6026" s="7" t="s">
        <v>6067</v>
      </c>
      <c r="I6026" s="9">
        <v>1602400</v>
      </c>
      <c r="J6026" s="10">
        <v>0.0374</v>
      </c>
    </row>
    <row r="6027" spans="1:10">
      <c r="A6027" s="7" t="s">
        <v>6061</v>
      </c>
      <c r="B6027" s="7" t="s">
        <v>7894</v>
      </c>
      <c r="C6027" s="8">
        <f>QS.CONTEXT.CREATE("market.6025",A6027,"USD","SOFR")</f>
        <v/>
      </c>
      <c r="D6027" s="8">
        <f>QS.CONTEXT.ADD.CURVE(C6027,"SOFR",$K$2:$K$7,$L$2:$L$7,,,"Actual360","LogLinear",TRUE)</f>
        <v/>
      </c>
      <c r="E6027" s="8">
        <f>QS.INSTRUMENT.SWAP("swap.6025",C6027,H6027,B6027,"USD","SOFR",I6027,J6027,0,"Actual360","Simple","Annual","Annual","Annual")</f>
        <v/>
      </c>
      <c r="F6027" s="8">
        <f>QS.TRADE.CREATE("trade.6025",C6027,E6027,A6027,"Receive")</f>
        <v/>
      </c>
      <c r="G6027" s="5"/>
      <c r="H6027" s="7" t="s">
        <v>6068</v>
      </c>
      <c r="I6027" s="9">
        <v>1602500</v>
      </c>
      <c r="J6027" s="10">
        <v>0.03750000000000001</v>
      </c>
    </row>
    <row r="6028" spans="1:10">
      <c r="A6028" s="7" t="s">
        <v>6062</v>
      </c>
      <c r="B6028" s="7" t="s">
        <v>7895</v>
      </c>
      <c r="C6028" s="8">
        <f>QS.CONTEXT.CREATE("market.6026",A6028,"USD","SOFR")</f>
        <v/>
      </c>
      <c r="D6028" s="8">
        <f>QS.CONTEXT.ADD.CURVE(C6028,"SOFR",$K$2:$K$7,$L$2:$L$7,,,"Actual360","LogLinear",TRUE)</f>
        <v/>
      </c>
      <c r="E6028" s="8">
        <f>QS.INSTRUMENT.SWAP("swap.6026",C6028,H6028,B6028,"USD","SOFR",I6028,J6028,0,"Actual360","Simple","Annual","Annual","Annual")</f>
        <v/>
      </c>
      <c r="F6028" s="8">
        <f>QS.TRADE.CREATE("trade.6026",C6028,E6028,A6028,"Receive")</f>
        <v/>
      </c>
      <c r="G6028" s="5"/>
      <c r="H6028" s="7" t="s">
        <v>6069</v>
      </c>
      <c r="I6028" s="9">
        <v>1602600</v>
      </c>
      <c r="J6028" s="10">
        <v>0.0376</v>
      </c>
    </row>
    <row r="6029" spans="1:10">
      <c r="A6029" s="7" t="s">
        <v>6063</v>
      </c>
      <c r="B6029" s="7" t="s">
        <v>7896</v>
      </c>
      <c r="C6029" s="8">
        <f>QS.CONTEXT.CREATE("market.6027",A6029,"USD","SOFR")</f>
        <v/>
      </c>
      <c r="D6029" s="8">
        <f>QS.CONTEXT.ADD.CURVE(C6029,"SOFR",$K$2:$K$7,$L$2:$L$7,,,"Actual360","LogLinear",TRUE)</f>
        <v/>
      </c>
      <c r="E6029" s="8">
        <f>QS.INSTRUMENT.SWAP("swap.6027",C6029,H6029,B6029,"USD","SOFR",I6029,J6029,0,"Actual360","Simple","Annual","Annual","Annual")</f>
        <v/>
      </c>
      <c r="F6029" s="8">
        <f>QS.TRADE.CREATE("trade.6027",C6029,E6029,A6029,"Receive")</f>
        <v/>
      </c>
      <c r="G6029" s="5"/>
      <c r="H6029" s="7" t="s">
        <v>6070</v>
      </c>
      <c r="I6029" s="9">
        <v>1602700</v>
      </c>
      <c r="J6029" s="10">
        <v>0.0377</v>
      </c>
    </row>
    <row r="6030" spans="1:10">
      <c r="A6030" s="7" t="s">
        <v>6064</v>
      </c>
      <c r="B6030" s="7" t="s">
        <v>7897</v>
      </c>
      <c r="C6030" s="8">
        <f>QS.CONTEXT.CREATE("market.6028",A6030,"USD","SOFR")</f>
        <v/>
      </c>
      <c r="D6030" s="8">
        <f>QS.CONTEXT.ADD.CURVE(C6030,"SOFR",$K$2:$K$7,$L$2:$L$7,,,"Actual360","LogLinear",TRUE)</f>
        <v/>
      </c>
      <c r="E6030" s="8">
        <f>QS.INSTRUMENT.SWAP("swap.6028",C6030,H6030,B6030,"USD","SOFR",I6030,J6030,0,"Actual360","Simple","Annual","Annual","Annual")</f>
        <v/>
      </c>
      <c r="F6030" s="8">
        <f>QS.TRADE.CREATE("trade.6028",C6030,E6030,A6030,"Receive")</f>
        <v/>
      </c>
      <c r="G6030" s="5"/>
      <c r="H6030" s="7" t="s">
        <v>6071</v>
      </c>
      <c r="I6030" s="9">
        <v>1602800</v>
      </c>
      <c r="J6030" s="10">
        <v>0.0378</v>
      </c>
    </row>
    <row r="6031" spans="1:10">
      <c r="A6031" s="7" t="s">
        <v>6065</v>
      </c>
      <c r="B6031" s="7" t="s">
        <v>7898</v>
      </c>
      <c r="C6031" s="8">
        <f>QS.CONTEXT.CREATE("market.6029",A6031,"USD","SOFR")</f>
        <v/>
      </c>
      <c r="D6031" s="8">
        <f>QS.CONTEXT.ADD.CURVE(C6031,"SOFR",$K$2:$K$7,$L$2:$L$7,,,"Actual360","LogLinear",TRUE)</f>
        <v/>
      </c>
      <c r="E6031" s="8">
        <f>QS.INSTRUMENT.SWAP("swap.6029",C6031,H6031,B6031,"USD","SOFR",I6031,J6031,0,"Actual360","Simple","Annual","Annual","Annual")</f>
        <v/>
      </c>
      <c r="F6031" s="8">
        <f>QS.TRADE.CREATE("trade.6029",C6031,E6031,A6031,"Receive")</f>
        <v/>
      </c>
      <c r="G6031" s="5"/>
      <c r="H6031" s="7" t="s">
        <v>6072</v>
      </c>
      <c r="I6031" s="9">
        <v>1602900</v>
      </c>
      <c r="J6031" s="10">
        <v>0.0379</v>
      </c>
    </row>
    <row r="6032" spans="1:10">
      <c r="A6032" s="7" t="s">
        <v>6066</v>
      </c>
      <c r="B6032" s="7" t="s">
        <v>7899</v>
      </c>
      <c r="C6032" s="8">
        <f>QS.CONTEXT.CREATE("market.6030",A6032,"USD","SOFR")</f>
        <v/>
      </c>
      <c r="D6032" s="8">
        <f>QS.CONTEXT.ADD.CURVE(C6032,"SOFR",$K$2:$K$7,$L$2:$L$7,,,"Actual360","LogLinear",TRUE)</f>
        <v/>
      </c>
      <c r="E6032" s="8">
        <f>QS.INSTRUMENT.SWAP("swap.6030",C6032,H6032,B6032,"USD","SOFR",I6032,J6032,0,"Actual360","Simple","Annual","Annual","Annual")</f>
        <v/>
      </c>
      <c r="F6032" s="8">
        <f>QS.TRADE.CREATE("trade.6030",C6032,E6032,A6032,"Receive")</f>
        <v/>
      </c>
      <c r="G6032" s="5"/>
      <c r="H6032" s="7" t="s">
        <v>6073</v>
      </c>
      <c r="I6032" s="9">
        <v>1603000</v>
      </c>
      <c r="J6032" s="10">
        <v>0.03800000000000001</v>
      </c>
    </row>
    <row r="6033" spans="1:10">
      <c r="A6033" s="7" t="s">
        <v>6067</v>
      </c>
      <c r="B6033" s="7" t="s">
        <v>7900</v>
      </c>
      <c r="C6033" s="8">
        <f>QS.CONTEXT.CREATE("market.6031",A6033,"USD","SOFR")</f>
        <v/>
      </c>
      <c r="D6033" s="8">
        <f>QS.CONTEXT.ADD.CURVE(C6033,"SOFR",$K$2:$K$7,$L$2:$L$7,,,"Actual360","LogLinear",TRUE)</f>
        <v/>
      </c>
      <c r="E6033" s="8">
        <f>QS.INSTRUMENT.SWAP("swap.6031",C6033,H6033,B6033,"USD","SOFR",I6033,J6033,0,"Actual360","Simple","Annual","Annual","Annual")</f>
        <v/>
      </c>
      <c r="F6033" s="8">
        <f>QS.TRADE.CREATE("trade.6031",C6033,E6033,A6033,"Receive")</f>
        <v/>
      </c>
      <c r="G6033" s="5"/>
      <c r="H6033" s="7" t="s">
        <v>6074</v>
      </c>
      <c r="I6033" s="9">
        <v>1603100</v>
      </c>
      <c r="J6033" s="10">
        <v>0.0381</v>
      </c>
    </row>
    <row r="6034" spans="1:10">
      <c r="A6034" s="7" t="s">
        <v>6068</v>
      </c>
      <c r="B6034" s="7" t="s">
        <v>7901</v>
      </c>
      <c r="C6034" s="8">
        <f>QS.CONTEXT.CREATE("market.6032",A6034,"USD","SOFR")</f>
        <v/>
      </c>
      <c r="D6034" s="8">
        <f>QS.CONTEXT.ADD.CURVE(C6034,"SOFR",$K$2:$K$7,$L$2:$L$7,,,"Actual360","LogLinear",TRUE)</f>
        <v/>
      </c>
      <c r="E6034" s="8">
        <f>QS.INSTRUMENT.SWAP("swap.6032",C6034,H6034,B6034,"USD","SOFR",I6034,J6034,0,"Actual360","Simple","Annual","Annual","Annual")</f>
        <v/>
      </c>
      <c r="F6034" s="8">
        <f>QS.TRADE.CREATE("trade.6032",C6034,E6034,A6034,"Receive")</f>
        <v/>
      </c>
      <c r="G6034" s="5"/>
      <c r="H6034" s="7" t="s">
        <v>6075</v>
      </c>
      <c r="I6034" s="9">
        <v>1603200</v>
      </c>
      <c r="J6034" s="10">
        <v>0.0382</v>
      </c>
    </row>
    <row r="6035" spans="1:10">
      <c r="A6035" s="7" t="s">
        <v>6069</v>
      </c>
      <c r="B6035" s="7" t="s">
        <v>7902</v>
      </c>
      <c r="C6035" s="8">
        <f>QS.CONTEXT.CREATE("market.6033",A6035,"USD","SOFR")</f>
        <v/>
      </c>
      <c r="D6035" s="8">
        <f>QS.CONTEXT.ADD.CURVE(C6035,"SOFR",$K$2:$K$7,$L$2:$L$7,,,"Actual360","LogLinear",TRUE)</f>
        <v/>
      </c>
      <c r="E6035" s="8">
        <f>QS.INSTRUMENT.SWAP("swap.6033",C6035,H6035,B6035,"USD","SOFR",I6035,J6035,0,"Actual360","Simple","Annual","Annual","Annual")</f>
        <v/>
      </c>
      <c r="F6035" s="8">
        <f>QS.TRADE.CREATE("trade.6033",C6035,E6035,A6035,"Receive")</f>
        <v/>
      </c>
      <c r="G6035" s="5"/>
      <c r="H6035" s="7" t="s">
        <v>6076</v>
      </c>
      <c r="I6035" s="9">
        <v>1603300</v>
      </c>
      <c r="J6035" s="10">
        <v>0.0383</v>
      </c>
    </row>
    <row r="6036" spans="1:10">
      <c r="A6036" s="7" t="s">
        <v>6070</v>
      </c>
      <c r="B6036" s="7" t="s">
        <v>7903</v>
      </c>
      <c r="C6036" s="8">
        <f>QS.CONTEXT.CREATE("market.6034",A6036,"USD","SOFR")</f>
        <v/>
      </c>
      <c r="D6036" s="8">
        <f>QS.CONTEXT.ADD.CURVE(C6036,"SOFR",$K$2:$K$7,$L$2:$L$7,,,"Actual360","LogLinear",TRUE)</f>
        <v/>
      </c>
      <c r="E6036" s="8">
        <f>QS.INSTRUMENT.SWAP("swap.6034",C6036,H6036,B6036,"USD","SOFR",I6036,J6036,0,"Actual360","Simple","Annual","Annual","Annual")</f>
        <v/>
      </c>
      <c r="F6036" s="8">
        <f>QS.TRADE.CREATE("trade.6034",C6036,E6036,A6036,"Receive")</f>
        <v/>
      </c>
      <c r="G6036" s="5"/>
      <c r="H6036" s="7" t="s">
        <v>6077</v>
      </c>
      <c r="I6036" s="9">
        <v>1603400</v>
      </c>
      <c r="J6036" s="10">
        <v>0.0384</v>
      </c>
    </row>
    <row r="6037" spans="1:10">
      <c r="A6037" s="7" t="s">
        <v>6071</v>
      </c>
      <c r="B6037" s="7" t="s">
        <v>7904</v>
      </c>
      <c r="C6037" s="8">
        <f>QS.CONTEXT.CREATE("market.6035",A6037,"USD","SOFR")</f>
        <v/>
      </c>
      <c r="D6037" s="8">
        <f>QS.CONTEXT.ADD.CURVE(C6037,"SOFR",$K$2:$K$7,$L$2:$L$7,,,"Actual360","LogLinear",TRUE)</f>
        <v/>
      </c>
      <c r="E6037" s="8">
        <f>QS.INSTRUMENT.SWAP("swap.6035",C6037,H6037,B6037,"USD","SOFR",I6037,J6037,0,"Actual360","Simple","Annual","Annual","Annual")</f>
        <v/>
      </c>
      <c r="F6037" s="8">
        <f>QS.TRADE.CREATE("trade.6035",C6037,E6037,A6037,"Receive")</f>
        <v/>
      </c>
      <c r="G6037" s="5"/>
      <c r="H6037" s="7" t="s">
        <v>6078</v>
      </c>
      <c r="I6037" s="9">
        <v>1603500</v>
      </c>
      <c r="J6037" s="10">
        <v>0.03850000000000001</v>
      </c>
    </row>
    <row r="6038" spans="1:10">
      <c r="A6038" s="7" t="s">
        <v>6072</v>
      </c>
      <c r="B6038" s="7" t="s">
        <v>7905</v>
      </c>
      <c r="C6038" s="8">
        <f>QS.CONTEXT.CREATE("market.6036",A6038,"USD","SOFR")</f>
        <v/>
      </c>
      <c r="D6038" s="8">
        <f>QS.CONTEXT.ADD.CURVE(C6038,"SOFR",$K$2:$K$7,$L$2:$L$7,,,"Actual360","LogLinear",TRUE)</f>
        <v/>
      </c>
      <c r="E6038" s="8">
        <f>QS.INSTRUMENT.SWAP("swap.6036",C6038,H6038,B6038,"USD","SOFR",I6038,J6038,0,"Actual360","Simple","Annual","Annual","Annual")</f>
        <v/>
      </c>
      <c r="F6038" s="8">
        <f>QS.TRADE.CREATE("trade.6036",C6038,E6038,A6038,"Receive")</f>
        <v/>
      </c>
      <c r="G6038" s="5"/>
      <c r="H6038" s="7" t="s">
        <v>6079</v>
      </c>
      <c r="I6038" s="9">
        <v>1603600</v>
      </c>
      <c r="J6038" s="10">
        <v>0.0386</v>
      </c>
    </row>
    <row r="6039" spans="1:10">
      <c r="A6039" s="7" t="s">
        <v>6073</v>
      </c>
      <c r="B6039" s="7" t="s">
        <v>7906</v>
      </c>
      <c r="C6039" s="8">
        <f>QS.CONTEXT.CREATE("market.6037",A6039,"USD","SOFR")</f>
        <v/>
      </c>
      <c r="D6039" s="8">
        <f>QS.CONTEXT.ADD.CURVE(C6039,"SOFR",$K$2:$K$7,$L$2:$L$7,,,"Actual360","LogLinear",TRUE)</f>
        <v/>
      </c>
      <c r="E6039" s="8">
        <f>QS.INSTRUMENT.SWAP("swap.6037",C6039,H6039,B6039,"USD","SOFR",I6039,J6039,0,"Actual360","Simple","Annual","Annual","Annual")</f>
        <v/>
      </c>
      <c r="F6039" s="8">
        <f>QS.TRADE.CREATE("trade.6037",C6039,E6039,A6039,"Receive")</f>
        <v/>
      </c>
      <c r="G6039" s="5"/>
      <c r="H6039" s="7" t="s">
        <v>6080</v>
      </c>
      <c r="I6039" s="9">
        <v>1603700</v>
      </c>
      <c r="J6039" s="10">
        <v>0.03870000000000001</v>
      </c>
    </row>
    <row r="6040" spans="1:10">
      <c r="A6040" s="7" t="s">
        <v>6074</v>
      </c>
      <c r="B6040" s="7" t="s">
        <v>7907</v>
      </c>
      <c r="C6040" s="8">
        <f>QS.CONTEXT.CREATE("market.6038",A6040,"USD","SOFR")</f>
        <v/>
      </c>
      <c r="D6040" s="8">
        <f>QS.CONTEXT.ADD.CURVE(C6040,"SOFR",$K$2:$K$7,$L$2:$L$7,,,"Actual360","LogLinear",TRUE)</f>
        <v/>
      </c>
      <c r="E6040" s="8">
        <f>QS.INSTRUMENT.SWAP("swap.6038",C6040,H6040,B6040,"USD","SOFR",I6040,J6040,0,"Actual360","Simple","Annual","Annual","Annual")</f>
        <v/>
      </c>
      <c r="F6040" s="8">
        <f>QS.TRADE.CREATE("trade.6038",C6040,E6040,A6040,"Receive")</f>
        <v/>
      </c>
      <c r="G6040" s="5"/>
      <c r="H6040" s="7" t="s">
        <v>6081</v>
      </c>
      <c r="I6040" s="9">
        <v>1603800</v>
      </c>
      <c r="J6040" s="10">
        <v>0.0388</v>
      </c>
    </row>
    <row r="6041" spans="1:10">
      <c r="A6041" s="7" t="s">
        <v>6075</v>
      </c>
      <c r="B6041" s="7" t="s">
        <v>7908</v>
      </c>
      <c r="C6041" s="8">
        <f>QS.CONTEXT.CREATE("market.6039",A6041,"USD","SOFR")</f>
        <v/>
      </c>
      <c r="D6041" s="8">
        <f>QS.CONTEXT.ADD.CURVE(C6041,"SOFR",$K$2:$K$7,$L$2:$L$7,,,"Actual360","LogLinear",TRUE)</f>
        <v/>
      </c>
      <c r="E6041" s="8">
        <f>QS.INSTRUMENT.SWAP("swap.6039",C6041,H6041,B6041,"USD","SOFR",I6041,J6041,0,"Actual360","Simple","Annual","Annual","Annual")</f>
        <v/>
      </c>
      <c r="F6041" s="8">
        <f>QS.TRADE.CREATE("trade.6039",C6041,E6041,A6041,"Receive")</f>
        <v/>
      </c>
      <c r="G6041" s="5"/>
      <c r="H6041" s="7" t="s">
        <v>6082</v>
      </c>
      <c r="I6041" s="9">
        <v>1603900</v>
      </c>
      <c r="J6041" s="10">
        <v>0.0389</v>
      </c>
    </row>
    <row r="6042" spans="1:10">
      <c r="A6042" s="7" t="s">
        <v>6076</v>
      </c>
      <c r="B6042" s="7" t="s">
        <v>7909</v>
      </c>
      <c r="C6042" s="8">
        <f>QS.CONTEXT.CREATE("market.6040",A6042,"USD","SOFR")</f>
        <v/>
      </c>
      <c r="D6042" s="8">
        <f>QS.CONTEXT.ADD.CURVE(C6042,"SOFR",$K$2:$K$7,$L$2:$L$7,,,"Actual360","LogLinear",TRUE)</f>
        <v/>
      </c>
      <c r="E6042" s="8">
        <f>QS.INSTRUMENT.SWAP("swap.6040",C6042,H6042,B6042,"USD","SOFR",I6042,J6042,0,"Actual360","Simple","Annual","Annual","Annual")</f>
        <v/>
      </c>
      <c r="F6042" s="8">
        <f>QS.TRADE.CREATE("trade.6040",C6042,E6042,A6042,"Receive")</f>
        <v/>
      </c>
      <c r="G6042" s="5"/>
      <c r="H6042" s="7" t="s">
        <v>6083</v>
      </c>
      <c r="I6042" s="9">
        <v>1604000</v>
      </c>
      <c r="J6042" s="10">
        <v>0.03900000000000001</v>
      </c>
    </row>
    <row r="6043" spans="1:10">
      <c r="A6043" s="7" t="s">
        <v>6077</v>
      </c>
      <c r="B6043" s="7" t="s">
        <v>7910</v>
      </c>
      <c r="C6043" s="8">
        <f>QS.CONTEXT.CREATE("market.6041",A6043,"USD","SOFR")</f>
        <v/>
      </c>
      <c r="D6043" s="8">
        <f>QS.CONTEXT.ADD.CURVE(C6043,"SOFR",$K$2:$K$7,$L$2:$L$7,,,"Actual360","LogLinear",TRUE)</f>
        <v/>
      </c>
      <c r="E6043" s="8">
        <f>QS.INSTRUMENT.SWAP("swap.6041",C6043,H6043,B6043,"USD","SOFR",I6043,J6043,0,"Actual360","Simple","Annual","Annual","Annual")</f>
        <v/>
      </c>
      <c r="F6043" s="8">
        <f>QS.TRADE.CREATE("trade.6041",C6043,E6043,A6043,"Receive")</f>
        <v/>
      </c>
      <c r="G6043" s="5"/>
      <c r="H6043" s="7" t="s">
        <v>6084</v>
      </c>
      <c r="I6043" s="9">
        <v>1604100</v>
      </c>
      <c r="J6043" s="10">
        <v>0.0391</v>
      </c>
    </row>
    <row r="6044" spans="1:10">
      <c r="A6044" s="7" t="s">
        <v>6078</v>
      </c>
      <c r="B6044" s="7" t="s">
        <v>7911</v>
      </c>
      <c r="C6044" s="8">
        <f>QS.CONTEXT.CREATE("market.6042",A6044,"USD","SOFR")</f>
        <v/>
      </c>
      <c r="D6044" s="8">
        <f>QS.CONTEXT.ADD.CURVE(C6044,"SOFR",$K$2:$K$7,$L$2:$L$7,,,"Actual360","LogLinear",TRUE)</f>
        <v/>
      </c>
      <c r="E6044" s="8">
        <f>QS.INSTRUMENT.SWAP("swap.6042",C6044,H6044,B6044,"USD","SOFR",I6044,J6044,0,"Actual360","Simple","Annual","Annual","Annual")</f>
        <v/>
      </c>
      <c r="F6044" s="8">
        <f>QS.TRADE.CREATE("trade.6042",C6044,E6044,A6044,"Receive")</f>
        <v/>
      </c>
      <c r="G6044" s="5"/>
      <c r="H6044" s="7" t="s">
        <v>6085</v>
      </c>
      <c r="I6044" s="9">
        <v>1604200</v>
      </c>
      <c r="J6044" s="10">
        <v>0.03920000000000001</v>
      </c>
    </row>
    <row r="6045" spans="1:10">
      <c r="A6045" s="7" t="s">
        <v>6079</v>
      </c>
      <c r="B6045" s="7" t="s">
        <v>7912</v>
      </c>
      <c r="C6045" s="8">
        <f>QS.CONTEXT.CREATE("market.6043",A6045,"USD","SOFR")</f>
        <v/>
      </c>
      <c r="D6045" s="8">
        <f>QS.CONTEXT.ADD.CURVE(C6045,"SOFR",$K$2:$K$7,$L$2:$L$7,,,"Actual360","LogLinear",TRUE)</f>
        <v/>
      </c>
      <c r="E6045" s="8">
        <f>QS.INSTRUMENT.SWAP("swap.6043",C6045,H6045,B6045,"USD","SOFR",I6045,J6045,0,"Actual360","Simple","Annual","Annual","Annual")</f>
        <v/>
      </c>
      <c r="F6045" s="8">
        <f>QS.TRADE.CREATE("trade.6043",C6045,E6045,A6045,"Receive")</f>
        <v/>
      </c>
      <c r="G6045" s="5"/>
      <c r="H6045" s="7" t="s">
        <v>6086</v>
      </c>
      <c r="I6045" s="9">
        <v>1604300</v>
      </c>
      <c r="J6045" s="10">
        <v>0.0393</v>
      </c>
    </row>
    <row r="6046" spans="1:10">
      <c r="A6046" s="7" t="s">
        <v>6080</v>
      </c>
      <c r="B6046" s="7" t="s">
        <v>7913</v>
      </c>
      <c r="C6046" s="8">
        <f>QS.CONTEXT.CREATE("market.6044",A6046,"USD","SOFR")</f>
        <v/>
      </c>
      <c r="D6046" s="8">
        <f>QS.CONTEXT.ADD.CURVE(C6046,"SOFR",$K$2:$K$7,$L$2:$L$7,,,"Actual360","LogLinear",TRUE)</f>
        <v/>
      </c>
      <c r="E6046" s="8">
        <f>QS.INSTRUMENT.SWAP("swap.6044",C6046,H6046,B6046,"USD","SOFR",I6046,J6046,0,"Actual360","Simple","Annual","Annual","Annual")</f>
        <v/>
      </c>
      <c r="F6046" s="8">
        <f>QS.TRADE.CREATE("trade.6044",C6046,E6046,A6046,"Receive")</f>
        <v/>
      </c>
      <c r="G6046" s="5"/>
      <c r="H6046" s="7" t="s">
        <v>6087</v>
      </c>
      <c r="I6046" s="9">
        <v>1604400</v>
      </c>
      <c r="J6046" s="10">
        <v>0.0394</v>
      </c>
    </row>
    <row r="6047" spans="1:10">
      <c r="A6047" s="7" t="s">
        <v>6081</v>
      </c>
      <c r="B6047" s="7" t="s">
        <v>7914</v>
      </c>
      <c r="C6047" s="8">
        <f>QS.CONTEXT.CREATE("market.6045",A6047,"USD","SOFR")</f>
        <v/>
      </c>
      <c r="D6047" s="8">
        <f>QS.CONTEXT.ADD.CURVE(C6047,"SOFR",$K$2:$K$7,$L$2:$L$7,,,"Actual360","LogLinear",TRUE)</f>
        <v/>
      </c>
      <c r="E6047" s="8">
        <f>QS.INSTRUMENT.SWAP("swap.6045",C6047,H6047,B6047,"USD","SOFR",I6047,J6047,0,"Actual360","Simple","Annual","Annual","Annual")</f>
        <v/>
      </c>
      <c r="F6047" s="8">
        <f>QS.TRADE.CREATE("trade.6045",C6047,E6047,A6047,"Receive")</f>
        <v/>
      </c>
      <c r="G6047" s="5"/>
      <c r="H6047" s="7" t="s">
        <v>6088</v>
      </c>
      <c r="I6047" s="9">
        <v>1604500</v>
      </c>
      <c r="J6047" s="10">
        <v>0.03950000000000001</v>
      </c>
    </row>
    <row r="6048" spans="1:10">
      <c r="A6048" s="7" t="s">
        <v>6082</v>
      </c>
      <c r="B6048" s="7" t="s">
        <v>7915</v>
      </c>
      <c r="C6048" s="8">
        <f>QS.CONTEXT.CREATE("market.6046",A6048,"USD","SOFR")</f>
        <v/>
      </c>
      <c r="D6048" s="8">
        <f>QS.CONTEXT.ADD.CURVE(C6048,"SOFR",$K$2:$K$7,$L$2:$L$7,,,"Actual360","LogLinear",TRUE)</f>
        <v/>
      </c>
      <c r="E6048" s="8">
        <f>QS.INSTRUMENT.SWAP("swap.6046",C6048,H6048,B6048,"USD","SOFR",I6048,J6048,0,"Actual360","Simple","Annual","Annual","Annual")</f>
        <v/>
      </c>
      <c r="F6048" s="8">
        <f>QS.TRADE.CREATE("trade.6046",C6048,E6048,A6048,"Receive")</f>
        <v/>
      </c>
      <c r="G6048" s="5"/>
      <c r="H6048" s="7" t="s">
        <v>6089</v>
      </c>
      <c r="I6048" s="9">
        <v>1604600</v>
      </c>
      <c r="J6048" s="10">
        <v>0.0396</v>
      </c>
    </row>
    <row r="6049" spans="1:10">
      <c r="A6049" s="7" t="s">
        <v>6083</v>
      </c>
      <c r="B6049" s="7" t="s">
        <v>7916</v>
      </c>
      <c r="C6049" s="8">
        <f>QS.CONTEXT.CREATE("market.6047",A6049,"USD","SOFR")</f>
        <v/>
      </c>
      <c r="D6049" s="8">
        <f>QS.CONTEXT.ADD.CURVE(C6049,"SOFR",$K$2:$K$7,$L$2:$L$7,,,"Actual360","LogLinear",TRUE)</f>
        <v/>
      </c>
      <c r="E6049" s="8">
        <f>QS.INSTRUMENT.SWAP("swap.6047",C6049,H6049,B6049,"USD","SOFR",I6049,J6049,0,"Actual360","Simple","Annual","Annual","Annual")</f>
        <v/>
      </c>
      <c r="F6049" s="8">
        <f>QS.TRADE.CREATE("trade.6047",C6049,E6049,A6049,"Receive")</f>
        <v/>
      </c>
      <c r="G6049" s="5"/>
      <c r="H6049" s="7" t="s">
        <v>6090</v>
      </c>
      <c r="I6049" s="9">
        <v>1604700</v>
      </c>
      <c r="J6049" s="10">
        <v>0.03970000000000001</v>
      </c>
    </row>
    <row r="6050" spans="1:10">
      <c r="A6050" s="7" t="s">
        <v>6084</v>
      </c>
      <c r="B6050" s="7" t="s">
        <v>7917</v>
      </c>
      <c r="C6050" s="8">
        <f>QS.CONTEXT.CREATE("market.6048",A6050,"USD","SOFR")</f>
        <v/>
      </c>
      <c r="D6050" s="8">
        <f>QS.CONTEXT.ADD.CURVE(C6050,"SOFR",$K$2:$K$7,$L$2:$L$7,,,"Actual360","LogLinear",TRUE)</f>
        <v/>
      </c>
      <c r="E6050" s="8">
        <f>QS.INSTRUMENT.SWAP("swap.6048",C6050,H6050,B6050,"USD","SOFR",I6050,J6050,0,"Actual360","Simple","Annual","Annual","Annual")</f>
        <v/>
      </c>
      <c r="F6050" s="8">
        <f>QS.TRADE.CREATE("trade.6048",C6050,E6050,A6050,"Receive")</f>
        <v/>
      </c>
      <c r="G6050" s="5"/>
      <c r="H6050" s="7" t="s">
        <v>6091</v>
      </c>
      <c r="I6050" s="9">
        <v>1604800</v>
      </c>
      <c r="J6050" s="10">
        <v>0.0398</v>
      </c>
    </row>
    <row r="6051" spans="1:10">
      <c r="A6051" s="7" t="s">
        <v>6085</v>
      </c>
      <c r="B6051" s="7" t="s">
        <v>7918</v>
      </c>
      <c r="C6051" s="8">
        <f>QS.CONTEXT.CREATE("market.6049",A6051,"USD","SOFR")</f>
        <v/>
      </c>
      <c r="D6051" s="8">
        <f>QS.CONTEXT.ADD.CURVE(C6051,"SOFR",$K$2:$K$7,$L$2:$L$7,,,"Actual360","LogLinear",TRUE)</f>
        <v/>
      </c>
      <c r="E6051" s="8">
        <f>QS.INSTRUMENT.SWAP("swap.6049",C6051,H6051,B6051,"USD","SOFR",I6051,J6051,0,"Actual360","Simple","Annual","Annual","Annual")</f>
        <v/>
      </c>
      <c r="F6051" s="8">
        <f>QS.TRADE.CREATE("trade.6049",C6051,E6051,A6051,"Receive")</f>
        <v/>
      </c>
      <c r="G6051" s="5"/>
      <c r="H6051" s="7" t="s">
        <v>6092</v>
      </c>
      <c r="I6051" s="9">
        <v>1604900</v>
      </c>
      <c r="J6051" s="10">
        <v>0.0399</v>
      </c>
    </row>
    <row r="6052" spans="1:10">
      <c r="A6052" s="7" t="s">
        <v>6086</v>
      </c>
      <c r="B6052" s="7" t="s">
        <v>7919</v>
      </c>
      <c r="C6052" s="8">
        <f>QS.CONTEXT.CREATE("market.6050",A6052,"USD","SOFR")</f>
        <v/>
      </c>
      <c r="D6052" s="8">
        <f>QS.CONTEXT.ADD.CURVE(C6052,"SOFR",$K$2:$K$7,$L$2:$L$7,,,"Actual360","LogLinear",TRUE)</f>
        <v/>
      </c>
      <c r="E6052" s="8">
        <f>QS.INSTRUMENT.SWAP("swap.6050",C6052,H6052,B6052,"USD","SOFR",I6052,J6052,0,"Actual360","Simple","Annual","Annual","Annual")</f>
        <v/>
      </c>
      <c r="F6052" s="8">
        <f>QS.TRADE.CREATE("trade.6050",C6052,E6052,A6052,"Receive")</f>
        <v/>
      </c>
      <c r="G6052" s="5"/>
      <c r="H6052" s="7" t="s">
        <v>6093</v>
      </c>
      <c r="I6052" s="9">
        <v>1605000</v>
      </c>
      <c r="J6052" s="10">
        <v>0.035</v>
      </c>
    </row>
    <row r="6053" spans="1:10">
      <c r="A6053" s="7" t="s">
        <v>6087</v>
      </c>
      <c r="B6053" s="7" t="s">
        <v>7920</v>
      </c>
      <c r="C6053" s="8">
        <f>QS.CONTEXT.CREATE("market.6051",A6053,"USD","SOFR")</f>
        <v/>
      </c>
      <c r="D6053" s="8">
        <f>QS.CONTEXT.ADD.CURVE(C6053,"SOFR",$K$2:$K$7,$L$2:$L$7,,,"Actual360","LogLinear",TRUE)</f>
        <v/>
      </c>
      <c r="E6053" s="8">
        <f>QS.INSTRUMENT.SWAP("swap.6051",C6053,H6053,B6053,"USD","SOFR",I6053,J6053,0,"Actual360","Simple","Annual","Annual","Annual")</f>
        <v/>
      </c>
      <c r="F6053" s="8">
        <f>QS.TRADE.CREATE("trade.6051",C6053,E6053,A6053,"Receive")</f>
        <v/>
      </c>
      <c r="G6053" s="5"/>
      <c r="H6053" s="7" t="s">
        <v>6094</v>
      </c>
      <c r="I6053" s="9">
        <v>1605100</v>
      </c>
      <c r="J6053" s="10">
        <v>0.03510000000000001</v>
      </c>
    </row>
    <row r="6054" spans="1:10">
      <c r="A6054" s="7" t="s">
        <v>6088</v>
      </c>
      <c r="B6054" s="7" t="s">
        <v>7921</v>
      </c>
      <c r="C6054" s="8">
        <f>QS.CONTEXT.CREATE("market.6052",A6054,"USD","SOFR")</f>
        <v/>
      </c>
      <c r="D6054" s="8">
        <f>QS.CONTEXT.ADD.CURVE(C6054,"SOFR",$K$2:$K$7,$L$2:$L$7,,,"Actual360","LogLinear",TRUE)</f>
        <v/>
      </c>
      <c r="E6054" s="8">
        <f>QS.INSTRUMENT.SWAP("swap.6052",C6054,H6054,B6054,"USD","SOFR",I6054,J6054,0,"Actual360","Simple","Annual","Annual","Annual")</f>
        <v/>
      </c>
      <c r="F6054" s="8">
        <f>QS.TRADE.CREATE("trade.6052",C6054,E6054,A6054,"Receive")</f>
        <v/>
      </c>
      <c r="G6054" s="5"/>
      <c r="H6054" s="7" t="s">
        <v>6095</v>
      </c>
      <c r="I6054" s="9">
        <v>1605200</v>
      </c>
      <c r="J6054" s="10">
        <v>0.0352</v>
      </c>
    </row>
    <row r="6055" spans="1:10">
      <c r="A6055" s="7" t="s">
        <v>6089</v>
      </c>
      <c r="B6055" s="7" t="s">
        <v>7922</v>
      </c>
      <c r="C6055" s="8">
        <f>QS.CONTEXT.CREATE("market.6053",A6055,"USD","SOFR")</f>
        <v/>
      </c>
      <c r="D6055" s="8">
        <f>QS.CONTEXT.ADD.CURVE(C6055,"SOFR",$K$2:$K$7,$L$2:$L$7,,,"Actual360","LogLinear",TRUE)</f>
        <v/>
      </c>
      <c r="E6055" s="8">
        <f>QS.INSTRUMENT.SWAP("swap.6053",C6055,H6055,B6055,"USD","SOFR",I6055,J6055,0,"Actual360","Simple","Annual","Annual","Annual")</f>
        <v/>
      </c>
      <c r="F6055" s="8">
        <f>QS.TRADE.CREATE("trade.6053",C6055,E6055,A6055,"Receive")</f>
        <v/>
      </c>
      <c r="G6055" s="5"/>
      <c r="H6055" s="7" t="s">
        <v>6096</v>
      </c>
      <c r="I6055" s="9">
        <v>1605300</v>
      </c>
      <c r="J6055" s="10">
        <v>0.0353</v>
      </c>
    </row>
    <row r="6056" spans="1:10">
      <c r="A6056" s="7" t="s">
        <v>6090</v>
      </c>
      <c r="B6056" s="7" t="s">
        <v>7923</v>
      </c>
      <c r="C6056" s="8">
        <f>QS.CONTEXT.CREATE("market.6054",A6056,"USD","SOFR")</f>
        <v/>
      </c>
      <c r="D6056" s="8">
        <f>QS.CONTEXT.ADD.CURVE(C6056,"SOFR",$K$2:$K$7,$L$2:$L$7,,,"Actual360","LogLinear",TRUE)</f>
        <v/>
      </c>
      <c r="E6056" s="8">
        <f>QS.INSTRUMENT.SWAP("swap.6054",C6056,H6056,B6056,"USD","SOFR",I6056,J6056,0,"Actual360","Simple","Annual","Annual","Annual")</f>
        <v/>
      </c>
      <c r="F6056" s="8">
        <f>QS.TRADE.CREATE("trade.6054",C6056,E6056,A6056,"Receive")</f>
        <v/>
      </c>
      <c r="G6056" s="5"/>
      <c r="H6056" s="7" t="s">
        <v>6097</v>
      </c>
      <c r="I6056" s="9">
        <v>1605400</v>
      </c>
      <c r="J6056" s="10">
        <v>0.0354</v>
      </c>
    </row>
    <row r="6057" spans="1:10">
      <c r="A6057" s="7" t="s">
        <v>6091</v>
      </c>
      <c r="B6057" s="7" t="s">
        <v>7924</v>
      </c>
      <c r="C6057" s="8">
        <f>QS.CONTEXT.CREATE("market.6055",A6057,"USD","SOFR")</f>
        <v/>
      </c>
      <c r="D6057" s="8">
        <f>QS.CONTEXT.ADD.CURVE(C6057,"SOFR",$K$2:$K$7,$L$2:$L$7,,,"Actual360","LogLinear",TRUE)</f>
        <v/>
      </c>
      <c r="E6057" s="8">
        <f>QS.INSTRUMENT.SWAP("swap.6055",C6057,H6057,B6057,"USD","SOFR",I6057,J6057,0,"Actual360","Simple","Annual","Annual","Annual")</f>
        <v/>
      </c>
      <c r="F6057" s="8">
        <f>QS.TRADE.CREATE("trade.6055",C6057,E6057,A6057,"Receive")</f>
        <v/>
      </c>
      <c r="G6057" s="5"/>
      <c r="H6057" s="7" t="s">
        <v>6098</v>
      </c>
      <c r="I6057" s="9">
        <v>1605500</v>
      </c>
      <c r="J6057" s="10">
        <v>0.0355</v>
      </c>
    </row>
    <row r="6058" spans="1:10">
      <c r="A6058" s="7" t="s">
        <v>6092</v>
      </c>
      <c r="B6058" s="7" t="s">
        <v>7925</v>
      </c>
      <c r="C6058" s="8">
        <f>QS.CONTEXT.CREATE("market.6056",A6058,"USD","SOFR")</f>
        <v/>
      </c>
      <c r="D6058" s="8">
        <f>QS.CONTEXT.ADD.CURVE(C6058,"SOFR",$K$2:$K$7,$L$2:$L$7,,,"Actual360","LogLinear",TRUE)</f>
        <v/>
      </c>
      <c r="E6058" s="8">
        <f>QS.INSTRUMENT.SWAP("swap.6056",C6058,H6058,B6058,"USD","SOFR",I6058,J6058,0,"Actual360","Simple","Annual","Annual","Annual")</f>
        <v/>
      </c>
      <c r="F6058" s="8">
        <f>QS.TRADE.CREATE("trade.6056",C6058,E6058,A6058,"Receive")</f>
        <v/>
      </c>
      <c r="G6058" s="5"/>
      <c r="H6058" s="7" t="s">
        <v>6099</v>
      </c>
      <c r="I6058" s="9">
        <v>1605600</v>
      </c>
      <c r="J6058" s="10">
        <v>0.03560000000000001</v>
      </c>
    </row>
    <row r="6059" spans="1:10">
      <c r="A6059" s="7" t="s">
        <v>6093</v>
      </c>
      <c r="B6059" s="7" t="s">
        <v>7926</v>
      </c>
      <c r="C6059" s="8">
        <f>QS.CONTEXT.CREATE("market.6057",A6059,"USD","SOFR")</f>
        <v/>
      </c>
      <c r="D6059" s="8">
        <f>QS.CONTEXT.ADD.CURVE(C6059,"SOFR",$K$2:$K$7,$L$2:$L$7,,,"Actual360","LogLinear",TRUE)</f>
        <v/>
      </c>
      <c r="E6059" s="8">
        <f>QS.INSTRUMENT.SWAP("swap.6057",C6059,H6059,B6059,"USD","SOFR",I6059,J6059,0,"Actual360","Simple","Annual","Annual","Annual")</f>
        <v/>
      </c>
      <c r="F6059" s="8">
        <f>QS.TRADE.CREATE("trade.6057",C6059,E6059,A6059,"Receive")</f>
        <v/>
      </c>
      <c r="G6059" s="5"/>
      <c r="H6059" s="7" t="s">
        <v>6100</v>
      </c>
      <c r="I6059" s="9">
        <v>1605700</v>
      </c>
      <c r="J6059" s="10">
        <v>0.0357</v>
      </c>
    </row>
    <row r="6060" spans="1:10">
      <c r="A6060" s="7" t="s">
        <v>6094</v>
      </c>
      <c r="B6060" s="7" t="s">
        <v>7927</v>
      </c>
      <c r="C6060" s="8">
        <f>QS.CONTEXT.CREATE("market.6058",A6060,"USD","SOFR")</f>
        <v/>
      </c>
      <c r="D6060" s="8">
        <f>QS.CONTEXT.ADD.CURVE(C6060,"SOFR",$K$2:$K$7,$L$2:$L$7,,,"Actual360","LogLinear",TRUE)</f>
        <v/>
      </c>
      <c r="E6060" s="8">
        <f>QS.INSTRUMENT.SWAP("swap.6058",C6060,H6060,B6060,"USD","SOFR",I6060,J6060,0,"Actual360","Simple","Annual","Annual","Annual")</f>
        <v/>
      </c>
      <c r="F6060" s="8">
        <f>QS.TRADE.CREATE("trade.6058",C6060,E6060,A6060,"Receive")</f>
        <v/>
      </c>
      <c r="G6060" s="5"/>
      <c r="H6060" s="7" t="s">
        <v>6101</v>
      </c>
      <c r="I6060" s="9">
        <v>1605800</v>
      </c>
      <c r="J6060" s="10">
        <v>0.03580000000000001</v>
      </c>
    </row>
    <row r="6061" spans="1:10">
      <c r="A6061" s="7" t="s">
        <v>6095</v>
      </c>
      <c r="B6061" s="7" t="s">
        <v>7928</v>
      </c>
      <c r="C6061" s="8">
        <f>QS.CONTEXT.CREATE("market.6059",A6061,"USD","SOFR")</f>
        <v/>
      </c>
      <c r="D6061" s="8">
        <f>QS.CONTEXT.ADD.CURVE(C6061,"SOFR",$K$2:$K$7,$L$2:$L$7,,,"Actual360","LogLinear",TRUE)</f>
        <v/>
      </c>
      <c r="E6061" s="8">
        <f>QS.INSTRUMENT.SWAP("swap.6059",C6061,H6061,B6061,"USD","SOFR",I6061,J6061,0,"Actual360","Simple","Annual","Annual","Annual")</f>
        <v/>
      </c>
      <c r="F6061" s="8">
        <f>QS.TRADE.CREATE("trade.6059",C6061,E6061,A6061,"Receive")</f>
        <v/>
      </c>
      <c r="G6061" s="5"/>
      <c r="H6061" s="7" t="s">
        <v>6102</v>
      </c>
      <c r="I6061" s="9">
        <v>1605900</v>
      </c>
      <c r="J6061" s="10">
        <v>0.0359</v>
      </c>
    </row>
    <row r="6062" spans="1:10">
      <c r="A6062" s="7" t="s">
        <v>6096</v>
      </c>
      <c r="B6062" s="7" t="s">
        <v>7929</v>
      </c>
      <c r="C6062" s="8">
        <f>QS.CONTEXT.CREATE("market.6060",A6062,"USD","SOFR")</f>
        <v/>
      </c>
      <c r="D6062" s="8">
        <f>QS.CONTEXT.ADD.CURVE(C6062,"SOFR",$K$2:$K$7,$L$2:$L$7,,,"Actual360","LogLinear",TRUE)</f>
        <v/>
      </c>
      <c r="E6062" s="8">
        <f>QS.INSTRUMENT.SWAP("swap.6060",C6062,H6062,B6062,"USD","SOFR",I6062,J6062,0,"Actual360","Simple","Annual","Annual","Annual")</f>
        <v/>
      </c>
      <c r="F6062" s="8">
        <f>QS.TRADE.CREATE("trade.6060",C6062,E6062,A6062,"Receive")</f>
        <v/>
      </c>
      <c r="G6062" s="5"/>
      <c r="H6062" s="7" t="s">
        <v>6103</v>
      </c>
      <c r="I6062" s="9">
        <v>1606000</v>
      </c>
      <c r="J6062" s="10">
        <v>0.036</v>
      </c>
    </row>
    <row r="6063" spans="1:10">
      <c r="A6063" s="7" t="s">
        <v>6097</v>
      </c>
      <c r="B6063" s="7" t="s">
        <v>7930</v>
      </c>
      <c r="C6063" s="8">
        <f>QS.CONTEXT.CREATE("market.6061",A6063,"USD","SOFR")</f>
        <v/>
      </c>
      <c r="D6063" s="8">
        <f>QS.CONTEXT.ADD.CURVE(C6063,"SOFR",$K$2:$K$7,$L$2:$L$7,,,"Actual360","LogLinear",TRUE)</f>
        <v/>
      </c>
      <c r="E6063" s="8">
        <f>QS.INSTRUMENT.SWAP("swap.6061",C6063,H6063,B6063,"USD","SOFR",I6063,J6063,0,"Actual360","Simple","Annual","Annual","Annual")</f>
        <v/>
      </c>
      <c r="F6063" s="8">
        <f>QS.TRADE.CREATE("trade.6061",C6063,E6063,A6063,"Receive")</f>
        <v/>
      </c>
      <c r="G6063" s="5"/>
      <c r="H6063" s="7" t="s">
        <v>6104</v>
      </c>
      <c r="I6063" s="9">
        <v>1606100</v>
      </c>
      <c r="J6063" s="10">
        <v>0.0361</v>
      </c>
    </row>
    <row r="6064" spans="1:10">
      <c r="A6064" s="7" t="s">
        <v>6098</v>
      </c>
      <c r="B6064" s="7" t="s">
        <v>7931</v>
      </c>
      <c r="C6064" s="8">
        <f>QS.CONTEXT.CREATE("market.6062",A6064,"USD","SOFR")</f>
        <v/>
      </c>
      <c r="D6064" s="8">
        <f>QS.CONTEXT.ADD.CURVE(C6064,"SOFR",$K$2:$K$7,$L$2:$L$7,,,"Actual360","LogLinear",TRUE)</f>
        <v/>
      </c>
      <c r="E6064" s="8">
        <f>QS.INSTRUMENT.SWAP("swap.6062",C6064,H6064,B6064,"USD","SOFR",I6064,J6064,0,"Actual360","Simple","Annual","Annual","Annual")</f>
        <v/>
      </c>
      <c r="F6064" s="8">
        <f>QS.TRADE.CREATE("trade.6062",C6064,E6064,A6064,"Receive")</f>
        <v/>
      </c>
      <c r="G6064" s="5"/>
      <c r="H6064" s="7" t="s">
        <v>6105</v>
      </c>
      <c r="I6064" s="9">
        <v>1606200</v>
      </c>
      <c r="J6064" s="10">
        <v>0.0362</v>
      </c>
    </row>
    <row r="6065" spans="1:10">
      <c r="A6065" s="7" t="s">
        <v>6099</v>
      </c>
      <c r="B6065" s="7" t="s">
        <v>7932</v>
      </c>
      <c r="C6065" s="8">
        <f>QS.CONTEXT.CREATE("market.6063",A6065,"USD","SOFR")</f>
        <v/>
      </c>
      <c r="D6065" s="8">
        <f>QS.CONTEXT.ADD.CURVE(C6065,"SOFR",$K$2:$K$7,$L$2:$L$7,,,"Actual360","LogLinear",TRUE)</f>
        <v/>
      </c>
      <c r="E6065" s="8">
        <f>QS.INSTRUMENT.SWAP("swap.6063",C6065,H6065,B6065,"USD","SOFR",I6065,J6065,0,"Actual360","Simple","Annual","Annual","Annual")</f>
        <v/>
      </c>
      <c r="F6065" s="8">
        <f>QS.TRADE.CREATE("trade.6063",C6065,E6065,A6065,"Receive")</f>
        <v/>
      </c>
      <c r="G6065" s="5"/>
      <c r="H6065" s="7" t="s">
        <v>6106</v>
      </c>
      <c r="I6065" s="9">
        <v>1606300</v>
      </c>
      <c r="J6065" s="10">
        <v>0.03630000000000001</v>
      </c>
    </row>
    <row r="6066" spans="1:10">
      <c r="A6066" s="7" t="s">
        <v>6100</v>
      </c>
      <c r="B6066" s="7" t="s">
        <v>7933</v>
      </c>
      <c r="C6066" s="8">
        <f>QS.CONTEXT.CREATE("market.6064",A6066,"USD","SOFR")</f>
        <v/>
      </c>
      <c r="D6066" s="8">
        <f>QS.CONTEXT.ADD.CURVE(C6066,"SOFR",$K$2:$K$7,$L$2:$L$7,,,"Actual360","LogLinear",TRUE)</f>
        <v/>
      </c>
      <c r="E6066" s="8">
        <f>QS.INSTRUMENT.SWAP("swap.6064",C6066,H6066,B6066,"USD","SOFR",I6066,J6066,0,"Actual360","Simple","Annual","Annual","Annual")</f>
        <v/>
      </c>
      <c r="F6066" s="8">
        <f>QS.TRADE.CREATE("trade.6064",C6066,E6066,A6066,"Receive")</f>
        <v/>
      </c>
      <c r="G6066" s="5"/>
      <c r="H6066" s="7" t="s">
        <v>6107</v>
      </c>
      <c r="I6066" s="9">
        <v>1606400</v>
      </c>
      <c r="J6066" s="10">
        <v>0.0364</v>
      </c>
    </row>
    <row r="6067" spans="1:10">
      <c r="A6067" s="7" t="s">
        <v>6101</v>
      </c>
      <c r="B6067" s="7" t="s">
        <v>7934</v>
      </c>
      <c r="C6067" s="8">
        <f>QS.CONTEXT.CREATE("market.6065",A6067,"USD","SOFR")</f>
        <v/>
      </c>
      <c r="D6067" s="8">
        <f>QS.CONTEXT.ADD.CURVE(C6067,"SOFR",$K$2:$K$7,$L$2:$L$7,,,"Actual360","LogLinear",TRUE)</f>
        <v/>
      </c>
      <c r="E6067" s="8">
        <f>QS.INSTRUMENT.SWAP("swap.6065",C6067,H6067,B6067,"USD","SOFR",I6067,J6067,0,"Actual360","Simple","Annual","Annual","Annual")</f>
        <v/>
      </c>
      <c r="F6067" s="8">
        <f>QS.TRADE.CREATE("trade.6065",C6067,E6067,A6067,"Receive")</f>
        <v/>
      </c>
      <c r="G6067" s="5"/>
      <c r="H6067" s="7" t="s">
        <v>6108</v>
      </c>
      <c r="I6067" s="9">
        <v>1606500</v>
      </c>
      <c r="J6067" s="10">
        <v>0.0365</v>
      </c>
    </row>
    <row r="6068" spans="1:10">
      <c r="A6068" s="7" t="s">
        <v>6102</v>
      </c>
      <c r="B6068" s="7" t="s">
        <v>7935</v>
      </c>
      <c r="C6068" s="8">
        <f>QS.CONTEXT.CREATE("market.6066",A6068,"USD","SOFR")</f>
        <v/>
      </c>
      <c r="D6068" s="8">
        <f>QS.CONTEXT.ADD.CURVE(C6068,"SOFR",$K$2:$K$7,$L$2:$L$7,,,"Actual360","LogLinear",TRUE)</f>
        <v/>
      </c>
      <c r="E6068" s="8">
        <f>QS.INSTRUMENT.SWAP("swap.6066",C6068,H6068,B6068,"USD","SOFR",I6068,J6068,0,"Actual360","Simple","Annual","Annual","Annual")</f>
        <v/>
      </c>
      <c r="F6068" s="8">
        <f>QS.TRADE.CREATE("trade.6066",C6068,E6068,A6068,"Receive")</f>
        <v/>
      </c>
      <c r="G6068" s="5"/>
      <c r="H6068" s="7" t="s">
        <v>6109</v>
      </c>
      <c r="I6068" s="9">
        <v>1606600</v>
      </c>
      <c r="J6068" s="10">
        <v>0.0366</v>
      </c>
    </row>
    <row r="6069" spans="1:10">
      <c r="A6069" s="7" t="s">
        <v>6103</v>
      </c>
      <c r="B6069" s="7" t="s">
        <v>7936</v>
      </c>
      <c r="C6069" s="8">
        <f>QS.CONTEXT.CREATE("market.6067",A6069,"USD","SOFR")</f>
        <v/>
      </c>
      <c r="D6069" s="8">
        <f>QS.CONTEXT.ADD.CURVE(C6069,"SOFR",$K$2:$K$7,$L$2:$L$7,,,"Actual360","LogLinear",TRUE)</f>
        <v/>
      </c>
      <c r="E6069" s="8">
        <f>QS.INSTRUMENT.SWAP("swap.6067",C6069,H6069,B6069,"USD","SOFR",I6069,J6069,0,"Actual360","Simple","Annual","Annual","Annual")</f>
        <v/>
      </c>
      <c r="F6069" s="8">
        <f>QS.TRADE.CREATE("trade.6067",C6069,E6069,A6069,"Receive")</f>
        <v/>
      </c>
      <c r="G6069" s="5"/>
      <c r="H6069" s="7" t="s">
        <v>6110</v>
      </c>
      <c r="I6069" s="9">
        <v>1606700</v>
      </c>
      <c r="J6069" s="10">
        <v>0.0367</v>
      </c>
    </row>
    <row r="6070" spans="1:10">
      <c r="A6070" s="7" t="s">
        <v>6104</v>
      </c>
      <c r="B6070" s="7" t="s">
        <v>7937</v>
      </c>
      <c r="C6070" s="8">
        <f>QS.CONTEXT.CREATE("market.6068",A6070,"USD","SOFR")</f>
        <v/>
      </c>
      <c r="D6070" s="8">
        <f>QS.CONTEXT.ADD.CURVE(C6070,"SOFR",$K$2:$K$7,$L$2:$L$7,,,"Actual360","LogLinear",TRUE)</f>
        <v/>
      </c>
      <c r="E6070" s="8">
        <f>QS.INSTRUMENT.SWAP("swap.6068",C6070,H6070,B6070,"USD","SOFR",I6070,J6070,0,"Actual360","Simple","Annual","Annual","Annual")</f>
        <v/>
      </c>
      <c r="F6070" s="8">
        <f>QS.TRADE.CREATE("trade.6068",C6070,E6070,A6070,"Receive")</f>
        <v/>
      </c>
      <c r="G6070" s="5"/>
      <c r="H6070" s="7" t="s">
        <v>6111</v>
      </c>
      <c r="I6070" s="9">
        <v>1606800</v>
      </c>
      <c r="J6070" s="10">
        <v>0.03680000000000001</v>
      </c>
    </row>
    <row r="6071" spans="1:10">
      <c r="A6071" s="7" t="s">
        <v>6105</v>
      </c>
      <c r="B6071" s="7" t="s">
        <v>7938</v>
      </c>
      <c r="C6071" s="8">
        <f>QS.CONTEXT.CREATE("market.6069",A6071,"USD","SOFR")</f>
        <v/>
      </c>
      <c r="D6071" s="8">
        <f>QS.CONTEXT.ADD.CURVE(C6071,"SOFR",$K$2:$K$7,$L$2:$L$7,,,"Actual360","LogLinear",TRUE)</f>
        <v/>
      </c>
      <c r="E6071" s="8">
        <f>QS.INSTRUMENT.SWAP("swap.6069",C6071,H6071,B6071,"USD","SOFR",I6071,J6071,0,"Actual360","Simple","Annual","Annual","Annual")</f>
        <v/>
      </c>
      <c r="F6071" s="8">
        <f>QS.TRADE.CREATE("trade.6069",C6071,E6071,A6071,"Receive")</f>
        <v/>
      </c>
      <c r="G6071" s="5"/>
      <c r="H6071" s="7" t="s">
        <v>6112</v>
      </c>
      <c r="I6071" s="9">
        <v>1606900</v>
      </c>
      <c r="J6071" s="10">
        <v>0.0369</v>
      </c>
    </row>
    <row r="6072" spans="1:10">
      <c r="A6072" s="7" t="s">
        <v>6106</v>
      </c>
      <c r="B6072" s="7" t="s">
        <v>7939</v>
      </c>
      <c r="C6072" s="8">
        <f>QS.CONTEXT.CREATE("market.6070",A6072,"USD","SOFR")</f>
        <v/>
      </c>
      <c r="D6072" s="8">
        <f>QS.CONTEXT.ADD.CURVE(C6072,"SOFR",$K$2:$K$7,$L$2:$L$7,,,"Actual360","LogLinear",TRUE)</f>
        <v/>
      </c>
      <c r="E6072" s="8">
        <f>QS.INSTRUMENT.SWAP("swap.6070",C6072,H6072,B6072,"USD","SOFR",I6072,J6072,0,"Actual360","Simple","Annual","Annual","Annual")</f>
        <v/>
      </c>
      <c r="F6072" s="8">
        <f>QS.TRADE.CREATE("trade.6070",C6072,E6072,A6072,"Receive")</f>
        <v/>
      </c>
      <c r="G6072" s="5"/>
      <c r="H6072" s="7" t="s">
        <v>6113</v>
      </c>
      <c r="I6072" s="9">
        <v>1607000</v>
      </c>
      <c r="J6072" s="10">
        <v>0.03700000000000001</v>
      </c>
    </row>
    <row r="6073" spans="1:10">
      <c r="A6073" s="7" t="s">
        <v>6107</v>
      </c>
      <c r="B6073" s="7" t="s">
        <v>7940</v>
      </c>
      <c r="C6073" s="8">
        <f>QS.CONTEXT.CREATE("market.6071",A6073,"USD","SOFR")</f>
        <v/>
      </c>
      <c r="D6073" s="8">
        <f>QS.CONTEXT.ADD.CURVE(C6073,"SOFR",$K$2:$K$7,$L$2:$L$7,,,"Actual360","LogLinear",TRUE)</f>
        <v/>
      </c>
      <c r="E6073" s="8">
        <f>QS.INSTRUMENT.SWAP("swap.6071",C6073,H6073,B6073,"USD","SOFR",I6073,J6073,0,"Actual360","Simple","Annual","Annual","Annual")</f>
        <v/>
      </c>
      <c r="F6073" s="8">
        <f>QS.TRADE.CREATE("trade.6071",C6073,E6073,A6073,"Receive")</f>
        <v/>
      </c>
      <c r="G6073" s="5"/>
      <c r="H6073" s="7" t="s">
        <v>6114</v>
      </c>
      <c r="I6073" s="9">
        <v>1607100</v>
      </c>
      <c r="J6073" s="10">
        <v>0.0371</v>
      </c>
    </row>
    <row r="6074" spans="1:10">
      <c r="A6074" s="7" t="s">
        <v>6108</v>
      </c>
      <c r="B6074" s="7" t="s">
        <v>7941</v>
      </c>
      <c r="C6074" s="8">
        <f>QS.CONTEXT.CREATE("market.6072",A6074,"USD","SOFR")</f>
        <v/>
      </c>
      <c r="D6074" s="8">
        <f>QS.CONTEXT.ADD.CURVE(C6074,"SOFR",$K$2:$K$7,$L$2:$L$7,,,"Actual360","LogLinear",TRUE)</f>
        <v/>
      </c>
      <c r="E6074" s="8">
        <f>QS.INSTRUMENT.SWAP("swap.6072",C6074,H6074,B6074,"USD","SOFR",I6074,J6074,0,"Actual360","Simple","Annual","Annual","Annual")</f>
        <v/>
      </c>
      <c r="F6074" s="8">
        <f>QS.TRADE.CREATE("trade.6072",C6074,E6074,A6074,"Receive")</f>
        <v/>
      </c>
      <c r="G6074" s="5"/>
      <c r="H6074" s="7" t="s">
        <v>6115</v>
      </c>
      <c r="I6074" s="9">
        <v>1607200</v>
      </c>
      <c r="J6074" s="10">
        <v>0.0372</v>
      </c>
    </row>
    <row r="6075" spans="1:10">
      <c r="A6075" s="7" t="s">
        <v>6109</v>
      </c>
      <c r="B6075" s="7" t="s">
        <v>7942</v>
      </c>
      <c r="C6075" s="8">
        <f>QS.CONTEXT.CREATE("market.6073",A6075,"USD","SOFR")</f>
        <v/>
      </c>
      <c r="D6075" s="8">
        <f>QS.CONTEXT.ADD.CURVE(C6075,"SOFR",$K$2:$K$7,$L$2:$L$7,,,"Actual360","LogLinear",TRUE)</f>
        <v/>
      </c>
      <c r="E6075" s="8">
        <f>QS.INSTRUMENT.SWAP("swap.6073",C6075,H6075,B6075,"USD","SOFR",I6075,J6075,0,"Actual360","Simple","Annual","Annual","Annual")</f>
        <v/>
      </c>
      <c r="F6075" s="8">
        <f>QS.TRADE.CREATE("trade.6073",C6075,E6075,A6075,"Receive")</f>
        <v/>
      </c>
      <c r="G6075" s="5"/>
      <c r="H6075" s="7" t="s">
        <v>6116</v>
      </c>
      <c r="I6075" s="9">
        <v>1607300</v>
      </c>
      <c r="J6075" s="10">
        <v>0.0373</v>
      </c>
    </row>
    <row r="6076" spans="1:10">
      <c r="A6076" s="7" t="s">
        <v>6110</v>
      </c>
      <c r="B6076" s="7" t="s">
        <v>7943</v>
      </c>
      <c r="C6076" s="8">
        <f>QS.CONTEXT.CREATE("market.6074",A6076,"USD","SOFR")</f>
        <v/>
      </c>
      <c r="D6076" s="8">
        <f>QS.CONTEXT.ADD.CURVE(C6076,"SOFR",$K$2:$K$7,$L$2:$L$7,,,"Actual360","LogLinear",TRUE)</f>
        <v/>
      </c>
      <c r="E6076" s="8">
        <f>QS.INSTRUMENT.SWAP("swap.6074",C6076,H6076,B6076,"USD","SOFR",I6076,J6076,0,"Actual360","Simple","Annual","Annual","Annual")</f>
        <v/>
      </c>
      <c r="F6076" s="8">
        <f>QS.TRADE.CREATE("trade.6074",C6076,E6076,A6076,"Receive")</f>
        <v/>
      </c>
      <c r="G6076" s="5"/>
      <c r="H6076" s="7" t="s">
        <v>6117</v>
      </c>
      <c r="I6076" s="9">
        <v>1607400</v>
      </c>
      <c r="J6076" s="10">
        <v>0.0374</v>
      </c>
    </row>
    <row r="6077" spans="1:10">
      <c r="A6077" s="7" t="s">
        <v>6111</v>
      </c>
      <c r="B6077" s="7" t="s">
        <v>7944</v>
      </c>
      <c r="C6077" s="8">
        <f>QS.CONTEXT.CREATE("market.6075",A6077,"USD","SOFR")</f>
        <v/>
      </c>
      <c r="D6077" s="8">
        <f>QS.CONTEXT.ADD.CURVE(C6077,"SOFR",$K$2:$K$7,$L$2:$L$7,,,"Actual360","LogLinear",TRUE)</f>
        <v/>
      </c>
      <c r="E6077" s="8">
        <f>QS.INSTRUMENT.SWAP("swap.6075",C6077,H6077,B6077,"USD","SOFR",I6077,J6077,0,"Actual360","Simple","Annual","Annual","Annual")</f>
        <v/>
      </c>
      <c r="F6077" s="8">
        <f>QS.TRADE.CREATE("trade.6075",C6077,E6077,A6077,"Receive")</f>
        <v/>
      </c>
      <c r="G6077" s="5"/>
      <c r="H6077" s="7" t="s">
        <v>6118</v>
      </c>
      <c r="I6077" s="9">
        <v>1607500</v>
      </c>
      <c r="J6077" s="10">
        <v>0.03750000000000001</v>
      </c>
    </row>
    <row r="6078" spans="1:10">
      <c r="A6078" s="7" t="s">
        <v>6112</v>
      </c>
      <c r="B6078" s="7" t="s">
        <v>7945</v>
      </c>
      <c r="C6078" s="8">
        <f>QS.CONTEXT.CREATE("market.6076",A6078,"USD","SOFR")</f>
        <v/>
      </c>
      <c r="D6078" s="8">
        <f>QS.CONTEXT.ADD.CURVE(C6078,"SOFR",$K$2:$K$7,$L$2:$L$7,,,"Actual360","LogLinear",TRUE)</f>
        <v/>
      </c>
      <c r="E6078" s="8">
        <f>QS.INSTRUMENT.SWAP("swap.6076",C6078,H6078,B6078,"USD","SOFR",I6078,J6078,0,"Actual360","Simple","Annual","Annual","Annual")</f>
        <v/>
      </c>
      <c r="F6078" s="8">
        <f>QS.TRADE.CREATE("trade.6076",C6078,E6078,A6078,"Receive")</f>
        <v/>
      </c>
      <c r="G6078" s="5"/>
      <c r="H6078" s="7" t="s">
        <v>6119</v>
      </c>
      <c r="I6078" s="9">
        <v>1607600</v>
      </c>
      <c r="J6078" s="10">
        <v>0.0376</v>
      </c>
    </row>
    <row r="6079" spans="1:10">
      <c r="A6079" s="7" t="s">
        <v>6113</v>
      </c>
      <c r="B6079" s="7" t="s">
        <v>7946</v>
      </c>
      <c r="C6079" s="8">
        <f>QS.CONTEXT.CREATE("market.6077",A6079,"USD","SOFR")</f>
        <v/>
      </c>
      <c r="D6079" s="8">
        <f>QS.CONTEXT.ADD.CURVE(C6079,"SOFR",$K$2:$K$7,$L$2:$L$7,,,"Actual360","LogLinear",TRUE)</f>
        <v/>
      </c>
      <c r="E6079" s="8">
        <f>QS.INSTRUMENT.SWAP("swap.6077",C6079,H6079,B6079,"USD","SOFR",I6079,J6079,0,"Actual360","Simple","Annual","Annual","Annual")</f>
        <v/>
      </c>
      <c r="F6079" s="8">
        <f>QS.TRADE.CREATE("trade.6077",C6079,E6079,A6079,"Receive")</f>
        <v/>
      </c>
      <c r="G6079" s="5"/>
      <c r="H6079" s="7" t="s">
        <v>6120</v>
      </c>
      <c r="I6079" s="9">
        <v>1607700</v>
      </c>
      <c r="J6079" s="10">
        <v>0.0377</v>
      </c>
    </row>
    <row r="6080" spans="1:10">
      <c r="A6080" s="7" t="s">
        <v>6114</v>
      </c>
      <c r="B6080" s="7" t="s">
        <v>7947</v>
      </c>
      <c r="C6080" s="8">
        <f>QS.CONTEXT.CREATE("market.6078",A6080,"USD","SOFR")</f>
        <v/>
      </c>
      <c r="D6080" s="8">
        <f>QS.CONTEXT.ADD.CURVE(C6080,"SOFR",$K$2:$K$7,$L$2:$L$7,,,"Actual360","LogLinear",TRUE)</f>
        <v/>
      </c>
      <c r="E6080" s="8">
        <f>QS.INSTRUMENT.SWAP("swap.6078",C6080,H6080,B6080,"USD","SOFR",I6080,J6080,0,"Actual360","Simple","Annual","Annual","Annual")</f>
        <v/>
      </c>
      <c r="F6080" s="8">
        <f>QS.TRADE.CREATE("trade.6078",C6080,E6080,A6080,"Receive")</f>
        <v/>
      </c>
      <c r="G6080" s="5"/>
      <c r="H6080" s="7" t="s">
        <v>6121</v>
      </c>
      <c r="I6080" s="9">
        <v>1607800</v>
      </c>
      <c r="J6080" s="10">
        <v>0.0378</v>
      </c>
    </row>
    <row r="6081" spans="1:10">
      <c r="A6081" s="7" t="s">
        <v>6115</v>
      </c>
      <c r="B6081" s="7" t="s">
        <v>7948</v>
      </c>
      <c r="C6081" s="8">
        <f>QS.CONTEXT.CREATE("market.6079",A6081,"USD","SOFR")</f>
        <v/>
      </c>
      <c r="D6081" s="8">
        <f>QS.CONTEXT.ADD.CURVE(C6081,"SOFR",$K$2:$K$7,$L$2:$L$7,,,"Actual360","LogLinear",TRUE)</f>
        <v/>
      </c>
      <c r="E6081" s="8">
        <f>QS.INSTRUMENT.SWAP("swap.6079",C6081,H6081,B6081,"USD","SOFR",I6081,J6081,0,"Actual360","Simple","Annual","Annual","Annual")</f>
        <v/>
      </c>
      <c r="F6081" s="8">
        <f>QS.TRADE.CREATE("trade.6079",C6081,E6081,A6081,"Receive")</f>
        <v/>
      </c>
      <c r="G6081" s="5"/>
      <c r="H6081" s="7" t="s">
        <v>6122</v>
      </c>
      <c r="I6081" s="9">
        <v>1607900</v>
      </c>
      <c r="J6081" s="10">
        <v>0.0379</v>
      </c>
    </row>
    <row r="6082" spans="1:10">
      <c r="A6082" s="7" t="s">
        <v>6116</v>
      </c>
      <c r="B6082" s="7" t="s">
        <v>7949</v>
      </c>
      <c r="C6082" s="8">
        <f>QS.CONTEXT.CREATE("market.6080",A6082,"USD","SOFR")</f>
        <v/>
      </c>
      <c r="D6082" s="8">
        <f>QS.CONTEXT.ADD.CURVE(C6082,"SOFR",$K$2:$K$7,$L$2:$L$7,,,"Actual360","LogLinear",TRUE)</f>
        <v/>
      </c>
      <c r="E6082" s="8">
        <f>QS.INSTRUMENT.SWAP("swap.6080",C6082,H6082,B6082,"USD","SOFR",I6082,J6082,0,"Actual360","Simple","Annual","Annual","Annual")</f>
        <v/>
      </c>
      <c r="F6082" s="8">
        <f>QS.TRADE.CREATE("trade.6080",C6082,E6082,A6082,"Receive")</f>
        <v/>
      </c>
      <c r="G6082" s="5"/>
      <c r="H6082" s="7" t="s">
        <v>6123</v>
      </c>
      <c r="I6082" s="9">
        <v>1608000</v>
      </c>
      <c r="J6082" s="10">
        <v>0.03800000000000001</v>
      </c>
    </row>
    <row r="6083" spans="1:10">
      <c r="A6083" s="7" t="s">
        <v>6117</v>
      </c>
      <c r="B6083" s="7" t="s">
        <v>7950</v>
      </c>
      <c r="C6083" s="8">
        <f>QS.CONTEXT.CREATE("market.6081",A6083,"USD","SOFR")</f>
        <v/>
      </c>
      <c r="D6083" s="8">
        <f>QS.CONTEXT.ADD.CURVE(C6083,"SOFR",$K$2:$K$7,$L$2:$L$7,,,"Actual360","LogLinear",TRUE)</f>
        <v/>
      </c>
      <c r="E6083" s="8">
        <f>QS.INSTRUMENT.SWAP("swap.6081",C6083,H6083,B6083,"USD","SOFR",I6083,J6083,0,"Actual360","Simple","Annual","Annual","Annual")</f>
        <v/>
      </c>
      <c r="F6083" s="8">
        <f>QS.TRADE.CREATE("trade.6081",C6083,E6083,A6083,"Receive")</f>
        <v/>
      </c>
      <c r="G6083" s="5"/>
      <c r="H6083" s="7" t="s">
        <v>6124</v>
      </c>
      <c r="I6083" s="9">
        <v>1608100</v>
      </c>
      <c r="J6083" s="10">
        <v>0.0381</v>
      </c>
    </row>
    <row r="6084" spans="1:10">
      <c r="A6084" s="7" t="s">
        <v>6118</v>
      </c>
      <c r="B6084" s="7" t="s">
        <v>7951</v>
      </c>
      <c r="C6084" s="8">
        <f>QS.CONTEXT.CREATE("market.6082",A6084,"USD","SOFR")</f>
        <v/>
      </c>
      <c r="D6084" s="8">
        <f>QS.CONTEXT.ADD.CURVE(C6084,"SOFR",$K$2:$K$7,$L$2:$L$7,,,"Actual360","LogLinear",TRUE)</f>
        <v/>
      </c>
      <c r="E6084" s="8">
        <f>QS.INSTRUMENT.SWAP("swap.6082",C6084,H6084,B6084,"USD","SOFR",I6084,J6084,0,"Actual360","Simple","Annual","Annual","Annual")</f>
        <v/>
      </c>
      <c r="F6084" s="8">
        <f>QS.TRADE.CREATE("trade.6082",C6084,E6084,A6084,"Receive")</f>
        <v/>
      </c>
      <c r="G6084" s="5"/>
      <c r="H6084" s="7" t="s">
        <v>6125</v>
      </c>
      <c r="I6084" s="9">
        <v>1608200</v>
      </c>
      <c r="J6084" s="10">
        <v>0.0382</v>
      </c>
    </row>
    <row r="6085" spans="1:10">
      <c r="A6085" s="7" t="s">
        <v>6119</v>
      </c>
      <c r="B6085" s="7" t="s">
        <v>7952</v>
      </c>
      <c r="C6085" s="8">
        <f>QS.CONTEXT.CREATE("market.6083",A6085,"USD","SOFR")</f>
        <v/>
      </c>
      <c r="D6085" s="8">
        <f>QS.CONTEXT.ADD.CURVE(C6085,"SOFR",$K$2:$K$7,$L$2:$L$7,,,"Actual360","LogLinear",TRUE)</f>
        <v/>
      </c>
      <c r="E6085" s="8">
        <f>QS.INSTRUMENT.SWAP("swap.6083",C6085,H6085,B6085,"USD","SOFR",I6085,J6085,0,"Actual360","Simple","Annual","Annual","Annual")</f>
        <v/>
      </c>
      <c r="F6085" s="8">
        <f>QS.TRADE.CREATE("trade.6083",C6085,E6085,A6085,"Receive")</f>
        <v/>
      </c>
      <c r="G6085" s="5"/>
      <c r="H6085" s="7" t="s">
        <v>6126</v>
      </c>
      <c r="I6085" s="9">
        <v>1608300</v>
      </c>
      <c r="J6085" s="10">
        <v>0.0383</v>
      </c>
    </row>
    <row r="6086" spans="1:10">
      <c r="A6086" s="7" t="s">
        <v>6120</v>
      </c>
      <c r="B6086" s="7" t="s">
        <v>7953</v>
      </c>
      <c r="C6086" s="8">
        <f>QS.CONTEXT.CREATE("market.6084",A6086,"USD","SOFR")</f>
        <v/>
      </c>
      <c r="D6086" s="8">
        <f>QS.CONTEXT.ADD.CURVE(C6086,"SOFR",$K$2:$K$7,$L$2:$L$7,,,"Actual360","LogLinear",TRUE)</f>
        <v/>
      </c>
      <c r="E6086" s="8">
        <f>QS.INSTRUMENT.SWAP("swap.6084",C6086,H6086,B6086,"USD","SOFR",I6086,J6086,0,"Actual360","Simple","Annual","Annual","Annual")</f>
        <v/>
      </c>
      <c r="F6086" s="8">
        <f>QS.TRADE.CREATE("trade.6084",C6086,E6086,A6086,"Receive")</f>
        <v/>
      </c>
      <c r="G6086" s="5"/>
      <c r="H6086" s="7" t="s">
        <v>6127</v>
      </c>
      <c r="I6086" s="9">
        <v>1608400</v>
      </c>
      <c r="J6086" s="10">
        <v>0.0384</v>
      </c>
    </row>
    <row r="6087" spans="1:10">
      <c r="A6087" s="7" t="s">
        <v>6121</v>
      </c>
      <c r="B6087" s="7" t="s">
        <v>7954</v>
      </c>
      <c r="C6087" s="8">
        <f>QS.CONTEXT.CREATE("market.6085",A6087,"USD","SOFR")</f>
        <v/>
      </c>
      <c r="D6087" s="8">
        <f>QS.CONTEXT.ADD.CURVE(C6087,"SOFR",$K$2:$K$7,$L$2:$L$7,,,"Actual360","LogLinear",TRUE)</f>
        <v/>
      </c>
      <c r="E6087" s="8">
        <f>QS.INSTRUMENT.SWAP("swap.6085",C6087,H6087,B6087,"USD","SOFR",I6087,J6087,0,"Actual360","Simple","Annual","Annual","Annual")</f>
        <v/>
      </c>
      <c r="F6087" s="8">
        <f>QS.TRADE.CREATE("trade.6085",C6087,E6087,A6087,"Receive")</f>
        <v/>
      </c>
      <c r="G6087" s="5"/>
      <c r="H6087" s="7" t="s">
        <v>6128</v>
      </c>
      <c r="I6087" s="9">
        <v>1608500</v>
      </c>
      <c r="J6087" s="10">
        <v>0.03850000000000001</v>
      </c>
    </row>
    <row r="6088" spans="1:10">
      <c r="A6088" s="7" t="s">
        <v>6122</v>
      </c>
      <c r="B6088" s="7" t="s">
        <v>7955</v>
      </c>
      <c r="C6088" s="8">
        <f>QS.CONTEXT.CREATE("market.6086",A6088,"USD","SOFR")</f>
        <v/>
      </c>
      <c r="D6088" s="8">
        <f>QS.CONTEXT.ADD.CURVE(C6088,"SOFR",$K$2:$K$7,$L$2:$L$7,,,"Actual360","LogLinear",TRUE)</f>
        <v/>
      </c>
      <c r="E6088" s="8">
        <f>QS.INSTRUMENT.SWAP("swap.6086",C6088,H6088,B6088,"USD","SOFR",I6088,J6088,0,"Actual360","Simple","Annual","Annual","Annual")</f>
        <v/>
      </c>
      <c r="F6088" s="8">
        <f>QS.TRADE.CREATE("trade.6086",C6088,E6088,A6088,"Receive")</f>
        <v/>
      </c>
      <c r="G6088" s="5"/>
      <c r="H6088" s="7" t="s">
        <v>6129</v>
      </c>
      <c r="I6088" s="9">
        <v>1608600</v>
      </c>
      <c r="J6088" s="10">
        <v>0.0386</v>
      </c>
    </row>
    <row r="6089" spans="1:10">
      <c r="A6089" s="7" t="s">
        <v>6123</v>
      </c>
      <c r="B6089" s="7" t="s">
        <v>7956</v>
      </c>
      <c r="C6089" s="8">
        <f>QS.CONTEXT.CREATE("market.6087",A6089,"USD","SOFR")</f>
        <v/>
      </c>
      <c r="D6089" s="8">
        <f>QS.CONTEXT.ADD.CURVE(C6089,"SOFR",$K$2:$K$7,$L$2:$L$7,,,"Actual360","LogLinear",TRUE)</f>
        <v/>
      </c>
      <c r="E6089" s="8">
        <f>QS.INSTRUMENT.SWAP("swap.6087",C6089,H6089,B6089,"USD","SOFR",I6089,J6089,0,"Actual360","Simple","Annual","Annual","Annual")</f>
        <v/>
      </c>
      <c r="F6089" s="8">
        <f>QS.TRADE.CREATE("trade.6087",C6089,E6089,A6089,"Receive")</f>
        <v/>
      </c>
      <c r="G6089" s="5"/>
      <c r="H6089" s="7" t="s">
        <v>6130</v>
      </c>
      <c r="I6089" s="9">
        <v>1608700</v>
      </c>
      <c r="J6089" s="10">
        <v>0.03870000000000001</v>
      </c>
    </row>
    <row r="6090" spans="1:10">
      <c r="A6090" s="7" t="s">
        <v>6124</v>
      </c>
      <c r="B6090" s="7" t="s">
        <v>7957</v>
      </c>
      <c r="C6090" s="8">
        <f>QS.CONTEXT.CREATE("market.6088",A6090,"USD","SOFR")</f>
        <v/>
      </c>
      <c r="D6090" s="8">
        <f>QS.CONTEXT.ADD.CURVE(C6090,"SOFR",$K$2:$K$7,$L$2:$L$7,,,"Actual360","LogLinear",TRUE)</f>
        <v/>
      </c>
      <c r="E6090" s="8">
        <f>QS.INSTRUMENT.SWAP("swap.6088",C6090,H6090,B6090,"USD","SOFR",I6090,J6090,0,"Actual360","Simple","Annual","Annual","Annual")</f>
        <v/>
      </c>
      <c r="F6090" s="8">
        <f>QS.TRADE.CREATE("trade.6088",C6090,E6090,A6090,"Receive")</f>
        <v/>
      </c>
      <c r="G6090" s="5"/>
      <c r="H6090" s="7" t="s">
        <v>6131</v>
      </c>
      <c r="I6090" s="9">
        <v>1608800</v>
      </c>
      <c r="J6090" s="10">
        <v>0.0388</v>
      </c>
    </row>
    <row r="6091" spans="1:10">
      <c r="A6091" s="7" t="s">
        <v>6125</v>
      </c>
      <c r="B6091" s="7" t="s">
        <v>7958</v>
      </c>
      <c r="C6091" s="8">
        <f>QS.CONTEXT.CREATE("market.6089",A6091,"USD","SOFR")</f>
        <v/>
      </c>
      <c r="D6091" s="8">
        <f>QS.CONTEXT.ADD.CURVE(C6091,"SOFR",$K$2:$K$7,$L$2:$L$7,,,"Actual360","LogLinear",TRUE)</f>
        <v/>
      </c>
      <c r="E6091" s="8">
        <f>QS.INSTRUMENT.SWAP("swap.6089",C6091,H6091,B6091,"USD","SOFR",I6091,J6091,0,"Actual360","Simple","Annual","Annual","Annual")</f>
        <v/>
      </c>
      <c r="F6091" s="8">
        <f>QS.TRADE.CREATE("trade.6089",C6091,E6091,A6091,"Receive")</f>
        <v/>
      </c>
      <c r="G6091" s="5"/>
      <c r="H6091" s="7" t="s">
        <v>6132</v>
      </c>
      <c r="I6091" s="9">
        <v>1608900</v>
      </c>
      <c r="J6091" s="10">
        <v>0.0389</v>
      </c>
    </row>
    <row r="6092" spans="1:10">
      <c r="A6092" s="7" t="s">
        <v>6126</v>
      </c>
      <c r="B6092" s="7" t="s">
        <v>7959</v>
      </c>
      <c r="C6092" s="8">
        <f>QS.CONTEXT.CREATE("market.6090",A6092,"USD","SOFR")</f>
        <v/>
      </c>
      <c r="D6092" s="8">
        <f>QS.CONTEXT.ADD.CURVE(C6092,"SOFR",$K$2:$K$7,$L$2:$L$7,,,"Actual360","LogLinear",TRUE)</f>
        <v/>
      </c>
      <c r="E6092" s="8">
        <f>QS.INSTRUMENT.SWAP("swap.6090",C6092,H6092,B6092,"USD","SOFR",I6092,J6092,0,"Actual360","Simple","Annual","Annual","Annual")</f>
        <v/>
      </c>
      <c r="F6092" s="8">
        <f>QS.TRADE.CREATE("trade.6090",C6092,E6092,A6092,"Receive")</f>
        <v/>
      </c>
      <c r="G6092" s="5"/>
      <c r="H6092" s="7" t="s">
        <v>6133</v>
      </c>
      <c r="I6092" s="9">
        <v>1609000</v>
      </c>
      <c r="J6092" s="10">
        <v>0.03900000000000001</v>
      </c>
    </row>
    <row r="6093" spans="1:10">
      <c r="A6093" s="7" t="s">
        <v>6127</v>
      </c>
      <c r="B6093" s="7" t="s">
        <v>7960</v>
      </c>
      <c r="C6093" s="8">
        <f>QS.CONTEXT.CREATE("market.6091",A6093,"USD","SOFR")</f>
        <v/>
      </c>
      <c r="D6093" s="8">
        <f>QS.CONTEXT.ADD.CURVE(C6093,"SOFR",$K$2:$K$7,$L$2:$L$7,,,"Actual360","LogLinear",TRUE)</f>
        <v/>
      </c>
      <c r="E6093" s="8">
        <f>QS.INSTRUMENT.SWAP("swap.6091",C6093,H6093,B6093,"USD","SOFR",I6093,J6093,0,"Actual360","Simple","Annual","Annual","Annual")</f>
        <v/>
      </c>
      <c r="F6093" s="8">
        <f>QS.TRADE.CREATE("trade.6091",C6093,E6093,A6093,"Receive")</f>
        <v/>
      </c>
      <c r="G6093" s="5"/>
      <c r="H6093" s="7" t="s">
        <v>6134</v>
      </c>
      <c r="I6093" s="9">
        <v>1609100</v>
      </c>
      <c r="J6093" s="10">
        <v>0.0391</v>
      </c>
    </row>
    <row r="6094" spans="1:10">
      <c r="A6094" s="7" t="s">
        <v>6128</v>
      </c>
      <c r="B6094" s="7" t="s">
        <v>7961</v>
      </c>
      <c r="C6094" s="8">
        <f>QS.CONTEXT.CREATE("market.6092",A6094,"USD","SOFR")</f>
        <v/>
      </c>
      <c r="D6094" s="8">
        <f>QS.CONTEXT.ADD.CURVE(C6094,"SOFR",$K$2:$K$7,$L$2:$L$7,,,"Actual360","LogLinear",TRUE)</f>
        <v/>
      </c>
      <c r="E6094" s="8">
        <f>QS.INSTRUMENT.SWAP("swap.6092",C6094,H6094,B6094,"USD","SOFR",I6094,J6094,0,"Actual360","Simple","Annual","Annual","Annual")</f>
        <v/>
      </c>
      <c r="F6094" s="8">
        <f>QS.TRADE.CREATE("trade.6092",C6094,E6094,A6094,"Receive")</f>
        <v/>
      </c>
      <c r="G6094" s="5"/>
      <c r="H6094" s="7" t="s">
        <v>6135</v>
      </c>
      <c r="I6094" s="9">
        <v>1609200</v>
      </c>
      <c r="J6094" s="10">
        <v>0.03920000000000001</v>
      </c>
    </row>
    <row r="6095" spans="1:10">
      <c r="A6095" s="7" t="s">
        <v>6129</v>
      </c>
      <c r="B6095" s="7" t="s">
        <v>7962</v>
      </c>
      <c r="C6095" s="8">
        <f>QS.CONTEXT.CREATE("market.6093",A6095,"USD","SOFR")</f>
        <v/>
      </c>
      <c r="D6095" s="8">
        <f>QS.CONTEXT.ADD.CURVE(C6095,"SOFR",$K$2:$K$7,$L$2:$L$7,,,"Actual360","LogLinear",TRUE)</f>
        <v/>
      </c>
      <c r="E6095" s="8">
        <f>QS.INSTRUMENT.SWAP("swap.6093",C6095,H6095,B6095,"USD","SOFR",I6095,J6095,0,"Actual360","Simple","Annual","Annual","Annual")</f>
        <v/>
      </c>
      <c r="F6095" s="8">
        <f>QS.TRADE.CREATE("trade.6093",C6095,E6095,A6095,"Receive")</f>
        <v/>
      </c>
      <c r="G6095" s="5"/>
      <c r="H6095" s="7" t="s">
        <v>6136</v>
      </c>
      <c r="I6095" s="9">
        <v>1609300</v>
      </c>
      <c r="J6095" s="10">
        <v>0.0393</v>
      </c>
    </row>
    <row r="6096" spans="1:10">
      <c r="A6096" s="7" t="s">
        <v>6130</v>
      </c>
      <c r="B6096" s="7" t="s">
        <v>7963</v>
      </c>
      <c r="C6096" s="8">
        <f>QS.CONTEXT.CREATE("market.6094",A6096,"USD","SOFR")</f>
        <v/>
      </c>
      <c r="D6096" s="8">
        <f>QS.CONTEXT.ADD.CURVE(C6096,"SOFR",$K$2:$K$7,$L$2:$L$7,,,"Actual360","LogLinear",TRUE)</f>
        <v/>
      </c>
      <c r="E6096" s="8">
        <f>QS.INSTRUMENT.SWAP("swap.6094",C6096,H6096,B6096,"USD","SOFR",I6096,J6096,0,"Actual360","Simple","Annual","Annual","Annual")</f>
        <v/>
      </c>
      <c r="F6096" s="8">
        <f>QS.TRADE.CREATE("trade.6094",C6096,E6096,A6096,"Receive")</f>
        <v/>
      </c>
      <c r="G6096" s="5"/>
      <c r="H6096" s="7" t="s">
        <v>6137</v>
      </c>
      <c r="I6096" s="9">
        <v>1609400</v>
      </c>
      <c r="J6096" s="10">
        <v>0.0394</v>
      </c>
    </row>
    <row r="6097" spans="1:10">
      <c r="A6097" s="7" t="s">
        <v>6131</v>
      </c>
      <c r="B6097" s="7" t="s">
        <v>7964</v>
      </c>
      <c r="C6097" s="8">
        <f>QS.CONTEXT.CREATE("market.6095",A6097,"USD","SOFR")</f>
        <v/>
      </c>
      <c r="D6097" s="8">
        <f>QS.CONTEXT.ADD.CURVE(C6097,"SOFR",$K$2:$K$7,$L$2:$L$7,,,"Actual360","LogLinear",TRUE)</f>
        <v/>
      </c>
      <c r="E6097" s="8">
        <f>QS.INSTRUMENT.SWAP("swap.6095",C6097,H6097,B6097,"USD","SOFR",I6097,J6097,0,"Actual360","Simple","Annual","Annual","Annual")</f>
        <v/>
      </c>
      <c r="F6097" s="8">
        <f>QS.TRADE.CREATE("trade.6095",C6097,E6097,A6097,"Receive")</f>
        <v/>
      </c>
      <c r="G6097" s="5"/>
      <c r="H6097" s="7" t="s">
        <v>6138</v>
      </c>
      <c r="I6097" s="9">
        <v>1609500</v>
      </c>
      <c r="J6097" s="10">
        <v>0.03950000000000001</v>
      </c>
    </row>
    <row r="6098" spans="1:10">
      <c r="A6098" s="7" t="s">
        <v>6132</v>
      </c>
      <c r="B6098" s="7" t="s">
        <v>7965</v>
      </c>
      <c r="C6098" s="8">
        <f>QS.CONTEXT.CREATE("market.6096",A6098,"USD","SOFR")</f>
        <v/>
      </c>
      <c r="D6098" s="8">
        <f>QS.CONTEXT.ADD.CURVE(C6098,"SOFR",$K$2:$K$7,$L$2:$L$7,,,"Actual360","LogLinear",TRUE)</f>
        <v/>
      </c>
      <c r="E6098" s="8">
        <f>QS.INSTRUMENT.SWAP("swap.6096",C6098,H6098,B6098,"USD","SOFR",I6098,J6098,0,"Actual360","Simple","Annual","Annual","Annual")</f>
        <v/>
      </c>
      <c r="F6098" s="8">
        <f>QS.TRADE.CREATE("trade.6096",C6098,E6098,A6098,"Receive")</f>
        <v/>
      </c>
      <c r="G6098" s="5"/>
      <c r="H6098" s="7" t="s">
        <v>6139</v>
      </c>
      <c r="I6098" s="9">
        <v>1609600</v>
      </c>
      <c r="J6098" s="10">
        <v>0.0396</v>
      </c>
    </row>
    <row r="6099" spans="1:10">
      <c r="A6099" s="7" t="s">
        <v>6133</v>
      </c>
      <c r="B6099" s="7" t="s">
        <v>7966</v>
      </c>
      <c r="C6099" s="8">
        <f>QS.CONTEXT.CREATE("market.6097",A6099,"USD","SOFR")</f>
        <v/>
      </c>
      <c r="D6099" s="8">
        <f>QS.CONTEXT.ADD.CURVE(C6099,"SOFR",$K$2:$K$7,$L$2:$L$7,,,"Actual360","LogLinear",TRUE)</f>
        <v/>
      </c>
      <c r="E6099" s="8">
        <f>QS.INSTRUMENT.SWAP("swap.6097",C6099,H6099,B6099,"USD","SOFR",I6099,J6099,0,"Actual360","Simple","Annual","Annual","Annual")</f>
        <v/>
      </c>
      <c r="F6099" s="8">
        <f>QS.TRADE.CREATE("trade.6097",C6099,E6099,A6099,"Receive")</f>
        <v/>
      </c>
      <c r="G6099" s="5"/>
      <c r="H6099" s="7" t="s">
        <v>6140</v>
      </c>
      <c r="I6099" s="9">
        <v>1609700</v>
      </c>
      <c r="J6099" s="10">
        <v>0.03970000000000001</v>
      </c>
    </row>
    <row r="6100" spans="1:10">
      <c r="A6100" s="7" t="s">
        <v>6134</v>
      </c>
      <c r="B6100" s="7" t="s">
        <v>7967</v>
      </c>
      <c r="C6100" s="8">
        <f>QS.CONTEXT.CREATE("market.6098",A6100,"USD","SOFR")</f>
        <v/>
      </c>
      <c r="D6100" s="8">
        <f>QS.CONTEXT.ADD.CURVE(C6100,"SOFR",$K$2:$K$7,$L$2:$L$7,,,"Actual360","LogLinear",TRUE)</f>
        <v/>
      </c>
      <c r="E6100" s="8">
        <f>QS.INSTRUMENT.SWAP("swap.6098",C6100,H6100,B6100,"USD","SOFR",I6100,J6100,0,"Actual360","Simple","Annual","Annual","Annual")</f>
        <v/>
      </c>
      <c r="F6100" s="8">
        <f>QS.TRADE.CREATE("trade.6098",C6100,E6100,A6100,"Receive")</f>
        <v/>
      </c>
      <c r="G6100" s="5"/>
      <c r="H6100" s="7" t="s">
        <v>6141</v>
      </c>
      <c r="I6100" s="9">
        <v>1609800</v>
      </c>
      <c r="J6100" s="10">
        <v>0.0398</v>
      </c>
    </row>
    <row r="6101" spans="1:10">
      <c r="A6101" s="7" t="s">
        <v>6135</v>
      </c>
      <c r="B6101" s="7" t="s">
        <v>7968</v>
      </c>
      <c r="C6101" s="8">
        <f>QS.CONTEXT.CREATE("market.6099",A6101,"USD","SOFR")</f>
        <v/>
      </c>
      <c r="D6101" s="8">
        <f>QS.CONTEXT.ADD.CURVE(C6101,"SOFR",$K$2:$K$7,$L$2:$L$7,,,"Actual360","LogLinear",TRUE)</f>
        <v/>
      </c>
      <c r="E6101" s="8">
        <f>QS.INSTRUMENT.SWAP("swap.6099",C6101,H6101,B6101,"USD","SOFR",I6101,J6101,0,"Actual360","Simple","Annual","Annual","Annual")</f>
        <v/>
      </c>
      <c r="F6101" s="8">
        <f>QS.TRADE.CREATE("trade.6099",C6101,E6101,A6101,"Receive")</f>
        <v/>
      </c>
      <c r="G6101" s="5"/>
      <c r="H6101" s="7" t="s">
        <v>6142</v>
      </c>
      <c r="I6101" s="9">
        <v>1609900</v>
      </c>
      <c r="J6101" s="10">
        <v>0.0399</v>
      </c>
    </row>
    <row r="6102" spans="1:10">
      <c r="A6102" s="7" t="s">
        <v>6136</v>
      </c>
      <c r="B6102" s="7" t="s">
        <v>7969</v>
      </c>
      <c r="C6102" s="8">
        <f>QS.CONTEXT.CREATE("market.6100",A6102,"USD","SOFR")</f>
        <v/>
      </c>
      <c r="D6102" s="8">
        <f>QS.CONTEXT.ADD.CURVE(C6102,"SOFR",$K$2:$K$7,$L$2:$L$7,,,"Actual360","LogLinear",TRUE)</f>
        <v/>
      </c>
      <c r="E6102" s="8">
        <f>QS.INSTRUMENT.SWAP("swap.6100",C6102,H6102,B6102,"USD","SOFR",I6102,J6102,0,"Actual360","Simple","Annual","Annual","Annual")</f>
        <v/>
      </c>
      <c r="F6102" s="8">
        <f>QS.TRADE.CREATE("trade.6100",C6102,E6102,A6102,"Receive")</f>
        <v/>
      </c>
      <c r="G6102" s="5"/>
      <c r="H6102" s="7" t="s">
        <v>6143</v>
      </c>
      <c r="I6102" s="9">
        <v>1610000</v>
      </c>
      <c r="J6102" s="10">
        <v>0.035</v>
      </c>
    </row>
    <row r="6103" spans="1:10">
      <c r="A6103" s="7" t="s">
        <v>6137</v>
      </c>
      <c r="B6103" s="7" t="s">
        <v>7970</v>
      </c>
      <c r="C6103" s="8">
        <f>QS.CONTEXT.CREATE("market.6101",A6103,"USD","SOFR")</f>
        <v/>
      </c>
      <c r="D6103" s="8">
        <f>QS.CONTEXT.ADD.CURVE(C6103,"SOFR",$K$2:$K$7,$L$2:$L$7,,,"Actual360","LogLinear",TRUE)</f>
        <v/>
      </c>
      <c r="E6103" s="8">
        <f>QS.INSTRUMENT.SWAP("swap.6101",C6103,H6103,B6103,"USD","SOFR",I6103,J6103,0,"Actual360","Simple","Annual","Annual","Annual")</f>
        <v/>
      </c>
      <c r="F6103" s="8">
        <f>QS.TRADE.CREATE("trade.6101",C6103,E6103,A6103,"Receive")</f>
        <v/>
      </c>
      <c r="G6103" s="5"/>
      <c r="H6103" s="7" t="s">
        <v>6144</v>
      </c>
      <c r="I6103" s="9">
        <v>1610100</v>
      </c>
      <c r="J6103" s="10">
        <v>0.03510000000000001</v>
      </c>
    </row>
    <row r="6104" spans="1:10">
      <c r="A6104" s="7" t="s">
        <v>6138</v>
      </c>
      <c r="B6104" s="7" t="s">
        <v>7971</v>
      </c>
      <c r="C6104" s="8">
        <f>QS.CONTEXT.CREATE("market.6102",A6104,"USD","SOFR")</f>
        <v/>
      </c>
      <c r="D6104" s="8">
        <f>QS.CONTEXT.ADD.CURVE(C6104,"SOFR",$K$2:$K$7,$L$2:$L$7,,,"Actual360","LogLinear",TRUE)</f>
        <v/>
      </c>
      <c r="E6104" s="8">
        <f>QS.INSTRUMENT.SWAP("swap.6102",C6104,H6104,B6104,"USD","SOFR",I6104,J6104,0,"Actual360","Simple","Annual","Annual","Annual")</f>
        <v/>
      </c>
      <c r="F6104" s="8">
        <f>QS.TRADE.CREATE("trade.6102",C6104,E6104,A6104,"Receive")</f>
        <v/>
      </c>
      <c r="G6104" s="5"/>
      <c r="H6104" s="7" t="s">
        <v>6145</v>
      </c>
      <c r="I6104" s="9">
        <v>1610200</v>
      </c>
      <c r="J6104" s="10">
        <v>0.0352</v>
      </c>
    </row>
    <row r="6105" spans="1:10">
      <c r="A6105" s="7" t="s">
        <v>6139</v>
      </c>
      <c r="B6105" s="7" t="s">
        <v>7972</v>
      </c>
      <c r="C6105" s="8">
        <f>QS.CONTEXT.CREATE("market.6103",A6105,"USD","SOFR")</f>
        <v/>
      </c>
      <c r="D6105" s="8">
        <f>QS.CONTEXT.ADD.CURVE(C6105,"SOFR",$K$2:$K$7,$L$2:$L$7,,,"Actual360","LogLinear",TRUE)</f>
        <v/>
      </c>
      <c r="E6105" s="8">
        <f>QS.INSTRUMENT.SWAP("swap.6103",C6105,H6105,B6105,"USD","SOFR",I6105,J6105,0,"Actual360","Simple","Annual","Annual","Annual")</f>
        <v/>
      </c>
      <c r="F6105" s="8">
        <f>QS.TRADE.CREATE("trade.6103",C6105,E6105,A6105,"Receive")</f>
        <v/>
      </c>
      <c r="G6105" s="5"/>
      <c r="H6105" s="7" t="s">
        <v>6146</v>
      </c>
      <c r="I6105" s="9">
        <v>1610300</v>
      </c>
      <c r="J6105" s="10">
        <v>0.0353</v>
      </c>
    </row>
    <row r="6106" spans="1:10">
      <c r="A6106" s="7" t="s">
        <v>6140</v>
      </c>
      <c r="B6106" s="7" t="s">
        <v>7973</v>
      </c>
      <c r="C6106" s="8">
        <f>QS.CONTEXT.CREATE("market.6104",A6106,"USD","SOFR")</f>
        <v/>
      </c>
      <c r="D6106" s="8">
        <f>QS.CONTEXT.ADD.CURVE(C6106,"SOFR",$K$2:$K$7,$L$2:$L$7,,,"Actual360","LogLinear",TRUE)</f>
        <v/>
      </c>
      <c r="E6106" s="8">
        <f>QS.INSTRUMENT.SWAP("swap.6104",C6106,H6106,B6106,"USD","SOFR",I6106,J6106,0,"Actual360","Simple","Annual","Annual","Annual")</f>
        <v/>
      </c>
      <c r="F6106" s="8">
        <f>QS.TRADE.CREATE("trade.6104",C6106,E6106,A6106,"Receive")</f>
        <v/>
      </c>
      <c r="G6106" s="5"/>
      <c r="H6106" s="7" t="s">
        <v>6147</v>
      </c>
      <c r="I6106" s="9">
        <v>1610400</v>
      </c>
      <c r="J6106" s="10">
        <v>0.0354</v>
      </c>
    </row>
    <row r="6107" spans="1:10">
      <c r="A6107" s="7" t="s">
        <v>6141</v>
      </c>
      <c r="B6107" s="7" t="s">
        <v>7974</v>
      </c>
      <c r="C6107" s="8">
        <f>QS.CONTEXT.CREATE("market.6105",A6107,"USD","SOFR")</f>
        <v/>
      </c>
      <c r="D6107" s="8">
        <f>QS.CONTEXT.ADD.CURVE(C6107,"SOFR",$K$2:$K$7,$L$2:$L$7,,,"Actual360","LogLinear",TRUE)</f>
        <v/>
      </c>
      <c r="E6107" s="8">
        <f>QS.INSTRUMENT.SWAP("swap.6105",C6107,H6107,B6107,"USD","SOFR",I6107,J6107,0,"Actual360","Simple","Annual","Annual","Annual")</f>
        <v/>
      </c>
      <c r="F6107" s="8">
        <f>QS.TRADE.CREATE("trade.6105",C6107,E6107,A6107,"Receive")</f>
        <v/>
      </c>
      <c r="G6107" s="5"/>
      <c r="H6107" s="7" t="s">
        <v>6148</v>
      </c>
      <c r="I6107" s="9">
        <v>1610500</v>
      </c>
      <c r="J6107" s="10">
        <v>0.0355</v>
      </c>
    </row>
    <row r="6108" spans="1:10">
      <c r="A6108" s="7" t="s">
        <v>6142</v>
      </c>
      <c r="B6108" s="7" t="s">
        <v>7975</v>
      </c>
      <c r="C6108" s="8">
        <f>QS.CONTEXT.CREATE("market.6106",A6108,"USD","SOFR")</f>
        <v/>
      </c>
      <c r="D6108" s="8">
        <f>QS.CONTEXT.ADD.CURVE(C6108,"SOFR",$K$2:$K$7,$L$2:$L$7,,,"Actual360","LogLinear",TRUE)</f>
        <v/>
      </c>
      <c r="E6108" s="8">
        <f>QS.INSTRUMENT.SWAP("swap.6106",C6108,H6108,B6108,"USD","SOFR",I6108,J6108,0,"Actual360","Simple","Annual","Annual","Annual")</f>
        <v/>
      </c>
      <c r="F6108" s="8">
        <f>QS.TRADE.CREATE("trade.6106",C6108,E6108,A6108,"Receive")</f>
        <v/>
      </c>
      <c r="G6108" s="5"/>
      <c r="H6108" s="7" t="s">
        <v>6149</v>
      </c>
      <c r="I6108" s="9">
        <v>1610600</v>
      </c>
      <c r="J6108" s="10">
        <v>0.03560000000000001</v>
      </c>
    </row>
    <row r="6109" spans="1:10">
      <c r="A6109" s="7" t="s">
        <v>6143</v>
      </c>
      <c r="B6109" s="7" t="s">
        <v>7976</v>
      </c>
      <c r="C6109" s="8">
        <f>QS.CONTEXT.CREATE("market.6107",A6109,"USD","SOFR")</f>
        <v/>
      </c>
      <c r="D6109" s="8">
        <f>QS.CONTEXT.ADD.CURVE(C6109,"SOFR",$K$2:$K$7,$L$2:$L$7,,,"Actual360","LogLinear",TRUE)</f>
        <v/>
      </c>
      <c r="E6109" s="8">
        <f>QS.INSTRUMENT.SWAP("swap.6107",C6109,H6109,B6109,"USD","SOFR",I6109,J6109,0,"Actual360","Simple","Annual","Annual","Annual")</f>
        <v/>
      </c>
      <c r="F6109" s="8">
        <f>QS.TRADE.CREATE("trade.6107",C6109,E6109,A6109,"Receive")</f>
        <v/>
      </c>
      <c r="G6109" s="5"/>
      <c r="H6109" s="7" t="s">
        <v>6150</v>
      </c>
      <c r="I6109" s="9">
        <v>1610700</v>
      </c>
      <c r="J6109" s="10">
        <v>0.0357</v>
      </c>
    </row>
    <row r="6110" spans="1:10">
      <c r="A6110" s="7" t="s">
        <v>6144</v>
      </c>
      <c r="B6110" s="7" t="s">
        <v>7977</v>
      </c>
      <c r="C6110" s="8">
        <f>QS.CONTEXT.CREATE("market.6108",A6110,"USD","SOFR")</f>
        <v/>
      </c>
      <c r="D6110" s="8">
        <f>QS.CONTEXT.ADD.CURVE(C6110,"SOFR",$K$2:$K$7,$L$2:$L$7,,,"Actual360","LogLinear",TRUE)</f>
        <v/>
      </c>
      <c r="E6110" s="8">
        <f>QS.INSTRUMENT.SWAP("swap.6108",C6110,H6110,B6110,"USD","SOFR",I6110,J6110,0,"Actual360","Simple","Annual","Annual","Annual")</f>
        <v/>
      </c>
      <c r="F6110" s="8">
        <f>QS.TRADE.CREATE("trade.6108",C6110,E6110,A6110,"Receive")</f>
        <v/>
      </c>
      <c r="G6110" s="5"/>
      <c r="H6110" s="7" t="s">
        <v>6151</v>
      </c>
      <c r="I6110" s="9">
        <v>1610800</v>
      </c>
      <c r="J6110" s="10">
        <v>0.03580000000000001</v>
      </c>
    </row>
    <row r="6111" spans="1:10">
      <c r="A6111" s="7" t="s">
        <v>6145</v>
      </c>
      <c r="B6111" s="7" t="s">
        <v>7978</v>
      </c>
      <c r="C6111" s="8">
        <f>QS.CONTEXT.CREATE("market.6109",A6111,"USD","SOFR")</f>
        <v/>
      </c>
      <c r="D6111" s="8">
        <f>QS.CONTEXT.ADD.CURVE(C6111,"SOFR",$K$2:$K$7,$L$2:$L$7,,,"Actual360","LogLinear",TRUE)</f>
        <v/>
      </c>
      <c r="E6111" s="8">
        <f>QS.INSTRUMENT.SWAP("swap.6109",C6111,H6111,B6111,"USD","SOFR",I6111,J6111,0,"Actual360","Simple","Annual","Annual","Annual")</f>
        <v/>
      </c>
      <c r="F6111" s="8">
        <f>QS.TRADE.CREATE("trade.6109",C6111,E6111,A6111,"Receive")</f>
        <v/>
      </c>
      <c r="G6111" s="5"/>
      <c r="H6111" s="7" t="s">
        <v>6152</v>
      </c>
      <c r="I6111" s="9">
        <v>1610900</v>
      </c>
      <c r="J6111" s="10">
        <v>0.0359</v>
      </c>
    </row>
    <row r="6112" spans="1:10">
      <c r="A6112" s="7" t="s">
        <v>6146</v>
      </c>
      <c r="B6112" s="7" t="s">
        <v>7979</v>
      </c>
      <c r="C6112" s="8">
        <f>QS.CONTEXT.CREATE("market.6110",A6112,"USD","SOFR")</f>
        <v/>
      </c>
      <c r="D6112" s="8">
        <f>QS.CONTEXT.ADD.CURVE(C6112,"SOFR",$K$2:$K$7,$L$2:$L$7,,,"Actual360","LogLinear",TRUE)</f>
        <v/>
      </c>
      <c r="E6112" s="8">
        <f>QS.INSTRUMENT.SWAP("swap.6110",C6112,H6112,B6112,"USD","SOFR",I6112,J6112,0,"Actual360","Simple","Annual","Annual","Annual")</f>
        <v/>
      </c>
      <c r="F6112" s="8">
        <f>QS.TRADE.CREATE("trade.6110",C6112,E6112,A6112,"Receive")</f>
        <v/>
      </c>
      <c r="G6112" s="5"/>
      <c r="H6112" s="7" t="s">
        <v>6153</v>
      </c>
      <c r="I6112" s="9">
        <v>1611000</v>
      </c>
      <c r="J6112" s="10">
        <v>0.036</v>
      </c>
    </row>
    <row r="6113" spans="1:10">
      <c r="A6113" s="7" t="s">
        <v>6147</v>
      </c>
      <c r="B6113" s="7" t="s">
        <v>7980</v>
      </c>
      <c r="C6113" s="8">
        <f>QS.CONTEXT.CREATE("market.6111",A6113,"USD","SOFR")</f>
        <v/>
      </c>
      <c r="D6113" s="8">
        <f>QS.CONTEXT.ADD.CURVE(C6113,"SOFR",$K$2:$K$7,$L$2:$L$7,,,"Actual360","LogLinear",TRUE)</f>
        <v/>
      </c>
      <c r="E6113" s="8">
        <f>QS.INSTRUMENT.SWAP("swap.6111",C6113,H6113,B6113,"USD","SOFR",I6113,J6113,0,"Actual360","Simple","Annual","Annual","Annual")</f>
        <v/>
      </c>
      <c r="F6113" s="8">
        <f>QS.TRADE.CREATE("trade.6111",C6113,E6113,A6113,"Receive")</f>
        <v/>
      </c>
      <c r="G6113" s="5"/>
      <c r="H6113" s="7" t="s">
        <v>6154</v>
      </c>
      <c r="I6113" s="9">
        <v>1611100</v>
      </c>
      <c r="J6113" s="10">
        <v>0.0361</v>
      </c>
    </row>
    <row r="6114" spans="1:10">
      <c r="A6114" s="7" t="s">
        <v>6148</v>
      </c>
      <c r="B6114" s="7" t="s">
        <v>7981</v>
      </c>
      <c r="C6114" s="8">
        <f>QS.CONTEXT.CREATE("market.6112",A6114,"USD","SOFR")</f>
        <v/>
      </c>
      <c r="D6114" s="8">
        <f>QS.CONTEXT.ADD.CURVE(C6114,"SOFR",$K$2:$K$7,$L$2:$L$7,,,"Actual360","LogLinear",TRUE)</f>
        <v/>
      </c>
      <c r="E6114" s="8">
        <f>QS.INSTRUMENT.SWAP("swap.6112",C6114,H6114,B6114,"USD","SOFR",I6114,J6114,0,"Actual360","Simple","Annual","Annual","Annual")</f>
        <v/>
      </c>
      <c r="F6114" s="8">
        <f>QS.TRADE.CREATE("trade.6112",C6114,E6114,A6114,"Receive")</f>
        <v/>
      </c>
      <c r="G6114" s="5"/>
      <c r="H6114" s="7" t="s">
        <v>6155</v>
      </c>
      <c r="I6114" s="9">
        <v>1611200</v>
      </c>
      <c r="J6114" s="10">
        <v>0.0362</v>
      </c>
    </row>
    <row r="6115" spans="1:10">
      <c r="A6115" s="7" t="s">
        <v>6149</v>
      </c>
      <c r="B6115" s="7" t="s">
        <v>7982</v>
      </c>
      <c r="C6115" s="8">
        <f>QS.CONTEXT.CREATE("market.6113",A6115,"USD","SOFR")</f>
        <v/>
      </c>
      <c r="D6115" s="8">
        <f>QS.CONTEXT.ADD.CURVE(C6115,"SOFR",$K$2:$K$7,$L$2:$L$7,,,"Actual360","LogLinear",TRUE)</f>
        <v/>
      </c>
      <c r="E6115" s="8">
        <f>QS.INSTRUMENT.SWAP("swap.6113",C6115,H6115,B6115,"USD","SOFR",I6115,J6115,0,"Actual360","Simple","Annual","Annual","Annual")</f>
        <v/>
      </c>
      <c r="F6115" s="8">
        <f>QS.TRADE.CREATE("trade.6113",C6115,E6115,A6115,"Receive")</f>
        <v/>
      </c>
      <c r="G6115" s="5"/>
      <c r="H6115" s="7" t="s">
        <v>6156</v>
      </c>
      <c r="I6115" s="9">
        <v>1611300</v>
      </c>
      <c r="J6115" s="10">
        <v>0.03630000000000001</v>
      </c>
    </row>
    <row r="6116" spans="1:10">
      <c r="A6116" s="7" t="s">
        <v>6150</v>
      </c>
      <c r="B6116" s="7" t="s">
        <v>7983</v>
      </c>
      <c r="C6116" s="8">
        <f>QS.CONTEXT.CREATE("market.6114",A6116,"USD","SOFR")</f>
        <v/>
      </c>
      <c r="D6116" s="8">
        <f>QS.CONTEXT.ADD.CURVE(C6116,"SOFR",$K$2:$K$7,$L$2:$L$7,,,"Actual360","LogLinear",TRUE)</f>
        <v/>
      </c>
      <c r="E6116" s="8">
        <f>QS.INSTRUMENT.SWAP("swap.6114",C6116,H6116,B6116,"USD","SOFR",I6116,J6116,0,"Actual360","Simple","Annual","Annual","Annual")</f>
        <v/>
      </c>
      <c r="F6116" s="8">
        <f>QS.TRADE.CREATE("trade.6114",C6116,E6116,A6116,"Receive")</f>
        <v/>
      </c>
      <c r="G6116" s="5"/>
      <c r="H6116" s="7" t="s">
        <v>6157</v>
      </c>
      <c r="I6116" s="9">
        <v>1611400</v>
      </c>
      <c r="J6116" s="10">
        <v>0.0364</v>
      </c>
    </row>
    <row r="6117" spans="1:10">
      <c r="A6117" s="7" t="s">
        <v>6151</v>
      </c>
      <c r="B6117" s="7" t="s">
        <v>7984</v>
      </c>
      <c r="C6117" s="8">
        <f>QS.CONTEXT.CREATE("market.6115",A6117,"USD","SOFR")</f>
        <v/>
      </c>
      <c r="D6117" s="8">
        <f>QS.CONTEXT.ADD.CURVE(C6117,"SOFR",$K$2:$K$7,$L$2:$L$7,,,"Actual360","LogLinear",TRUE)</f>
        <v/>
      </c>
      <c r="E6117" s="8">
        <f>QS.INSTRUMENT.SWAP("swap.6115",C6117,H6117,B6117,"USD","SOFR",I6117,J6117,0,"Actual360","Simple","Annual","Annual","Annual")</f>
        <v/>
      </c>
      <c r="F6117" s="8">
        <f>QS.TRADE.CREATE("trade.6115",C6117,E6117,A6117,"Receive")</f>
        <v/>
      </c>
      <c r="G6117" s="5"/>
      <c r="H6117" s="7" t="s">
        <v>6158</v>
      </c>
      <c r="I6117" s="9">
        <v>1611500</v>
      </c>
      <c r="J6117" s="10">
        <v>0.0365</v>
      </c>
    </row>
    <row r="6118" spans="1:10">
      <c r="A6118" s="7" t="s">
        <v>6152</v>
      </c>
      <c r="B6118" s="7" t="s">
        <v>7985</v>
      </c>
      <c r="C6118" s="8">
        <f>QS.CONTEXT.CREATE("market.6116",A6118,"USD","SOFR")</f>
        <v/>
      </c>
      <c r="D6118" s="8">
        <f>QS.CONTEXT.ADD.CURVE(C6118,"SOFR",$K$2:$K$7,$L$2:$L$7,,,"Actual360","LogLinear",TRUE)</f>
        <v/>
      </c>
      <c r="E6118" s="8">
        <f>QS.INSTRUMENT.SWAP("swap.6116",C6118,H6118,B6118,"USD","SOFR",I6118,J6118,0,"Actual360","Simple","Annual","Annual","Annual")</f>
        <v/>
      </c>
      <c r="F6118" s="8">
        <f>QS.TRADE.CREATE("trade.6116",C6118,E6118,A6118,"Receive")</f>
        <v/>
      </c>
      <c r="G6118" s="5"/>
      <c r="H6118" s="7" t="s">
        <v>6159</v>
      </c>
      <c r="I6118" s="9">
        <v>1611600</v>
      </c>
      <c r="J6118" s="10">
        <v>0.0366</v>
      </c>
    </row>
    <row r="6119" spans="1:10">
      <c r="A6119" s="7" t="s">
        <v>6153</v>
      </c>
      <c r="B6119" s="7" t="s">
        <v>7986</v>
      </c>
      <c r="C6119" s="8">
        <f>QS.CONTEXT.CREATE("market.6117",A6119,"USD","SOFR")</f>
        <v/>
      </c>
      <c r="D6119" s="8">
        <f>QS.CONTEXT.ADD.CURVE(C6119,"SOFR",$K$2:$K$7,$L$2:$L$7,,,"Actual360","LogLinear",TRUE)</f>
        <v/>
      </c>
      <c r="E6119" s="8">
        <f>QS.INSTRUMENT.SWAP("swap.6117",C6119,H6119,B6119,"USD","SOFR",I6119,J6119,0,"Actual360","Simple","Annual","Annual","Annual")</f>
        <v/>
      </c>
      <c r="F6119" s="8">
        <f>QS.TRADE.CREATE("trade.6117",C6119,E6119,A6119,"Receive")</f>
        <v/>
      </c>
      <c r="G6119" s="5"/>
      <c r="H6119" s="7" t="s">
        <v>6160</v>
      </c>
      <c r="I6119" s="9">
        <v>1611700</v>
      </c>
      <c r="J6119" s="10">
        <v>0.0367</v>
      </c>
    </row>
    <row r="6120" spans="1:10">
      <c r="A6120" s="7" t="s">
        <v>6154</v>
      </c>
      <c r="B6120" s="7" t="s">
        <v>7987</v>
      </c>
      <c r="C6120" s="8">
        <f>QS.CONTEXT.CREATE("market.6118",A6120,"USD","SOFR")</f>
        <v/>
      </c>
      <c r="D6120" s="8">
        <f>QS.CONTEXT.ADD.CURVE(C6120,"SOFR",$K$2:$K$7,$L$2:$L$7,,,"Actual360","LogLinear",TRUE)</f>
        <v/>
      </c>
      <c r="E6120" s="8">
        <f>QS.INSTRUMENT.SWAP("swap.6118",C6120,H6120,B6120,"USD","SOFR",I6120,J6120,0,"Actual360","Simple","Annual","Annual","Annual")</f>
        <v/>
      </c>
      <c r="F6120" s="8">
        <f>QS.TRADE.CREATE("trade.6118",C6120,E6120,A6120,"Receive")</f>
        <v/>
      </c>
      <c r="G6120" s="5"/>
      <c r="H6120" s="7" t="s">
        <v>6161</v>
      </c>
      <c r="I6120" s="9">
        <v>1611800</v>
      </c>
      <c r="J6120" s="10">
        <v>0.03680000000000001</v>
      </c>
    </row>
    <row r="6121" spans="1:10">
      <c r="A6121" s="7" t="s">
        <v>6155</v>
      </c>
      <c r="B6121" s="7" t="s">
        <v>7988</v>
      </c>
      <c r="C6121" s="8">
        <f>QS.CONTEXT.CREATE("market.6119",A6121,"USD","SOFR")</f>
        <v/>
      </c>
      <c r="D6121" s="8">
        <f>QS.CONTEXT.ADD.CURVE(C6121,"SOFR",$K$2:$K$7,$L$2:$L$7,,,"Actual360","LogLinear",TRUE)</f>
        <v/>
      </c>
      <c r="E6121" s="8">
        <f>QS.INSTRUMENT.SWAP("swap.6119",C6121,H6121,B6121,"USD","SOFR",I6121,J6121,0,"Actual360","Simple","Annual","Annual","Annual")</f>
        <v/>
      </c>
      <c r="F6121" s="8">
        <f>QS.TRADE.CREATE("trade.6119",C6121,E6121,A6121,"Receive")</f>
        <v/>
      </c>
      <c r="G6121" s="5"/>
      <c r="H6121" s="7" t="s">
        <v>6162</v>
      </c>
      <c r="I6121" s="9">
        <v>1611900</v>
      </c>
      <c r="J6121" s="10">
        <v>0.0369</v>
      </c>
    </row>
    <row r="6122" spans="1:10">
      <c r="A6122" s="7" t="s">
        <v>6156</v>
      </c>
      <c r="B6122" s="7" t="s">
        <v>7989</v>
      </c>
      <c r="C6122" s="8">
        <f>QS.CONTEXT.CREATE("market.6120",A6122,"USD","SOFR")</f>
        <v/>
      </c>
      <c r="D6122" s="8">
        <f>QS.CONTEXT.ADD.CURVE(C6122,"SOFR",$K$2:$K$7,$L$2:$L$7,,,"Actual360","LogLinear",TRUE)</f>
        <v/>
      </c>
      <c r="E6122" s="8">
        <f>QS.INSTRUMENT.SWAP("swap.6120",C6122,H6122,B6122,"USD","SOFR",I6122,J6122,0,"Actual360","Simple","Annual","Annual","Annual")</f>
        <v/>
      </c>
      <c r="F6122" s="8">
        <f>QS.TRADE.CREATE("trade.6120",C6122,E6122,A6122,"Receive")</f>
        <v/>
      </c>
      <c r="G6122" s="5"/>
      <c r="H6122" s="7" t="s">
        <v>6163</v>
      </c>
      <c r="I6122" s="9">
        <v>1612000</v>
      </c>
      <c r="J6122" s="10">
        <v>0.03700000000000001</v>
      </c>
    </row>
    <row r="6123" spans="1:10">
      <c r="A6123" s="7" t="s">
        <v>6157</v>
      </c>
      <c r="B6123" s="7" t="s">
        <v>7990</v>
      </c>
      <c r="C6123" s="8">
        <f>QS.CONTEXT.CREATE("market.6121",A6123,"USD","SOFR")</f>
        <v/>
      </c>
      <c r="D6123" s="8">
        <f>QS.CONTEXT.ADD.CURVE(C6123,"SOFR",$K$2:$K$7,$L$2:$L$7,,,"Actual360","LogLinear",TRUE)</f>
        <v/>
      </c>
      <c r="E6123" s="8">
        <f>QS.INSTRUMENT.SWAP("swap.6121",C6123,H6123,B6123,"USD","SOFR",I6123,J6123,0,"Actual360","Simple","Annual","Annual","Annual")</f>
        <v/>
      </c>
      <c r="F6123" s="8">
        <f>QS.TRADE.CREATE("trade.6121",C6123,E6123,A6123,"Receive")</f>
        <v/>
      </c>
      <c r="G6123" s="5"/>
      <c r="H6123" s="7" t="s">
        <v>6164</v>
      </c>
      <c r="I6123" s="9">
        <v>1612100</v>
      </c>
      <c r="J6123" s="10">
        <v>0.0371</v>
      </c>
    </row>
    <row r="6124" spans="1:10">
      <c r="A6124" s="7" t="s">
        <v>6158</v>
      </c>
      <c r="B6124" s="7" t="s">
        <v>7991</v>
      </c>
      <c r="C6124" s="8">
        <f>QS.CONTEXT.CREATE("market.6122",A6124,"USD","SOFR")</f>
        <v/>
      </c>
      <c r="D6124" s="8">
        <f>QS.CONTEXT.ADD.CURVE(C6124,"SOFR",$K$2:$K$7,$L$2:$L$7,,,"Actual360","LogLinear",TRUE)</f>
        <v/>
      </c>
      <c r="E6124" s="8">
        <f>QS.INSTRUMENT.SWAP("swap.6122",C6124,H6124,B6124,"USD","SOFR",I6124,J6124,0,"Actual360","Simple","Annual","Annual","Annual")</f>
        <v/>
      </c>
      <c r="F6124" s="8">
        <f>QS.TRADE.CREATE("trade.6122",C6124,E6124,A6124,"Receive")</f>
        <v/>
      </c>
      <c r="G6124" s="5"/>
      <c r="H6124" s="7" t="s">
        <v>6165</v>
      </c>
      <c r="I6124" s="9">
        <v>1612200</v>
      </c>
      <c r="J6124" s="10">
        <v>0.0372</v>
      </c>
    </row>
    <row r="6125" spans="1:10">
      <c r="A6125" s="7" t="s">
        <v>6159</v>
      </c>
      <c r="B6125" s="7" t="s">
        <v>7992</v>
      </c>
      <c r="C6125" s="8">
        <f>QS.CONTEXT.CREATE("market.6123",A6125,"USD","SOFR")</f>
        <v/>
      </c>
      <c r="D6125" s="8">
        <f>QS.CONTEXT.ADD.CURVE(C6125,"SOFR",$K$2:$K$7,$L$2:$L$7,,,"Actual360","LogLinear",TRUE)</f>
        <v/>
      </c>
      <c r="E6125" s="8">
        <f>QS.INSTRUMENT.SWAP("swap.6123",C6125,H6125,B6125,"USD","SOFR",I6125,J6125,0,"Actual360","Simple","Annual","Annual","Annual")</f>
        <v/>
      </c>
      <c r="F6125" s="8">
        <f>QS.TRADE.CREATE("trade.6123",C6125,E6125,A6125,"Receive")</f>
        <v/>
      </c>
      <c r="G6125" s="5"/>
      <c r="H6125" s="7" t="s">
        <v>6166</v>
      </c>
      <c r="I6125" s="9">
        <v>1612300</v>
      </c>
      <c r="J6125" s="10">
        <v>0.0373</v>
      </c>
    </row>
    <row r="6126" spans="1:10">
      <c r="A6126" s="7" t="s">
        <v>6160</v>
      </c>
      <c r="B6126" s="7" t="s">
        <v>7993</v>
      </c>
      <c r="C6126" s="8">
        <f>QS.CONTEXT.CREATE("market.6124",A6126,"USD","SOFR")</f>
        <v/>
      </c>
      <c r="D6126" s="8">
        <f>QS.CONTEXT.ADD.CURVE(C6126,"SOFR",$K$2:$K$7,$L$2:$L$7,,,"Actual360","LogLinear",TRUE)</f>
        <v/>
      </c>
      <c r="E6126" s="8">
        <f>QS.INSTRUMENT.SWAP("swap.6124",C6126,H6126,B6126,"USD","SOFR",I6126,J6126,0,"Actual360","Simple","Annual","Annual","Annual")</f>
        <v/>
      </c>
      <c r="F6126" s="8">
        <f>QS.TRADE.CREATE("trade.6124",C6126,E6126,A6126,"Receive")</f>
        <v/>
      </c>
      <c r="G6126" s="5"/>
      <c r="H6126" s="7" t="s">
        <v>6167</v>
      </c>
      <c r="I6126" s="9">
        <v>1612400</v>
      </c>
      <c r="J6126" s="10">
        <v>0.0374</v>
      </c>
    </row>
    <row r="6127" spans="1:10">
      <c r="A6127" s="7" t="s">
        <v>6161</v>
      </c>
      <c r="B6127" s="7" t="s">
        <v>7994</v>
      </c>
      <c r="C6127" s="8">
        <f>QS.CONTEXT.CREATE("market.6125",A6127,"USD","SOFR")</f>
        <v/>
      </c>
      <c r="D6127" s="8">
        <f>QS.CONTEXT.ADD.CURVE(C6127,"SOFR",$K$2:$K$7,$L$2:$L$7,,,"Actual360","LogLinear",TRUE)</f>
        <v/>
      </c>
      <c r="E6127" s="8">
        <f>QS.INSTRUMENT.SWAP("swap.6125",C6127,H6127,B6127,"USD","SOFR",I6127,J6127,0,"Actual360","Simple","Annual","Annual","Annual")</f>
        <v/>
      </c>
      <c r="F6127" s="8">
        <f>QS.TRADE.CREATE("trade.6125",C6127,E6127,A6127,"Receive")</f>
        <v/>
      </c>
      <c r="G6127" s="5"/>
      <c r="H6127" s="7" t="s">
        <v>6168</v>
      </c>
      <c r="I6127" s="9">
        <v>1612500</v>
      </c>
      <c r="J6127" s="10">
        <v>0.03750000000000001</v>
      </c>
    </row>
    <row r="6128" spans="1:10">
      <c r="A6128" s="7" t="s">
        <v>6162</v>
      </c>
      <c r="B6128" s="7" t="s">
        <v>7995</v>
      </c>
      <c r="C6128" s="8">
        <f>QS.CONTEXT.CREATE("market.6126",A6128,"USD","SOFR")</f>
        <v/>
      </c>
      <c r="D6128" s="8">
        <f>QS.CONTEXT.ADD.CURVE(C6128,"SOFR",$K$2:$K$7,$L$2:$L$7,,,"Actual360","LogLinear",TRUE)</f>
        <v/>
      </c>
      <c r="E6128" s="8">
        <f>QS.INSTRUMENT.SWAP("swap.6126",C6128,H6128,B6128,"USD","SOFR",I6128,J6128,0,"Actual360","Simple","Annual","Annual","Annual")</f>
        <v/>
      </c>
      <c r="F6128" s="8">
        <f>QS.TRADE.CREATE("trade.6126",C6128,E6128,A6128,"Receive")</f>
        <v/>
      </c>
      <c r="G6128" s="5"/>
      <c r="H6128" s="7" t="s">
        <v>6169</v>
      </c>
      <c r="I6128" s="9">
        <v>1612600</v>
      </c>
      <c r="J6128" s="10">
        <v>0.0376</v>
      </c>
    </row>
    <row r="6129" spans="1:10">
      <c r="A6129" s="7" t="s">
        <v>6163</v>
      </c>
      <c r="B6129" s="7" t="s">
        <v>7996</v>
      </c>
      <c r="C6129" s="8">
        <f>QS.CONTEXT.CREATE("market.6127",A6129,"USD","SOFR")</f>
        <v/>
      </c>
      <c r="D6129" s="8">
        <f>QS.CONTEXT.ADD.CURVE(C6129,"SOFR",$K$2:$K$7,$L$2:$L$7,,,"Actual360","LogLinear",TRUE)</f>
        <v/>
      </c>
      <c r="E6129" s="8">
        <f>QS.INSTRUMENT.SWAP("swap.6127",C6129,H6129,B6129,"USD","SOFR",I6129,J6129,0,"Actual360","Simple","Annual","Annual","Annual")</f>
        <v/>
      </c>
      <c r="F6129" s="8">
        <f>QS.TRADE.CREATE("trade.6127",C6129,E6129,A6129,"Receive")</f>
        <v/>
      </c>
      <c r="G6129" s="5"/>
      <c r="H6129" s="7" t="s">
        <v>6170</v>
      </c>
      <c r="I6129" s="9">
        <v>1612700</v>
      </c>
      <c r="J6129" s="10">
        <v>0.0377</v>
      </c>
    </row>
    <row r="6130" spans="1:10">
      <c r="A6130" s="7" t="s">
        <v>6164</v>
      </c>
      <c r="B6130" s="7" t="s">
        <v>7997</v>
      </c>
      <c r="C6130" s="8">
        <f>QS.CONTEXT.CREATE("market.6128",A6130,"USD","SOFR")</f>
        <v/>
      </c>
      <c r="D6130" s="8">
        <f>QS.CONTEXT.ADD.CURVE(C6130,"SOFR",$K$2:$K$7,$L$2:$L$7,,,"Actual360","LogLinear",TRUE)</f>
        <v/>
      </c>
      <c r="E6130" s="8">
        <f>QS.INSTRUMENT.SWAP("swap.6128",C6130,H6130,B6130,"USD","SOFR",I6130,J6130,0,"Actual360","Simple","Annual","Annual","Annual")</f>
        <v/>
      </c>
      <c r="F6130" s="8">
        <f>QS.TRADE.CREATE("trade.6128",C6130,E6130,A6130,"Receive")</f>
        <v/>
      </c>
      <c r="G6130" s="5"/>
      <c r="H6130" s="7" t="s">
        <v>6171</v>
      </c>
      <c r="I6130" s="9">
        <v>1612800</v>
      </c>
      <c r="J6130" s="10">
        <v>0.0378</v>
      </c>
    </row>
    <row r="6131" spans="1:10">
      <c r="A6131" s="7" t="s">
        <v>6165</v>
      </c>
      <c r="B6131" s="7" t="s">
        <v>7998</v>
      </c>
      <c r="C6131" s="8">
        <f>QS.CONTEXT.CREATE("market.6129",A6131,"USD","SOFR")</f>
        <v/>
      </c>
      <c r="D6131" s="8">
        <f>QS.CONTEXT.ADD.CURVE(C6131,"SOFR",$K$2:$K$7,$L$2:$L$7,,,"Actual360","LogLinear",TRUE)</f>
        <v/>
      </c>
      <c r="E6131" s="8">
        <f>QS.INSTRUMENT.SWAP("swap.6129",C6131,H6131,B6131,"USD","SOFR",I6131,J6131,0,"Actual360","Simple","Annual","Annual","Annual")</f>
        <v/>
      </c>
      <c r="F6131" s="8">
        <f>QS.TRADE.CREATE("trade.6129",C6131,E6131,A6131,"Receive")</f>
        <v/>
      </c>
      <c r="G6131" s="5"/>
      <c r="H6131" s="7" t="s">
        <v>6172</v>
      </c>
      <c r="I6131" s="9">
        <v>1612900</v>
      </c>
      <c r="J6131" s="10">
        <v>0.0379</v>
      </c>
    </row>
    <row r="6132" spans="1:10">
      <c r="A6132" s="7" t="s">
        <v>6166</v>
      </c>
      <c r="B6132" s="7" t="s">
        <v>7999</v>
      </c>
      <c r="C6132" s="8">
        <f>QS.CONTEXT.CREATE("market.6130",A6132,"USD","SOFR")</f>
        <v/>
      </c>
      <c r="D6132" s="8">
        <f>QS.CONTEXT.ADD.CURVE(C6132,"SOFR",$K$2:$K$7,$L$2:$L$7,,,"Actual360","LogLinear",TRUE)</f>
        <v/>
      </c>
      <c r="E6132" s="8">
        <f>QS.INSTRUMENT.SWAP("swap.6130",C6132,H6132,B6132,"USD","SOFR",I6132,J6132,0,"Actual360","Simple","Annual","Annual","Annual")</f>
        <v/>
      </c>
      <c r="F6132" s="8">
        <f>QS.TRADE.CREATE("trade.6130",C6132,E6132,A6132,"Receive")</f>
        <v/>
      </c>
      <c r="G6132" s="5"/>
      <c r="H6132" s="7" t="s">
        <v>6173</v>
      </c>
      <c r="I6132" s="9">
        <v>1613000</v>
      </c>
      <c r="J6132" s="10">
        <v>0.03800000000000001</v>
      </c>
    </row>
    <row r="6133" spans="1:10">
      <c r="A6133" s="7" t="s">
        <v>6167</v>
      </c>
      <c r="B6133" s="7" t="s">
        <v>8000</v>
      </c>
      <c r="C6133" s="8">
        <f>QS.CONTEXT.CREATE("market.6131",A6133,"USD","SOFR")</f>
        <v/>
      </c>
      <c r="D6133" s="8">
        <f>QS.CONTEXT.ADD.CURVE(C6133,"SOFR",$K$2:$K$7,$L$2:$L$7,,,"Actual360","LogLinear",TRUE)</f>
        <v/>
      </c>
      <c r="E6133" s="8">
        <f>QS.INSTRUMENT.SWAP("swap.6131",C6133,H6133,B6133,"USD","SOFR",I6133,J6133,0,"Actual360","Simple","Annual","Annual","Annual")</f>
        <v/>
      </c>
      <c r="F6133" s="8">
        <f>QS.TRADE.CREATE("trade.6131",C6133,E6133,A6133,"Receive")</f>
        <v/>
      </c>
      <c r="G6133" s="5"/>
      <c r="H6133" s="7" t="s">
        <v>6174</v>
      </c>
      <c r="I6133" s="9">
        <v>1613100</v>
      </c>
      <c r="J6133" s="10">
        <v>0.0381</v>
      </c>
    </row>
    <row r="6134" spans="1:10">
      <c r="A6134" s="7" t="s">
        <v>6168</v>
      </c>
      <c r="B6134" s="7" t="s">
        <v>8001</v>
      </c>
      <c r="C6134" s="8">
        <f>QS.CONTEXT.CREATE("market.6132",A6134,"USD","SOFR")</f>
        <v/>
      </c>
      <c r="D6134" s="8">
        <f>QS.CONTEXT.ADD.CURVE(C6134,"SOFR",$K$2:$K$7,$L$2:$L$7,,,"Actual360","LogLinear",TRUE)</f>
        <v/>
      </c>
      <c r="E6134" s="8">
        <f>QS.INSTRUMENT.SWAP("swap.6132",C6134,H6134,B6134,"USD","SOFR",I6134,J6134,0,"Actual360","Simple","Annual","Annual","Annual")</f>
        <v/>
      </c>
      <c r="F6134" s="8">
        <f>QS.TRADE.CREATE("trade.6132",C6134,E6134,A6134,"Receive")</f>
        <v/>
      </c>
      <c r="G6134" s="5"/>
      <c r="H6134" s="7" t="s">
        <v>6175</v>
      </c>
      <c r="I6134" s="9">
        <v>1613200</v>
      </c>
      <c r="J6134" s="10">
        <v>0.0382</v>
      </c>
    </row>
    <row r="6135" spans="1:10">
      <c r="A6135" s="7" t="s">
        <v>6169</v>
      </c>
      <c r="B6135" s="7" t="s">
        <v>8002</v>
      </c>
      <c r="C6135" s="8">
        <f>QS.CONTEXT.CREATE("market.6133",A6135,"USD","SOFR")</f>
        <v/>
      </c>
      <c r="D6135" s="8">
        <f>QS.CONTEXT.ADD.CURVE(C6135,"SOFR",$K$2:$K$7,$L$2:$L$7,,,"Actual360","LogLinear",TRUE)</f>
        <v/>
      </c>
      <c r="E6135" s="8">
        <f>QS.INSTRUMENT.SWAP("swap.6133",C6135,H6135,B6135,"USD","SOFR",I6135,J6135,0,"Actual360","Simple","Annual","Annual","Annual")</f>
        <v/>
      </c>
      <c r="F6135" s="8">
        <f>QS.TRADE.CREATE("trade.6133",C6135,E6135,A6135,"Receive")</f>
        <v/>
      </c>
      <c r="G6135" s="5"/>
      <c r="H6135" s="7" t="s">
        <v>6176</v>
      </c>
      <c r="I6135" s="9">
        <v>1613300</v>
      </c>
      <c r="J6135" s="10">
        <v>0.0383</v>
      </c>
    </row>
    <row r="6136" spans="1:10">
      <c r="A6136" s="7" t="s">
        <v>6170</v>
      </c>
      <c r="B6136" s="7" t="s">
        <v>8003</v>
      </c>
      <c r="C6136" s="8">
        <f>QS.CONTEXT.CREATE("market.6134",A6136,"USD","SOFR")</f>
        <v/>
      </c>
      <c r="D6136" s="8">
        <f>QS.CONTEXT.ADD.CURVE(C6136,"SOFR",$K$2:$K$7,$L$2:$L$7,,,"Actual360","LogLinear",TRUE)</f>
        <v/>
      </c>
      <c r="E6136" s="8">
        <f>QS.INSTRUMENT.SWAP("swap.6134",C6136,H6136,B6136,"USD","SOFR",I6136,J6136,0,"Actual360","Simple","Annual","Annual","Annual")</f>
        <v/>
      </c>
      <c r="F6136" s="8">
        <f>QS.TRADE.CREATE("trade.6134",C6136,E6136,A6136,"Receive")</f>
        <v/>
      </c>
      <c r="G6136" s="5"/>
      <c r="H6136" s="7" t="s">
        <v>6177</v>
      </c>
      <c r="I6136" s="9">
        <v>1613400</v>
      </c>
      <c r="J6136" s="10">
        <v>0.0384</v>
      </c>
    </row>
    <row r="6137" spans="1:10">
      <c r="A6137" s="7" t="s">
        <v>6171</v>
      </c>
      <c r="B6137" s="7" t="s">
        <v>8004</v>
      </c>
      <c r="C6137" s="8">
        <f>QS.CONTEXT.CREATE("market.6135",A6137,"USD","SOFR")</f>
        <v/>
      </c>
      <c r="D6137" s="8">
        <f>QS.CONTEXT.ADD.CURVE(C6137,"SOFR",$K$2:$K$7,$L$2:$L$7,,,"Actual360","LogLinear",TRUE)</f>
        <v/>
      </c>
      <c r="E6137" s="8">
        <f>QS.INSTRUMENT.SWAP("swap.6135",C6137,H6137,B6137,"USD","SOFR",I6137,J6137,0,"Actual360","Simple","Annual","Annual","Annual")</f>
        <v/>
      </c>
      <c r="F6137" s="8">
        <f>QS.TRADE.CREATE("trade.6135",C6137,E6137,A6137,"Receive")</f>
        <v/>
      </c>
      <c r="G6137" s="5"/>
      <c r="H6137" s="7" t="s">
        <v>6178</v>
      </c>
      <c r="I6137" s="9">
        <v>1613500</v>
      </c>
      <c r="J6137" s="10">
        <v>0.03850000000000001</v>
      </c>
    </row>
    <row r="6138" spans="1:10">
      <c r="A6138" s="7" t="s">
        <v>6172</v>
      </c>
      <c r="B6138" s="7" t="s">
        <v>8005</v>
      </c>
      <c r="C6138" s="8">
        <f>QS.CONTEXT.CREATE("market.6136",A6138,"USD","SOFR")</f>
        <v/>
      </c>
      <c r="D6138" s="8">
        <f>QS.CONTEXT.ADD.CURVE(C6138,"SOFR",$K$2:$K$7,$L$2:$L$7,,,"Actual360","LogLinear",TRUE)</f>
        <v/>
      </c>
      <c r="E6138" s="8">
        <f>QS.INSTRUMENT.SWAP("swap.6136",C6138,H6138,B6138,"USD","SOFR",I6138,J6138,0,"Actual360","Simple","Annual","Annual","Annual")</f>
        <v/>
      </c>
      <c r="F6138" s="8">
        <f>QS.TRADE.CREATE("trade.6136",C6138,E6138,A6138,"Receive")</f>
        <v/>
      </c>
      <c r="G6138" s="5"/>
      <c r="H6138" s="7" t="s">
        <v>6179</v>
      </c>
      <c r="I6138" s="9">
        <v>1613600</v>
      </c>
      <c r="J6138" s="10">
        <v>0.0386</v>
      </c>
    </row>
    <row r="6139" spans="1:10">
      <c r="A6139" s="7" t="s">
        <v>6173</v>
      </c>
      <c r="B6139" s="7" t="s">
        <v>8006</v>
      </c>
      <c r="C6139" s="8">
        <f>QS.CONTEXT.CREATE("market.6137",A6139,"USD","SOFR")</f>
        <v/>
      </c>
      <c r="D6139" s="8">
        <f>QS.CONTEXT.ADD.CURVE(C6139,"SOFR",$K$2:$K$7,$L$2:$L$7,,,"Actual360","LogLinear",TRUE)</f>
        <v/>
      </c>
      <c r="E6139" s="8">
        <f>QS.INSTRUMENT.SWAP("swap.6137",C6139,H6139,B6139,"USD","SOFR",I6139,J6139,0,"Actual360","Simple","Annual","Annual","Annual")</f>
        <v/>
      </c>
      <c r="F6139" s="8">
        <f>QS.TRADE.CREATE("trade.6137",C6139,E6139,A6139,"Receive")</f>
        <v/>
      </c>
      <c r="G6139" s="5"/>
      <c r="H6139" s="7" t="s">
        <v>6180</v>
      </c>
      <c r="I6139" s="9">
        <v>1613700</v>
      </c>
      <c r="J6139" s="10">
        <v>0.03870000000000001</v>
      </c>
    </row>
    <row r="6140" spans="1:10">
      <c r="A6140" s="7" t="s">
        <v>6174</v>
      </c>
      <c r="B6140" s="7" t="s">
        <v>8007</v>
      </c>
      <c r="C6140" s="8">
        <f>QS.CONTEXT.CREATE("market.6138",A6140,"USD","SOFR")</f>
        <v/>
      </c>
      <c r="D6140" s="8">
        <f>QS.CONTEXT.ADD.CURVE(C6140,"SOFR",$K$2:$K$7,$L$2:$L$7,,,"Actual360","LogLinear",TRUE)</f>
        <v/>
      </c>
      <c r="E6140" s="8">
        <f>QS.INSTRUMENT.SWAP("swap.6138",C6140,H6140,B6140,"USD","SOFR",I6140,J6140,0,"Actual360","Simple","Annual","Annual","Annual")</f>
        <v/>
      </c>
      <c r="F6140" s="8">
        <f>QS.TRADE.CREATE("trade.6138",C6140,E6140,A6140,"Receive")</f>
        <v/>
      </c>
      <c r="G6140" s="5"/>
      <c r="H6140" s="7" t="s">
        <v>6181</v>
      </c>
      <c r="I6140" s="9">
        <v>1613800</v>
      </c>
      <c r="J6140" s="10">
        <v>0.0388</v>
      </c>
    </row>
    <row r="6141" spans="1:10">
      <c r="A6141" s="7" t="s">
        <v>6175</v>
      </c>
      <c r="B6141" s="7" t="s">
        <v>8008</v>
      </c>
      <c r="C6141" s="8">
        <f>QS.CONTEXT.CREATE("market.6139",A6141,"USD","SOFR")</f>
        <v/>
      </c>
      <c r="D6141" s="8">
        <f>QS.CONTEXT.ADD.CURVE(C6141,"SOFR",$K$2:$K$7,$L$2:$L$7,,,"Actual360","LogLinear",TRUE)</f>
        <v/>
      </c>
      <c r="E6141" s="8">
        <f>QS.INSTRUMENT.SWAP("swap.6139",C6141,H6141,B6141,"USD","SOFR",I6141,J6141,0,"Actual360","Simple","Annual","Annual","Annual")</f>
        <v/>
      </c>
      <c r="F6141" s="8">
        <f>QS.TRADE.CREATE("trade.6139",C6141,E6141,A6141,"Receive")</f>
        <v/>
      </c>
      <c r="G6141" s="5"/>
      <c r="H6141" s="7" t="s">
        <v>6182</v>
      </c>
      <c r="I6141" s="9">
        <v>1613900</v>
      </c>
      <c r="J6141" s="10">
        <v>0.0389</v>
      </c>
    </row>
    <row r="6142" spans="1:10">
      <c r="A6142" s="7" t="s">
        <v>6176</v>
      </c>
      <c r="B6142" s="7" t="s">
        <v>8009</v>
      </c>
      <c r="C6142" s="8">
        <f>QS.CONTEXT.CREATE("market.6140",A6142,"USD","SOFR")</f>
        <v/>
      </c>
      <c r="D6142" s="8">
        <f>QS.CONTEXT.ADD.CURVE(C6142,"SOFR",$K$2:$K$7,$L$2:$L$7,,,"Actual360","LogLinear",TRUE)</f>
        <v/>
      </c>
      <c r="E6142" s="8">
        <f>QS.INSTRUMENT.SWAP("swap.6140",C6142,H6142,B6142,"USD","SOFR",I6142,J6142,0,"Actual360","Simple","Annual","Annual","Annual")</f>
        <v/>
      </c>
      <c r="F6142" s="8">
        <f>QS.TRADE.CREATE("trade.6140",C6142,E6142,A6142,"Receive")</f>
        <v/>
      </c>
      <c r="G6142" s="5"/>
      <c r="H6142" s="7" t="s">
        <v>6183</v>
      </c>
      <c r="I6142" s="9">
        <v>1614000</v>
      </c>
      <c r="J6142" s="10">
        <v>0.03900000000000001</v>
      </c>
    </row>
    <row r="6143" spans="1:10">
      <c r="A6143" s="7" t="s">
        <v>6177</v>
      </c>
      <c r="B6143" s="7" t="s">
        <v>8010</v>
      </c>
      <c r="C6143" s="8">
        <f>QS.CONTEXT.CREATE("market.6141",A6143,"USD","SOFR")</f>
        <v/>
      </c>
      <c r="D6143" s="8">
        <f>QS.CONTEXT.ADD.CURVE(C6143,"SOFR",$K$2:$K$7,$L$2:$L$7,,,"Actual360","LogLinear",TRUE)</f>
        <v/>
      </c>
      <c r="E6143" s="8">
        <f>QS.INSTRUMENT.SWAP("swap.6141",C6143,H6143,B6143,"USD","SOFR",I6143,J6143,0,"Actual360","Simple","Annual","Annual","Annual")</f>
        <v/>
      </c>
      <c r="F6143" s="8">
        <f>QS.TRADE.CREATE("trade.6141",C6143,E6143,A6143,"Receive")</f>
        <v/>
      </c>
      <c r="G6143" s="5"/>
      <c r="H6143" s="7" t="s">
        <v>6184</v>
      </c>
      <c r="I6143" s="9">
        <v>1614100</v>
      </c>
      <c r="J6143" s="10">
        <v>0.0391</v>
      </c>
    </row>
    <row r="6144" spans="1:10">
      <c r="A6144" s="7" t="s">
        <v>6178</v>
      </c>
      <c r="B6144" s="7" t="s">
        <v>8011</v>
      </c>
      <c r="C6144" s="8">
        <f>QS.CONTEXT.CREATE("market.6142",A6144,"USD","SOFR")</f>
        <v/>
      </c>
      <c r="D6144" s="8">
        <f>QS.CONTEXT.ADD.CURVE(C6144,"SOFR",$K$2:$K$7,$L$2:$L$7,,,"Actual360","LogLinear",TRUE)</f>
        <v/>
      </c>
      <c r="E6144" s="8">
        <f>QS.INSTRUMENT.SWAP("swap.6142",C6144,H6144,B6144,"USD","SOFR",I6144,J6144,0,"Actual360","Simple","Annual","Annual","Annual")</f>
        <v/>
      </c>
      <c r="F6144" s="8">
        <f>QS.TRADE.CREATE("trade.6142",C6144,E6144,A6144,"Receive")</f>
        <v/>
      </c>
      <c r="G6144" s="5"/>
      <c r="H6144" s="7" t="s">
        <v>6185</v>
      </c>
      <c r="I6144" s="9">
        <v>1614200</v>
      </c>
      <c r="J6144" s="10">
        <v>0.03920000000000001</v>
      </c>
    </row>
    <row r="6145" spans="1:10">
      <c r="A6145" s="7" t="s">
        <v>6179</v>
      </c>
      <c r="B6145" s="7" t="s">
        <v>8012</v>
      </c>
      <c r="C6145" s="8">
        <f>QS.CONTEXT.CREATE("market.6143",A6145,"USD","SOFR")</f>
        <v/>
      </c>
      <c r="D6145" s="8">
        <f>QS.CONTEXT.ADD.CURVE(C6145,"SOFR",$K$2:$K$7,$L$2:$L$7,,,"Actual360","LogLinear",TRUE)</f>
        <v/>
      </c>
      <c r="E6145" s="8">
        <f>QS.INSTRUMENT.SWAP("swap.6143",C6145,H6145,B6145,"USD","SOFR",I6145,J6145,0,"Actual360","Simple","Annual","Annual","Annual")</f>
        <v/>
      </c>
      <c r="F6145" s="8">
        <f>QS.TRADE.CREATE("trade.6143",C6145,E6145,A6145,"Receive")</f>
        <v/>
      </c>
      <c r="G6145" s="5"/>
      <c r="H6145" s="7" t="s">
        <v>6186</v>
      </c>
      <c r="I6145" s="9">
        <v>1614300</v>
      </c>
      <c r="J6145" s="10">
        <v>0.0393</v>
      </c>
    </row>
    <row r="6146" spans="1:10">
      <c r="A6146" s="7" t="s">
        <v>6180</v>
      </c>
      <c r="B6146" s="7" t="s">
        <v>8013</v>
      </c>
      <c r="C6146" s="8">
        <f>QS.CONTEXT.CREATE("market.6144",A6146,"USD","SOFR")</f>
        <v/>
      </c>
      <c r="D6146" s="8">
        <f>QS.CONTEXT.ADD.CURVE(C6146,"SOFR",$K$2:$K$7,$L$2:$L$7,,,"Actual360","LogLinear",TRUE)</f>
        <v/>
      </c>
      <c r="E6146" s="8">
        <f>QS.INSTRUMENT.SWAP("swap.6144",C6146,H6146,B6146,"USD","SOFR",I6146,J6146,0,"Actual360","Simple","Annual","Annual","Annual")</f>
        <v/>
      </c>
      <c r="F6146" s="8">
        <f>QS.TRADE.CREATE("trade.6144",C6146,E6146,A6146,"Receive")</f>
        <v/>
      </c>
      <c r="G6146" s="5"/>
      <c r="H6146" s="7" t="s">
        <v>6187</v>
      </c>
      <c r="I6146" s="9">
        <v>1614400</v>
      </c>
      <c r="J6146" s="10">
        <v>0.0394</v>
      </c>
    </row>
    <row r="6147" spans="1:10">
      <c r="A6147" s="7" t="s">
        <v>6181</v>
      </c>
      <c r="B6147" s="7" t="s">
        <v>8014</v>
      </c>
      <c r="C6147" s="8">
        <f>QS.CONTEXT.CREATE("market.6145",A6147,"USD","SOFR")</f>
        <v/>
      </c>
      <c r="D6147" s="8">
        <f>QS.CONTEXT.ADD.CURVE(C6147,"SOFR",$K$2:$K$7,$L$2:$L$7,,,"Actual360","LogLinear",TRUE)</f>
        <v/>
      </c>
      <c r="E6147" s="8">
        <f>QS.INSTRUMENT.SWAP("swap.6145",C6147,H6147,B6147,"USD","SOFR",I6147,J6147,0,"Actual360","Simple","Annual","Annual","Annual")</f>
        <v/>
      </c>
      <c r="F6147" s="8">
        <f>QS.TRADE.CREATE("trade.6145",C6147,E6147,A6147,"Receive")</f>
        <v/>
      </c>
      <c r="G6147" s="5"/>
      <c r="H6147" s="7" t="s">
        <v>6188</v>
      </c>
      <c r="I6147" s="9">
        <v>1614500</v>
      </c>
      <c r="J6147" s="10">
        <v>0.03950000000000001</v>
      </c>
    </row>
    <row r="6148" spans="1:10">
      <c r="A6148" s="7" t="s">
        <v>6182</v>
      </c>
      <c r="B6148" s="7" t="s">
        <v>8015</v>
      </c>
      <c r="C6148" s="8">
        <f>QS.CONTEXT.CREATE("market.6146",A6148,"USD","SOFR")</f>
        <v/>
      </c>
      <c r="D6148" s="8">
        <f>QS.CONTEXT.ADD.CURVE(C6148,"SOFR",$K$2:$K$7,$L$2:$L$7,,,"Actual360","LogLinear",TRUE)</f>
        <v/>
      </c>
      <c r="E6148" s="8">
        <f>QS.INSTRUMENT.SWAP("swap.6146",C6148,H6148,B6148,"USD","SOFR",I6148,J6148,0,"Actual360","Simple","Annual","Annual","Annual")</f>
        <v/>
      </c>
      <c r="F6148" s="8">
        <f>QS.TRADE.CREATE("trade.6146",C6148,E6148,A6148,"Receive")</f>
        <v/>
      </c>
      <c r="G6148" s="5"/>
      <c r="H6148" s="7" t="s">
        <v>6189</v>
      </c>
      <c r="I6148" s="9">
        <v>1614600</v>
      </c>
      <c r="J6148" s="10">
        <v>0.0396</v>
      </c>
    </row>
    <row r="6149" spans="1:10">
      <c r="A6149" s="7" t="s">
        <v>6183</v>
      </c>
      <c r="B6149" s="7" t="s">
        <v>8016</v>
      </c>
      <c r="C6149" s="8">
        <f>QS.CONTEXT.CREATE("market.6147",A6149,"USD","SOFR")</f>
        <v/>
      </c>
      <c r="D6149" s="8">
        <f>QS.CONTEXT.ADD.CURVE(C6149,"SOFR",$K$2:$K$7,$L$2:$L$7,,,"Actual360","LogLinear",TRUE)</f>
        <v/>
      </c>
      <c r="E6149" s="8">
        <f>QS.INSTRUMENT.SWAP("swap.6147",C6149,H6149,B6149,"USD","SOFR",I6149,J6149,0,"Actual360","Simple","Annual","Annual","Annual")</f>
        <v/>
      </c>
      <c r="F6149" s="8">
        <f>QS.TRADE.CREATE("trade.6147",C6149,E6149,A6149,"Receive")</f>
        <v/>
      </c>
      <c r="G6149" s="5"/>
      <c r="H6149" s="7" t="s">
        <v>6190</v>
      </c>
      <c r="I6149" s="9">
        <v>1614700</v>
      </c>
      <c r="J6149" s="10">
        <v>0.03970000000000001</v>
      </c>
    </row>
    <row r="6150" spans="1:10">
      <c r="A6150" s="7" t="s">
        <v>6184</v>
      </c>
      <c r="B6150" s="7" t="s">
        <v>8017</v>
      </c>
      <c r="C6150" s="8">
        <f>QS.CONTEXT.CREATE("market.6148",A6150,"USD","SOFR")</f>
        <v/>
      </c>
      <c r="D6150" s="8">
        <f>QS.CONTEXT.ADD.CURVE(C6150,"SOFR",$K$2:$K$7,$L$2:$L$7,,,"Actual360","LogLinear",TRUE)</f>
        <v/>
      </c>
      <c r="E6150" s="8">
        <f>QS.INSTRUMENT.SWAP("swap.6148",C6150,H6150,B6150,"USD","SOFR",I6150,J6150,0,"Actual360","Simple","Annual","Annual","Annual")</f>
        <v/>
      </c>
      <c r="F6150" s="8">
        <f>QS.TRADE.CREATE("trade.6148",C6150,E6150,A6150,"Receive")</f>
        <v/>
      </c>
      <c r="G6150" s="5"/>
      <c r="H6150" s="7" t="s">
        <v>6191</v>
      </c>
      <c r="I6150" s="9">
        <v>1614800</v>
      </c>
      <c r="J6150" s="10">
        <v>0.0398</v>
      </c>
    </row>
    <row r="6151" spans="1:10">
      <c r="A6151" s="7" t="s">
        <v>6185</v>
      </c>
      <c r="B6151" s="7" t="s">
        <v>8018</v>
      </c>
      <c r="C6151" s="8">
        <f>QS.CONTEXT.CREATE("market.6149",A6151,"USD","SOFR")</f>
        <v/>
      </c>
      <c r="D6151" s="8">
        <f>QS.CONTEXT.ADD.CURVE(C6151,"SOFR",$K$2:$K$7,$L$2:$L$7,,,"Actual360","LogLinear",TRUE)</f>
        <v/>
      </c>
      <c r="E6151" s="8">
        <f>QS.INSTRUMENT.SWAP("swap.6149",C6151,H6151,B6151,"USD","SOFR",I6151,J6151,0,"Actual360","Simple","Annual","Annual","Annual")</f>
        <v/>
      </c>
      <c r="F6151" s="8">
        <f>QS.TRADE.CREATE("trade.6149",C6151,E6151,A6151,"Receive")</f>
        <v/>
      </c>
      <c r="G6151" s="5"/>
      <c r="H6151" s="7" t="s">
        <v>6192</v>
      </c>
      <c r="I6151" s="9">
        <v>1614900</v>
      </c>
      <c r="J6151" s="10">
        <v>0.0399</v>
      </c>
    </row>
    <row r="6152" spans="1:10">
      <c r="A6152" s="7" t="s">
        <v>6186</v>
      </c>
      <c r="B6152" s="7" t="s">
        <v>8019</v>
      </c>
      <c r="C6152" s="8">
        <f>QS.CONTEXT.CREATE("market.6150",A6152,"USD","SOFR")</f>
        <v/>
      </c>
      <c r="D6152" s="8">
        <f>QS.CONTEXT.ADD.CURVE(C6152,"SOFR",$K$2:$K$7,$L$2:$L$7,,,"Actual360","LogLinear",TRUE)</f>
        <v/>
      </c>
      <c r="E6152" s="8">
        <f>QS.INSTRUMENT.SWAP("swap.6150",C6152,H6152,B6152,"USD","SOFR",I6152,J6152,0,"Actual360","Simple","Annual","Annual","Annual")</f>
        <v/>
      </c>
      <c r="F6152" s="8">
        <f>QS.TRADE.CREATE("trade.6150",C6152,E6152,A6152,"Receive")</f>
        <v/>
      </c>
      <c r="G6152" s="5"/>
      <c r="H6152" s="7" t="s">
        <v>6193</v>
      </c>
      <c r="I6152" s="9">
        <v>1615000</v>
      </c>
      <c r="J6152" s="10">
        <v>0.035</v>
      </c>
    </row>
    <row r="6153" spans="1:10">
      <c r="A6153" s="7" t="s">
        <v>6187</v>
      </c>
      <c r="B6153" s="7" t="s">
        <v>8020</v>
      </c>
      <c r="C6153" s="8">
        <f>QS.CONTEXT.CREATE("market.6151",A6153,"USD","SOFR")</f>
        <v/>
      </c>
      <c r="D6153" s="8">
        <f>QS.CONTEXT.ADD.CURVE(C6153,"SOFR",$K$2:$K$7,$L$2:$L$7,,,"Actual360","LogLinear",TRUE)</f>
        <v/>
      </c>
      <c r="E6153" s="8">
        <f>QS.INSTRUMENT.SWAP("swap.6151",C6153,H6153,B6153,"USD","SOFR",I6153,J6153,0,"Actual360","Simple","Annual","Annual","Annual")</f>
        <v/>
      </c>
      <c r="F6153" s="8">
        <f>QS.TRADE.CREATE("trade.6151",C6153,E6153,A6153,"Receive")</f>
        <v/>
      </c>
      <c r="G6153" s="5"/>
      <c r="H6153" s="7" t="s">
        <v>6194</v>
      </c>
      <c r="I6153" s="9">
        <v>1615100</v>
      </c>
      <c r="J6153" s="10">
        <v>0.03510000000000001</v>
      </c>
    </row>
    <row r="6154" spans="1:10">
      <c r="A6154" s="7" t="s">
        <v>6188</v>
      </c>
      <c r="B6154" s="7" t="s">
        <v>8021</v>
      </c>
      <c r="C6154" s="8">
        <f>QS.CONTEXT.CREATE("market.6152",A6154,"USD","SOFR")</f>
        <v/>
      </c>
      <c r="D6154" s="8">
        <f>QS.CONTEXT.ADD.CURVE(C6154,"SOFR",$K$2:$K$7,$L$2:$L$7,,,"Actual360","LogLinear",TRUE)</f>
        <v/>
      </c>
      <c r="E6154" s="8">
        <f>QS.INSTRUMENT.SWAP("swap.6152",C6154,H6154,B6154,"USD","SOFR",I6154,J6154,0,"Actual360","Simple","Annual","Annual","Annual")</f>
        <v/>
      </c>
      <c r="F6154" s="8">
        <f>QS.TRADE.CREATE("trade.6152",C6154,E6154,A6154,"Receive")</f>
        <v/>
      </c>
      <c r="G6154" s="5"/>
      <c r="H6154" s="7" t="s">
        <v>6195</v>
      </c>
      <c r="I6154" s="9">
        <v>1615200</v>
      </c>
      <c r="J6154" s="10">
        <v>0.0352</v>
      </c>
    </row>
    <row r="6155" spans="1:10">
      <c r="A6155" s="7" t="s">
        <v>6189</v>
      </c>
      <c r="B6155" s="7" t="s">
        <v>8022</v>
      </c>
      <c r="C6155" s="8">
        <f>QS.CONTEXT.CREATE("market.6153",A6155,"USD","SOFR")</f>
        <v/>
      </c>
      <c r="D6155" s="8">
        <f>QS.CONTEXT.ADD.CURVE(C6155,"SOFR",$K$2:$K$7,$L$2:$L$7,,,"Actual360","LogLinear",TRUE)</f>
        <v/>
      </c>
      <c r="E6155" s="8">
        <f>QS.INSTRUMENT.SWAP("swap.6153",C6155,H6155,B6155,"USD","SOFR",I6155,J6155,0,"Actual360","Simple","Annual","Annual","Annual")</f>
        <v/>
      </c>
      <c r="F6155" s="8">
        <f>QS.TRADE.CREATE("trade.6153",C6155,E6155,A6155,"Receive")</f>
        <v/>
      </c>
      <c r="G6155" s="5"/>
      <c r="H6155" s="7" t="s">
        <v>6196</v>
      </c>
      <c r="I6155" s="9">
        <v>1615300</v>
      </c>
      <c r="J6155" s="10">
        <v>0.0353</v>
      </c>
    </row>
    <row r="6156" spans="1:10">
      <c r="A6156" s="7" t="s">
        <v>6190</v>
      </c>
      <c r="B6156" s="7" t="s">
        <v>8023</v>
      </c>
      <c r="C6156" s="8">
        <f>QS.CONTEXT.CREATE("market.6154",A6156,"USD","SOFR")</f>
        <v/>
      </c>
      <c r="D6156" s="8">
        <f>QS.CONTEXT.ADD.CURVE(C6156,"SOFR",$K$2:$K$7,$L$2:$L$7,,,"Actual360","LogLinear",TRUE)</f>
        <v/>
      </c>
      <c r="E6156" s="8">
        <f>QS.INSTRUMENT.SWAP("swap.6154",C6156,H6156,B6156,"USD","SOFR",I6156,J6156,0,"Actual360","Simple","Annual","Annual","Annual")</f>
        <v/>
      </c>
      <c r="F6156" s="8">
        <f>QS.TRADE.CREATE("trade.6154",C6156,E6156,A6156,"Receive")</f>
        <v/>
      </c>
      <c r="G6156" s="5"/>
      <c r="H6156" s="7" t="s">
        <v>6197</v>
      </c>
      <c r="I6156" s="9">
        <v>1615400</v>
      </c>
      <c r="J6156" s="10">
        <v>0.0354</v>
      </c>
    </row>
    <row r="6157" spans="1:10">
      <c r="A6157" s="7" t="s">
        <v>6191</v>
      </c>
      <c r="B6157" s="7" t="s">
        <v>8024</v>
      </c>
      <c r="C6157" s="8">
        <f>QS.CONTEXT.CREATE("market.6155",A6157,"USD","SOFR")</f>
        <v/>
      </c>
      <c r="D6157" s="8">
        <f>QS.CONTEXT.ADD.CURVE(C6157,"SOFR",$K$2:$K$7,$L$2:$L$7,,,"Actual360","LogLinear",TRUE)</f>
        <v/>
      </c>
      <c r="E6157" s="8">
        <f>QS.INSTRUMENT.SWAP("swap.6155",C6157,H6157,B6157,"USD","SOFR",I6157,J6157,0,"Actual360","Simple","Annual","Annual","Annual")</f>
        <v/>
      </c>
      <c r="F6157" s="8">
        <f>QS.TRADE.CREATE("trade.6155",C6157,E6157,A6157,"Receive")</f>
        <v/>
      </c>
      <c r="G6157" s="5"/>
      <c r="H6157" s="7" t="s">
        <v>6198</v>
      </c>
      <c r="I6157" s="9">
        <v>1615500</v>
      </c>
      <c r="J6157" s="10">
        <v>0.0355</v>
      </c>
    </row>
    <row r="6158" spans="1:10">
      <c r="A6158" s="7" t="s">
        <v>6192</v>
      </c>
      <c r="B6158" s="7" t="s">
        <v>8025</v>
      </c>
      <c r="C6158" s="8">
        <f>QS.CONTEXT.CREATE("market.6156",A6158,"USD","SOFR")</f>
        <v/>
      </c>
      <c r="D6158" s="8">
        <f>QS.CONTEXT.ADD.CURVE(C6158,"SOFR",$K$2:$K$7,$L$2:$L$7,,,"Actual360","LogLinear",TRUE)</f>
        <v/>
      </c>
      <c r="E6158" s="8">
        <f>QS.INSTRUMENT.SWAP("swap.6156",C6158,H6158,B6158,"USD","SOFR",I6158,J6158,0,"Actual360","Simple","Annual","Annual","Annual")</f>
        <v/>
      </c>
      <c r="F6158" s="8">
        <f>QS.TRADE.CREATE("trade.6156",C6158,E6158,A6158,"Receive")</f>
        <v/>
      </c>
      <c r="G6158" s="5"/>
      <c r="H6158" s="7" t="s">
        <v>6199</v>
      </c>
      <c r="I6158" s="9">
        <v>1615600</v>
      </c>
      <c r="J6158" s="10">
        <v>0.03560000000000001</v>
      </c>
    </row>
    <row r="6159" spans="1:10">
      <c r="A6159" s="7" t="s">
        <v>6193</v>
      </c>
      <c r="B6159" s="7" t="s">
        <v>8026</v>
      </c>
      <c r="C6159" s="8">
        <f>QS.CONTEXT.CREATE("market.6157",A6159,"USD","SOFR")</f>
        <v/>
      </c>
      <c r="D6159" s="8">
        <f>QS.CONTEXT.ADD.CURVE(C6159,"SOFR",$K$2:$K$7,$L$2:$L$7,,,"Actual360","LogLinear",TRUE)</f>
        <v/>
      </c>
      <c r="E6159" s="8">
        <f>QS.INSTRUMENT.SWAP("swap.6157",C6159,H6159,B6159,"USD","SOFR",I6159,J6159,0,"Actual360","Simple","Annual","Annual","Annual")</f>
        <v/>
      </c>
      <c r="F6159" s="8">
        <f>QS.TRADE.CREATE("trade.6157",C6159,E6159,A6159,"Receive")</f>
        <v/>
      </c>
      <c r="G6159" s="5"/>
      <c r="H6159" s="7" t="s">
        <v>6200</v>
      </c>
      <c r="I6159" s="9">
        <v>1615700</v>
      </c>
      <c r="J6159" s="10">
        <v>0.0357</v>
      </c>
    </row>
    <row r="6160" spans="1:10">
      <c r="A6160" s="7" t="s">
        <v>6194</v>
      </c>
      <c r="B6160" s="7" t="s">
        <v>8027</v>
      </c>
      <c r="C6160" s="8">
        <f>QS.CONTEXT.CREATE("market.6158",A6160,"USD","SOFR")</f>
        <v/>
      </c>
      <c r="D6160" s="8">
        <f>QS.CONTEXT.ADD.CURVE(C6160,"SOFR",$K$2:$K$7,$L$2:$L$7,,,"Actual360","LogLinear",TRUE)</f>
        <v/>
      </c>
      <c r="E6160" s="8">
        <f>QS.INSTRUMENT.SWAP("swap.6158",C6160,H6160,B6160,"USD","SOFR",I6160,J6160,0,"Actual360","Simple","Annual","Annual","Annual")</f>
        <v/>
      </c>
      <c r="F6160" s="8">
        <f>QS.TRADE.CREATE("trade.6158",C6160,E6160,A6160,"Receive")</f>
        <v/>
      </c>
      <c r="G6160" s="5"/>
      <c r="H6160" s="7" t="s">
        <v>6201</v>
      </c>
      <c r="I6160" s="9">
        <v>1615800</v>
      </c>
      <c r="J6160" s="10">
        <v>0.03580000000000001</v>
      </c>
    </row>
    <row r="6161" spans="1:10">
      <c r="A6161" s="7" t="s">
        <v>6195</v>
      </c>
      <c r="B6161" s="7" t="s">
        <v>8028</v>
      </c>
      <c r="C6161" s="8">
        <f>QS.CONTEXT.CREATE("market.6159",A6161,"USD","SOFR")</f>
        <v/>
      </c>
      <c r="D6161" s="8">
        <f>QS.CONTEXT.ADD.CURVE(C6161,"SOFR",$K$2:$K$7,$L$2:$L$7,,,"Actual360","LogLinear",TRUE)</f>
        <v/>
      </c>
      <c r="E6161" s="8">
        <f>QS.INSTRUMENT.SWAP("swap.6159",C6161,H6161,B6161,"USD","SOFR",I6161,J6161,0,"Actual360","Simple","Annual","Annual","Annual")</f>
        <v/>
      </c>
      <c r="F6161" s="8">
        <f>QS.TRADE.CREATE("trade.6159",C6161,E6161,A6161,"Receive")</f>
        <v/>
      </c>
      <c r="G6161" s="5"/>
      <c r="H6161" s="7" t="s">
        <v>6202</v>
      </c>
      <c r="I6161" s="9">
        <v>1615900</v>
      </c>
      <c r="J6161" s="10">
        <v>0.0359</v>
      </c>
    </row>
    <row r="6162" spans="1:10">
      <c r="A6162" s="7" t="s">
        <v>6196</v>
      </c>
      <c r="B6162" s="7" t="s">
        <v>8029</v>
      </c>
      <c r="C6162" s="8">
        <f>QS.CONTEXT.CREATE("market.6160",A6162,"USD","SOFR")</f>
        <v/>
      </c>
      <c r="D6162" s="8">
        <f>QS.CONTEXT.ADD.CURVE(C6162,"SOFR",$K$2:$K$7,$L$2:$L$7,,,"Actual360","LogLinear",TRUE)</f>
        <v/>
      </c>
      <c r="E6162" s="8">
        <f>QS.INSTRUMENT.SWAP("swap.6160",C6162,H6162,B6162,"USD","SOFR",I6162,J6162,0,"Actual360","Simple","Annual","Annual","Annual")</f>
        <v/>
      </c>
      <c r="F6162" s="8">
        <f>QS.TRADE.CREATE("trade.6160",C6162,E6162,A6162,"Receive")</f>
        <v/>
      </c>
      <c r="G6162" s="5"/>
      <c r="H6162" s="7" t="s">
        <v>6203</v>
      </c>
      <c r="I6162" s="9">
        <v>1616000</v>
      </c>
      <c r="J6162" s="10">
        <v>0.036</v>
      </c>
    </row>
    <row r="6163" spans="1:10">
      <c r="A6163" s="7" t="s">
        <v>6197</v>
      </c>
      <c r="B6163" s="7" t="s">
        <v>8030</v>
      </c>
      <c r="C6163" s="8">
        <f>QS.CONTEXT.CREATE("market.6161",A6163,"USD","SOFR")</f>
        <v/>
      </c>
      <c r="D6163" s="8">
        <f>QS.CONTEXT.ADD.CURVE(C6163,"SOFR",$K$2:$K$7,$L$2:$L$7,,,"Actual360","LogLinear",TRUE)</f>
        <v/>
      </c>
      <c r="E6163" s="8">
        <f>QS.INSTRUMENT.SWAP("swap.6161",C6163,H6163,B6163,"USD","SOFR",I6163,J6163,0,"Actual360","Simple","Annual","Annual","Annual")</f>
        <v/>
      </c>
      <c r="F6163" s="8">
        <f>QS.TRADE.CREATE("trade.6161",C6163,E6163,A6163,"Receive")</f>
        <v/>
      </c>
      <c r="G6163" s="5"/>
      <c r="H6163" s="7" t="s">
        <v>6204</v>
      </c>
      <c r="I6163" s="9">
        <v>1616100</v>
      </c>
      <c r="J6163" s="10">
        <v>0.0361</v>
      </c>
    </row>
    <row r="6164" spans="1:10">
      <c r="A6164" s="7" t="s">
        <v>6198</v>
      </c>
      <c r="B6164" s="7" t="s">
        <v>8031</v>
      </c>
      <c r="C6164" s="8">
        <f>QS.CONTEXT.CREATE("market.6162",A6164,"USD","SOFR")</f>
        <v/>
      </c>
      <c r="D6164" s="8">
        <f>QS.CONTEXT.ADD.CURVE(C6164,"SOFR",$K$2:$K$7,$L$2:$L$7,,,"Actual360","LogLinear",TRUE)</f>
        <v/>
      </c>
      <c r="E6164" s="8">
        <f>QS.INSTRUMENT.SWAP("swap.6162",C6164,H6164,B6164,"USD","SOFR",I6164,J6164,0,"Actual360","Simple","Annual","Annual","Annual")</f>
        <v/>
      </c>
      <c r="F6164" s="8">
        <f>QS.TRADE.CREATE("trade.6162",C6164,E6164,A6164,"Receive")</f>
        <v/>
      </c>
      <c r="G6164" s="5"/>
      <c r="H6164" s="7" t="s">
        <v>6205</v>
      </c>
      <c r="I6164" s="9">
        <v>1616200</v>
      </c>
      <c r="J6164" s="10">
        <v>0.0362</v>
      </c>
    </row>
    <row r="6165" spans="1:10">
      <c r="A6165" s="7" t="s">
        <v>6199</v>
      </c>
      <c r="B6165" s="7" t="s">
        <v>8032</v>
      </c>
      <c r="C6165" s="8">
        <f>QS.CONTEXT.CREATE("market.6163",A6165,"USD","SOFR")</f>
        <v/>
      </c>
      <c r="D6165" s="8">
        <f>QS.CONTEXT.ADD.CURVE(C6165,"SOFR",$K$2:$K$7,$L$2:$L$7,,,"Actual360","LogLinear",TRUE)</f>
        <v/>
      </c>
      <c r="E6165" s="8">
        <f>QS.INSTRUMENT.SWAP("swap.6163",C6165,H6165,B6165,"USD","SOFR",I6165,J6165,0,"Actual360","Simple","Annual","Annual","Annual")</f>
        <v/>
      </c>
      <c r="F6165" s="8">
        <f>QS.TRADE.CREATE("trade.6163",C6165,E6165,A6165,"Receive")</f>
        <v/>
      </c>
      <c r="G6165" s="5"/>
      <c r="H6165" s="7" t="s">
        <v>6206</v>
      </c>
      <c r="I6165" s="9">
        <v>1616300</v>
      </c>
      <c r="J6165" s="10">
        <v>0.03630000000000001</v>
      </c>
    </row>
    <row r="6166" spans="1:10">
      <c r="A6166" s="7" t="s">
        <v>6200</v>
      </c>
      <c r="B6166" s="7" t="s">
        <v>8033</v>
      </c>
      <c r="C6166" s="8">
        <f>QS.CONTEXT.CREATE("market.6164",A6166,"USD","SOFR")</f>
        <v/>
      </c>
      <c r="D6166" s="8">
        <f>QS.CONTEXT.ADD.CURVE(C6166,"SOFR",$K$2:$K$7,$L$2:$L$7,,,"Actual360","LogLinear",TRUE)</f>
        <v/>
      </c>
      <c r="E6166" s="8">
        <f>QS.INSTRUMENT.SWAP("swap.6164",C6166,H6166,B6166,"USD","SOFR",I6166,J6166,0,"Actual360","Simple","Annual","Annual","Annual")</f>
        <v/>
      </c>
      <c r="F6166" s="8">
        <f>QS.TRADE.CREATE("trade.6164",C6166,E6166,A6166,"Receive")</f>
        <v/>
      </c>
      <c r="G6166" s="5"/>
      <c r="H6166" s="7" t="s">
        <v>6207</v>
      </c>
      <c r="I6166" s="9">
        <v>1616400</v>
      </c>
      <c r="J6166" s="10">
        <v>0.0364</v>
      </c>
    </row>
    <row r="6167" spans="1:10">
      <c r="A6167" s="7" t="s">
        <v>6201</v>
      </c>
      <c r="B6167" s="7" t="s">
        <v>8034</v>
      </c>
      <c r="C6167" s="8">
        <f>QS.CONTEXT.CREATE("market.6165",A6167,"USD","SOFR")</f>
        <v/>
      </c>
      <c r="D6167" s="8">
        <f>QS.CONTEXT.ADD.CURVE(C6167,"SOFR",$K$2:$K$7,$L$2:$L$7,,,"Actual360","LogLinear",TRUE)</f>
        <v/>
      </c>
      <c r="E6167" s="8">
        <f>QS.INSTRUMENT.SWAP("swap.6165",C6167,H6167,B6167,"USD","SOFR",I6167,J6167,0,"Actual360","Simple","Annual","Annual","Annual")</f>
        <v/>
      </c>
      <c r="F6167" s="8">
        <f>QS.TRADE.CREATE("trade.6165",C6167,E6167,A6167,"Receive")</f>
        <v/>
      </c>
      <c r="G6167" s="5"/>
      <c r="H6167" s="7" t="s">
        <v>6208</v>
      </c>
      <c r="I6167" s="9">
        <v>1616500</v>
      </c>
      <c r="J6167" s="10">
        <v>0.0365</v>
      </c>
    </row>
    <row r="6168" spans="1:10">
      <c r="A6168" s="7" t="s">
        <v>6202</v>
      </c>
      <c r="B6168" s="7" t="s">
        <v>8035</v>
      </c>
      <c r="C6168" s="8">
        <f>QS.CONTEXT.CREATE("market.6166",A6168,"USD","SOFR")</f>
        <v/>
      </c>
      <c r="D6168" s="8">
        <f>QS.CONTEXT.ADD.CURVE(C6168,"SOFR",$K$2:$K$7,$L$2:$L$7,,,"Actual360","LogLinear",TRUE)</f>
        <v/>
      </c>
      <c r="E6168" s="8">
        <f>QS.INSTRUMENT.SWAP("swap.6166",C6168,H6168,B6168,"USD","SOFR",I6168,J6168,0,"Actual360","Simple","Annual","Annual","Annual")</f>
        <v/>
      </c>
      <c r="F6168" s="8">
        <f>QS.TRADE.CREATE("trade.6166",C6168,E6168,A6168,"Receive")</f>
        <v/>
      </c>
      <c r="G6168" s="5"/>
      <c r="H6168" s="7" t="s">
        <v>6209</v>
      </c>
      <c r="I6168" s="9">
        <v>1616600</v>
      </c>
      <c r="J6168" s="10">
        <v>0.0366</v>
      </c>
    </row>
    <row r="6169" spans="1:10">
      <c r="A6169" s="7" t="s">
        <v>6203</v>
      </c>
      <c r="B6169" s="7" t="s">
        <v>8036</v>
      </c>
      <c r="C6169" s="8">
        <f>QS.CONTEXT.CREATE("market.6167",A6169,"USD","SOFR")</f>
        <v/>
      </c>
      <c r="D6169" s="8">
        <f>QS.CONTEXT.ADD.CURVE(C6169,"SOFR",$K$2:$K$7,$L$2:$L$7,,,"Actual360","LogLinear",TRUE)</f>
        <v/>
      </c>
      <c r="E6169" s="8">
        <f>QS.INSTRUMENT.SWAP("swap.6167",C6169,H6169,B6169,"USD","SOFR",I6169,J6169,0,"Actual360","Simple","Annual","Annual","Annual")</f>
        <v/>
      </c>
      <c r="F6169" s="8">
        <f>QS.TRADE.CREATE("trade.6167",C6169,E6169,A6169,"Receive")</f>
        <v/>
      </c>
      <c r="G6169" s="5"/>
      <c r="H6169" s="7" t="s">
        <v>6210</v>
      </c>
      <c r="I6169" s="9">
        <v>1616700</v>
      </c>
      <c r="J6169" s="10">
        <v>0.0367</v>
      </c>
    </row>
    <row r="6170" spans="1:10">
      <c r="A6170" s="7" t="s">
        <v>6204</v>
      </c>
      <c r="B6170" s="7" t="s">
        <v>8037</v>
      </c>
      <c r="C6170" s="8">
        <f>QS.CONTEXT.CREATE("market.6168",A6170,"USD","SOFR")</f>
        <v/>
      </c>
      <c r="D6170" s="8">
        <f>QS.CONTEXT.ADD.CURVE(C6170,"SOFR",$K$2:$K$7,$L$2:$L$7,,,"Actual360","LogLinear",TRUE)</f>
        <v/>
      </c>
      <c r="E6170" s="8">
        <f>QS.INSTRUMENT.SWAP("swap.6168",C6170,H6170,B6170,"USD","SOFR",I6170,J6170,0,"Actual360","Simple","Annual","Annual","Annual")</f>
        <v/>
      </c>
      <c r="F6170" s="8">
        <f>QS.TRADE.CREATE("trade.6168",C6170,E6170,A6170,"Receive")</f>
        <v/>
      </c>
      <c r="G6170" s="5"/>
      <c r="H6170" s="7" t="s">
        <v>6211</v>
      </c>
      <c r="I6170" s="9">
        <v>1616800</v>
      </c>
      <c r="J6170" s="10">
        <v>0.03680000000000001</v>
      </c>
    </row>
    <row r="6171" spans="1:10">
      <c r="A6171" s="7" t="s">
        <v>6205</v>
      </c>
      <c r="B6171" s="7" t="s">
        <v>8038</v>
      </c>
      <c r="C6171" s="8">
        <f>QS.CONTEXT.CREATE("market.6169",A6171,"USD","SOFR")</f>
        <v/>
      </c>
      <c r="D6171" s="8">
        <f>QS.CONTEXT.ADD.CURVE(C6171,"SOFR",$K$2:$K$7,$L$2:$L$7,,,"Actual360","LogLinear",TRUE)</f>
        <v/>
      </c>
      <c r="E6171" s="8">
        <f>QS.INSTRUMENT.SWAP("swap.6169",C6171,H6171,B6171,"USD","SOFR",I6171,J6171,0,"Actual360","Simple","Annual","Annual","Annual")</f>
        <v/>
      </c>
      <c r="F6171" s="8">
        <f>QS.TRADE.CREATE("trade.6169",C6171,E6171,A6171,"Receive")</f>
        <v/>
      </c>
      <c r="G6171" s="5"/>
      <c r="H6171" s="7" t="s">
        <v>6212</v>
      </c>
      <c r="I6171" s="9">
        <v>1616900</v>
      </c>
      <c r="J6171" s="10">
        <v>0.0369</v>
      </c>
    </row>
    <row r="6172" spans="1:10">
      <c r="A6172" s="7" t="s">
        <v>6206</v>
      </c>
      <c r="B6172" s="7" t="s">
        <v>8039</v>
      </c>
      <c r="C6172" s="8">
        <f>QS.CONTEXT.CREATE("market.6170",A6172,"USD","SOFR")</f>
        <v/>
      </c>
      <c r="D6172" s="8">
        <f>QS.CONTEXT.ADD.CURVE(C6172,"SOFR",$K$2:$K$7,$L$2:$L$7,,,"Actual360","LogLinear",TRUE)</f>
        <v/>
      </c>
      <c r="E6172" s="8">
        <f>QS.INSTRUMENT.SWAP("swap.6170",C6172,H6172,B6172,"USD","SOFR",I6172,J6172,0,"Actual360","Simple","Annual","Annual","Annual")</f>
        <v/>
      </c>
      <c r="F6172" s="8">
        <f>QS.TRADE.CREATE("trade.6170",C6172,E6172,A6172,"Receive")</f>
        <v/>
      </c>
      <c r="G6172" s="5"/>
      <c r="H6172" s="7" t="s">
        <v>6213</v>
      </c>
      <c r="I6172" s="9">
        <v>1617000</v>
      </c>
      <c r="J6172" s="10">
        <v>0.03700000000000001</v>
      </c>
    </row>
    <row r="6173" spans="1:10">
      <c r="A6173" s="7" t="s">
        <v>6207</v>
      </c>
      <c r="B6173" s="7" t="s">
        <v>8040</v>
      </c>
      <c r="C6173" s="8">
        <f>QS.CONTEXT.CREATE("market.6171",A6173,"USD","SOFR")</f>
        <v/>
      </c>
      <c r="D6173" s="8">
        <f>QS.CONTEXT.ADD.CURVE(C6173,"SOFR",$K$2:$K$7,$L$2:$L$7,,,"Actual360","LogLinear",TRUE)</f>
        <v/>
      </c>
      <c r="E6173" s="8">
        <f>QS.INSTRUMENT.SWAP("swap.6171",C6173,H6173,B6173,"USD","SOFR",I6173,J6173,0,"Actual360","Simple","Annual","Annual","Annual")</f>
        <v/>
      </c>
      <c r="F6173" s="8">
        <f>QS.TRADE.CREATE("trade.6171",C6173,E6173,A6173,"Receive")</f>
        <v/>
      </c>
      <c r="G6173" s="5"/>
      <c r="H6173" s="7" t="s">
        <v>6214</v>
      </c>
      <c r="I6173" s="9">
        <v>1617100</v>
      </c>
      <c r="J6173" s="10">
        <v>0.0371</v>
      </c>
    </row>
    <row r="6174" spans="1:10">
      <c r="A6174" s="7" t="s">
        <v>6208</v>
      </c>
      <c r="B6174" s="7" t="s">
        <v>8041</v>
      </c>
      <c r="C6174" s="8">
        <f>QS.CONTEXT.CREATE("market.6172",A6174,"USD","SOFR")</f>
        <v/>
      </c>
      <c r="D6174" s="8">
        <f>QS.CONTEXT.ADD.CURVE(C6174,"SOFR",$K$2:$K$7,$L$2:$L$7,,,"Actual360","LogLinear",TRUE)</f>
        <v/>
      </c>
      <c r="E6174" s="8">
        <f>QS.INSTRUMENT.SWAP("swap.6172",C6174,H6174,B6174,"USD","SOFR",I6174,J6174,0,"Actual360","Simple","Annual","Annual","Annual")</f>
        <v/>
      </c>
      <c r="F6174" s="8">
        <f>QS.TRADE.CREATE("trade.6172",C6174,E6174,A6174,"Receive")</f>
        <v/>
      </c>
      <c r="G6174" s="5"/>
      <c r="H6174" s="7" t="s">
        <v>6215</v>
      </c>
      <c r="I6174" s="9">
        <v>1617200</v>
      </c>
      <c r="J6174" s="10">
        <v>0.0372</v>
      </c>
    </row>
    <row r="6175" spans="1:10">
      <c r="A6175" s="7" t="s">
        <v>6209</v>
      </c>
      <c r="B6175" s="7" t="s">
        <v>8042</v>
      </c>
      <c r="C6175" s="8">
        <f>QS.CONTEXT.CREATE("market.6173",A6175,"USD","SOFR")</f>
        <v/>
      </c>
      <c r="D6175" s="8">
        <f>QS.CONTEXT.ADD.CURVE(C6175,"SOFR",$K$2:$K$7,$L$2:$L$7,,,"Actual360","LogLinear",TRUE)</f>
        <v/>
      </c>
      <c r="E6175" s="8">
        <f>QS.INSTRUMENT.SWAP("swap.6173",C6175,H6175,B6175,"USD","SOFR",I6175,J6175,0,"Actual360","Simple","Annual","Annual","Annual")</f>
        <v/>
      </c>
      <c r="F6175" s="8">
        <f>QS.TRADE.CREATE("trade.6173",C6175,E6175,A6175,"Receive")</f>
        <v/>
      </c>
      <c r="G6175" s="5"/>
      <c r="H6175" s="7" t="s">
        <v>6216</v>
      </c>
      <c r="I6175" s="9">
        <v>1617300</v>
      </c>
      <c r="J6175" s="10">
        <v>0.0373</v>
      </c>
    </row>
    <row r="6176" spans="1:10">
      <c r="A6176" s="7" t="s">
        <v>6210</v>
      </c>
      <c r="B6176" s="7" t="s">
        <v>8043</v>
      </c>
      <c r="C6176" s="8">
        <f>QS.CONTEXT.CREATE("market.6174",A6176,"USD","SOFR")</f>
        <v/>
      </c>
      <c r="D6176" s="8">
        <f>QS.CONTEXT.ADD.CURVE(C6176,"SOFR",$K$2:$K$7,$L$2:$L$7,,,"Actual360","LogLinear",TRUE)</f>
        <v/>
      </c>
      <c r="E6176" s="8">
        <f>QS.INSTRUMENT.SWAP("swap.6174",C6176,H6176,B6176,"USD","SOFR",I6176,J6176,0,"Actual360","Simple","Annual","Annual","Annual")</f>
        <v/>
      </c>
      <c r="F6176" s="8">
        <f>QS.TRADE.CREATE("trade.6174",C6176,E6176,A6176,"Receive")</f>
        <v/>
      </c>
      <c r="G6176" s="5"/>
      <c r="H6176" s="7" t="s">
        <v>6217</v>
      </c>
      <c r="I6176" s="9">
        <v>1617400</v>
      </c>
      <c r="J6176" s="10">
        <v>0.0374</v>
      </c>
    </row>
    <row r="6177" spans="1:10">
      <c r="A6177" s="7" t="s">
        <v>6211</v>
      </c>
      <c r="B6177" s="7" t="s">
        <v>8044</v>
      </c>
      <c r="C6177" s="8">
        <f>QS.CONTEXT.CREATE("market.6175",A6177,"USD","SOFR")</f>
        <v/>
      </c>
      <c r="D6177" s="8">
        <f>QS.CONTEXT.ADD.CURVE(C6177,"SOFR",$K$2:$K$7,$L$2:$L$7,,,"Actual360","LogLinear",TRUE)</f>
        <v/>
      </c>
      <c r="E6177" s="8">
        <f>QS.INSTRUMENT.SWAP("swap.6175",C6177,H6177,B6177,"USD","SOFR",I6177,J6177,0,"Actual360","Simple","Annual","Annual","Annual")</f>
        <v/>
      </c>
      <c r="F6177" s="8">
        <f>QS.TRADE.CREATE("trade.6175",C6177,E6177,A6177,"Receive")</f>
        <v/>
      </c>
      <c r="G6177" s="5"/>
      <c r="H6177" s="7" t="s">
        <v>6218</v>
      </c>
      <c r="I6177" s="9">
        <v>1617500</v>
      </c>
      <c r="J6177" s="10">
        <v>0.03750000000000001</v>
      </c>
    </row>
    <row r="6178" spans="1:10">
      <c r="A6178" s="7" t="s">
        <v>6212</v>
      </c>
      <c r="B6178" s="7" t="s">
        <v>8045</v>
      </c>
      <c r="C6178" s="8">
        <f>QS.CONTEXT.CREATE("market.6176",A6178,"USD","SOFR")</f>
        <v/>
      </c>
      <c r="D6178" s="8">
        <f>QS.CONTEXT.ADD.CURVE(C6178,"SOFR",$K$2:$K$7,$L$2:$L$7,,,"Actual360","LogLinear",TRUE)</f>
        <v/>
      </c>
      <c r="E6178" s="8">
        <f>QS.INSTRUMENT.SWAP("swap.6176",C6178,H6178,B6178,"USD","SOFR",I6178,J6178,0,"Actual360","Simple","Annual","Annual","Annual")</f>
        <v/>
      </c>
      <c r="F6178" s="8">
        <f>QS.TRADE.CREATE("trade.6176",C6178,E6178,A6178,"Receive")</f>
        <v/>
      </c>
      <c r="G6178" s="5"/>
      <c r="H6178" s="7" t="s">
        <v>6219</v>
      </c>
      <c r="I6178" s="9">
        <v>1617600</v>
      </c>
      <c r="J6178" s="10">
        <v>0.0376</v>
      </c>
    </row>
    <row r="6179" spans="1:10">
      <c r="A6179" s="7" t="s">
        <v>6213</v>
      </c>
      <c r="B6179" s="7" t="s">
        <v>8046</v>
      </c>
      <c r="C6179" s="8">
        <f>QS.CONTEXT.CREATE("market.6177",A6179,"USD","SOFR")</f>
        <v/>
      </c>
      <c r="D6179" s="8">
        <f>QS.CONTEXT.ADD.CURVE(C6179,"SOFR",$K$2:$K$7,$L$2:$L$7,,,"Actual360","LogLinear",TRUE)</f>
        <v/>
      </c>
      <c r="E6179" s="8">
        <f>QS.INSTRUMENT.SWAP("swap.6177",C6179,H6179,B6179,"USD","SOFR",I6179,J6179,0,"Actual360","Simple","Annual","Annual","Annual")</f>
        <v/>
      </c>
      <c r="F6179" s="8">
        <f>QS.TRADE.CREATE("trade.6177",C6179,E6179,A6179,"Receive")</f>
        <v/>
      </c>
      <c r="G6179" s="5"/>
      <c r="H6179" s="7" t="s">
        <v>6220</v>
      </c>
      <c r="I6179" s="9">
        <v>1617700</v>
      </c>
      <c r="J6179" s="10">
        <v>0.0377</v>
      </c>
    </row>
    <row r="6180" spans="1:10">
      <c r="A6180" s="7" t="s">
        <v>6214</v>
      </c>
      <c r="B6180" s="7" t="s">
        <v>8047</v>
      </c>
      <c r="C6180" s="8">
        <f>QS.CONTEXT.CREATE("market.6178",A6180,"USD","SOFR")</f>
        <v/>
      </c>
      <c r="D6180" s="8">
        <f>QS.CONTEXT.ADD.CURVE(C6180,"SOFR",$K$2:$K$7,$L$2:$L$7,,,"Actual360","LogLinear",TRUE)</f>
        <v/>
      </c>
      <c r="E6180" s="8">
        <f>QS.INSTRUMENT.SWAP("swap.6178",C6180,H6180,B6180,"USD","SOFR",I6180,J6180,0,"Actual360","Simple","Annual","Annual","Annual")</f>
        <v/>
      </c>
      <c r="F6180" s="8">
        <f>QS.TRADE.CREATE("trade.6178",C6180,E6180,A6180,"Receive")</f>
        <v/>
      </c>
      <c r="G6180" s="5"/>
      <c r="H6180" s="7" t="s">
        <v>6221</v>
      </c>
      <c r="I6180" s="9">
        <v>1617800</v>
      </c>
      <c r="J6180" s="10">
        <v>0.0378</v>
      </c>
    </row>
    <row r="6181" spans="1:10">
      <c r="A6181" s="7" t="s">
        <v>6215</v>
      </c>
      <c r="B6181" s="7" t="s">
        <v>8048</v>
      </c>
      <c r="C6181" s="8">
        <f>QS.CONTEXT.CREATE("market.6179",A6181,"USD","SOFR")</f>
        <v/>
      </c>
      <c r="D6181" s="8">
        <f>QS.CONTEXT.ADD.CURVE(C6181,"SOFR",$K$2:$K$7,$L$2:$L$7,,,"Actual360","LogLinear",TRUE)</f>
        <v/>
      </c>
      <c r="E6181" s="8">
        <f>QS.INSTRUMENT.SWAP("swap.6179",C6181,H6181,B6181,"USD","SOFR",I6181,J6181,0,"Actual360","Simple","Annual","Annual","Annual")</f>
        <v/>
      </c>
      <c r="F6181" s="8">
        <f>QS.TRADE.CREATE("trade.6179",C6181,E6181,A6181,"Receive")</f>
        <v/>
      </c>
      <c r="G6181" s="5"/>
      <c r="H6181" s="7" t="s">
        <v>6222</v>
      </c>
      <c r="I6181" s="9">
        <v>1617900</v>
      </c>
      <c r="J6181" s="10">
        <v>0.0379</v>
      </c>
    </row>
    <row r="6182" spans="1:10">
      <c r="A6182" s="7" t="s">
        <v>6216</v>
      </c>
      <c r="B6182" s="7" t="s">
        <v>8049</v>
      </c>
      <c r="C6182" s="8">
        <f>QS.CONTEXT.CREATE("market.6180",A6182,"USD","SOFR")</f>
        <v/>
      </c>
      <c r="D6182" s="8">
        <f>QS.CONTEXT.ADD.CURVE(C6182,"SOFR",$K$2:$K$7,$L$2:$L$7,,,"Actual360","LogLinear",TRUE)</f>
        <v/>
      </c>
      <c r="E6182" s="8">
        <f>QS.INSTRUMENT.SWAP("swap.6180",C6182,H6182,B6182,"USD","SOFR",I6182,J6182,0,"Actual360","Simple","Annual","Annual","Annual")</f>
        <v/>
      </c>
      <c r="F6182" s="8">
        <f>QS.TRADE.CREATE("trade.6180",C6182,E6182,A6182,"Receive")</f>
        <v/>
      </c>
      <c r="G6182" s="5"/>
      <c r="H6182" s="7" t="s">
        <v>6223</v>
      </c>
      <c r="I6182" s="9">
        <v>1618000</v>
      </c>
      <c r="J6182" s="10">
        <v>0.03800000000000001</v>
      </c>
    </row>
    <row r="6183" spans="1:10">
      <c r="A6183" s="7" t="s">
        <v>6217</v>
      </c>
      <c r="B6183" s="7" t="s">
        <v>8050</v>
      </c>
      <c r="C6183" s="8">
        <f>QS.CONTEXT.CREATE("market.6181",A6183,"USD","SOFR")</f>
        <v/>
      </c>
      <c r="D6183" s="8">
        <f>QS.CONTEXT.ADD.CURVE(C6183,"SOFR",$K$2:$K$7,$L$2:$L$7,,,"Actual360","LogLinear",TRUE)</f>
        <v/>
      </c>
      <c r="E6183" s="8">
        <f>QS.INSTRUMENT.SWAP("swap.6181",C6183,H6183,B6183,"USD","SOFR",I6183,J6183,0,"Actual360","Simple","Annual","Annual","Annual")</f>
        <v/>
      </c>
      <c r="F6183" s="8">
        <f>QS.TRADE.CREATE("trade.6181",C6183,E6183,A6183,"Receive")</f>
        <v/>
      </c>
      <c r="G6183" s="5"/>
      <c r="H6183" s="7" t="s">
        <v>6224</v>
      </c>
      <c r="I6183" s="9">
        <v>1618100</v>
      </c>
      <c r="J6183" s="10">
        <v>0.0381</v>
      </c>
    </row>
    <row r="6184" spans="1:10">
      <c r="A6184" s="7" t="s">
        <v>6218</v>
      </c>
      <c r="B6184" s="7" t="s">
        <v>8051</v>
      </c>
      <c r="C6184" s="8">
        <f>QS.CONTEXT.CREATE("market.6182",A6184,"USD","SOFR")</f>
        <v/>
      </c>
      <c r="D6184" s="8">
        <f>QS.CONTEXT.ADD.CURVE(C6184,"SOFR",$K$2:$K$7,$L$2:$L$7,,,"Actual360","LogLinear",TRUE)</f>
        <v/>
      </c>
      <c r="E6184" s="8">
        <f>QS.INSTRUMENT.SWAP("swap.6182",C6184,H6184,B6184,"USD","SOFR",I6184,J6184,0,"Actual360","Simple","Annual","Annual","Annual")</f>
        <v/>
      </c>
      <c r="F6184" s="8">
        <f>QS.TRADE.CREATE("trade.6182",C6184,E6184,A6184,"Receive")</f>
        <v/>
      </c>
      <c r="G6184" s="5"/>
      <c r="H6184" s="7" t="s">
        <v>6225</v>
      </c>
      <c r="I6184" s="9">
        <v>1618200</v>
      </c>
      <c r="J6184" s="10">
        <v>0.0382</v>
      </c>
    </row>
    <row r="6185" spans="1:10">
      <c r="A6185" s="7" t="s">
        <v>6219</v>
      </c>
      <c r="B6185" s="7" t="s">
        <v>8052</v>
      </c>
      <c r="C6185" s="8">
        <f>QS.CONTEXT.CREATE("market.6183",A6185,"USD","SOFR")</f>
        <v/>
      </c>
      <c r="D6185" s="8">
        <f>QS.CONTEXT.ADD.CURVE(C6185,"SOFR",$K$2:$K$7,$L$2:$L$7,,,"Actual360","LogLinear",TRUE)</f>
        <v/>
      </c>
      <c r="E6185" s="8">
        <f>QS.INSTRUMENT.SWAP("swap.6183",C6185,H6185,B6185,"USD","SOFR",I6185,J6185,0,"Actual360","Simple","Annual","Annual","Annual")</f>
        <v/>
      </c>
      <c r="F6185" s="8">
        <f>QS.TRADE.CREATE("trade.6183",C6185,E6185,A6185,"Receive")</f>
        <v/>
      </c>
      <c r="G6185" s="5"/>
      <c r="H6185" s="7" t="s">
        <v>6226</v>
      </c>
      <c r="I6185" s="9">
        <v>1618300</v>
      </c>
      <c r="J6185" s="10">
        <v>0.0383</v>
      </c>
    </row>
    <row r="6186" spans="1:10">
      <c r="A6186" s="7" t="s">
        <v>6220</v>
      </c>
      <c r="B6186" s="7" t="s">
        <v>8053</v>
      </c>
      <c r="C6186" s="8">
        <f>QS.CONTEXT.CREATE("market.6184",A6186,"USD","SOFR")</f>
        <v/>
      </c>
      <c r="D6186" s="8">
        <f>QS.CONTEXT.ADD.CURVE(C6186,"SOFR",$K$2:$K$7,$L$2:$L$7,,,"Actual360","LogLinear",TRUE)</f>
        <v/>
      </c>
      <c r="E6186" s="8">
        <f>QS.INSTRUMENT.SWAP("swap.6184",C6186,H6186,B6186,"USD","SOFR",I6186,J6186,0,"Actual360","Simple","Annual","Annual","Annual")</f>
        <v/>
      </c>
      <c r="F6186" s="8">
        <f>QS.TRADE.CREATE("trade.6184",C6186,E6186,A6186,"Receive")</f>
        <v/>
      </c>
      <c r="G6186" s="5"/>
      <c r="H6186" s="7" t="s">
        <v>6227</v>
      </c>
      <c r="I6186" s="9">
        <v>1618400</v>
      </c>
      <c r="J6186" s="10">
        <v>0.0384</v>
      </c>
    </row>
    <row r="6187" spans="1:10">
      <c r="A6187" s="7" t="s">
        <v>6221</v>
      </c>
      <c r="B6187" s="7" t="s">
        <v>8054</v>
      </c>
      <c r="C6187" s="8">
        <f>QS.CONTEXT.CREATE("market.6185",A6187,"USD","SOFR")</f>
        <v/>
      </c>
      <c r="D6187" s="8">
        <f>QS.CONTEXT.ADD.CURVE(C6187,"SOFR",$K$2:$K$7,$L$2:$L$7,,,"Actual360","LogLinear",TRUE)</f>
        <v/>
      </c>
      <c r="E6187" s="8">
        <f>QS.INSTRUMENT.SWAP("swap.6185",C6187,H6187,B6187,"USD","SOFR",I6187,J6187,0,"Actual360","Simple","Annual","Annual","Annual")</f>
        <v/>
      </c>
      <c r="F6187" s="8">
        <f>QS.TRADE.CREATE("trade.6185",C6187,E6187,A6187,"Receive")</f>
        <v/>
      </c>
      <c r="G6187" s="5"/>
      <c r="H6187" s="7" t="s">
        <v>6228</v>
      </c>
      <c r="I6187" s="9">
        <v>1618500</v>
      </c>
      <c r="J6187" s="10">
        <v>0.03850000000000001</v>
      </c>
    </row>
    <row r="6188" spans="1:10">
      <c r="A6188" s="7" t="s">
        <v>6222</v>
      </c>
      <c r="B6188" s="7" t="s">
        <v>8055</v>
      </c>
      <c r="C6188" s="8">
        <f>QS.CONTEXT.CREATE("market.6186",A6188,"USD","SOFR")</f>
        <v/>
      </c>
      <c r="D6188" s="8">
        <f>QS.CONTEXT.ADD.CURVE(C6188,"SOFR",$K$2:$K$7,$L$2:$L$7,,,"Actual360","LogLinear",TRUE)</f>
        <v/>
      </c>
      <c r="E6188" s="8">
        <f>QS.INSTRUMENT.SWAP("swap.6186",C6188,H6188,B6188,"USD","SOFR",I6188,J6188,0,"Actual360","Simple","Annual","Annual","Annual")</f>
        <v/>
      </c>
      <c r="F6188" s="8">
        <f>QS.TRADE.CREATE("trade.6186",C6188,E6188,A6188,"Receive")</f>
        <v/>
      </c>
      <c r="G6188" s="5"/>
      <c r="H6188" s="7" t="s">
        <v>6229</v>
      </c>
      <c r="I6188" s="9">
        <v>1618600</v>
      </c>
      <c r="J6188" s="10">
        <v>0.0386</v>
      </c>
    </row>
    <row r="6189" spans="1:10">
      <c r="A6189" s="7" t="s">
        <v>6223</v>
      </c>
      <c r="B6189" s="7" t="s">
        <v>8056</v>
      </c>
      <c r="C6189" s="8">
        <f>QS.CONTEXT.CREATE("market.6187",A6189,"USD","SOFR")</f>
        <v/>
      </c>
      <c r="D6189" s="8">
        <f>QS.CONTEXT.ADD.CURVE(C6189,"SOFR",$K$2:$K$7,$L$2:$L$7,,,"Actual360","LogLinear",TRUE)</f>
        <v/>
      </c>
      <c r="E6189" s="8">
        <f>QS.INSTRUMENT.SWAP("swap.6187",C6189,H6189,B6189,"USD","SOFR",I6189,J6189,0,"Actual360","Simple","Annual","Annual","Annual")</f>
        <v/>
      </c>
      <c r="F6189" s="8">
        <f>QS.TRADE.CREATE("trade.6187",C6189,E6189,A6189,"Receive")</f>
        <v/>
      </c>
      <c r="G6189" s="5"/>
      <c r="H6189" s="7" t="s">
        <v>6230</v>
      </c>
      <c r="I6189" s="9">
        <v>1618700</v>
      </c>
      <c r="J6189" s="10">
        <v>0.03870000000000001</v>
      </c>
    </row>
    <row r="6190" spans="1:10">
      <c r="A6190" s="7" t="s">
        <v>6224</v>
      </c>
      <c r="B6190" s="7" t="s">
        <v>8057</v>
      </c>
      <c r="C6190" s="8">
        <f>QS.CONTEXT.CREATE("market.6188",A6190,"USD","SOFR")</f>
        <v/>
      </c>
      <c r="D6190" s="8">
        <f>QS.CONTEXT.ADD.CURVE(C6190,"SOFR",$K$2:$K$7,$L$2:$L$7,,,"Actual360","LogLinear",TRUE)</f>
        <v/>
      </c>
      <c r="E6190" s="8">
        <f>QS.INSTRUMENT.SWAP("swap.6188",C6190,H6190,B6190,"USD","SOFR",I6190,J6190,0,"Actual360","Simple","Annual","Annual","Annual")</f>
        <v/>
      </c>
      <c r="F6190" s="8">
        <f>QS.TRADE.CREATE("trade.6188",C6190,E6190,A6190,"Receive")</f>
        <v/>
      </c>
      <c r="G6190" s="5"/>
      <c r="H6190" s="7" t="s">
        <v>6231</v>
      </c>
      <c r="I6190" s="9">
        <v>1618800</v>
      </c>
      <c r="J6190" s="10">
        <v>0.0388</v>
      </c>
    </row>
    <row r="6191" spans="1:10">
      <c r="A6191" s="7" t="s">
        <v>6225</v>
      </c>
      <c r="B6191" s="7" t="s">
        <v>8058</v>
      </c>
      <c r="C6191" s="8">
        <f>QS.CONTEXT.CREATE("market.6189",A6191,"USD","SOFR")</f>
        <v/>
      </c>
      <c r="D6191" s="8">
        <f>QS.CONTEXT.ADD.CURVE(C6191,"SOFR",$K$2:$K$7,$L$2:$L$7,,,"Actual360","LogLinear",TRUE)</f>
        <v/>
      </c>
      <c r="E6191" s="8">
        <f>QS.INSTRUMENT.SWAP("swap.6189",C6191,H6191,B6191,"USD","SOFR",I6191,J6191,0,"Actual360","Simple","Annual","Annual","Annual")</f>
        <v/>
      </c>
      <c r="F6191" s="8">
        <f>QS.TRADE.CREATE("trade.6189",C6191,E6191,A6191,"Receive")</f>
        <v/>
      </c>
      <c r="G6191" s="5"/>
      <c r="H6191" s="7" t="s">
        <v>6232</v>
      </c>
      <c r="I6191" s="9">
        <v>1618900</v>
      </c>
      <c r="J6191" s="10">
        <v>0.0389</v>
      </c>
    </row>
    <row r="6192" spans="1:10">
      <c r="A6192" s="7" t="s">
        <v>6226</v>
      </c>
      <c r="B6192" s="7" t="s">
        <v>8059</v>
      </c>
      <c r="C6192" s="8">
        <f>QS.CONTEXT.CREATE("market.6190",A6192,"USD","SOFR")</f>
        <v/>
      </c>
      <c r="D6192" s="8">
        <f>QS.CONTEXT.ADD.CURVE(C6192,"SOFR",$K$2:$K$7,$L$2:$L$7,,,"Actual360","LogLinear",TRUE)</f>
        <v/>
      </c>
      <c r="E6192" s="8">
        <f>QS.INSTRUMENT.SWAP("swap.6190",C6192,H6192,B6192,"USD","SOFR",I6192,J6192,0,"Actual360","Simple","Annual","Annual","Annual")</f>
        <v/>
      </c>
      <c r="F6192" s="8">
        <f>QS.TRADE.CREATE("trade.6190",C6192,E6192,A6192,"Receive")</f>
        <v/>
      </c>
      <c r="G6192" s="5"/>
      <c r="H6192" s="7" t="s">
        <v>6233</v>
      </c>
      <c r="I6192" s="9">
        <v>1619000</v>
      </c>
      <c r="J6192" s="10">
        <v>0.03900000000000001</v>
      </c>
    </row>
    <row r="6193" spans="1:10">
      <c r="A6193" s="7" t="s">
        <v>6227</v>
      </c>
      <c r="B6193" s="7" t="s">
        <v>8060</v>
      </c>
      <c r="C6193" s="8">
        <f>QS.CONTEXT.CREATE("market.6191",A6193,"USD","SOFR")</f>
        <v/>
      </c>
      <c r="D6193" s="8">
        <f>QS.CONTEXT.ADD.CURVE(C6193,"SOFR",$K$2:$K$7,$L$2:$L$7,,,"Actual360","LogLinear",TRUE)</f>
        <v/>
      </c>
      <c r="E6193" s="8">
        <f>QS.INSTRUMENT.SWAP("swap.6191",C6193,H6193,B6193,"USD","SOFR",I6193,J6193,0,"Actual360","Simple","Annual","Annual","Annual")</f>
        <v/>
      </c>
      <c r="F6193" s="8">
        <f>QS.TRADE.CREATE("trade.6191",C6193,E6193,A6193,"Receive")</f>
        <v/>
      </c>
      <c r="G6193" s="5"/>
      <c r="H6193" s="7" t="s">
        <v>6234</v>
      </c>
      <c r="I6193" s="9">
        <v>1619100</v>
      </c>
      <c r="J6193" s="10">
        <v>0.0391</v>
      </c>
    </row>
    <row r="6194" spans="1:10">
      <c r="A6194" s="7" t="s">
        <v>6228</v>
      </c>
      <c r="B6194" s="7" t="s">
        <v>8061</v>
      </c>
      <c r="C6194" s="8">
        <f>QS.CONTEXT.CREATE("market.6192",A6194,"USD","SOFR")</f>
        <v/>
      </c>
      <c r="D6194" s="8">
        <f>QS.CONTEXT.ADD.CURVE(C6194,"SOFR",$K$2:$K$7,$L$2:$L$7,,,"Actual360","LogLinear",TRUE)</f>
        <v/>
      </c>
      <c r="E6194" s="8">
        <f>QS.INSTRUMENT.SWAP("swap.6192",C6194,H6194,B6194,"USD","SOFR",I6194,J6194,0,"Actual360","Simple","Annual","Annual","Annual")</f>
        <v/>
      </c>
      <c r="F6194" s="8">
        <f>QS.TRADE.CREATE("trade.6192",C6194,E6194,A6194,"Receive")</f>
        <v/>
      </c>
      <c r="G6194" s="5"/>
      <c r="H6194" s="7" t="s">
        <v>6235</v>
      </c>
      <c r="I6194" s="9">
        <v>1619200</v>
      </c>
      <c r="J6194" s="10">
        <v>0.03920000000000001</v>
      </c>
    </row>
    <row r="6195" spans="1:10">
      <c r="A6195" s="7" t="s">
        <v>6229</v>
      </c>
      <c r="B6195" s="7" t="s">
        <v>8062</v>
      </c>
      <c r="C6195" s="8">
        <f>QS.CONTEXT.CREATE("market.6193",A6195,"USD","SOFR")</f>
        <v/>
      </c>
      <c r="D6195" s="8">
        <f>QS.CONTEXT.ADD.CURVE(C6195,"SOFR",$K$2:$K$7,$L$2:$L$7,,,"Actual360","LogLinear",TRUE)</f>
        <v/>
      </c>
      <c r="E6195" s="8">
        <f>QS.INSTRUMENT.SWAP("swap.6193",C6195,H6195,B6195,"USD","SOFR",I6195,J6195,0,"Actual360","Simple","Annual","Annual","Annual")</f>
        <v/>
      </c>
      <c r="F6195" s="8">
        <f>QS.TRADE.CREATE("trade.6193",C6195,E6195,A6195,"Receive")</f>
        <v/>
      </c>
      <c r="G6195" s="5"/>
      <c r="H6195" s="7" t="s">
        <v>6236</v>
      </c>
      <c r="I6195" s="9">
        <v>1619300</v>
      </c>
      <c r="J6195" s="10">
        <v>0.0393</v>
      </c>
    </row>
    <row r="6196" spans="1:10">
      <c r="A6196" s="7" t="s">
        <v>6230</v>
      </c>
      <c r="B6196" s="7" t="s">
        <v>8063</v>
      </c>
      <c r="C6196" s="8">
        <f>QS.CONTEXT.CREATE("market.6194",A6196,"USD","SOFR")</f>
        <v/>
      </c>
      <c r="D6196" s="8">
        <f>QS.CONTEXT.ADD.CURVE(C6196,"SOFR",$K$2:$K$7,$L$2:$L$7,,,"Actual360","LogLinear",TRUE)</f>
        <v/>
      </c>
      <c r="E6196" s="8">
        <f>QS.INSTRUMENT.SWAP("swap.6194",C6196,H6196,B6196,"USD","SOFR",I6196,J6196,0,"Actual360","Simple","Annual","Annual","Annual")</f>
        <v/>
      </c>
      <c r="F6196" s="8">
        <f>QS.TRADE.CREATE("trade.6194",C6196,E6196,A6196,"Receive")</f>
        <v/>
      </c>
      <c r="G6196" s="5"/>
      <c r="H6196" s="7" t="s">
        <v>6237</v>
      </c>
      <c r="I6196" s="9">
        <v>1619400</v>
      </c>
      <c r="J6196" s="10">
        <v>0.0394</v>
      </c>
    </row>
    <row r="6197" spans="1:10">
      <c r="A6197" s="7" t="s">
        <v>6231</v>
      </c>
      <c r="B6197" s="7" t="s">
        <v>8064</v>
      </c>
      <c r="C6197" s="8">
        <f>QS.CONTEXT.CREATE("market.6195",A6197,"USD","SOFR")</f>
        <v/>
      </c>
      <c r="D6197" s="8">
        <f>QS.CONTEXT.ADD.CURVE(C6197,"SOFR",$K$2:$K$7,$L$2:$L$7,,,"Actual360","LogLinear",TRUE)</f>
        <v/>
      </c>
      <c r="E6197" s="8">
        <f>QS.INSTRUMENT.SWAP("swap.6195",C6197,H6197,B6197,"USD","SOFR",I6197,J6197,0,"Actual360","Simple","Annual","Annual","Annual")</f>
        <v/>
      </c>
      <c r="F6197" s="8">
        <f>QS.TRADE.CREATE("trade.6195",C6197,E6197,A6197,"Receive")</f>
        <v/>
      </c>
      <c r="G6197" s="5"/>
      <c r="H6197" s="7" t="s">
        <v>6238</v>
      </c>
      <c r="I6197" s="9">
        <v>1619500</v>
      </c>
      <c r="J6197" s="10">
        <v>0.03950000000000001</v>
      </c>
    </row>
    <row r="6198" spans="1:10">
      <c r="A6198" s="7" t="s">
        <v>6232</v>
      </c>
      <c r="B6198" s="7" t="s">
        <v>8065</v>
      </c>
      <c r="C6198" s="8">
        <f>QS.CONTEXT.CREATE("market.6196",A6198,"USD","SOFR")</f>
        <v/>
      </c>
      <c r="D6198" s="8">
        <f>QS.CONTEXT.ADD.CURVE(C6198,"SOFR",$K$2:$K$7,$L$2:$L$7,,,"Actual360","LogLinear",TRUE)</f>
        <v/>
      </c>
      <c r="E6198" s="8">
        <f>QS.INSTRUMENT.SWAP("swap.6196",C6198,H6198,B6198,"USD","SOFR",I6198,J6198,0,"Actual360","Simple","Annual","Annual","Annual")</f>
        <v/>
      </c>
      <c r="F6198" s="8">
        <f>QS.TRADE.CREATE("trade.6196",C6198,E6198,A6198,"Receive")</f>
        <v/>
      </c>
      <c r="G6198" s="5"/>
      <c r="H6198" s="7" t="s">
        <v>6239</v>
      </c>
      <c r="I6198" s="9">
        <v>1619600</v>
      </c>
      <c r="J6198" s="10">
        <v>0.0396</v>
      </c>
    </row>
    <row r="6199" spans="1:10">
      <c r="A6199" s="7" t="s">
        <v>6233</v>
      </c>
      <c r="B6199" s="7" t="s">
        <v>8066</v>
      </c>
      <c r="C6199" s="8">
        <f>QS.CONTEXT.CREATE("market.6197",A6199,"USD","SOFR")</f>
        <v/>
      </c>
      <c r="D6199" s="8">
        <f>QS.CONTEXT.ADD.CURVE(C6199,"SOFR",$K$2:$K$7,$L$2:$L$7,,,"Actual360","LogLinear",TRUE)</f>
        <v/>
      </c>
      <c r="E6199" s="8">
        <f>QS.INSTRUMENT.SWAP("swap.6197",C6199,H6199,B6199,"USD","SOFR",I6199,J6199,0,"Actual360","Simple","Annual","Annual","Annual")</f>
        <v/>
      </c>
      <c r="F6199" s="8">
        <f>QS.TRADE.CREATE("trade.6197",C6199,E6199,A6199,"Receive")</f>
        <v/>
      </c>
      <c r="G6199" s="5"/>
      <c r="H6199" s="7" t="s">
        <v>6240</v>
      </c>
      <c r="I6199" s="9">
        <v>1619700</v>
      </c>
      <c r="J6199" s="10">
        <v>0.03970000000000001</v>
      </c>
    </row>
    <row r="6200" spans="1:10">
      <c r="A6200" s="7" t="s">
        <v>6234</v>
      </c>
      <c r="B6200" s="7" t="s">
        <v>8067</v>
      </c>
      <c r="C6200" s="8">
        <f>QS.CONTEXT.CREATE("market.6198",A6200,"USD","SOFR")</f>
        <v/>
      </c>
      <c r="D6200" s="8">
        <f>QS.CONTEXT.ADD.CURVE(C6200,"SOFR",$K$2:$K$7,$L$2:$L$7,,,"Actual360","LogLinear",TRUE)</f>
        <v/>
      </c>
      <c r="E6200" s="8">
        <f>QS.INSTRUMENT.SWAP("swap.6198",C6200,H6200,B6200,"USD","SOFR",I6200,J6200,0,"Actual360","Simple","Annual","Annual","Annual")</f>
        <v/>
      </c>
      <c r="F6200" s="8">
        <f>QS.TRADE.CREATE("trade.6198",C6200,E6200,A6200,"Receive")</f>
        <v/>
      </c>
      <c r="G6200" s="5"/>
      <c r="H6200" s="7" t="s">
        <v>6241</v>
      </c>
      <c r="I6200" s="9">
        <v>1619800</v>
      </c>
      <c r="J6200" s="10">
        <v>0.0398</v>
      </c>
    </row>
    <row r="6201" spans="1:10">
      <c r="A6201" s="7" t="s">
        <v>6235</v>
      </c>
      <c r="B6201" s="7" t="s">
        <v>8068</v>
      </c>
      <c r="C6201" s="8">
        <f>QS.CONTEXT.CREATE("market.6199",A6201,"USD","SOFR")</f>
        <v/>
      </c>
      <c r="D6201" s="8">
        <f>QS.CONTEXT.ADD.CURVE(C6201,"SOFR",$K$2:$K$7,$L$2:$L$7,,,"Actual360","LogLinear",TRUE)</f>
        <v/>
      </c>
      <c r="E6201" s="8">
        <f>QS.INSTRUMENT.SWAP("swap.6199",C6201,H6201,B6201,"USD","SOFR",I6201,J6201,0,"Actual360","Simple","Annual","Annual","Annual")</f>
        <v/>
      </c>
      <c r="F6201" s="8">
        <f>QS.TRADE.CREATE("trade.6199",C6201,E6201,A6201,"Receive")</f>
        <v/>
      </c>
      <c r="G6201" s="5"/>
      <c r="H6201" s="7" t="s">
        <v>6242</v>
      </c>
      <c r="I6201" s="9">
        <v>1619900</v>
      </c>
      <c r="J6201" s="10">
        <v>0.0399</v>
      </c>
    </row>
    <row r="6202" spans="1:10">
      <c r="A6202" s="7" t="s">
        <v>6236</v>
      </c>
      <c r="B6202" s="7" t="s">
        <v>8069</v>
      </c>
      <c r="C6202" s="8">
        <f>QS.CONTEXT.CREATE("market.6200",A6202,"USD","SOFR")</f>
        <v/>
      </c>
      <c r="D6202" s="8">
        <f>QS.CONTEXT.ADD.CURVE(C6202,"SOFR",$K$2:$K$7,$L$2:$L$7,,,"Actual360","LogLinear",TRUE)</f>
        <v/>
      </c>
      <c r="E6202" s="8">
        <f>QS.INSTRUMENT.SWAP("swap.6200",C6202,H6202,B6202,"USD","SOFR",I6202,J6202,0,"Actual360","Simple","Annual","Annual","Annual")</f>
        <v/>
      </c>
      <c r="F6202" s="8">
        <f>QS.TRADE.CREATE("trade.6200",C6202,E6202,A6202,"Receive")</f>
        <v/>
      </c>
      <c r="G6202" s="5"/>
      <c r="H6202" s="7" t="s">
        <v>6243</v>
      </c>
      <c r="I6202" s="9">
        <v>1620000</v>
      </c>
      <c r="J6202" s="10">
        <v>0.035</v>
      </c>
    </row>
    <row r="6203" spans="1:10">
      <c r="A6203" s="7" t="s">
        <v>6237</v>
      </c>
      <c r="B6203" s="7" t="s">
        <v>8070</v>
      </c>
      <c r="C6203" s="8">
        <f>QS.CONTEXT.CREATE("market.6201",A6203,"USD","SOFR")</f>
        <v/>
      </c>
      <c r="D6203" s="8">
        <f>QS.CONTEXT.ADD.CURVE(C6203,"SOFR",$K$2:$K$7,$L$2:$L$7,,,"Actual360","LogLinear",TRUE)</f>
        <v/>
      </c>
      <c r="E6203" s="8">
        <f>QS.INSTRUMENT.SWAP("swap.6201",C6203,H6203,B6203,"USD","SOFR",I6203,J6203,0,"Actual360","Simple","Annual","Annual","Annual")</f>
        <v/>
      </c>
      <c r="F6203" s="8">
        <f>QS.TRADE.CREATE("trade.6201",C6203,E6203,A6203,"Receive")</f>
        <v/>
      </c>
      <c r="G6203" s="5"/>
      <c r="H6203" s="7" t="s">
        <v>6244</v>
      </c>
      <c r="I6203" s="9">
        <v>1620100</v>
      </c>
      <c r="J6203" s="10">
        <v>0.03510000000000001</v>
      </c>
    </row>
    <row r="6204" spans="1:10">
      <c r="A6204" s="7" t="s">
        <v>6238</v>
      </c>
      <c r="B6204" s="7" t="s">
        <v>8071</v>
      </c>
      <c r="C6204" s="8">
        <f>QS.CONTEXT.CREATE("market.6202",A6204,"USD","SOFR")</f>
        <v/>
      </c>
      <c r="D6204" s="8">
        <f>QS.CONTEXT.ADD.CURVE(C6204,"SOFR",$K$2:$K$7,$L$2:$L$7,,,"Actual360","LogLinear",TRUE)</f>
        <v/>
      </c>
      <c r="E6204" s="8">
        <f>QS.INSTRUMENT.SWAP("swap.6202",C6204,H6204,B6204,"USD","SOFR",I6204,J6204,0,"Actual360","Simple","Annual","Annual","Annual")</f>
        <v/>
      </c>
      <c r="F6204" s="8">
        <f>QS.TRADE.CREATE("trade.6202",C6204,E6204,A6204,"Receive")</f>
        <v/>
      </c>
      <c r="G6204" s="5"/>
      <c r="H6204" s="7" t="s">
        <v>6245</v>
      </c>
      <c r="I6204" s="9">
        <v>1620200</v>
      </c>
      <c r="J6204" s="10">
        <v>0.0352</v>
      </c>
    </row>
    <row r="6205" spans="1:10">
      <c r="A6205" s="7" t="s">
        <v>6239</v>
      </c>
      <c r="B6205" s="7" t="s">
        <v>8072</v>
      </c>
      <c r="C6205" s="8">
        <f>QS.CONTEXT.CREATE("market.6203",A6205,"USD","SOFR")</f>
        <v/>
      </c>
      <c r="D6205" s="8">
        <f>QS.CONTEXT.ADD.CURVE(C6205,"SOFR",$K$2:$K$7,$L$2:$L$7,,,"Actual360","LogLinear",TRUE)</f>
        <v/>
      </c>
      <c r="E6205" s="8">
        <f>QS.INSTRUMENT.SWAP("swap.6203",C6205,H6205,B6205,"USD","SOFR",I6205,J6205,0,"Actual360","Simple","Annual","Annual","Annual")</f>
        <v/>
      </c>
      <c r="F6205" s="8">
        <f>QS.TRADE.CREATE("trade.6203",C6205,E6205,A6205,"Receive")</f>
        <v/>
      </c>
      <c r="G6205" s="5"/>
      <c r="H6205" s="7" t="s">
        <v>6246</v>
      </c>
      <c r="I6205" s="9">
        <v>1620300</v>
      </c>
      <c r="J6205" s="10">
        <v>0.0353</v>
      </c>
    </row>
    <row r="6206" spans="1:10">
      <c r="A6206" s="7" t="s">
        <v>6240</v>
      </c>
      <c r="B6206" s="7" t="s">
        <v>8073</v>
      </c>
      <c r="C6206" s="8">
        <f>QS.CONTEXT.CREATE("market.6204",A6206,"USD","SOFR")</f>
        <v/>
      </c>
      <c r="D6206" s="8">
        <f>QS.CONTEXT.ADD.CURVE(C6206,"SOFR",$K$2:$K$7,$L$2:$L$7,,,"Actual360","LogLinear",TRUE)</f>
        <v/>
      </c>
      <c r="E6206" s="8">
        <f>QS.INSTRUMENT.SWAP("swap.6204",C6206,H6206,B6206,"USD","SOFR",I6206,J6206,0,"Actual360","Simple","Annual","Annual","Annual")</f>
        <v/>
      </c>
      <c r="F6206" s="8">
        <f>QS.TRADE.CREATE("trade.6204",C6206,E6206,A6206,"Receive")</f>
        <v/>
      </c>
      <c r="G6206" s="5"/>
      <c r="H6206" s="7" t="s">
        <v>6247</v>
      </c>
      <c r="I6206" s="9">
        <v>1620400</v>
      </c>
      <c r="J6206" s="10">
        <v>0.0354</v>
      </c>
    </row>
    <row r="6207" spans="1:10">
      <c r="A6207" s="7" t="s">
        <v>6241</v>
      </c>
      <c r="B6207" s="7" t="s">
        <v>8074</v>
      </c>
      <c r="C6207" s="8">
        <f>QS.CONTEXT.CREATE("market.6205",A6207,"USD","SOFR")</f>
        <v/>
      </c>
      <c r="D6207" s="8">
        <f>QS.CONTEXT.ADD.CURVE(C6207,"SOFR",$K$2:$K$7,$L$2:$L$7,,,"Actual360","LogLinear",TRUE)</f>
        <v/>
      </c>
      <c r="E6207" s="8">
        <f>QS.INSTRUMENT.SWAP("swap.6205",C6207,H6207,B6207,"USD","SOFR",I6207,J6207,0,"Actual360","Simple","Annual","Annual","Annual")</f>
        <v/>
      </c>
      <c r="F6207" s="8">
        <f>QS.TRADE.CREATE("trade.6205",C6207,E6207,A6207,"Receive")</f>
        <v/>
      </c>
      <c r="G6207" s="5"/>
      <c r="H6207" s="7" t="s">
        <v>6248</v>
      </c>
      <c r="I6207" s="9">
        <v>1620500</v>
      </c>
      <c r="J6207" s="10">
        <v>0.0355</v>
      </c>
    </row>
    <row r="6208" spans="1:10">
      <c r="A6208" s="7" t="s">
        <v>6242</v>
      </c>
      <c r="B6208" s="7" t="s">
        <v>8075</v>
      </c>
      <c r="C6208" s="8">
        <f>QS.CONTEXT.CREATE("market.6206",A6208,"USD","SOFR")</f>
        <v/>
      </c>
      <c r="D6208" s="8">
        <f>QS.CONTEXT.ADD.CURVE(C6208,"SOFR",$K$2:$K$7,$L$2:$L$7,,,"Actual360","LogLinear",TRUE)</f>
        <v/>
      </c>
      <c r="E6208" s="8">
        <f>QS.INSTRUMENT.SWAP("swap.6206",C6208,H6208,B6208,"USD","SOFR",I6208,J6208,0,"Actual360","Simple","Annual","Annual","Annual")</f>
        <v/>
      </c>
      <c r="F6208" s="8">
        <f>QS.TRADE.CREATE("trade.6206",C6208,E6208,A6208,"Receive")</f>
        <v/>
      </c>
      <c r="G6208" s="5"/>
      <c r="H6208" s="7" t="s">
        <v>6249</v>
      </c>
      <c r="I6208" s="9">
        <v>1620600</v>
      </c>
      <c r="J6208" s="10">
        <v>0.03560000000000001</v>
      </c>
    </row>
    <row r="6209" spans="1:10">
      <c r="A6209" s="7" t="s">
        <v>6243</v>
      </c>
      <c r="B6209" s="7" t="s">
        <v>8076</v>
      </c>
      <c r="C6209" s="8">
        <f>QS.CONTEXT.CREATE("market.6207",A6209,"USD","SOFR")</f>
        <v/>
      </c>
      <c r="D6209" s="8">
        <f>QS.CONTEXT.ADD.CURVE(C6209,"SOFR",$K$2:$K$7,$L$2:$L$7,,,"Actual360","LogLinear",TRUE)</f>
        <v/>
      </c>
      <c r="E6209" s="8">
        <f>QS.INSTRUMENT.SWAP("swap.6207",C6209,H6209,B6209,"USD","SOFR",I6209,J6209,0,"Actual360","Simple","Annual","Annual","Annual")</f>
        <v/>
      </c>
      <c r="F6209" s="8">
        <f>QS.TRADE.CREATE("trade.6207",C6209,E6209,A6209,"Receive")</f>
        <v/>
      </c>
      <c r="G6209" s="5"/>
      <c r="H6209" s="7" t="s">
        <v>6250</v>
      </c>
      <c r="I6209" s="9">
        <v>1620700</v>
      </c>
      <c r="J6209" s="10">
        <v>0.0357</v>
      </c>
    </row>
    <row r="6210" spans="1:10">
      <c r="A6210" s="7" t="s">
        <v>6244</v>
      </c>
      <c r="B6210" s="7" t="s">
        <v>8077</v>
      </c>
      <c r="C6210" s="8">
        <f>QS.CONTEXT.CREATE("market.6208",A6210,"USD","SOFR")</f>
        <v/>
      </c>
      <c r="D6210" s="8">
        <f>QS.CONTEXT.ADD.CURVE(C6210,"SOFR",$K$2:$K$7,$L$2:$L$7,,,"Actual360","LogLinear",TRUE)</f>
        <v/>
      </c>
      <c r="E6210" s="8">
        <f>QS.INSTRUMENT.SWAP("swap.6208",C6210,H6210,B6210,"USD","SOFR",I6210,J6210,0,"Actual360","Simple","Annual","Annual","Annual")</f>
        <v/>
      </c>
      <c r="F6210" s="8">
        <f>QS.TRADE.CREATE("trade.6208",C6210,E6210,A6210,"Receive")</f>
        <v/>
      </c>
      <c r="G6210" s="5"/>
      <c r="H6210" s="7" t="s">
        <v>6251</v>
      </c>
      <c r="I6210" s="9">
        <v>1620800</v>
      </c>
      <c r="J6210" s="10">
        <v>0.03580000000000001</v>
      </c>
    </row>
    <row r="6211" spans="1:10">
      <c r="A6211" s="7" t="s">
        <v>6245</v>
      </c>
      <c r="B6211" s="7" t="s">
        <v>8078</v>
      </c>
      <c r="C6211" s="8">
        <f>QS.CONTEXT.CREATE("market.6209",A6211,"USD","SOFR")</f>
        <v/>
      </c>
      <c r="D6211" s="8">
        <f>QS.CONTEXT.ADD.CURVE(C6211,"SOFR",$K$2:$K$7,$L$2:$L$7,,,"Actual360","LogLinear",TRUE)</f>
        <v/>
      </c>
      <c r="E6211" s="8">
        <f>QS.INSTRUMENT.SWAP("swap.6209",C6211,H6211,B6211,"USD","SOFR",I6211,J6211,0,"Actual360","Simple","Annual","Annual","Annual")</f>
        <v/>
      </c>
      <c r="F6211" s="8">
        <f>QS.TRADE.CREATE("trade.6209",C6211,E6211,A6211,"Receive")</f>
        <v/>
      </c>
      <c r="G6211" s="5"/>
      <c r="H6211" s="7" t="s">
        <v>6252</v>
      </c>
      <c r="I6211" s="9">
        <v>1620900</v>
      </c>
      <c r="J6211" s="10">
        <v>0.0359</v>
      </c>
    </row>
    <row r="6212" spans="1:10">
      <c r="A6212" s="7" t="s">
        <v>6246</v>
      </c>
      <c r="B6212" s="7" t="s">
        <v>8079</v>
      </c>
      <c r="C6212" s="8">
        <f>QS.CONTEXT.CREATE("market.6210",A6212,"USD","SOFR")</f>
        <v/>
      </c>
      <c r="D6212" s="8">
        <f>QS.CONTEXT.ADD.CURVE(C6212,"SOFR",$K$2:$K$7,$L$2:$L$7,,,"Actual360","LogLinear",TRUE)</f>
        <v/>
      </c>
      <c r="E6212" s="8">
        <f>QS.INSTRUMENT.SWAP("swap.6210",C6212,H6212,B6212,"USD","SOFR",I6212,J6212,0,"Actual360","Simple","Annual","Annual","Annual")</f>
        <v/>
      </c>
      <c r="F6212" s="8">
        <f>QS.TRADE.CREATE("trade.6210",C6212,E6212,A6212,"Receive")</f>
        <v/>
      </c>
      <c r="G6212" s="5"/>
      <c r="H6212" s="7" t="s">
        <v>6253</v>
      </c>
      <c r="I6212" s="9">
        <v>1621000</v>
      </c>
      <c r="J6212" s="10">
        <v>0.036</v>
      </c>
    </row>
    <row r="6213" spans="1:10">
      <c r="A6213" s="7" t="s">
        <v>6247</v>
      </c>
      <c r="B6213" s="7" t="s">
        <v>8080</v>
      </c>
      <c r="C6213" s="8">
        <f>QS.CONTEXT.CREATE("market.6211",A6213,"USD","SOFR")</f>
        <v/>
      </c>
      <c r="D6213" s="8">
        <f>QS.CONTEXT.ADD.CURVE(C6213,"SOFR",$K$2:$K$7,$L$2:$L$7,,,"Actual360","LogLinear",TRUE)</f>
        <v/>
      </c>
      <c r="E6213" s="8">
        <f>QS.INSTRUMENT.SWAP("swap.6211",C6213,H6213,B6213,"USD","SOFR",I6213,J6213,0,"Actual360","Simple","Annual","Annual","Annual")</f>
        <v/>
      </c>
      <c r="F6213" s="8">
        <f>QS.TRADE.CREATE("trade.6211",C6213,E6213,A6213,"Receive")</f>
        <v/>
      </c>
      <c r="G6213" s="5"/>
      <c r="H6213" s="7" t="s">
        <v>6254</v>
      </c>
      <c r="I6213" s="9">
        <v>1621100</v>
      </c>
      <c r="J6213" s="10">
        <v>0.0361</v>
      </c>
    </row>
    <row r="6214" spans="1:10">
      <c r="A6214" s="7" t="s">
        <v>6248</v>
      </c>
      <c r="B6214" s="7" t="s">
        <v>8081</v>
      </c>
      <c r="C6214" s="8">
        <f>QS.CONTEXT.CREATE("market.6212",A6214,"USD","SOFR")</f>
        <v/>
      </c>
      <c r="D6214" s="8">
        <f>QS.CONTEXT.ADD.CURVE(C6214,"SOFR",$K$2:$K$7,$L$2:$L$7,,,"Actual360","LogLinear",TRUE)</f>
        <v/>
      </c>
      <c r="E6214" s="8">
        <f>QS.INSTRUMENT.SWAP("swap.6212",C6214,H6214,B6214,"USD","SOFR",I6214,J6214,0,"Actual360","Simple","Annual","Annual","Annual")</f>
        <v/>
      </c>
      <c r="F6214" s="8">
        <f>QS.TRADE.CREATE("trade.6212",C6214,E6214,A6214,"Receive")</f>
        <v/>
      </c>
      <c r="G6214" s="5"/>
      <c r="H6214" s="7" t="s">
        <v>6255</v>
      </c>
      <c r="I6214" s="9">
        <v>1621200</v>
      </c>
      <c r="J6214" s="10">
        <v>0.0362</v>
      </c>
    </row>
    <row r="6215" spans="1:10">
      <c r="A6215" s="7" t="s">
        <v>6249</v>
      </c>
      <c r="B6215" s="7" t="s">
        <v>8082</v>
      </c>
      <c r="C6215" s="8">
        <f>QS.CONTEXT.CREATE("market.6213",A6215,"USD","SOFR")</f>
        <v/>
      </c>
      <c r="D6215" s="8">
        <f>QS.CONTEXT.ADD.CURVE(C6215,"SOFR",$K$2:$K$7,$L$2:$L$7,,,"Actual360","LogLinear",TRUE)</f>
        <v/>
      </c>
      <c r="E6215" s="8">
        <f>QS.INSTRUMENT.SWAP("swap.6213",C6215,H6215,B6215,"USD","SOFR",I6215,J6215,0,"Actual360","Simple","Annual","Annual","Annual")</f>
        <v/>
      </c>
      <c r="F6215" s="8">
        <f>QS.TRADE.CREATE("trade.6213",C6215,E6215,A6215,"Receive")</f>
        <v/>
      </c>
      <c r="G6215" s="5"/>
      <c r="H6215" s="7" t="s">
        <v>6256</v>
      </c>
      <c r="I6215" s="9">
        <v>1621300</v>
      </c>
      <c r="J6215" s="10">
        <v>0.03630000000000001</v>
      </c>
    </row>
    <row r="6216" spans="1:10">
      <c r="A6216" s="7" t="s">
        <v>6250</v>
      </c>
      <c r="B6216" s="7" t="s">
        <v>8083</v>
      </c>
      <c r="C6216" s="8">
        <f>QS.CONTEXT.CREATE("market.6214",A6216,"USD","SOFR")</f>
        <v/>
      </c>
      <c r="D6216" s="8">
        <f>QS.CONTEXT.ADD.CURVE(C6216,"SOFR",$K$2:$K$7,$L$2:$L$7,,,"Actual360","LogLinear",TRUE)</f>
        <v/>
      </c>
      <c r="E6216" s="8">
        <f>QS.INSTRUMENT.SWAP("swap.6214",C6216,H6216,B6216,"USD","SOFR",I6216,J6216,0,"Actual360","Simple","Annual","Annual","Annual")</f>
        <v/>
      </c>
      <c r="F6216" s="8">
        <f>QS.TRADE.CREATE("trade.6214",C6216,E6216,A6216,"Receive")</f>
        <v/>
      </c>
      <c r="G6216" s="5"/>
      <c r="H6216" s="7" t="s">
        <v>6257</v>
      </c>
      <c r="I6216" s="9">
        <v>1621400</v>
      </c>
      <c r="J6216" s="10">
        <v>0.0364</v>
      </c>
    </row>
    <row r="6217" spans="1:10">
      <c r="A6217" s="7" t="s">
        <v>6251</v>
      </c>
      <c r="B6217" s="7" t="s">
        <v>8084</v>
      </c>
      <c r="C6217" s="8">
        <f>QS.CONTEXT.CREATE("market.6215",A6217,"USD","SOFR")</f>
        <v/>
      </c>
      <c r="D6217" s="8">
        <f>QS.CONTEXT.ADD.CURVE(C6217,"SOFR",$K$2:$K$7,$L$2:$L$7,,,"Actual360","LogLinear",TRUE)</f>
        <v/>
      </c>
      <c r="E6217" s="8">
        <f>QS.INSTRUMENT.SWAP("swap.6215",C6217,H6217,B6217,"USD","SOFR",I6217,J6217,0,"Actual360","Simple","Annual","Annual","Annual")</f>
        <v/>
      </c>
      <c r="F6217" s="8">
        <f>QS.TRADE.CREATE("trade.6215",C6217,E6217,A6217,"Receive")</f>
        <v/>
      </c>
      <c r="G6217" s="5"/>
      <c r="H6217" s="7" t="s">
        <v>6258</v>
      </c>
      <c r="I6217" s="9">
        <v>1621500</v>
      </c>
      <c r="J6217" s="10">
        <v>0.0365</v>
      </c>
    </row>
    <row r="6218" spans="1:10">
      <c r="A6218" s="7" t="s">
        <v>6252</v>
      </c>
      <c r="B6218" s="7" t="s">
        <v>8085</v>
      </c>
      <c r="C6218" s="8">
        <f>QS.CONTEXT.CREATE("market.6216",A6218,"USD","SOFR")</f>
        <v/>
      </c>
      <c r="D6218" s="8">
        <f>QS.CONTEXT.ADD.CURVE(C6218,"SOFR",$K$2:$K$7,$L$2:$L$7,,,"Actual360","LogLinear",TRUE)</f>
        <v/>
      </c>
      <c r="E6218" s="8">
        <f>QS.INSTRUMENT.SWAP("swap.6216",C6218,H6218,B6218,"USD","SOFR",I6218,J6218,0,"Actual360","Simple","Annual","Annual","Annual")</f>
        <v/>
      </c>
      <c r="F6218" s="8">
        <f>QS.TRADE.CREATE("trade.6216",C6218,E6218,A6218,"Receive")</f>
        <v/>
      </c>
      <c r="G6218" s="5"/>
      <c r="H6218" s="7" t="s">
        <v>6259</v>
      </c>
      <c r="I6218" s="9">
        <v>1621600</v>
      </c>
      <c r="J6218" s="10">
        <v>0.0366</v>
      </c>
    </row>
    <row r="6219" spans="1:10">
      <c r="A6219" s="7" t="s">
        <v>6253</v>
      </c>
      <c r="B6219" s="7" t="s">
        <v>8086</v>
      </c>
      <c r="C6219" s="8">
        <f>QS.CONTEXT.CREATE("market.6217",A6219,"USD","SOFR")</f>
        <v/>
      </c>
      <c r="D6219" s="8">
        <f>QS.CONTEXT.ADD.CURVE(C6219,"SOFR",$K$2:$K$7,$L$2:$L$7,,,"Actual360","LogLinear",TRUE)</f>
        <v/>
      </c>
      <c r="E6219" s="8">
        <f>QS.INSTRUMENT.SWAP("swap.6217",C6219,H6219,B6219,"USD","SOFR",I6219,J6219,0,"Actual360","Simple","Annual","Annual","Annual")</f>
        <v/>
      </c>
      <c r="F6219" s="8">
        <f>QS.TRADE.CREATE("trade.6217",C6219,E6219,A6219,"Receive")</f>
        <v/>
      </c>
      <c r="G6219" s="5"/>
      <c r="H6219" s="7" t="s">
        <v>6260</v>
      </c>
      <c r="I6219" s="9">
        <v>1621700</v>
      </c>
      <c r="J6219" s="10">
        <v>0.0367</v>
      </c>
    </row>
    <row r="6220" spans="1:10">
      <c r="A6220" s="7" t="s">
        <v>6254</v>
      </c>
      <c r="B6220" s="7" t="s">
        <v>8087</v>
      </c>
      <c r="C6220" s="8">
        <f>QS.CONTEXT.CREATE("market.6218",A6220,"USD","SOFR")</f>
        <v/>
      </c>
      <c r="D6220" s="8">
        <f>QS.CONTEXT.ADD.CURVE(C6220,"SOFR",$K$2:$K$7,$L$2:$L$7,,,"Actual360","LogLinear",TRUE)</f>
        <v/>
      </c>
      <c r="E6220" s="8">
        <f>QS.INSTRUMENT.SWAP("swap.6218",C6220,H6220,B6220,"USD","SOFR",I6220,J6220,0,"Actual360","Simple","Annual","Annual","Annual")</f>
        <v/>
      </c>
      <c r="F6220" s="8">
        <f>QS.TRADE.CREATE("trade.6218",C6220,E6220,A6220,"Receive")</f>
        <v/>
      </c>
      <c r="G6220" s="5"/>
      <c r="H6220" s="7" t="s">
        <v>6261</v>
      </c>
      <c r="I6220" s="9">
        <v>1621800</v>
      </c>
      <c r="J6220" s="10">
        <v>0.03680000000000001</v>
      </c>
    </row>
    <row r="6221" spans="1:10">
      <c r="A6221" s="7" t="s">
        <v>6255</v>
      </c>
      <c r="B6221" s="7" t="s">
        <v>8088</v>
      </c>
      <c r="C6221" s="8">
        <f>QS.CONTEXT.CREATE("market.6219",A6221,"USD","SOFR")</f>
        <v/>
      </c>
      <c r="D6221" s="8">
        <f>QS.CONTEXT.ADD.CURVE(C6221,"SOFR",$K$2:$K$7,$L$2:$L$7,,,"Actual360","LogLinear",TRUE)</f>
        <v/>
      </c>
      <c r="E6221" s="8">
        <f>QS.INSTRUMENT.SWAP("swap.6219",C6221,H6221,B6221,"USD","SOFR",I6221,J6221,0,"Actual360","Simple","Annual","Annual","Annual")</f>
        <v/>
      </c>
      <c r="F6221" s="8">
        <f>QS.TRADE.CREATE("trade.6219",C6221,E6221,A6221,"Receive")</f>
        <v/>
      </c>
      <c r="G6221" s="5"/>
      <c r="H6221" s="7" t="s">
        <v>6262</v>
      </c>
      <c r="I6221" s="9">
        <v>1621900</v>
      </c>
      <c r="J6221" s="10">
        <v>0.0369</v>
      </c>
    </row>
    <row r="6222" spans="1:10">
      <c r="A6222" s="7" t="s">
        <v>6256</v>
      </c>
      <c r="B6222" s="7" t="s">
        <v>8089</v>
      </c>
      <c r="C6222" s="8">
        <f>QS.CONTEXT.CREATE("market.6220",A6222,"USD","SOFR")</f>
        <v/>
      </c>
      <c r="D6222" s="8">
        <f>QS.CONTEXT.ADD.CURVE(C6222,"SOFR",$K$2:$K$7,$L$2:$L$7,,,"Actual360","LogLinear",TRUE)</f>
        <v/>
      </c>
      <c r="E6222" s="8">
        <f>QS.INSTRUMENT.SWAP("swap.6220",C6222,H6222,B6222,"USD","SOFR",I6222,J6222,0,"Actual360","Simple","Annual","Annual","Annual")</f>
        <v/>
      </c>
      <c r="F6222" s="8">
        <f>QS.TRADE.CREATE("trade.6220",C6222,E6222,A6222,"Receive")</f>
        <v/>
      </c>
      <c r="G6222" s="5"/>
      <c r="H6222" s="7" t="s">
        <v>6263</v>
      </c>
      <c r="I6222" s="9">
        <v>1622000</v>
      </c>
      <c r="J6222" s="10">
        <v>0.03700000000000001</v>
      </c>
    </row>
    <row r="6223" spans="1:10">
      <c r="A6223" s="7" t="s">
        <v>6257</v>
      </c>
      <c r="B6223" s="7" t="s">
        <v>8090</v>
      </c>
      <c r="C6223" s="8">
        <f>QS.CONTEXT.CREATE("market.6221",A6223,"USD","SOFR")</f>
        <v/>
      </c>
      <c r="D6223" s="8">
        <f>QS.CONTEXT.ADD.CURVE(C6223,"SOFR",$K$2:$K$7,$L$2:$L$7,,,"Actual360","LogLinear",TRUE)</f>
        <v/>
      </c>
      <c r="E6223" s="8">
        <f>QS.INSTRUMENT.SWAP("swap.6221",C6223,H6223,B6223,"USD","SOFR",I6223,J6223,0,"Actual360","Simple","Annual","Annual","Annual")</f>
        <v/>
      </c>
      <c r="F6223" s="8">
        <f>QS.TRADE.CREATE("trade.6221",C6223,E6223,A6223,"Receive")</f>
        <v/>
      </c>
      <c r="G6223" s="5"/>
      <c r="H6223" s="7" t="s">
        <v>6264</v>
      </c>
      <c r="I6223" s="9">
        <v>1622100</v>
      </c>
      <c r="J6223" s="10">
        <v>0.0371</v>
      </c>
    </row>
    <row r="6224" spans="1:10">
      <c r="A6224" s="7" t="s">
        <v>6258</v>
      </c>
      <c r="B6224" s="7" t="s">
        <v>8091</v>
      </c>
      <c r="C6224" s="8">
        <f>QS.CONTEXT.CREATE("market.6222",A6224,"USD","SOFR")</f>
        <v/>
      </c>
      <c r="D6224" s="8">
        <f>QS.CONTEXT.ADD.CURVE(C6224,"SOFR",$K$2:$K$7,$L$2:$L$7,,,"Actual360","LogLinear",TRUE)</f>
        <v/>
      </c>
      <c r="E6224" s="8">
        <f>QS.INSTRUMENT.SWAP("swap.6222",C6224,H6224,B6224,"USD","SOFR",I6224,J6224,0,"Actual360","Simple","Annual","Annual","Annual")</f>
        <v/>
      </c>
      <c r="F6224" s="8">
        <f>QS.TRADE.CREATE("trade.6222",C6224,E6224,A6224,"Receive")</f>
        <v/>
      </c>
      <c r="G6224" s="5"/>
      <c r="H6224" s="7" t="s">
        <v>6265</v>
      </c>
      <c r="I6224" s="9">
        <v>1622200</v>
      </c>
      <c r="J6224" s="10">
        <v>0.0372</v>
      </c>
    </row>
    <row r="6225" spans="1:10">
      <c r="A6225" s="7" t="s">
        <v>6259</v>
      </c>
      <c r="B6225" s="7" t="s">
        <v>8092</v>
      </c>
      <c r="C6225" s="8">
        <f>QS.CONTEXT.CREATE("market.6223",A6225,"USD","SOFR")</f>
        <v/>
      </c>
      <c r="D6225" s="8">
        <f>QS.CONTEXT.ADD.CURVE(C6225,"SOFR",$K$2:$K$7,$L$2:$L$7,,,"Actual360","LogLinear",TRUE)</f>
        <v/>
      </c>
      <c r="E6225" s="8">
        <f>QS.INSTRUMENT.SWAP("swap.6223",C6225,H6225,B6225,"USD","SOFR",I6225,J6225,0,"Actual360","Simple","Annual","Annual","Annual")</f>
        <v/>
      </c>
      <c r="F6225" s="8">
        <f>QS.TRADE.CREATE("trade.6223",C6225,E6225,A6225,"Receive")</f>
        <v/>
      </c>
      <c r="G6225" s="5"/>
      <c r="H6225" s="7" t="s">
        <v>6266</v>
      </c>
      <c r="I6225" s="9">
        <v>1622300</v>
      </c>
      <c r="J6225" s="10">
        <v>0.0373</v>
      </c>
    </row>
    <row r="6226" spans="1:10">
      <c r="A6226" s="7" t="s">
        <v>6260</v>
      </c>
      <c r="B6226" s="7" t="s">
        <v>8093</v>
      </c>
      <c r="C6226" s="8">
        <f>QS.CONTEXT.CREATE("market.6224",A6226,"USD","SOFR")</f>
        <v/>
      </c>
      <c r="D6226" s="8">
        <f>QS.CONTEXT.ADD.CURVE(C6226,"SOFR",$K$2:$K$7,$L$2:$L$7,,,"Actual360","LogLinear",TRUE)</f>
        <v/>
      </c>
      <c r="E6226" s="8">
        <f>QS.INSTRUMENT.SWAP("swap.6224",C6226,H6226,B6226,"USD","SOFR",I6226,J6226,0,"Actual360","Simple","Annual","Annual","Annual")</f>
        <v/>
      </c>
      <c r="F6226" s="8">
        <f>QS.TRADE.CREATE("trade.6224",C6226,E6226,A6226,"Receive")</f>
        <v/>
      </c>
      <c r="G6226" s="5"/>
      <c r="H6226" s="7" t="s">
        <v>6267</v>
      </c>
      <c r="I6226" s="9">
        <v>1622400</v>
      </c>
      <c r="J6226" s="10">
        <v>0.0374</v>
      </c>
    </row>
    <row r="6227" spans="1:10">
      <c r="A6227" s="7" t="s">
        <v>6261</v>
      </c>
      <c r="B6227" s="7" t="s">
        <v>8094</v>
      </c>
      <c r="C6227" s="8">
        <f>QS.CONTEXT.CREATE("market.6225",A6227,"USD","SOFR")</f>
        <v/>
      </c>
      <c r="D6227" s="8">
        <f>QS.CONTEXT.ADD.CURVE(C6227,"SOFR",$K$2:$K$7,$L$2:$L$7,,,"Actual360","LogLinear",TRUE)</f>
        <v/>
      </c>
      <c r="E6227" s="8">
        <f>QS.INSTRUMENT.SWAP("swap.6225",C6227,H6227,B6227,"USD","SOFR",I6227,J6227,0,"Actual360","Simple","Annual","Annual","Annual")</f>
        <v/>
      </c>
      <c r="F6227" s="8">
        <f>QS.TRADE.CREATE("trade.6225",C6227,E6227,A6227,"Receive")</f>
        <v/>
      </c>
      <c r="G6227" s="5"/>
      <c r="H6227" s="7" t="s">
        <v>6268</v>
      </c>
      <c r="I6227" s="9">
        <v>1622500</v>
      </c>
      <c r="J6227" s="10">
        <v>0.03750000000000001</v>
      </c>
    </row>
    <row r="6228" spans="1:10">
      <c r="A6228" s="7" t="s">
        <v>6262</v>
      </c>
      <c r="B6228" s="7" t="s">
        <v>8095</v>
      </c>
      <c r="C6228" s="8">
        <f>QS.CONTEXT.CREATE("market.6226",A6228,"USD","SOFR")</f>
        <v/>
      </c>
      <c r="D6228" s="8">
        <f>QS.CONTEXT.ADD.CURVE(C6228,"SOFR",$K$2:$K$7,$L$2:$L$7,,,"Actual360","LogLinear",TRUE)</f>
        <v/>
      </c>
      <c r="E6228" s="8">
        <f>QS.INSTRUMENT.SWAP("swap.6226",C6228,H6228,B6228,"USD","SOFR",I6228,J6228,0,"Actual360","Simple","Annual","Annual","Annual")</f>
        <v/>
      </c>
      <c r="F6228" s="8">
        <f>QS.TRADE.CREATE("trade.6226",C6228,E6228,A6228,"Receive")</f>
        <v/>
      </c>
      <c r="G6228" s="5"/>
      <c r="H6228" s="7" t="s">
        <v>6269</v>
      </c>
      <c r="I6228" s="9">
        <v>1622600</v>
      </c>
      <c r="J6228" s="10">
        <v>0.0376</v>
      </c>
    </row>
    <row r="6229" spans="1:10">
      <c r="A6229" s="7" t="s">
        <v>6263</v>
      </c>
      <c r="B6229" s="7" t="s">
        <v>8096</v>
      </c>
      <c r="C6229" s="8">
        <f>QS.CONTEXT.CREATE("market.6227",A6229,"USD","SOFR")</f>
        <v/>
      </c>
      <c r="D6229" s="8">
        <f>QS.CONTEXT.ADD.CURVE(C6229,"SOFR",$K$2:$K$7,$L$2:$L$7,,,"Actual360","LogLinear",TRUE)</f>
        <v/>
      </c>
      <c r="E6229" s="8">
        <f>QS.INSTRUMENT.SWAP("swap.6227",C6229,H6229,B6229,"USD","SOFR",I6229,J6229,0,"Actual360","Simple","Annual","Annual","Annual")</f>
        <v/>
      </c>
      <c r="F6229" s="8">
        <f>QS.TRADE.CREATE("trade.6227",C6229,E6229,A6229,"Receive")</f>
        <v/>
      </c>
      <c r="G6229" s="5"/>
      <c r="H6229" s="7" t="s">
        <v>6270</v>
      </c>
      <c r="I6229" s="9">
        <v>1622700</v>
      </c>
      <c r="J6229" s="10">
        <v>0.0377</v>
      </c>
    </row>
    <row r="6230" spans="1:10">
      <c r="A6230" s="7" t="s">
        <v>6264</v>
      </c>
      <c r="B6230" s="7" t="s">
        <v>8097</v>
      </c>
      <c r="C6230" s="8">
        <f>QS.CONTEXT.CREATE("market.6228",A6230,"USD","SOFR")</f>
        <v/>
      </c>
      <c r="D6230" s="8">
        <f>QS.CONTEXT.ADD.CURVE(C6230,"SOFR",$K$2:$K$7,$L$2:$L$7,,,"Actual360","LogLinear",TRUE)</f>
        <v/>
      </c>
      <c r="E6230" s="8">
        <f>QS.INSTRUMENT.SWAP("swap.6228",C6230,H6230,B6230,"USD","SOFR",I6230,J6230,0,"Actual360","Simple","Annual","Annual","Annual")</f>
        <v/>
      </c>
      <c r="F6230" s="8">
        <f>QS.TRADE.CREATE("trade.6228",C6230,E6230,A6230,"Receive")</f>
        <v/>
      </c>
      <c r="G6230" s="5"/>
      <c r="H6230" s="7" t="s">
        <v>6271</v>
      </c>
      <c r="I6230" s="9">
        <v>1622800</v>
      </c>
      <c r="J6230" s="10">
        <v>0.0378</v>
      </c>
    </row>
    <row r="6231" spans="1:10">
      <c r="A6231" s="7" t="s">
        <v>6265</v>
      </c>
      <c r="B6231" s="7" t="s">
        <v>8098</v>
      </c>
      <c r="C6231" s="8">
        <f>QS.CONTEXT.CREATE("market.6229",A6231,"USD","SOFR")</f>
        <v/>
      </c>
      <c r="D6231" s="8">
        <f>QS.CONTEXT.ADD.CURVE(C6231,"SOFR",$K$2:$K$7,$L$2:$L$7,,,"Actual360","LogLinear",TRUE)</f>
        <v/>
      </c>
      <c r="E6231" s="8">
        <f>QS.INSTRUMENT.SWAP("swap.6229",C6231,H6231,B6231,"USD","SOFR",I6231,J6231,0,"Actual360","Simple","Annual","Annual","Annual")</f>
        <v/>
      </c>
      <c r="F6231" s="8">
        <f>QS.TRADE.CREATE("trade.6229",C6231,E6231,A6231,"Receive")</f>
        <v/>
      </c>
      <c r="G6231" s="5"/>
      <c r="H6231" s="7" t="s">
        <v>6272</v>
      </c>
      <c r="I6231" s="9">
        <v>1622900</v>
      </c>
      <c r="J6231" s="10">
        <v>0.0379</v>
      </c>
    </row>
    <row r="6232" spans="1:10">
      <c r="A6232" s="7" t="s">
        <v>6266</v>
      </c>
      <c r="B6232" s="7" t="s">
        <v>8099</v>
      </c>
      <c r="C6232" s="8">
        <f>QS.CONTEXT.CREATE("market.6230",A6232,"USD","SOFR")</f>
        <v/>
      </c>
      <c r="D6232" s="8">
        <f>QS.CONTEXT.ADD.CURVE(C6232,"SOFR",$K$2:$K$7,$L$2:$L$7,,,"Actual360","LogLinear",TRUE)</f>
        <v/>
      </c>
      <c r="E6232" s="8">
        <f>QS.INSTRUMENT.SWAP("swap.6230",C6232,H6232,B6232,"USD","SOFR",I6232,J6232,0,"Actual360","Simple","Annual","Annual","Annual")</f>
        <v/>
      </c>
      <c r="F6232" s="8">
        <f>QS.TRADE.CREATE("trade.6230",C6232,E6232,A6232,"Receive")</f>
        <v/>
      </c>
      <c r="G6232" s="5"/>
      <c r="H6232" s="7" t="s">
        <v>6273</v>
      </c>
      <c r="I6232" s="9">
        <v>1623000</v>
      </c>
      <c r="J6232" s="10">
        <v>0.03800000000000001</v>
      </c>
    </row>
    <row r="6233" spans="1:10">
      <c r="A6233" s="7" t="s">
        <v>6267</v>
      </c>
      <c r="B6233" s="7" t="s">
        <v>8100</v>
      </c>
      <c r="C6233" s="8">
        <f>QS.CONTEXT.CREATE("market.6231",A6233,"USD","SOFR")</f>
        <v/>
      </c>
      <c r="D6233" s="8">
        <f>QS.CONTEXT.ADD.CURVE(C6233,"SOFR",$K$2:$K$7,$L$2:$L$7,,,"Actual360","LogLinear",TRUE)</f>
        <v/>
      </c>
      <c r="E6233" s="8">
        <f>QS.INSTRUMENT.SWAP("swap.6231",C6233,H6233,B6233,"USD","SOFR",I6233,J6233,0,"Actual360","Simple","Annual","Annual","Annual")</f>
        <v/>
      </c>
      <c r="F6233" s="8">
        <f>QS.TRADE.CREATE("trade.6231",C6233,E6233,A6233,"Receive")</f>
        <v/>
      </c>
      <c r="G6233" s="5"/>
      <c r="H6233" s="7" t="s">
        <v>6274</v>
      </c>
      <c r="I6233" s="9">
        <v>1623100</v>
      </c>
      <c r="J6233" s="10">
        <v>0.0381</v>
      </c>
    </row>
    <row r="6234" spans="1:10">
      <c r="A6234" s="7" t="s">
        <v>6268</v>
      </c>
      <c r="B6234" s="7" t="s">
        <v>8101</v>
      </c>
      <c r="C6234" s="8">
        <f>QS.CONTEXT.CREATE("market.6232",A6234,"USD","SOFR")</f>
        <v/>
      </c>
      <c r="D6234" s="8">
        <f>QS.CONTEXT.ADD.CURVE(C6234,"SOFR",$K$2:$K$7,$L$2:$L$7,,,"Actual360","LogLinear",TRUE)</f>
        <v/>
      </c>
      <c r="E6234" s="8">
        <f>QS.INSTRUMENT.SWAP("swap.6232",C6234,H6234,B6234,"USD","SOFR",I6234,J6234,0,"Actual360","Simple","Annual","Annual","Annual")</f>
        <v/>
      </c>
      <c r="F6234" s="8">
        <f>QS.TRADE.CREATE("trade.6232",C6234,E6234,A6234,"Receive")</f>
        <v/>
      </c>
      <c r="G6234" s="5"/>
      <c r="H6234" s="7" t="s">
        <v>6275</v>
      </c>
      <c r="I6234" s="9">
        <v>1623200</v>
      </c>
      <c r="J6234" s="10">
        <v>0.0382</v>
      </c>
    </row>
    <row r="6235" spans="1:10">
      <c r="A6235" s="7" t="s">
        <v>6269</v>
      </c>
      <c r="B6235" s="7" t="s">
        <v>8102</v>
      </c>
      <c r="C6235" s="8">
        <f>QS.CONTEXT.CREATE("market.6233",A6235,"USD","SOFR")</f>
        <v/>
      </c>
      <c r="D6235" s="8">
        <f>QS.CONTEXT.ADD.CURVE(C6235,"SOFR",$K$2:$K$7,$L$2:$L$7,,,"Actual360","LogLinear",TRUE)</f>
        <v/>
      </c>
      <c r="E6235" s="8">
        <f>QS.INSTRUMENT.SWAP("swap.6233",C6235,H6235,B6235,"USD","SOFR",I6235,J6235,0,"Actual360","Simple","Annual","Annual","Annual")</f>
        <v/>
      </c>
      <c r="F6235" s="8">
        <f>QS.TRADE.CREATE("trade.6233",C6235,E6235,A6235,"Receive")</f>
        <v/>
      </c>
      <c r="G6235" s="5"/>
      <c r="H6235" s="7" t="s">
        <v>6276</v>
      </c>
      <c r="I6235" s="9">
        <v>1623300</v>
      </c>
      <c r="J6235" s="10">
        <v>0.0383</v>
      </c>
    </row>
    <row r="6236" spans="1:10">
      <c r="A6236" s="7" t="s">
        <v>6270</v>
      </c>
      <c r="B6236" s="7" t="s">
        <v>8103</v>
      </c>
      <c r="C6236" s="8">
        <f>QS.CONTEXT.CREATE("market.6234",A6236,"USD","SOFR")</f>
        <v/>
      </c>
      <c r="D6236" s="8">
        <f>QS.CONTEXT.ADD.CURVE(C6236,"SOFR",$K$2:$K$7,$L$2:$L$7,,,"Actual360","LogLinear",TRUE)</f>
        <v/>
      </c>
      <c r="E6236" s="8">
        <f>QS.INSTRUMENT.SWAP("swap.6234",C6236,H6236,B6236,"USD","SOFR",I6236,J6236,0,"Actual360","Simple","Annual","Annual","Annual")</f>
        <v/>
      </c>
      <c r="F6236" s="8">
        <f>QS.TRADE.CREATE("trade.6234",C6236,E6236,A6236,"Receive")</f>
        <v/>
      </c>
      <c r="G6236" s="5"/>
      <c r="H6236" s="7" t="s">
        <v>6277</v>
      </c>
      <c r="I6236" s="9">
        <v>1623400</v>
      </c>
      <c r="J6236" s="10">
        <v>0.0384</v>
      </c>
    </row>
    <row r="6237" spans="1:10">
      <c r="A6237" s="7" t="s">
        <v>6271</v>
      </c>
      <c r="B6237" s="7" t="s">
        <v>8104</v>
      </c>
      <c r="C6237" s="8">
        <f>QS.CONTEXT.CREATE("market.6235",A6237,"USD","SOFR")</f>
        <v/>
      </c>
      <c r="D6237" s="8">
        <f>QS.CONTEXT.ADD.CURVE(C6237,"SOFR",$K$2:$K$7,$L$2:$L$7,,,"Actual360","LogLinear",TRUE)</f>
        <v/>
      </c>
      <c r="E6237" s="8">
        <f>QS.INSTRUMENT.SWAP("swap.6235",C6237,H6237,B6237,"USD","SOFR",I6237,J6237,0,"Actual360","Simple","Annual","Annual","Annual")</f>
        <v/>
      </c>
      <c r="F6237" s="8">
        <f>QS.TRADE.CREATE("trade.6235",C6237,E6237,A6237,"Receive")</f>
        <v/>
      </c>
      <c r="G6237" s="5"/>
      <c r="H6237" s="7" t="s">
        <v>6278</v>
      </c>
      <c r="I6237" s="9">
        <v>1623500</v>
      </c>
      <c r="J6237" s="10">
        <v>0.03850000000000001</v>
      </c>
    </row>
    <row r="6238" spans="1:10">
      <c r="A6238" s="7" t="s">
        <v>6272</v>
      </c>
      <c r="B6238" s="7" t="s">
        <v>8105</v>
      </c>
      <c r="C6238" s="8">
        <f>QS.CONTEXT.CREATE("market.6236",A6238,"USD","SOFR")</f>
        <v/>
      </c>
      <c r="D6238" s="8">
        <f>QS.CONTEXT.ADD.CURVE(C6238,"SOFR",$K$2:$K$7,$L$2:$L$7,,,"Actual360","LogLinear",TRUE)</f>
        <v/>
      </c>
      <c r="E6238" s="8">
        <f>QS.INSTRUMENT.SWAP("swap.6236",C6238,H6238,B6238,"USD","SOFR",I6238,J6238,0,"Actual360","Simple","Annual","Annual","Annual")</f>
        <v/>
      </c>
      <c r="F6238" s="8">
        <f>QS.TRADE.CREATE("trade.6236",C6238,E6238,A6238,"Receive")</f>
        <v/>
      </c>
      <c r="G6238" s="5"/>
      <c r="H6238" s="7" t="s">
        <v>6279</v>
      </c>
      <c r="I6238" s="9">
        <v>1623600</v>
      </c>
      <c r="J6238" s="10">
        <v>0.0386</v>
      </c>
    </row>
    <row r="6239" spans="1:10">
      <c r="A6239" s="7" t="s">
        <v>6273</v>
      </c>
      <c r="B6239" s="7" t="s">
        <v>8106</v>
      </c>
      <c r="C6239" s="8">
        <f>QS.CONTEXT.CREATE("market.6237",A6239,"USD","SOFR")</f>
        <v/>
      </c>
      <c r="D6239" s="8">
        <f>QS.CONTEXT.ADD.CURVE(C6239,"SOFR",$K$2:$K$7,$L$2:$L$7,,,"Actual360","LogLinear",TRUE)</f>
        <v/>
      </c>
      <c r="E6239" s="8">
        <f>QS.INSTRUMENT.SWAP("swap.6237",C6239,H6239,B6239,"USD","SOFR",I6239,J6239,0,"Actual360","Simple","Annual","Annual","Annual")</f>
        <v/>
      </c>
      <c r="F6239" s="8">
        <f>QS.TRADE.CREATE("trade.6237",C6239,E6239,A6239,"Receive")</f>
        <v/>
      </c>
      <c r="G6239" s="5"/>
      <c r="H6239" s="7" t="s">
        <v>6280</v>
      </c>
      <c r="I6239" s="9">
        <v>1623700</v>
      </c>
      <c r="J6239" s="10">
        <v>0.03870000000000001</v>
      </c>
    </row>
    <row r="6240" spans="1:10">
      <c r="A6240" s="7" t="s">
        <v>6274</v>
      </c>
      <c r="B6240" s="7" t="s">
        <v>8107</v>
      </c>
      <c r="C6240" s="8">
        <f>QS.CONTEXT.CREATE("market.6238",A6240,"USD","SOFR")</f>
        <v/>
      </c>
      <c r="D6240" s="8">
        <f>QS.CONTEXT.ADD.CURVE(C6240,"SOFR",$K$2:$K$7,$L$2:$L$7,,,"Actual360","LogLinear",TRUE)</f>
        <v/>
      </c>
      <c r="E6240" s="8">
        <f>QS.INSTRUMENT.SWAP("swap.6238",C6240,H6240,B6240,"USD","SOFR",I6240,J6240,0,"Actual360","Simple","Annual","Annual","Annual")</f>
        <v/>
      </c>
      <c r="F6240" s="8">
        <f>QS.TRADE.CREATE("trade.6238",C6240,E6240,A6240,"Receive")</f>
        <v/>
      </c>
      <c r="G6240" s="5"/>
      <c r="H6240" s="7" t="s">
        <v>6281</v>
      </c>
      <c r="I6240" s="9">
        <v>1623800</v>
      </c>
      <c r="J6240" s="10">
        <v>0.0388</v>
      </c>
    </row>
    <row r="6241" spans="1:10">
      <c r="A6241" s="7" t="s">
        <v>6275</v>
      </c>
      <c r="B6241" s="7" t="s">
        <v>8108</v>
      </c>
      <c r="C6241" s="8">
        <f>QS.CONTEXT.CREATE("market.6239",A6241,"USD","SOFR")</f>
        <v/>
      </c>
      <c r="D6241" s="8">
        <f>QS.CONTEXT.ADD.CURVE(C6241,"SOFR",$K$2:$K$7,$L$2:$L$7,,,"Actual360","LogLinear",TRUE)</f>
        <v/>
      </c>
      <c r="E6241" s="8">
        <f>QS.INSTRUMENT.SWAP("swap.6239",C6241,H6241,B6241,"USD","SOFR",I6241,J6241,0,"Actual360","Simple","Annual","Annual","Annual")</f>
        <v/>
      </c>
      <c r="F6241" s="8">
        <f>QS.TRADE.CREATE("trade.6239",C6241,E6241,A6241,"Receive")</f>
        <v/>
      </c>
      <c r="G6241" s="5"/>
      <c r="H6241" s="7" t="s">
        <v>6282</v>
      </c>
      <c r="I6241" s="9">
        <v>1623900</v>
      </c>
      <c r="J6241" s="10">
        <v>0.0389</v>
      </c>
    </row>
    <row r="6242" spans="1:10">
      <c r="A6242" s="7" t="s">
        <v>6276</v>
      </c>
      <c r="B6242" s="7" t="s">
        <v>8109</v>
      </c>
      <c r="C6242" s="8">
        <f>QS.CONTEXT.CREATE("market.6240",A6242,"USD","SOFR")</f>
        <v/>
      </c>
      <c r="D6242" s="8">
        <f>QS.CONTEXT.ADD.CURVE(C6242,"SOFR",$K$2:$K$7,$L$2:$L$7,,,"Actual360","LogLinear",TRUE)</f>
        <v/>
      </c>
      <c r="E6242" s="8">
        <f>QS.INSTRUMENT.SWAP("swap.6240",C6242,H6242,B6242,"USD","SOFR",I6242,J6242,0,"Actual360","Simple","Annual","Annual","Annual")</f>
        <v/>
      </c>
      <c r="F6242" s="8">
        <f>QS.TRADE.CREATE("trade.6240",C6242,E6242,A6242,"Receive")</f>
        <v/>
      </c>
      <c r="G6242" s="5"/>
      <c r="H6242" s="7" t="s">
        <v>6283</v>
      </c>
      <c r="I6242" s="9">
        <v>1624000</v>
      </c>
      <c r="J6242" s="10">
        <v>0.03900000000000001</v>
      </c>
    </row>
    <row r="6243" spans="1:10">
      <c r="A6243" s="7" t="s">
        <v>6277</v>
      </c>
      <c r="B6243" s="7" t="s">
        <v>8110</v>
      </c>
      <c r="C6243" s="8">
        <f>QS.CONTEXT.CREATE("market.6241",A6243,"USD","SOFR")</f>
        <v/>
      </c>
      <c r="D6243" s="8">
        <f>QS.CONTEXT.ADD.CURVE(C6243,"SOFR",$K$2:$K$7,$L$2:$L$7,,,"Actual360","LogLinear",TRUE)</f>
        <v/>
      </c>
      <c r="E6243" s="8">
        <f>QS.INSTRUMENT.SWAP("swap.6241",C6243,H6243,B6243,"USD","SOFR",I6243,J6243,0,"Actual360","Simple","Annual","Annual","Annual")</f>
        <v/>
      </c>
      <c r="F6243" s="8">
        <f>QS.TRADE.CREATE("trade.6241",C6243,E6243,A6243,"Receive")</f>
        <v/>
      </c>
      <c r="G6243" s="5"/>
      <c r="H6243" s="7" t="s">
        <v>6284</v>
      </c>
      <c r="I6243" s="9">
        <v>1624100</v>
      </c>
      <c r="J6243" s="10">
        <v>0.0391</v>
      </c>
    </row>
    <row r="6244" spans="1:10">
      <c r="A6244" s="7" t="s">
        <v>6278</v>
      </c>
      <c r="B6244" s="7" t="s">
        <v>8111</v>
      </c>
      <c r="C6244" s="8">
        <f>QS.CONTEXT.CREATE("market.6242",A6244,"USD","SOFR")</f>
        <v/>
      </c>
      <c r="D6244" s="8">
        <f>QS.CONTEXT.ADD.CURVE(C6244,"SOFR",$K$2:$K$7,$L$2:$L$7,,,"Actual360","LogLinear",TRUE)</f>
        <v/>
      </c>
      <c r="E6244" s="8">
        <f>QS.INSTRUMENT.SWAP("swap.6242",C6244,H6244,B6244,"USD","SOFR",I6244,J6244,0,"Actual360","Simple","Annual","Annual","Annual")</f>
        <v/>
      </c>
      <c r="F6244" s="8">
        <f>QS.TRADE.CREATE("trade.6242",C6244,E6244,A6244,"Receive")</f>
        <v/>
      </c>
      <c r="G6244" s="5"/>
      <c r="H6244" s="7" t="s">
        <v>6285</v>
      </c>
      <c r="I6244" s="9">
        <v>1624200</v>
      </c>
      <c r="J6244" s="10">
        <v>0.03920000000000001</v>
      </c>
    </row>
    <row r="6245" spans="1:10">
      <c r="A6245" s="7" t="s">
        <v>6279</v>
      </c>
      <c r="B6245" s="7" t="s">
        <v>8112</v>
      </c>
      <c r="C6245" s="8">
        <f>QS.CONTEXT.CREATE("market.6243",A6245,"USD","SOFR")</f>
        <v/>
      </c>
      <c r="D6245" s="8">
        <f>QS.CONTEXT.ADD.CURVE(C6245,"SOFR",$K$2:$K$7,$L$2:$L$7,,,"Actual360","LogLinear",TRUE)</f>
        <v/>
      </c>
      <c r="E6245" s="8">
        <f>QS.INSTRUMENT.SWAP("swap.6243",C6245,H6245,B6245,"USD","SOFR",I6245,J6245,0,"Actual360","Simple","Annual","Annual","Annual")</f>
        <v/>
      </c>
      <c r="F6245" s="8">
        <f>QS.TRADE.CREATE("trade.6243",C6245,E6245,A6245,"Receive")</f>
        <v/>
      </c>
      <c r="G6245" s="5"/>
      <c r="H6245" s="7" t="s">
        <v>6286</v>
      </c>
      <c r="I6245" s="9">
        <v>1624300</v>
      </c>
      <c r="J6245" s="10">
        <v>0.0393</v>
      </c>
    </row>
    <row r="6246" spans="1:10">
      <c r="A6246" s="7" t="s">
        <v>6280</v>
      </c>
      <c r="B6246" s="7" t="s">
        <v>8113</v>
      </c>
      <c r="C6246" s="8">
        <f>QS.CONTEXT.CREATE("market.6244",A6246,"USD","SOFR")</f>
        <v/>
      </c>
      <c r="D6246" s="8">
        <f>QS.CONTEXT.ADD.CURVE(C6246,"SOFR",$K$2:$K$7,$L$2:$L$7,,,"Actual360","LogLinear",TRUE)</f>
        <v/>
      </c>
      <c r="E6246" s="8">
        <f>QS.INSTRUMENT.SWAP("swap.6244",C6246,H6246,B6246,"USD","SOFR",I6246,J6246,0,"Actual360","Simple","Annual","Annual","Annual")</f>
        <v/>
      </c>
      <c r="F6246" s="8">
        <f>QS.TRADE.CREATE("trade.6244",C6246,E6246,A6246,"Receive")</f>
        <v/>
      </c>
      <c r="G6246" s="5"/>
      <c r="H6246" s="7" t="s">
        <v>6287</v>
      </c>
      <c r="I6246" s="9">
        <v>1624400</v>
      </c>
      <c r="J6246" s="10">
        <v>0.0394</v>
      </c>
    </row>
    <row r="6247" spans="1:10">
      <c r="A6247" s="7" t="s">
        <v>6281</v>
      </c>
      <c r="B6247" s="7" t="s">
        <v>8114</v>
      </c>
      <c r="C6247" s="8">
        <f>QS.CONTEXT.CREATE("market.6245",A6247,"USD","SOFR")</f>
        <v/>
      </c>
      <c r="D6247" s="8">
        <f>QS.CONTEXT.ADD.CURVE(C6247,"SOFR",$K$2:$K$7,$L$2:$L$7,,,"Actual360","LogLinear",TRUE)</f>
        <v/>
      </c>
      <c r="E6247" s="8">
        <f>QS.INSTRUMENT.SWAP("swap.6245",C6247,H6247,B6247,"USD","SOFR",I6247,J6247,0,"Actual360","Simple","Annual","Annual","Annual")</f>
        <v/>
      </c>
      <c r="F6247" s="8">
        <f>QS.TRADE.CREATE("trade.6245",C6247,E6247,A6247,"Receive")</f>
        <v/>
      </c>
      <c r="G6247" s="5"/>
      <c r="H6247" s="7" t="s">
        <v>6288</v>
      </c>
      <c r="I6247" s="9">
        <v>1624500</v>
      </c>
      <c r="J6247" s="10">
        <v>0.03950000000000001</v>
      </c>
    </row>
    <row r="6248" spans="1:10">
      <c r="A6248" s="7" t="s">
        <v>6282</v>
      </c>
      <c r="B6248" s="7" t="s">
        <v>8115</v>
      </c>
      <c r="C6248" s="8">
        <f>QS.CONTEXT.CREATE("market.6246",A6248,"USD","SOFR")</f>
        <v/>
      </c>
      <c r="D6248" s="8">
        <f>QS.CONTEXT.ADD.CURVE(C6248,"SOFR",$K$2:$K$7,$L$2:$L$7,,,"Actual360","LogLinear",TRUE)</f>
        <v/>
      </c>
      <c r="E6248" s="8">
        <f>QS.INSTRUMENT.SWAP("swap.6246",C6248,H6248,B6248,"USD","SOFR",I6248,J6248,0,"Actual360","Simple","Annual","Annual","Annual")</f>
        <v/>
      </c>
      <c r="F6248" s="8">
        <f>QS.TRADE.CREATE("trade.6246",C6248,E6248,A6248,"Receive")</f>
        <v/>
      </c>
      <c r="G6248" s="5"/>
      <c r="H6248" s="7" t="s">
        <v>6289</v>
      </c>
      <c r="I6248" s="9">
        <v>1624600</v>
      </c>
      <c r="J6248" s="10">
        <v>0.0396</v>
      </c>
    </row>
    <row r="6249" spans="1:10">
      <c r="A6249" s="7" t="s">
        <v>6283</v>
      </c>
      <c r="B6249" s="7" t="s">
        <v>8116</v>
      </c>
      <c r="C6249" s="8">
        <f>QS.CONTEXT.CREATE("market.6247",A6249,"USD","SOFR")</f>
        <v/>
      </c>
      <c r="D6249" s="8">
        <f>QS.CONTEXT.ADD.CURVE(C6249,"SOFR",$K$2:$K$7,$L$2:$L$7,,,"Actual360","LogLinear",TRUE)</f>
        <v/>
      </c>
      <c r="E6249" s="8">
        <f>QS.INSTRUMENT.SWAP("swap.6247",C6249,H6249,B6249,"USD","SOFR",I6249,J6249,0,"Actual360","Simple","Annual","Annual","Annual")</f>
        <v/>
      </c>
      <c r="F6249" s="8">
        <f>QS.TRADE.CREATE("trade.6247",C6249,E6249,A6249,"Receive")</f>
        <v/>
      </c>
      <c r="G6249" s="5"/>
      <c r="H6249" s="7" t="s">
        <v>6290</v>
      </c>
      <c r="I6249" s="9">
        <v>1624700</v>
      </c>
      <c r="J6249" s="10">
        <v>0.03970000000000001</v>
      </c>
    </row>
    <row r="6250" spans="1:10">
      <c r="A6250" s="7" t="s">
        <v>6284</v>
      </c>
      <c r="B6250" s="7" t="s">
        <v>8117</v>
      </c>
      <c r="C6250" s="8">
        <f>QS.CONTEXT.CREATE("market.6248",A6250,"USD","SOFR")</f>
        <v/>
      </c>
      <c r="D6250" s="8">
        <f>QS.CONTEXT.ADD.CURVE(C6250,"SOFR",$K$2:$K$7,$L$2:$L$7,,,"Actual360","LogLinear",TRUE)</f>
        <v/>
      </c>
      <c r="E6250" s="8">
        <f>QS.INSTRUMENT.SWAP("swap.6248",C6250,H6250,B6250,"USD","SOFR",I6250,J6250,0,"Actual360","Simple","Annual","Annual","Annual")</f>
        <v/>
      </c>
      <c r="F6250" s="8">
        <f>QS.TRADE.CREATE("trade.6248",C6250,E6250,A6250,"Receive")</f>
        <v/>
      </c>
      <c r="G6250" s="5"/>
      <c r="H6250" s="7" t="s">
        <v>6291</v>
      </c>
      <c r="I6250" s="9">
        <v>1624800</v>
      </c>
      <c r="J6250" s="10">
        <v>0.0398</v>
      </c>
    </row>
    <row r="6251" spans="1:10">
      <c r="A6251" s="7" t="s">
        <v>6285</v>
      </c>
      <c r="B6251" s="7" t="s">
        <v>8118</v>
      </c>
      <c r="C6251" s="8">
        <f>QS.CONTEXT.CREATE("market.6249",A6251,"USD","SOFR")</f>
        <v/>
      </c>
      <c r="D6251" s="8">
        <f>QS.CONTEXT.ADD.CURVE(C6251,"SOFR",$K$2:$K$7,$L$2:$L$7,,,"Actual360","LogLinear",TRUE)</f>
        <v/>
      </c>
      <c r="E6251" s="8">
        <f>QS.INSTRUMENT.SWAP("swap.6249",C6251,H6251,B6251,"USD","SOFR",I6251,J6251,0,"Actual360","Simple","Annual","Annual","Annual")</f>
        <v/>
      </c>
      <c r="F6251" s="8">
        <f>QS.TRADE.CREATE("trade.6249",C6251,E6251,A6251,"Receive")</f>
        <v/>
      </c>
      <c r="G6251" s="5"/>
      <c r="H6251" s="7" t="s">
        <v>6292</v>
      </c>
      <c r="I6251" s="9">
        <v>1624900</v>
      </c>
      <c r="J6251" s="10">
        <v>0.0399</v>
      </c>
    </row>
    <row r="6252" spans="1:10">
      <c r="A6252" s="7" t="s">
        <v>6286</v>
      </c>
      <c r="B6252" s="7" t="s">
        <v>8119</v>
      </c>
      <c r="C6252" s="8">
        <f>QS.CONTEXT.CREATE("market.6250",A6252,"USD","SOFR")</f>
        <v/>
      </c>
      <c r="D6252" s="8">
        <f>QS.CONTEXT.ADD.CURVE(C6252,"SOFR",$K$2:$K$7,$L$2:$L$7,,,"Actual360","LogLinear",TRUE)</f>
        <v/>
      </c>
      <c r="E6252" s="8">
        <f>QS.INSTRUMENT.SWAP("swap.6250",C6252,H6252,B6252,"USD","SOFR",I6252,J6252,0,"Actual360","Simple","Annual","Annual","Annual")</f>
        <v/>
      </c>
      <c r="F6252" s="8">
        <f>QS.TRADE.CREATE("trade.6250",C6252,E6252,A6252,"Receive")</f>
        <v/>
      </c>
      <c r="G6252" s="5"/>
      <c r="H6252" s="7" t="s">
        <v>6293</v>
      </c>
      <c r="I6252" s="9">
        <v>1625000</v>
      </c>
      <c r="J6252" s="10">
        <v>0.035</v>
      </c>
    </row>
    <row r="6253" spans="1:10">
      <c r="A6253" s="7" t="s">
        <v>6287</v>
      </c>
      <c r="B6253" s="7" t="s">
        <v>8120</v>
      </c>
      <c r="C6253" s="8">
        <f>QS.CONTEXT.CREATE("market.6251",A6253,"USD","SOFR")</f>
        <v/>
      </c>
      <c r="D6253" s="8">
        <f>QS.CONTEXT.ADD.CURVE(C6253,"SOFR",$K$2:$K$7,$L$2:$L$7,,,"Actual360","LogLinear",TRUE)</f>
        <v/>
      </c>
      <c r="E6253" s="8">
        <f>QS.INSTRUMENT.SWAP("swap.6251",C6253,H6253,B6253,"USD","SOFR",I6253,J6253,0,"Actual360","Simple","Annual","Annual","Annual")</f>
        <v/>
      </c>
      <c r="F6253" s="8">
        <f>QS.TRADE.CREATE("trade.6251",C6253,E6253,A6253,"Receive")</f>
        <v/>
      </c>
      <c r="G6253" s="5"/>
      <c r="H6253" s="7" t="s">
        <v>6294</v>
      </c>
      <c r="I6253" s="9">
        <v>1625100</v>
      </c>
      <c r="J6253" s="10">
        <v>0.03510000000000001</v>
      </c>
    </row>
    <row r="6254" spans="1:10">
      <c r="A6254" s="7" t="s">
        <v>6288</v>
      </c>
      <c r="B6254" s="7" t="s">
        <v>8121</v>
      </c>
      <c r="C6254" s="8">
        <f>QS.CONTEXT.CREATE("market.6252",A6254,"USD","SOFR")</f>
        <v/>
      </c>
      <c r="D6254" s="8">
        <f>QS.CONTEXT.ADD.CURVE(C6254,"SOFR",$K$2:$K$7,$L$2:$L$7,,,"Actual360","LogLinear",TRUE)</f>
        <v/>
      </c>
      <c r="E6254" s="8">
        <f>QS.INSTRUMENT.SWAP("swap.6252",C6254,H6254,B6254,"USD","SOFR",I6254,J6254,0,"Actual360","Simple","Annual","Annual","Annual")</f>
        <v/>
      </c>
      <c r="F6254" s="8">
        <f>QS.TRADE.CREATE("trade.6252",C6254,E6254,A6254,"Receive")</f>
        <v/>
      </c>
      <c r="G6254" s="5"/>
      <c r="H6254" s="7" t="s">
        <v>6295</v>
      </c>
      <c r="I6254" s="9">
        <v>1625200</v>
      </c>
      <c r="J6254" s="10">
        <v>0.0352</v>
      </c>
    </row>
    <row r="6255" spans="1:10">
      <c r="A6255" s="7" t="s">
        <v>6289</v>
      </c>
      <c r="B6255" s="7" t="s">
        <v>8122</v>
      </c>
      <c r="C6255" s="8">
        <f>QS.CONTEXT.CREATE("market.6253",A6255,"USD","SOFR")</f>
        <v/>
      </c>
      <c r="D6255" s="8">
        <f>QS.CONTEXT.ADD.CURVE(C6255,"SOFR",$K$2:$K$7,$L$2:$L$7,,,"Actual360","LogLinear",TRUE)</f>
        <v/>
      </c>
      <c r="E6255" s="8">
        <f>QS.INSTRUMENT.SWAP("swap.6253",C6255,H6255,B6255,"USD","SOFR",I6255,J6255,0,"Actual360","Simple","Annual","Annual","Annual")</f>
        <v/>
      </c>
      <c r="F6255" s="8">
        <f>QS.TRADE.CREATE("trade.6253",C6255,E6255,A6255,"Receive")</f>
        <v/>
      </c>
      <c r="G6255" s="5"/>
      <c r="H6255" s="7" t="s">
        <v>6296</v>
      </c>
      <c r="I6255" s="9">
        <v>1625300</v>
      </c>
      <c r="J6255" s="10">
        <v>0.0353</v>
      </c>
    </row>
    <row r="6256" spans="1:10">
      <c r="A6256" s="7" t="s">
        <v>6290</v>
      </c>
      <c r="B6256" s="7" t="s">
        <v>8123</v>
      </c>
      <c r="C6256" s="8">
        <f>QS.CONTEXT.CREATE("market.6254",A6256,"USD","SOFR")</f>
        <v/>
      </c>
      <c r="D6256" s="8">
        <f>QS.CONTEXT.ADD.CURVE(C6256,"SOFR",$K$2:$K$7,$L$2:$L$7,,,"Actual360","LogLinear",TRUE)</f>
        <v/>
      </c>
      <c r="E6256" s="8">
        <f>QS.INSTRUMENT.SWAP("swap.6254",C6256,H6256,B6256,"USD","SOFR",I6256,J6256,0,"Actual360","Simple","Annual","Annual","Annual")</f>
        <v/>
      </c>
      <c r="F6256" s="8">
        <f>QS.TRADE.CREATE("trade.6254",C6256,E6256,A6256,"Receive")</f>
        <v/>
      </c>
      <c r="G6256" s="5"/>
      <c r="H6256" s="7" t="s">
        <v>6297</v>
      </c>
      <c r="I6256" s="9">
        <v>1625400</v>
      </c>
      <c r="J6256" s="10">
        <v>0.0354</v>
      </c>
    </row>
    <row r="6257" spans="1:10">
      <c r="A6257" s="7" t="s">
        <v>6291</v>
      </c>
      <c r="B6257" s="7" t="s">
        <v>8124</v>
      </c>
      <c r="C6257" s="8">
        <f>QS.CONTEXT.CREATE("market.6255",A6257,"USD","SOFR")</f>
        <v/>
      </c>
      <c r="D6257" s="8">
        <f>QS.CONTEXT.ADD.CURVE(C6257,"SOFR",$K$2:$K$7,$L$2:$L$7,,,"Actual360","LogLinear",TRUE)</f>
        <v/>
      </c>
      <c r="E6257" s="8">
        <f>QS.INSTRUMENT.SWAP("swap.6255",C6257,H6257,B6257,"USD","SOFR",I6257,J6257,0,"Actual360","Simple","Annual","Annual","Annual")</f>
        <v/>
      </c>
      <c r="F6257" s="8">
        <f>QS.TRADE.CREATE("trade.6255",C6257,E6257,A6257,"Receive")</f>
        <v/>
      </c>
      <c r="G6257" s="5"/>
      <c r="H6257" s="7" t="s">
        <v>6298</v>
      </c>
      <c r="I6257" s="9">
        <v>1625500</v>
      </c>
      <c r="J6257" s="10">
        <v>0.0355</v>
      </c>
    </row>
    <row r="6258" spans="1:10">
      <c r="A6258" s="7" t="s">
        <v>6292</v>
      </c>
      <c r="B6258" s="7" t="s">
        <v>8125</v>
      </c>
      <c r="C6258" s="8">
        <f>QS.CONTEXT.CREATE("market.6256",A6258,"USD","SOFR")</f>
        <v/>
      </c>
      <c r="D6258" s="8">
        <f>QS.CONTEXT.ADD.CURVE(C6258,"SOFR",$K$2:$K$7,$L$2:$L$7,,,"Actual360","LogLinear",TRUE)</f>
        <v/>
      </c>
      <c r="E6258" s="8">
        <f>QS.INSTRUMENT.SWAP("swap.6256",C6258,H6258,B6258,"USD","SOFR",I6258,J6258,0,"Actual360","Simple","Annual","Annual","Annual")</f>
        <v/>
      </c>
      <c r="F6258" s="8">
        <f>QS.TRADE.CREATE("trade.6256",C6258,E6258,A6258,"Receive")</f>
        <v/>
      </c>
      <c r="G6258" s="5"/>
      <c r="H6258" s="7" t="s">
        <v>6299</v>
      </c>
      <c r="I6258" s="9">
        <v>1625600</v>
      </c>
      <c r="J6258" s="10">
        <v>0.03560000000000001</v>
      </c>
    </row>
    <row r="6259" spans="1:10">
      <c r="A6259" s="7" t="s">
        <v>6293</v>
      </c>
      <c r="B6259" s="7" t="s">
        <v>8126</v>
      </c>
      <c r="C6259" s="8">
        <f>QS.CONTEXT.CREATE("market.6257",A6259,"USD","SOFR")</f>
        <v/>
      </c>
      <c r="D6259" s="8">
        <f>QS.CONTEXT.ADD.CURVE(C6259,"SOFR",$K$2:$K$7,$L$2:$L$7,,,"Actual360","LogLinear",TRUE)</f>
        <v/>
      </c>
      <c r="E6259" s="8">
        <f>QS.INSTRUMENT.SWAP("swap.6257",C6259,H6259,B6259,"USD","SOFR",I6259,J6259,0,"Actual360","Simple","Annual","Annual","Annual")</f>
        <v/>
      </c>
      <c r="F6259" s="8">
        <f>QS.TRADE.CREATE("trade.6257",C6259,E6259,A6259,"Receive")</f>
        <v/>
      </c>
      <c r="G6259" s="5"/>
      <c r="H6259" s="7" t="s">
        <v>6300</v>
      </c>
      <c r="I6259" s="9">
        <v>1625700</v>
      </c>
      <c r="J6259" s="10">
        <v>0.0357</v>
      </c>
    </row>
    <row r="6260" spans="1:10">
      <c r="A6260" s="7" t="s">
        <v>6294</v>
      </c>
      <c r="B6260" s="7" t="s">
        <v>8127</v>
      </c>
      <c r="C6260" s="8">
        <f>QS.CONTEXT.CREATE("market.6258",A6260,"USD","SOFR")</f>
        <v/>
      </c>
      <c r="D6260" s="8">
        <f>QS.CONTEXT.ADD.CURVE(C6260,"SOFR",$K$2:$K$7,$L$2:$L$7,,,"Actual360","LogLinear",TRUE)</f>
        <v/>
      </c>
      <c r="E6260" s="8">
        <f>QS.INSTRUMENT.SWAP("swap.6258",C6260,H6260,B6260,"USD","SOFR",I6260,J6260,0,"Actual360","Simple","Annual","Annual","Annual")</f>
        <v/>
      </c>
      <c r="F6260" s="8">
        <f>QS.TRADE.CREATE("trade.6258",C6260,E6260,A6260,"Receive")</f>
        <v/>
      </c>
      <c r="G6260" s="5"/>
      <c r="H6260" s="7" t="s">
        <v>6301</v>
      </c>
      <c r="I6260" s="9">
        <v>1625800</v>
      </c>
      <c r="J6260" s="10">
        <v>0.03580000000000001</v>
      </c>
    </row>
    <row r="6261" spans="1:10">
      <c r="A6261" s="7" t="s">
        <v>6295</v>
      </c>
      <c r="B6261" s="7" t="s">
        <v>8128</v>
      </c>
      <c r="C6261" s="8">
        <f>QS.CONTEXT.CREATE("market.6259",A6261,"USD","SOFR")</f>
        <v/>
      </c>
      <c r="D6261" s="8">
        <f>QS.CONTEXT.ADD.CURVE(C6261,"SOFR",$K$2:$K$7,$L$2:$L$7,,,"Actual360","LogLinear",TRUE)</f>
        <v/>
      </c>
      <c r="E6261" s="8">
        <f>QS.INSTRUMENT.SWAP("swap.6259",C6261,H6261,B6261,"USD","SOFR",I6261,J6261,0,"Actual360","Simple","Annual","Annual","Annual")</f>
        <v/>
      </c>
      <c r="F6261" s="8">
        <f>QS.TRADE.CREATE("trade.6259",C6261,E6261,A6261,"Receive")</f>
        <v/>
      </c>
      <c r="G6261" s="5"/>
      <c r="H6261" s="7" t="s">
        <v>6302</v>
      </c>
      <c r="I6261" s="9">
        <v>1625900</v>
      </c>
      <c r="J6261" s="10">
        <v>0.0359</v>
      </c>
    </row>
    <row r="6262" spans="1:10">
      <c r="A6262" s="7" t="s">
        <v>6296</v>
      </c>
      <c r="B6262" s="7" t="s">
        <v>8129</v>
      </c>
      <c r="C6262" s="8">
        <f>QS.CONTEXT.CREATE("market.6260",A6262,"USD","SOFR")</f>
        <v/>
      </c>
      <c r="D6262" s="8">
        <f>QS.CONTEXT.ADD.CURVE(C6262,"SOFR",$K$2:$K$7,$L$2:$L$7,,,"Actual360","LogLinear",TRUE)</f>
        <v/>
      </c>
      <c r="E6262" s="8">
        <f>QS.INSTRUMENT.SWAP("swap.6260",C6262,H6262,B6262,"USD","SOFR",I6262,J6262,0,"Actual360","Simple","Annual","Annual","Annual")</f>
        <v/>
      </c>
      <c r="F6262" s="8">
        <f>QS.TRADE.CREATE("trade.6260",C6262,E6262,A6262,"Receive")</f>
        <v/>
      </c>
      <c r="G6262" s="5"/>
      <c r="H6262" s="7" t="s">
        <v>6303</v>
      </c>
      <c r="I6262" s="9">
        <v>1626000</v>
      </c>
      <c r="J6262" s="10">
        <v>0.036</v>
      </c>
    </row>
    <row r="6263" spans="1:10">
      <c r="A6263" s="7" t="s">
        <v>6297</v>
      </c>
      <c r="B6263" s="7" t="s">
        <v>8130</v>
      </c>
      <c r="C6263" s="8">
        <f>QS.CONTEXT.CREATE("market.6261",A6263,"USD","SOFR")</f>
        <v/>
      </c>
      <c r="D6263" s="8">
        <f>QS.CONTEXT.ADD.CURVE(C6263,"SOFR",$K$2:$K$7,$L$2:$L$7,,,"Actual360","LogLinear",TRUE)</f>
        <v/>
      </c>
      <c r="E6263" s="8">
        <f>QS.INSTRUMENT.SWAP("swap.6261",C6263,H6263,B6263,"USD","SOFR",I6263,J6263,0,"Actual360","Simple","Annual","Annual","Annual")</f>
        <v/>
      </c>
      <c r="F6263" s="8">
        <f>QS.TRADE.CREATE("trade.6261",C6263,E6263,A6263,"Receive")</f>
        <v/>
      </c>
      <c r="G6263" s="5"/>
      <c r="H6263" s="7" t="s">
        <v>6304</v>
      </c>
      <c r="I6263" s="9">
        <v>1626100</v>
      </c>
      <c r="J6263" s="10">
        <v>0.0361</v>
      </c>
    </row>
    <row r="6264" spans="1:10">
      <c r="A6264" s="7" t="s">
        <v>6298</v>
      </c>
      <c r="B6264" s="7" t="s">
        <v>8131</v>
      </c>
      <c r="C6264" s="8">
        <f>QS.CONTEXT.CREATE("market.6262",A6264,"USD","SOFR")</f>
        <v/>
      </c>
      <c r="D6264" s="8">
        <f>QS.CONTEXT.ADD.CURVE(C6264,"SOFR",$K$2:$K$7,$L$2:$L$7,,,"Actual360","LogLinear",TRUE)</f>
        <v/>
      </c>
      <c r="E6264" s="8">
        <f>QS.INSTRUMENT.SWAP("swap.6262",C6264,H6264,B6264,"USD","SOFR",I6264,J6264,0,"Actual360","Simple","Annual","Annual","Annual")</f>
        <v/>
      </c>
      <c r="F6264" s="8">
        <f>QS.TRADE.CREATE("trade.6262",C6264,E6264,A6264,"Receive")</f>
        <v/>
      </c>
      <c r="G6264" s="5"/>
      <c r="H6264" s="7" t="s">
        <v>6305</v>
      </c>
      <c r="I6264" s="9">
        <v>1626200</v>
      </c>
      <c r="J6264" s="10">
        <v>0.0362</v>
      </c>
    </row>
    <row r="6265" spans="1:10">
      <c r="A6265" s="7" t="s">
        <v>6299</v>
      </c>
      <c r="B6265" s="7" t="s">
        <v>8132</v>
      </c>
      <c r="C6265" s="8">
        <f>QS.CONTEXT.CREATE("market.6263",A6265,"USD","SOFR")</f>
        <v/>
      </c>
      <c r="D6265" s="8">
        <f>QS.CONTEXT.ADD.CURVE(C6265,"SOFR",$K$2:$K$7,$L$2:$L$7,,,"Actual360","LogLinear",TRUE)</f>
        <v/>
      </c>
      <c r="E6265" s="8">
        <f>QS.INSTRUMENT.SWAP("swap.6263",C6265,H6265,B6265,"USD","SOFR",I6265,J6265,0,"Actual360","Simple","Annual","Annual","Annual")</f>
        <v/>
      </c>
      <c r="F6265" s="8">
        <f>QS.TRADE.CREATE("trade.6263",C6265,E6265,A6265,"Receive")</f>
        <v/>
      </c>
      <c r="G6265" s="5"/>
      <c r="H6265" s="7" t="s">
        <v>6306</v>
      </c>
      <c r="I6265" s="9">
        <v>1626300</v>
      </c>
      <c r="J6265" s="10">
        <v>0.03630000000000001</v>
      </c>
    </row>
    <row r="6266" spans="1:10">
      <c r="A6266" s="7" t="s">
        <v>6300</v>
      </c>
      <c r="B6266" s="7" t="s">
        <v>8133</v>
      </c>
      <c r="C6266" s="8">
        <f>QS.CONTEXT.CREATE("market.6264",A6266,"USD","SOFR")</f>
        <v/>
      </c>
      <c r="D6266" s="8">
        <f>QS.CONTEXT.ADD.CURVE(C6266,"SOFR",$K$2:$K$7,$L$2:$L$7,,,"Actual360","LogLinear",TRUE)</f>
        <v/>
      </c>
      <c r="E6266" s="8">
        <f>QS.INSTRUMENT.SWAP("swap.6264",C6266,H6266,B6266,"USD","SOFR",I6266,J6266,0,"Actual360","Simple","Annual","Annual","Annual")</f>
        <v/>
      </c>
      <c r="F6266" s="8">
        <f>QS.TRADE.CREATE("trade.6264",C6266,E6266,A6266,"Receive")</f>
        <v/>
      </c>
      <c r="G6266" s="5"/>
      <c r="H6266" s="7" t="s">
        <v>6307</v>
      </c>
      <c r="I6266" s="9">
        <v>1626400</v>
      </c>
      <c r="J6266" s="10">
        <v>0.0364</v>
      </c>
    </row>
    <row r="6267" spans="1:10">
      <c r="A6267" s="7" t="s">
        <v>6301</v>
      </c>
      <c r="B6267" s="7" t="s">
        <v>8134</v>
      </c>
      <c r="C6267" s="8">
        <f>QS.CONTEXT.CREATE("market.6265",A6267,"USD","SOFR")</f>
        <v/>
      </c>
      <c r="D6267" s="8">
        <f>QS.CONTEXT.ADD.CURVE(C6267,"SOFR",$K$2:$K$7,$L$2:$L$7,,,"Actual360","LogLinear",TRUE)</f>
        <v/>
      </c>
      <c r="E6267" s="8">
        <f>QS.INSTRUMENT.SWAP("swap.6265",C6267,H6267,B6267,"USD","SOFR",I6267,J6267,0,"Actual360","Simple","Annual","Annual","Annual")</f>
        <v/>
      </c>
      <c r="F6267" s="8">
        <f>QS.TRADE.CREATE("trade.6265",C6267,E6267,A6267,"Receive")</f>
        <v/>
      </c>
      <c r="G6267" s="5"/>
      <c r="H6267" s="7" t="s">
        <v>6308</v>
      </c>
      <c r="I6267" s="9">
        <v>1626500</v>
      </c>
      <c r="J6267" s="10">
        <v>0.0365</v>
      </c>
    </row>
    <row r="6268" spans="1:10">
      <c r="A6268" s="7" t="s">
        <v>6302</v>
      </c>
      <c r="B6268" s="7" t="s">
        <v>8135</v>
      </c>
      <c r="C6268" s="8">
        <f>QS.CONTEXT.CREATE("market.6266",A6268,"USD","SOFR")</f>
        <v/>
      </c>
      <c r="D6268" s="8">
        <f>QS.CONTEXT.ADD.CURVE(C6268,"SOFR",$K$2:$K$7,$L$2:$L$7,,,"Actual360","LogLinear",TRUE)</f>
        <v/>
      </c>
      <c r="E6268" s="8">
        <f>QS.INSTRUMENT.SWAP("swap.6266",C6268,H6268,B6268,"USD","SOFR",I6268,J6268,0,"Actual360","Simple","Annual","Annual","Annual")</f>
        <v/>
      </c>
      <c r="F6268" s="8">
        <f>QS.TRADE.CREATE("trade.6266",C6268,E6268,A6268,"Receive")</f>
        <v/>
      </c>
      <c r="G6268" s="5"/>
      <c r="H6268" s="7" t="s">
        <v>6309</v>
      </c>
      <c r="I6268" s="9">
        <v>1626600</v>
      </c>
      <c r="J6268" s="10">
        <v>0.0366</v>
      </c>
    </row>
    <row r="6269" spans="1:10">
      <c r="A6269" s="7" t="s">
        <v>6303</v>
      </c>
      <c r="B6269" s="7" t="s">
        <v>8136</v>
      </c>
      <c r="C6269" s="8">
        <f>QS.CONTEXT.CREATE("market.6267",A6269,"USD","SOFR")</f>
        <v/>
      </c>
      <c r="D6269" s="8">
        <f>QS.CONTEXT.ADD.CURVE(C6269,"SOFR",$K$2:$K$7,$L$2:$L$7,,,"Actual360","LogLinear",TRUE)</f>
        <v/>
      </c>
      <c r="E6269" s="8">
        <f>QS.INSTRUMENT.SWAP("swap.6267",C6269,H6269,B6269,"USD","SOFR",I6269,J6269,0,"Actual360","Simple","Annual","Annual","Annual")</f>
        <v/>
      </c>
      <c r="F6269" s="8">
        <f>QS.TRADE.CREATE("trade.6267",C6269,E6269,A6269,"Receive")</f>
        <v/>
      </c>
      <c r="G6269" s="5"/>
      <c r="H6269" s="7" t="s">
        <v>6310</v>
      </c>
      <c r="I6269" s="9">
        <v>1626700</v>
      </c>
      <c r="J6269" s="10">
        <v>0.0367</v>
      </c>
    </row>
    <row r="6270" spans="1:10">
      <c r="A6270" s="7" t="s">
        <v>6304</v>
      </c>
      <c r="B6270" s="7" t="s">
        <v>8137</v>
      </c>
      <c r="C6270" s="8">
        <f>QS.CONTEXT.CREATE("market.6268",A6270,"USD","SOFR")</f>
        <v/>
      </c>
      <c r="D6270" s="8">
        <f>QS.CONTEXT.ADD.CURVE(C6270,"SOFR",$K$2:$K$7,$L$2:$L$7,,,"Actual360","LogLinear",TRUE)</f>
        <v/>
      </c>
      <c r="E6270" s="8">
        <f>QS.INSTRUMENT.SWAP("swap.6268",C6270,H6270,B6270,"USD","SOFR",I6270,J6270,0,"Actual360","Simple","Annual","Annual","Annual")</f>
        <v/>
      </c>
      <c r="F6270" s="8">
        <f>QS.TRADE.CREATE("trade.6268",C6270,E6270,A6270,"Receive")</f>
        <v/>
      </c>
      <c r="G6270" s="5"/>
      <c r="H6270" s="7" t="s">
        <v>6311</v>
      </c>
      <c r="I6270" s="9">
        <v>1626800</v>
      </c>
      <c r="J6270" s="10">
        <v>0.03680000000000001</v>
      </c>
    </row>
    <row r="6271" spans="1:10">
      <c r="A6271" s="7" t="s">
        <v>6305</v>
      </c>
      <c r="B6271" s="7" t="s">
        <v>8138</v>
      </c>
      <c r="C6271" s="8">
        <f>QS.CONTEXT.CREATE("market.6269",A6271,"USD","SOFR")</f>
        <v/>
      </c>
      <c r="D6271" s="8">
        <f>QS.CONTEXT.ADD.CURVE(C6271,"SOFR",$K$2:$K$7,$L$2:$L$7,,,"Actual360","LogLinear",TRUE)</f>
        <v/>
      </c>
      <c r="E6271" s="8">
        <f>QS.INSTRUMENT.SWAP("swap.6269",C6271,H6271,B6271,"USD","SOFR",I6271,J6271,0,"Actual360","Simple","Annual","Annual","Annual")</f>
        <v/>
      </c>
      <c r="F6271" s="8">
        <f>QS.TRADE.CREATE("trade.6269",C6271,E6271,A6271,"Receive")</f>
        <v/>
      </c>
      <c r="G6271" s="5"/>
      <c r="H6271" s="7" t="s">
        <v>6312</v>
      </c>
      <c r="I6271" s="9">
        <v>1626900</v>
      </c>
      <c r="J6271" s="10">
        <v>0.0369</v>
      </c>
    </row>
    <row r="6272" spans="1:10">
      <c r="A6272" s="7" t="s">
        <v>6306</v>
      </c>
      <c r="B6272" s="7" t="s">
        <v>8139</v>
      </c>
      <c r="C6272" s="8">
        <f>QS.CONTEXT.CREATE("market.6270",A6272,"USD","SOFR")</f>
        <v/>
      </c>
      <c r="D6272" s="8">
        <f>QS.CONTEXT.ADD.CURVE(C6272,"SOFR",$K$2:$K$7,$L$2:$L$7,,,"Actual360","LogLinear",TRUE)</f>
        <v/>
      </c>
      <c r="E6272" s="8">
        <f>QS.INSTRUMENT.SWAP("swap.6270",C6272,H6272,B6272,"USD","SOFR",I6272,J6272,0,"Actual360","Simple","Annual","Annual","Annual")</f>
        <v/>
      </c>
      <c r="F6272" s="8">
        <f>QS.TRADE.CREATE("trade.6270",C6272,E6272,A6272,"Receive")</f>
        <v/>
      </c>
      <c r="G6272" s="5"/>
      <c r="H6272" s="7" t="s">
        <v>6313</v>
      </c>
      <c r="I6272" s="9">
        <v>1627000</v>
      </c>
      <c r="J6272" s="10">
        <v>0.03700000000000001</v>
      </c>
    </row>
    <row r="6273" spans="1:10">
      <c r="A6273" s="7" t="s">
        <v>6307</v>
      </c>
      <c r="B6273" s="7" t="s">
        <v>8140</v>
      </c>
      <c r="C6273" s="8">
        <f>QS.CONTEXT.CREATE("market.6271",A6273,"USD","SOFR")</f>
        <v/>
      </c>
      <c r="D6273" s="8">
        <f>QS.CONTEXT.ADD.CURVE(C6273,"SOFR",$K$2:$K$7,$L$2:$L$7,,,"Actual360","LogLinear",TRUE)</f>
        <v/>
      </c>
      <c r="E6273" s="8">
        <f>QS.INSTRUMENT.SWAP("swap.6271",C6273,H6273,B6273,"USD","SOFR",I6273,J6273,0,"Actual360","Simple","Annual","Annual","Annual")</f>
        <v/>
      </c>
      <c r="F6273" s="8">
        <f>QS.TRADE.CREATE("trade.6271",C6273,E6273,A6273,"Receive")</f>
        <v/>
      </c>
      <c r="G6273" s="5"/>
      <c r="H6273" s="7" t="s">
        <v>6314</v>
      </c>
      <c r="I6273" s="9">
        <v>1627100</v>
      </c>
      <c r="J6273" s="10">
        <v>0.0371</v>
      </c>
    </row>
    <row r="6274" spans="1:10">
      <c r="A6274" s="7" t="s">
        <v>6308</v>
      </c>
      <c r="B6274" s="7" t="s">
        <v>8141</v>
      </c>
      <c r="C6274" s="8">
        <f>QS.CONTEXT.CREATE("market.6272",A6274,"USD","SOFR")</f>
        <v/>
      </c>
      <c r="D6274" s="8">
        <f>QS.CONTEXT.ADD.CURVE(C6274,"SOFR",$K$2:$K$7,$L$2:$L$7,,,"Actual360","LogLinear",TRUE)</f>
        <v/>
      </c>
      <c r="E6274" s="8">
        <f>QS.INSTRUMENT.SWAP("swap.6272",C6274,H6274,B6274,"USD","SOFR",I6274,J6274,0,"Actual360","Simple","Annual","Annual","Annual")</f>
        <v/>
      </c>
      <c r="F6274" s="8">
        <f>QS.TRADE.CREATE("trade.6272",C6274,E6274,A6274,"Receive")</f>
        <v/>
      </c>
      <c r="G6274" s="5"/>
      <c r="H6274" s="7" t="s">
        <v>6315</v>
      </c>
      <c r="I6274" s="9">
        <v>1627200</v>
      </c>
      <c r="J6274" s="10">
        <v>0.0372</v>
      </c>
    </row>
    <row r="6275" spans="1:10">
      <c r="A6275" s="7" t="s">
        <v>6309</v>
      </c>
      <c r="B6275" s="7" t="s">
        <v>8142</v>
      </c>
      <c r="C6275" s="8">
        <f>QS.CONTEXT.CREATE("market.6273",A6275,"USD","SOFR")</f>
        <v/>
      </c>
      <c r="D6275" s="8">
        <f>QS.CONTEXT.ADD.CURVE(C6275,"SOFR",$K$2:$K$7,$L$2:$L$7,,,"Actual360","LogLinear",TRUE)</f>
        <v/>
      </c>
      <c r="E6275" s="8">
        <f>QS.INSTRUMENT.SWAP("swap.6273",C6275,H6275,B6275,"USD","SOFR",I6275,J6275,0,"Actual360","Simple","Annual","Annual","Annual")</f>
        <v/>
      </c>
      <c r="F6275" s="8">
        <f>QS.TRADE.CREATE("trade.6273",C6275,E6275,A6275,"Receive")</f>
        <v/>
      </c>
      <c r="G6275" s="5"/>
      <c r="H6275" s="7" t="s">
        <v>6316</v>
      </c>
      <c r="I6275" s="9">
        <v>1627300</v>
      </c>
      <c r="J6275" s="10">
        <v>0.0373</v>
      </c>
    </row>
    <row r="6276" spans="1:10">
      <c r="A6276" s="7" t="s">
        <v>6310</v>
      </c>
      <c r="B6276" s="7" t="s">
        <v>8143</v>
      </c>
      <c r="C6276" s="8">
        <f>QS.CONTEXT.CREATE("market.6274",A6276,"USD","SOFR")</f>
        <v/>
      </c>
      <c r="D6276" s="8">
        <f>QS.CONTEXT.ADD.CURVE(C6276,"SOFR",$K$2:$K$7,$L$2:$L$7,,,"Actual360","LogLinear",TRUE)</f>
        <v/>
      </c>
      <c r="E6276" s="8">
        <f>QS.INSTRUMENT.SWAP("swap.6274",C6276,H6276,B6276,"USD","SOFR",I6276,J6276,0,"Actual360","Simple","Annual","Annual","Annual")</f>
        <v/>
      </c>
      <c r="F6276" s="8">
        <f>QS.TRADE.CREATE("trade.6274",C6276,E6276,A6276,"Receive")</f>
        <v/>
      </c>
      <c r="G6276" s="5"/>
      <c r="H6276" s="7" t="s">
        <v>6317</v>
      </c>
      <c r="I6276" s="9">
        <v>1627400</v>
      </c>
      <c r="J6276" s="10">
        <v>0.0374</v>
      </c>
    </row>
    <row r="6277" spans="1:10">
      <c r="A6277" s="7" t="s">
        <v>6311</v>
      </c>
      <c r="B6277" s="7" t="s">
        <v>8144</v>
      </c>
      <c r="C6277" s="8">
        <f>QS.CONTEXT.CREATE("market.6275",A6277,"USD","SOFR")</f>
        <v/>
      </c>
      <c r="D6277" s="8">
        <f>QS.CONTEXT.ADD.CURVE(C6277,"SOFR",$K$2:$K$7,$L$2:$L$7,,,"Actual360","LogLinear",TRUE)</f>
        <v/>
      </c>
      <c r="E6277" s="8">
        <f>QS.INSTRUMENT.SWAP("swap.6275",C6277,H6277,B6277,"USD","SOFR",I6277,J6277,0,"Actual360","Simple","Annual","Annual","Annual")</f>
        <v/>
      </c>
      <c r="F6277" s="8">
        <f>QS.TRADE.CREATE("trade.6275",C6277,E6277,A6277,"Receive")</f>
        <v/>
      </c>
      <c r="G6277" s="5"/>
      <c r="H6277" s="7" t="s">
        <v>6318</v>
      </c>
      <c r="I6277" s="9">
        <v>1627500</v>
      </c>
      <c r="J6277" s="10">
        <v>0.03750000000000001</v>
      </c>
    </row>
    <row r="6278" spans="1:10">
      <c r="A6278" s="7" t="s">
        <v>6312</v>
      </c>
      <c r="B6278" s="7" t="s">
        <v>8145</v>
      </c>
      <c r="C6278" s="8">
        <f>QS.CONTEXT.CREATE("market.6276",A6278,"USD","SOFR")</f>
        <v/>
      </c>
      <c r="D6278" s="8">
        <f>QS.CONTEXT.ADD.CURVE(C6278,"SOFR",$K$2:$K$7,$L$2:$L$7,,,"Actual360","LogLinear",TRUE)</f>
        <v/>
      </c>
      <c r="E6278" s="8">
        <f>QS.INSTRUMENT.SWAP("swap.6276",C6278,H6278,B6278,"USD","SOFR",I6278,J6278,0,"Actual360","Simple","Annual","Annual","Annual")</f>
        <v/>
      </c>
      <c r="F6278" s="8">
        <f>QS.TRADE.CREATE("trade.6276",C6278,E6278,A6278,"Receive")</f>
        <v/>
      </c>
      <c r="G6278" s="5"/>
      <c r="H6278" s="7" t="s">
        <v>6319</v>
      </c>
      <c r="I6278" s="9">
        <v>1627600</v>
      </c>
      <c r="J6278" s="10">
        <v>0.0376</v>
      </c>
    </row>
    <row r="6279" spans="1:10">
      <c r="A6279" s="7" t="s">
        <v>6313</v>
      </c>
      <c r="B6279" s="7" t="s">
        <v>8146</v>
      </c>
      <c r="C6279" s="8">
        <f>QS.CONTEXT.CREATE("market.6277",A6279,"USD","SOFR")</f>
        <v/>
      </c>
      <c r="D6279" s="8">
        <f>QS.CONTEXT.ADD.CURVE(C6279,"SOFR",$K$2:$K$7,$L$2:$L$7,,,"Actual360","LogLinear",TRUE)</f>
        <v/>
      </c>
      <c r="E6279" s="8">
        <f>QS.INSTRUMENT.SWAP("swap.6277",C6279,H6279,B6279,"USD","SOFR",I6279,J6279,0,"Actual360","Simple","Annual","Annual","Annual")</f>
        <v/>
      </c>
      <c r="F6279" s="8">
        <f>QS.TRADE.CREATE("trade.6277",C6279,E6279,A6279,"Receive")</f>
        <v/>
      </c>
      <c r="G6279" s="5"/>
      <c r="H6279" s="7" t="s">
        <v>6320</v>
      </c>
      <c r="I6279" s="9">
        <v>1627700</v>
      </c>
      <c r="J6279" s="10">
        <v>0.0377</v>
      </c>
    </row>
    <row r="6280" spans="1:10">
      <c r="A6280" s="7" t="s">
        <v>6314</v>
      </c>
      <c r="B6280" s="7" t="s">
        <v>8147</v>
      </c>
      <c r="C6280" s="8">
        <f>QS.CONTEXT.CREATE("market.6278",A6280,"USD","SOFR")</f>
        <v/>
      </c>
      <c r="D6280" s="8">
        <f>QS.CONTEXT.ADD.CURVE(C6280,"SOFR",$K$2:$K$7,$L$2:$L$7,,,"Actual360","LogLinear",TRUE)</f>
        <v/>
      </c>
      <c r="E6280" s="8">
        <f>QS.INSTRUMENT.SWAP("swap.6278",C6280,H6280,B6280,"USD","SOFR",I6280,J6280,0,"Actual360","Simple","Annual","Annual","Annual")</f>
        <v/>
      </c>
      <c r="F6280" s="8">
        <f>QS.TRADE.CREATE("trade.6278",C6280,E6280,A6280,"Receive")</f>
        <v/>
      </c>
      <c r="G6280" s="5"/>
      <c r="H6280" s="7" t="s">
        <v>6321</v>
      </c>
      <c r="I6280" s="9">
        <v>1627800</v>
      </c>
      <c r="J6280" s="10">
        <v>0.0378</v>
      </c>
    </row>
    <row r="6281" spans="1:10">
      <c r="A6281" s="7" t="s">
        <v>6315</v>
      </c>
      <c r="B6281" s="7" t="s">
        <v>8148</v>
      </c>
      <c r="C6281" s="8">
        <f>QS.CONTEXT.CREATE("market.6279",A6281,"USD","SOFR")</f>
        <v/>
      </c>
      <c r="D6281" s="8">
        <f>QS.CONTEXT.ADD.CURVE(C6281,"SOFR",$K$2:$K$7,$L$2:$L$7,,,"Actual360","LogLinear",TRUE)</f>
        <v/>
      </c>
      <c r="E6281" s="8">
        <f>QS.INSTRUMENT.SWAP("swap.6279",C6281,H6281,B6281,"USD","SOFR",I6281,J6281,0,"Actual360","Simple","Annual","Annual","Annual")</f>
        <v/>
      </c>
      <c r="F6281" s="8">
        <f>QS.TRADE.CREATE("trade.6279",C6281,E6281,A6281,"Receive")</f>
        <v/>
      </c>
      <c r="G6281" s="5"/>
      <c r="H6281" s="7" t="s">
        <v>6322</v>
      </c>
      <c r="I6281" s="9">
        <v>1627900</v>
      </c>
      <c r="J6281" s="10">
        <v>0.0379</v>
      </c>
    </row>
    <row r="6282" spans="1:10">
      <c r="A6282" s="7" t="s">
        <v>6316</v>
      </c>
      <c r="B6282" s="7" t="s">
        <v>8149</v>
      </c>
      <c r="C6282" s="8">
        <f>QS.CONTEXT.CREATE("market.6280",A6282,"USD","SOFR")</f>
        <v/>
      </c>
      <c r="D6282" s="8">
        <f>QS.CONTEXT.ADD.CURVE(C6282,"SOFR",$K$2:$K$7,$L$2:$L$7,,,"Actual360","LogLinear",TRUE)</f>
        <v/>
      </c>
      <c r="E6282" s="8">
        <f>QS.INSTRUMENT.SWAP("swap.6280",C6282,H6282,B6282,"USD","SOFR",I6282,J6282,0,"Actual360","Simple","Annual","Annual","Annual")</f>
        <v/>
      </c>
      <c r="F6282" s="8">
        <f>QS.TRADE.CREATE("trade.6280",C6282,E6282,A6282,"Receive")</f>
        <v/>
      </c>
      <c r="G6282" s="5"/>
      <c r="H6282" s="7" t="s">
        <v>6323</v>
      </c>
      <c r="I6282" s="9">
        <v>1628000</v>
      </c>
      <c r="J6282" s="10">
        <v>0.03800000000000001</v>
      </c>
    </row>
    <row r="6283" spans="1:10">
      <c r="A6283" s="7" t="s">
        <v>6317</v>
      </c>
      <c r="B6283" s="7" t="s">
        <v>8150</v>
      </c>
      <c r="C6283" s="8">
        <f>QS.CONTEXT.CREATE("market.6281",A6283,"USD","SOFR")</f>
        <v/>
      </c>
      <c r="D6283" s="8">
        <f>QS.CONTEXT.ADD.CURVE(C6283,"SOFR",$K$2:$K$7,$L$2:$L$7,,,"Actual360","LogLinear",TRUE)</f>
        <v/>
      </c>
      <c r="E6283" s="8">
        <f>QS.INSTRUMENT.SWAP("swap.6281",C6283,H6283,B6283,"USD","SOFR",I6283,J6283,0,"Actual360","Simple","Annual","Annual","Annual")</f>
        <v/>
      </c>
      <c r="F6283" s="8">
        <f>QS.TRADE.CREATE("trade.6281",C6283,E6283,A6283,"Receive")</f>
        <v/>
      </c>
      <c r="G6283" s="5"/>
      <c r="H6283" s="7" t="s">
        <v>6324</v>
      </c>
      <c r="I6283" s="9">
        <v>1628100</v>
      </c>
      <c r="J6283" s="10">
        <v>0.0381</v>
      </c>
    </row>
    <row r="6284" spans="1:10">
      <c r="A6284" s="7" t="s">
        <v>6318</v>
      </c>
      <c r="B6284" s="7" t="s">
        <v>8151</v>
      </c>
      <c r="C6284" s="8">
        <f>QS.CONTEXT.CREATE("market.6282",A6284,"USD","SOFR")</f>
        <v/>
      </c>
      <c r="D6284" s="8">
        <f>QS.CONTEXT.ADD.CURVE(C6284,"SOFR",$K$2:$K$7,$L$2:$L$7,,,"Actual360","LogLinear",TRUE)</f>
        <v/>
      </c>
      <c r="E6284" s="8">
        <f>QS.INSTRUMENT.SWAP("swap.6282",C6284,H6284,B6284,"USD","SOFR",I6284,J6284,0,"Actual360","Simple","Annual","Annual","Annual")</f>
        <v/>
      </c>
      <c r="F6284" s="8">
        <f>QS.TRADE.CREATE("trade.6282",C6284,E6284,A6284,"Receive")</f>
        <v/>
      </c>
      <c r="G6284" s="5"/>
      <c r="H6284" s="7" t="s">
        <v>6325</v>
      </c>
      <c r="I6284" s="9">
        <v>1628200</v>
      </c>
      <c r="J6284" s="10">
        <v>0.0382</v>
      </c>
    </row>
    <row r="6285" spans="1:10">
      <c r="A6285" s="7" t="s">
        <v>6319</v>
      </c>
      <c r="B6285" s="7" t="s">
        <v>8152</v>
      </c>
      <c r="C6285" s="8">
        <f>QS.CONTEXT.CREATE("market.6283",A6285,"USD","SOFR")</f>
        <v/>
      </c>
      <c r="D6285" s="8">
        <f>QS.CONTEXT.ADD.CURVE(C6285,"SOFR",$K$2:$K$7,$L$2:$L$7,,,"Actual360","LogLinear",TRUE)</f>
        <v/>
      </c>
      <c r="E6285" s="8">
        <f>QS.INSTRUMENT.SWAP("swap.6283",C6285,H6285,B6285,"USD","SOFR",I6285,J6285,0,"Actual360","Simple","Annual","Annual","Annual")</f>
        <v/>
      </c>
      <c r="F6285" s="8">
        <f>QS.TRADE.CREATE("trade.6283",C6285,E6285,A6285,"Receive")</f>
        <v/>
      </c>
      <c r="G6285" s="5"/>
      <c r="H6285" s="7" t="s">
        <v>6326</v>
      </c>
      <c r="I6285" s="9">
        <v>1628300</v>
      </c>
      <c r="J6285" s="10">
        <v>0.0383</v>
      </c>
    </row>
    <row r="6286" spans="1:10">
      <c r="A6286" s="7" t="s">
        <v>6320</v>
      </c>
      <c r="B6286" s="7" t="s">
        <v>8153</v>
      </c>
      <c r="C6286" s="8">
        <f>QS.CONTEXT.CREATE("market.6284",A6286,"USD","SOFR")</f>
        <v/>
      </c>
      <c r="D6286" s="8">
        <f>QS.CONTEXT.ADD.CURVE(C6286,"SOFR",$K$2:$K$7,$L$2:$L$7,,,"Actual360","LogLinear",TRUE)</f>
        <v/>
      </c>
      <c r="E6286" s="8">
        <f>QS.INSTRUMENT.SWAP("swap.6284",C6286,H6286,B6286,"USD","SOFR",I6286,J6286,0,"Actual360","Simple","Annual","Annual","Annual")</f>
        <v/>
      </c>
      <c r="F6286" s="8">
        <f>QS.TRADE.CREATE("trade.6284",C6286,E6286,A6286,"Receive")</f>
        <v/>
      </c>
      <c r="G6286" s="5"/>
      <c r="H6286" s="7" t="s">
        <v>6327</v>
      </c>
      <c r="I6286" s="9">
        <v>1628400</v>
      </c>
      <c r="J6286" s="10">
        <v>0.0384</v>
      </c>
    </row>
    <row r="6287" spans="1:10">
      <c r="A6287" s="7" t="s">
        <v>6321</v>
      </c>
      <c r="B6287" s="7" t="s">
        <v>8154</v>
      </c>
      <c r="C6287" s="8">
        <f>QS.CONTEXT.CREATE("market.6285",A6287,"USD","SOFR")</f>
        <v/>
      </c>
      <c r="D6287" s="8">
        <f>QS.CONTEXT.ADD.CURVE(C6287,"SOFR",$K$2:$K$7,$L$2:$L$7,,,"Actual360","LogLinear",TRUE)</f>
        <v/>
      </c>
      <c r="E6287" s="8">
        <f>QS.INSTRUMENT.SWAP("swap.6285",C6287,H6287,B6287,"USD","SOFR",I6287,J6287,0,"Actual360","Simple","Annual","Annual","Annual")</f>
        <v/>
      </c>
      <c r="F6287" s="8">
        <f>QS.TRADE.CREATE("trade.6285",C6287,E6287,A6287,"Receive")</f>
        <v/>
      </c>
      <c r="G6287" s="5"/>
      <c r="H6287" s="7" t="s">
        <v>6328</v>
      </c>
      <c r="I6287" s="9">
        <v>1628500</v>
      </c>
      <c r="J6287" s="10">
        <v>0.03850000000000001</v>
      </c>
    </row>
    <row r="6288" spans="1:10">
      <c r="A6288" s="7" t="s">
        <v>6322</v>
      </c>
      <c r="B6288" s="7" t="s">
        <v>8155</v>
      </c>
      <c r="C6288" s="8">
        <f>QS.CONTEXT.CREATE("market.6286",A6288,"USD","SOFR")</f>
        <v/>
      </c>
      <c r="D6288" s="8">
        <f>QS.CONTEXT.ADD.CURVE(C6288,"SOFR",$K$2:$K$7,$L$2:$L$7,,,"Actual360","LogLinear",TRUE)</f>
        <v/>
      </c>
      <c r="E6288" s="8">
        <f>QS.INSTRUMENT.SWAP("swap.6286",C6288,H6288,B6288,"USD","SOFR",I6288,J6288,0,"Actual360","Simple","Annual","Annual","Annual")</f>
        <v/>
      </c>
      <c r="F6288" s="8">
        <f>QS.TRADE.CREATE("trade.6286",C6288,E6288,A6288,"Receive")</f>
        <v/>
      </c>
      <c r="G6288" s="5"/>
      <c r="H6288" s="7" t="s">
        <v>6329</v>
      </c>
      <c r="I6288" s="9">
        <v>1628600</v>
      </c>
      <c r="J6288" s="10">
        <v>0.0386</v>
      </c>
    </row>
    <row r="6289" spans="1:10">
      <c r="A6289" s="7" t="s">
        <v>6323</v>
      </c>
      <c r="B6289" s="7" t="s">
        <v>8156</v>
      </c>
      <c r="C6289" s="8">
        <f>QS.CONTEXT.CREATE("market.6287",A6289,"USD","SOFR")</f>
        <v/>
      </c>
      <c r="D6289" s="8">
        <f>QS.CONTEXT.ADD.CURVE(C6289,"SOFR",$K$2:$K$7,$L$2:$L$7,,,"Actual360","LogLinear",TRUE)</f>
        <v/>
      </c>
      <c r="E6289" s="8">
        <f>QS.INSTRUMENT.SWAP("swap.6287",C6289,H6289,B6289,"USD","SOFR",I6289,J6289,0,"Actual360","Simple","Annual","Annual","Annual")</f>
        <v/>
      </c>
      <c r="F6289" s="8">
        <f>QS.TRADE.CREATE("trade.6287",C6289,E6289,A6289,"Receive")</f>
        <v/>
      </c>
      <c r="G6289" s="5"/>
      <c r="H6289" s="7" t="s">
        <v>6330</v>
      </c>
      <c r="I6289" s="9">
        <v>1628700</v>
      </c>
      <c r="J6289" s="10">
        <v>0.03870000000000001</v>
      </c>
    </row>
    <row r="6290" spans="1:10">
      <c r="A6290" s="7" t="s">
        <v>6324</v>
      </c>
      <c r="B6290" s="7" t="s">
        <v>8157</v>
      </c>
      <c r="C6290" s="8">
        <f>QS.CONTEXT.CREATE("market.6288",A6290,"USD","SOFR")</f>
        <v/>
      </c>
      <c r="D6290" s="8">
        <f>QS.CONTEXT.ADD.CURVE(C6290,"SOFR",$K$2:$K$7,$L$2:$L$7,,,"Actual360","LogLinear",TRUE)</f>
        <v/>
      </c>
      <c r="E6290" s="8">
        <f>QS.INSTRUMENT.SWAP("swap.6288",C6290,H6290,B6290,"USD","SOFR",I6290,J6290,0,"Actual360","Simple","Annual","Annual","Annual")</f>
        <v/>
      </c>
      <c r="F6290" s="8">
        <f>QS.TRADE.CREATE("trade.6288",C6290,E6290,A6290,"Receive")</f>
        <v/>
      </c>
      <c r="G6290" s="5"/>
      <c r="H6290" s="7" t="s">
        <v>6331</v>
      </c>
      <c r="I6290" s="9">
        <v>1628800</v>
      </c>
      <c r="J6290" s="10">
        <v>0.0388</v>
      </c>
    </row>
    <row r="6291" spans="1:10">
      <c r="A6291" s="7" t="s">
        <v>6325</v>
      </c>
      <c r="B6291" s="7" t="s">
        <v>8158</v>
      </c>
      <c r="C6291" s="8">
        <f>QS.CONTEXT.CREATE("market.6289",A6291,"USD","SOFR")</f>
        <v/>
      </c>
      <c r="D6291" s="8">
        <f>QS.CONTEXT.ADD.CURVE(C6291,"SOFR",$K$2:$K$7,$L$2:$L$7,,,"Actual360","LogLinear",TRUE)</f>
        <v/>
      </c>
      <c r="E6291" s="8">
        <f>QS.INSTRUMENT.SWAP("swap.6289",C6291,H6291,B6291,"USD","SOFR",I6291,J6291,0,"Actual360","Simple","Annual","Annual","Annual")</f>
        <v/>
      </c>
      <c r="F6291" s="8">
        <f>QS.TRADE.CREATE("trade.6289",C6291,E6291,A6291,"Receive")</f>
        <v/>
      </c>
      <c r="G6291" s="5"/>
      <c r="H6291" s="7" t="s">
        <v>6332</v>
      </c>
      <c r="I6291" s="9">
        <v>1628900</v>
      </c>
      <c r="J6291" s="10">
        <v>0.0389</v>
      </c>
    </row>
    <row r="6292" spans="1:10">
      <c r="A6292" s="7" t="s">
        <v>6326</v>
      </c>
      <c r="B6292" s="7" t="s">
        <v>8159</v>
      </c>
      <c r="C6292" s="8">
        <f>QS.CONTEXT.CREATE("market.6290",A6292,"USD","SOFR")</f>
        <v/>
      </c>
      <c r="D6292" s="8">
        <f>QS.CONTEXT.ADD.CURVE(C6292,"SOFR",$K$2:$K$7,$L$2:$L$7,,,"Actual360","LogLinear",TRUE)</f>
        <v/>
      </c>
      <c r="E6292" s="8">
        <f>QS.INSTRUMENT.SWAP("swap.6290",C6292,H6292,B6292,"USD","SOFR",I6292,J6292,0,"Actual360","Simple","Annual","Annual","Annual")</f>
        <v/>
      </c>
      <c r="F6292" s="8">
        <f>QS.TRADE.CREATE("trade.6290",C6292,E6292,A6292,"Receive")</f>
        <v/>
      </c>
      <c r="G6292" s="5"/>
      <c r="H6292" s="7" t="s">
        <v>6333</v>
      </c>
      <c r="I6292" s="9">
        <v>1629000</v>
      </c>
      <c r="J6292" s="10">
        <v>0.03900000000000001</v>
      </c>
    </row>
    <row r="6293" spans="1:10">
      <c r="A6293" s="7" t="s">
        <v>6327</v>
      </c>
      <c r="B6293" s="7" t="s">
        <v>8160</v>
      </c>
      <c r="C6293" s="8">
        <f>QS.CONTEXT.CREATE("market.6291",A6293,"USD","SOFR")</f>
        <v/>
      </c>
      <c r="D6293" s="8">
        <f>QS.CONTEXT.ADD.CURVE(C6293,"SOFR",$K$2:$K$7,$L$2:$L$7,,,"Actual360","LogLinear",TRUE)</f>
        <v/>
      </c>
      <c r="E6293" s="8">
        <f>QS.INSTRUMENT.SWAP("swap.6291",C6293,H6293,B6293,"USD","SOFR",I6293,J6293,0,"Actual360","Simple","Annual","Annual","Annual")</f>
        <v/>
      </c>
      <c r="F6293" s="8">
        <f>QS.TRADE.CREATE("trade.6291",C6293,E6293,A6293,"Receive")</f>
        <v/>
      </c>
      <c r="G6293" s="5"/>
      <c r="H6293" s="7" t="s">
        <v>6334</v>
      </c>
      <c r="I6293" s="9">
        <v>1629100</v>
      </c>
      <c r="J6293" s="10">
        <v>0.0391</v>
      </c>
    </row>
    <row r="6294" spans="1:10">
      <c r="A6294" s="7" t="s">
        <v>6328</v>
      </c>
      <c r="B6294" s="7" t="s">
        <v>8161</v>
      </c>
      <c r="C6294" s="8">
        <f>QS.CONTEXT.CREATE("market.6292",A6294,"USD","SOFR")</f>
        <v/>
      </c>
      <c r="D6294" s="8">
        <f>QS.CONTEXT.ADD.CURVE(C6294,"SOFR",$K$2:$K$7,$L$2:$L$7,,,"Actual360","LogLinear",TRUE)</f>
        <v/>
      </c>
      <c r="E6294" s="8">
        <f>QS.INSTRUMENT.SWAP("swap.6292",C6294,H6294,B6294,"USD","SOFR",I6294,J6294,0,"Actual360","Simple","Annual","Annual","Annual")</f>
        <v/>
      </c>
      <c r="F6294" s="8">
        <f>QS.TRADE.CREATE("trade.6292",C6294,E6294,A6294,"Receive")</f>
        <v/>
      </c>
      <c r="G6294" s="5"/>
      <c r="H6294" s="7" t="s">
        <v>6335</v>
      </c>
      <c r="I6294" s="9">
        <v>1629200</v>
      </c>
      <c r="J6294" s="10">
        <v>0.03920000000000001</v>
      </c>
    </row>
    <row r="6295" spans="1:10">
      <c r="A6295" s="7" t="s">
        <v>6329</v>
      </c>
      <c r="B6295" s="7" t="s">
        <v>8162</v>
      </c>
      <c r="C6295" s="8">
        <f>QS.CONTEXT.CREATE("market.6293",A6295,"USD","SOFR")</f>
        <v/>
      </c>
      <c r="D6295" s="8">
        <f>QS.CONTEXT.ADD.CURVE(C6295,"SOFR",$K$2:$K$7,$L$2:$L$7,,,"Actual360","LogLinear",TRUE)</f>
        <v/>
      </c>
      <c r="E6295" s="8">
        <f>QS.INSTRUMENT.SWAP("swap.6293",C6295,H6295,B6295,"USD","SOFR",I6295,J6295,0,"Actual360","Simple","Annual","Annual","Annual")</f>
        <v/>
      </c>
      <c r="F6295" s="8">
        <f>QS.TRADE.CREATE("trade.6293",C6295,E6295,A6295,"Receive")</f>
        <v/>
      </c>
      <c r="G6295" s="5"/>
      <c r="H6295" s="7" t="s">
        <v>6336</v>
      </c>
      <c r="I6295" s="9">
        <v>1629300</v>
      </c>
      <c r="J6295" s="10">
        <v>0.0393</v>
      </c>
    </row>
    <row r="6296" spans="1:10">
      <c r="A6296" s="7" t="s">
        <v>6330</v>
      </c>
      <c r="B6296" s="7" t="s">
        <v>8163</v>
      </c>
      <c r="C6296" s="8">
        <f>QS.CONTEXT.CREATE("market.6294",A6296,"USD","SOFR")</f>
        <v/>
      </c>
      <c r="D6296" s="8">
        <f>QS.CONTEXT.ADD.CURVE(C6296,"SOFR",$K$2:$K$7,$L$2:$L$7,,,"Actual360","LogLinear",TRUE)</f>
        <v/>
      </c>
      <c r="E6296" s="8">
        <f>QS.INSTRUMENT.SWAP("swap.6294",C6296,H6296,B6296,"USD","SOFR",I6296,J6296,0,"Actual360","Simple","Annual","Annual","Annual")</f>
        <v/>
      </c>
      <c r="F6296" s="8">
        <f>QS.TRADE.CREATE("trade.6294",C6296,E6296,A6296,"Receive")</f>
        <v/>
      </c>
      <c r="G6296" s="5"/>
      <c r="H6296" s="7" t="s">
        <v>6337</v>
      </c>
      <c r="I6296" s="9">
        <v>1629400</v>
      </c>
      <c r="J6296" s="10">
        <v>0.0394</v>
      </c>
    </row>
    <row r="6297" spans="1:10">
      <c r="A6297" s="7" t="s">
        <v>6331</v>
      </c>
      <c r="B6297" s="7" t="s">
        <v>8164</v>
      </c>
      <c r="C6297" s="8">
        <f>QS.CONTEXT.CREATE("market.6295",A6297,"USD","SOFR")</f>
        <v/>
      </c>
      <c r="D6297" s="8">
        <f>QS.CONTEXT.ADD.CURVE(C6297,"SOFR",$K$2:$K$7,$L$2:$L$7,,,"Actual360","LogLinear",TRUE)</f>
        <v/>
      </c>
      <c r="E6297" s="8">
        <f>QS.INSTRUMENT.SWAP("swap.6295",C6297,H6297,B6297,"USD","SOFR",I6297,J6297,0,"Actual360","Simple","Annual","Annual","Annual")</f>
        <v/>
      </c>
      <c r="F6297" s="8">
        <f>QS.TRADE.CREATE("trade.6295",C6297,E6297,A6297,"Receive")</f>
        <v/>
      </c>
      <c r="G6297" s="5"/>
      <c r="H6297" s="7" t="s">
        <v>6338</v>
      </c>
      <c r="I6297" s="9">
        <v>1629500</v>
      </c>
      <c r="J6297" s="10">
        <v>0.03950000000000001</v>
      </c>
    </row>
    <row r="6298" spans="1:10">
      <c r="A6298" s="7" t="s">
        <v>6332</v>
      </c>
      <c r="B6298" s="7" t="s">
        <v>8165</v>
      </c>
      <c r="C6298" s="8">
        <f>QS.CONTEXT.CREATE("market.6296",A6298,"USD","SOFR")</f>
        <v/>
      </c>
      <c r="D6298" s="8">
        <f>QS.CONTEXT.ADD.CURVE(C6298,"SOFR",$K$2:$K$7,$L$2:$L$7,,,"Actual360","LogLinear",TRUE)</f>
        <v/>
      </c>
      <c r="E6298" s="8">
        <f>QS.INSTRUMENT.SWAP("swap.6296",C6298,H6298,B6298,"USD","SOFR",I6298,J6298,0,"Actual360","Simple","Annual","Annual","Annual")</f>
        <v/>
      </c>
      <c r="F6298" s="8">
        <f>QS.TRADE.CREATE("trade.6296",C6298,E6298,A6298,"Receive")</f>
        <v/>
      </c>
      <c r="G6298" s="5"/>
      <c r="H6298" s="7" t="s">
        <v>6339</v>
      </c>
      <c r="I6298" s="9">
        <v>1629600</v>
      </c>
      <c r="J6298" s="10">
        <v>0.0396</v>
      </c>
    </row>
    <row r="6299" spans="1:10">
      <c r="A6299" s="7" t="s">
        <v>6333</v>
      </c>
      <c r="B6299" s="7" t="s">
        <v>8166</v>
      </c>
      <c r="C6299" s="8">
        <f>QS.CONTEXT.CREATE("market.6297",A6299,"USD","SOFR")</f>
        <v/>
      </c>
      <c r="D6299" s="8">
        <f>QS.CONTEXT.ADD.CURVE(C6299,"SOFR",$K$2:$K$7,$L$2:$L$7,,,"Actual360","LogLinear",TRUE)</f>
        <v/>
      </c>
      <c r="E6299" s="8">
        <f>QS.INSTRUMENT.SWAP("swap.6297",C6299,H6299,B6299,"USD","SOFR",I6299,J6299,0,"Actual360","Simple","Annual","Annual","Annual")</f>
        <v/>
      </c>
      <c r="F6299" s="8">
        <f>QS.TRADE.CREATE("trade.6297",C6299,E6299,A6299,"Receive")</f>
        <v/>
      </c>
      <c r="G6299" s="5"/>
      <c r="H6299" s="7" t="s">
        <v>6340</v>
      </c>
      <c r="I6299" s="9">
        <v>1629700</v>
      </c>
      <c r="J6299" s="10">
        <v>0.03970000000000001</v>
      </c>
    </row>
    <row r="6300" spans="1:10">
      <c r="A6300" s="7" t="s">
        <v>6334</v>
      </c>
      <c r="B6300" s="7" t="s">
        <v>8167</v>
      </c>
      <c r="C6300" s="8">
        <f>QS.CONTEXT.CREATE("market.6298",A6300,"USD","SOFR")</f>
        <v/>
      </c>
      <c r="D6300" s="8">
        <f>QS.CONTEXT.ADD.CURVE(C6300,"SOFR",$K$2:$K$7,$L$2:$L$7,,,"Actual360","LogLinear",TRUE)</f>
        <v/>
      </c>
      <c r="E6300" s="8">
        <f>QS.INSTRUMENT.SWAP("swap.6298",C6300,H6300,B6300,"USD","SOFR",I6300,J6300,0,"Actual360","Simple","Annual","Annual","Annual")</f>
        <v/>
      </c>
      <c r="F6300" s="8">
        <f>QS.TRADE.CREATE("trade.6298",C6300,E6300,A6300,"Receive")</f>
        <v/>
      </c>
      <c r="G6300" s="5"/>
      <c r="H6300" s="7" t="s">
        <v>6341</v>
      </c>
      <c r="I6300" s="9">
        <v>1629800</v>
      </c>
      <c r="J6300" s="10">
        <v>0.0398</v>
      </c>
    </row>
    <row r="6301" spans="1:10">
      <c r="A6301" s="7" t="s">
        <v>6335</v>
      </c>
      <c r="B6301" s="7" t="s">
        <v>8168</v>
      </c>
      <c r="C6301" s="8">
        <f>QS.CONTEXT.CREATE("market.6299",A6301,"USD","SOFR")</f>
        <v/>
      </c>
      <c r="D6301" s="8">
        <f>QS.CONTEXT.ADD.CURVE(C6301,"SOFR",$K$2:$K$7,$L$2:$L$7,,,"Actual360","LogLinear",TRUE)</f>
        <v/>
      </c>
      <c r="E6301" s="8">
        <f>QS.INSTRUMENT.SWAP("swap.6299",C6301,H6301,B6301,"USD","SOFR",I6301,J6301,0,"Actual360","Simple","Annual","Annual","Annual")</f>
        <v/>
      </c>
      <c r="F6301" s="8">
        <f>QS.TRADE.CREATE("trade.6299",C6301,E6301,A6301,"Receive")</f>
        <v/>
      </c>
      <c r="G6301" s="5"/>
      <c r="H6301" s="7" t="s">
        <v>6342</v>
      </c>
      <c r="I6301" s="9">
        <v>1629900</v>
      </c>
      <c r="J6301" s="10">
        <v>0.0399</v>
      </c>
    </row>
    <row r="6302" spans="1:10">
      <c r="A6302" s="7" t="s">
        <v>6336</v>
      </c>
      <c r="B6302" s="7" t="s">
        <v>8169</v>
      </c>
      <c r="C6302" s="8">
        <f>QS.CONTEXT.CREATE("market.6300",A6302,"USD","SOFR")</f>
        <v/>
      </c>
      <c r="D6302" s="8">
        <f>QS.CONTEXT.ADD.CURVE(C6302,"SOFR",$K$2:$K$7,$L$2:$L$7,,,"Actual360","LogLinear",TRUE)</f>
        <v/>
      </c>
      <c r="E6302" s="8">
        <f>QS.INSTRUMENT.SWAP("swap.6300",C6302,H6302,B6302,"USD","SOFR",I6302,J6302,0,"Actual360","Simple","Annual","Annual","Annual")</f>
        <v/>
      </c>
      <c r="F6302" s="8">
        <f>QS.TRADE.CREATE("trade.6300",C6302,E6302,A6302,"Receive")</f>
        <v/>
      </c>
      <c r="G6302" s="5"/>
      <c r="H6302" s="7" t="s">
        <v>6343</v>
      </c>
      <c r="I6302" s="9">
        <v>1630000</v>
      </c>
      <c r="J6302" s="10">
        <v>0.035</v>
      </c>
    </row>
    <row r="6303" spans="1:10">
      <c r="A6303" s="7" t="s">
        <v>6337</v>
      </c>
      <c r="B6303" s="7" t="s">
        <v>8170</v>
      </c>
      <c r="C6303" s="8">
        <f>QS.CONTEXT.CREATE("market.6301",A6303,"USD","SOFR")</f>
        <v/>
      </c>
      <c r="D6303" s="8">
        <f>QS.CONTEXT.ADD.CURVE(C6303,"SOFR",$K$2:$K$7,$L$2:$L$7,,,"Actual360","LogLinear",TRUE)</f>
        <v/>
      </c>
      <c r="E6303" s="8">
        <f>QS.INSTRUMENT.SWAP("swap.6301",C6303,H6303,B6303,"USD","SOFR",I6303,J6303,0,"Actual360","Simple","Annual","Annual","Annual")</f>
        <v/>
      </c>
      <c r="F6303" s="8">
        <f>QS.TRADE.CREATE("trade.6301",C6303,E6303,A6303,"Receive")</f>
        <v/>
      </c>
      <c r="G6303" s="5"/>
      <c r="H6303" s="7" t="s">
        <v>6344</v>
      </c>
      <c r="I6303" s="9">
        <v>1630100</v>
      </c>
      <c r="J6303" s="10">
        <v>0.03510000000000001</v>
      </c>
    </row>
    <row r="6304" spans="1:10">
      <c r="A6304" s="7" t="s">
        <v>6338</v>
      </c>
      <c r="B6304" s="7" t="s">
        <v>8171</v>
      </c>
      <c r="C6304" s="8">
        <f>QS.CONTEXT.CREATE("market.6302",A6304,"USD","SOFR")</f>
        <v/>
      </c>
      <c r="D6304" s="8">
        <f>QS.CONTEXT.ADD.CURVE(C6304,"SOFR",$K$2:$K$7,$L$2:$L$7,,,"Actual360","LogLinear",TRUE)</f>
        <v/>
      </c>
      <c r="E6304" s="8">
        <f>QS.INSTRUMENT.SWAP("swap.6302",C6304,H6304,B6304,"USD","SOFR",I6304,J6304,0,"Actual360","Simple","Annual","Annual","Annual")</f>
        <v/>
      </c>
      <c r="F6304" s="8">
        <f>QS.TRADE.CREATE("trade.6302",C6304,E6304,A6304,"Receive")</f>
        <v/>
      </c>
      <c r="G6304" s="5"/>
      <c r="H6304" s="7" t="s">
        <v>6345</v>
      </c>
      <c r="I6304" s="9">
        <v>1630200</v>
      </c>
      <c r="J6304" s="10">
        <v>0.0352</v>
      </c>
    </row>
    <row r="6305" spans="1:10">
      <c r="A6305" s="7" t="s">
        <v>6339</v>
      </c>
      <c r="B6305" s="7" t="s">
        <v>8172</v>
      </c>
      <c r="C6305" s="8">
        <f>QS.CONTEXT.CREATE("market.6303",A6305,"USD","SOFR")</f>
        <v/>
      </c>
      <c r="D6305" s="8">
        <f>QS.CONTEXT.ADD.CURVE(C6305,"SOFR",$K$2:$K$7,$L$2:$L$7,,,"Actual360","LogLinear",TRUE)</f>
        <v/>
      </c>
      <c r="E6305" s="8">
        <f>QS.INSTRUMENT.SWAP("swap.6303",C6305,H6305,B6305,"USD","SOFR",I6305,J6305,0,"Actual360","Simple","Annual","Annual","Annual")</f>
        <v/>
      </c>
      <c r="F6305" s="8">
        <f>QS.TRADE.CREATE("trade.6303",C6305,E6305,A6305,"Receive")</f>
        <v/>
      </c>
      <c r="G6305" s="5"/>
      <c r="H6305" s="7" t="s">
        <v>6346</v>
      </c>
      <c r="I6305" s="9">
        <v>1630300</v>
      </c>
      <c r="J6305" s="10">
        <v>0.0353</v>
      </c>
    </row>
    <row r="6306" spans="1:10">
      <c r="A6306" s="7" t="s">
        <v>6340</v>
      </c>
      <c r="B6306" s="7" t="s">
        <v>8173</v>
      </c>
      <c r="C6306" s="8">
        <f>QS.CONTEXT.CREATE("market.6304",A6306,"USD","SOFR")</f>
        <v/>
      </c>
      <c r="D6306" s="8">
        <f>QS.CONTEXT.ADD.CURVE(C6306,"SOFR",$K$2:$K$7,$L$2:$L$7,,,"Actual360","LogLinear",TRUE)</f>
        <v/>
      </c>
      <c r="E6306" s="8">
        <f>QS.INSTRUMENT.SWAP("swap.6304",C6306,H6306,B6306,"USD","SOFR",I6306,J6306,0,"Actual360","Simple","Annual","Annual","Annual")</f>
        <v/>
      </c>
      <c r="F6306" s="8">
        <f>QS.TRADE.CREATE("trade.6304",C6306,E6306,A6306,"Receive")</f>
        <v/>
      </c>
      <c r="G6306" s="5"/>
      <c r="H6306" s="7" t="s">
        <v>6347</v>
      </c>
      <c r="I6306" s="9">
        <v>1630400</v>
      </c>
      <c r="J6306" s="10">
        <v>0.0354</v>
      </c>
    </row>
    <row r="6307" spans="1:10">
      <c r="A6307" s="7" t="s">
        <v>6341</v>
      </c>
      <c r="B6307" s="7" t="s">
        <v>8174</v>
      </c>
      <c r="C6307" s="8">
        <f>QS.CONTEXT.CREATE("market.6305",A6307,"USD","SOFR")</f>
        <v/>
      </c>
      <c r="D6307" s="8">
        <f>QS.CONTEXT.ADD.CURVE(C6307,"SOFR",$K$2:$K$7,$L$2:$L$7,,,"Actual360","LogLinear",TRUE)</f>
        <v/>
      </c>
      <c r="E6307" s="8">
        <f>QS.INSTRUMENT.SWAP("swap.6305",C6307,H6307,B6307,"USD","SOFR",I6307,J6307,0,"Actual360","Simple","Annual","Annual","Annual")</f>
        <v/>
      </c>
      <c r="F6307" s="8">
        <f>QS.TRADE.CREATE("trade.6305",C6307,E6307,A6307,"Receive")</f>
        <v/>
      </c>
      <c r="G6307" s="5"/>
      <c r="H6307" s="7" t="s">
        <v>6348</v>
      </c>
      <c r="I6307" s="9">
        <v>1630500</v>
      </c>
      <c r="J6307" s="10">
        <v>0.0355</v>
      </c>
    </row>
    <row r="6308" spans="1:10">
      <c r="A6308" s="7" t="s">
        <v>6342</v>
      </c>
      <c r="B6308" s="7" t="s">
        <v>8175</v>
      </c>
      <c r="C6308" s="8">
        <f>QS.CONTEXT.CREATE("market.6306",A6308,"USD","SOFR")</f>
        <v/>
      </c>
      <c r="D6308" s="8">
        <f>QS.CONTEXT.ADD.CURVE(C6308,"SOFR",$K$2:$K$7,$L$2:$L$7,,,"Actual360","LogLinear",TRUE)</f>
        <v/>
      </c>
      <c r="E6308" s="8">
        <f>QS.INSTRUMENT.SWAP("swap.6306",C6308,H6308,B6308,"USD","SOFR",I6308,J6308,0,"Actual360","Simple","Annual","Annual","Annual")</f>
        <v/>
      </c>
      <c r="F6308" s="8">
        <f>QS.TRADE.CREATE("trade.6306",C6308,E6308,A6308,"Receive")</f>
        <v/>
      </c>
      <c r="G6308" s="5"/>
      <c r="H6308" s="7" t="s">
        <v>6349</v>
      </c>
      <c r="I6308" s="9">
        <v>1630600</v>
      </c>
      <c r="J6308" s="10">
        <v>0.03560000000000001</v>
      </c>
    </row>
    <row r="6309" spans="1:10">
      <c r="A6309" s="7" t="s">
        <v>6343</v>
      </c>
      <c r="B6309" s="7" t="s">
        <v>8176</v>
      </c>
      <c r="C6309" s="8">
        <f>QS.CONTEXT.CREATE("market.6307",A6309,"USD","SOFR")</f>
        <v/>
      </c>
      <c r="D6309" s="8">
        <f>QS.CONTEXT.ADD.CURVE(C6309,"SOFR",$K$2:$K$7,$L$2:$L$7,,,"Actual360","LogLinear",TRUE)</f>
        <v/>
      </c>
      <c r="E6309" s="8">
        <f>QS.INSTRUMENT.SWAP("swap.6307",C6309,H6309,B6309,"USD","SOFR",I6309,J6309,0,"Actual360","Simple","Annual","Annual","Annual")</f>
        <v/>
      </c>
      <c r="F6309" s="8">
        <f>QS.TRADE.CREATE("trade.6307",C6309,E6309,A6309,"Receive")</f>
        <v/>
      </c>
      <c r="G6309" s="5"/>
      <c r="H6309" s="7" t="s">
        <v>6350</v>
      </c>
      <c r="I6309" s="9">
        <v>1630700</v>
      </c>
      <c r="J6309" s="10">
        <v>0.0357</v>
      </c>
    </row>
    <row r="6310" spans="1:10">
      <c r="A6310" s="7" t="s">
        <v>6344</v>
      </c>
      <c r="B6310" s="7" t="s">
        <v>8177</v>
      </c>
      <c r="C6310" s="8">
        <f>QS.CONTEXT.CREATE("market.6308",A6310,"USD","SOFR")</f>
        <v/>
      </c>
      <c r="D6310" s="8">
        <f>QS.CONTEXT.ADD.CURVE(C6310,"SOFR",$K$2:$K$7,$L$2:$L$7,,,"Actual360","LogLinear",TRUE)</f>
        <v/>
      </c>
      <c r="E6310" s="8">
        <f>QS.INSTRUMENT.SWAP("swap.6308",C6310,H6310,B6310,"USD","SOFR",I6310,J6310,0,"Actual360","Simple","Annual","Annual","Annual")</f>
        <v/>
      </c>
      <c r="F6310" s="8">
        <f>QS.TRADE.CREATE("trade.6308",C6310,E6310,A6310,"Receive")</f>
        <v/>
      </c>
      <c r="G6310" s="5"/>
      <c r="H6310" s="7" t="s">
        <v>6351</v>
      </c>
      <c r="I6310" s="9">
        <v>1630800</v>
      </c>
      <c r="J6310" s="10">
        <v>0.03580000000000001</v>
      </c>
    </row>
    <row r="6311" spans="1:10">
      <c r="A6311" s="7" t="s">
        <v>6345</v>
      </c>
      <c r="B6311" s="7" t="s">
        <v>8178</v>
      </c>
      <c r="C6311" s="8">
        <f>QS.CONTEXT.CREATE("market.6309",A6311,"USD","SOFR")</f>
        <v/>
      </c>
      <c r="D6311" s="8">
        <f>QS.CONTEXT.ADD.CURVE(C6311,"SOFR",$K$2:$K$7,$L$2:$L$7,,,"Actual360","LogLinear",TRUE)</f>
        <v/>
      </c>
      <c r="E6311" s="8">
        <f>QS.INSTRUMENT.SWAP("swap.6309",C6311,H6311,B6311,"USD","SOFR",I6311,J6311,0,"Actual360","Simple","Annual","Annual","Annual")</f>
        <v/>
      </c>
      <c r="F6311" s="8">
        <f>QS.TRADE.CREATE("trade.6309",C6311,E6311,A6311,"Receive")</f>
        <v/>
      </c>
      <c r="G6311" s="5"/>
      <c r="H6311" s="7" t="s">
        <v>6352</v>
      </c>
      <c r="I6311" s="9">
        <v>1630900</v>
      </c>
      <c r="J6311" s="10">
        <v>0.0359</v>
      </c>
    </row>
    <row r="6312" spans="1:10">
      <c r="A6312" s="7" t="s">
        <v>6346</v>
      </c>
      <c r="B6312" s="7" t="s">
        <v>8179</v>
      </c>
      <c r="C6312" s="8">
        <f>QS.CONTEXT.CREATE("market.6310",A6312,"USD","SOFR")</f>
        <v/>
      </c>
      <c r="D6312" s="8">
        <f>QS.CONTEXT.ADD.CURVE(C6312,"SOFR",$K$2:$K$7,$L$2:$L$7,,,"Actual360","LogLinear",TRUE)</f>
        <v/>
      </c>
      <c r="E6312" s="8">
        <f>QS.INSTRUMENT.SWAP("swap.6310",C6312,H6312,B6312,"USD","SOFR",I6312,J6312,0,"Actual360","Simple","Annual","Annual","Annual")</f>
        <v/>
      </c>
      <c r="F6312" s="8">
        <f>QS.TRADE.CREATE("trade.6310",C6312,E6312,A6312,"Receive")</f>
        <v/>
      </c>
      <c r="G6312" s="5"/>
      <c r="H6312" s="7" t="s">
        <v>6353</v>
      </c>
      <c r="I6312" s="9">
        <v>1631000</v>
      </c>
      <c r="J6312" s="10">
        <v>0.036</v>
      </c>
    </row>
    <row r="6313" spans="1:10">
      <c r="A6313" s="7" t="s">
        <v>6347</v>
      </c>
      <c r="B6313" s="7" t="s">
        <v>8180</v>
      </c>
      <c r="C6313" s="8">
        <f>QS.CONTEXT.CREATE("market.6311",A6313,"USD","SOFR")</f>
        <v/>
      </c>
      <c r="D6313" s="8">
        <f>QS.CONTEXT.ADD.CURVE(C6313,"SOFR",$K$2:$K$7,$L$2:$L$7,,,"Actual360","LogLinear",TRUE)</f>
        <v/>
      </c>
      <c r="E6313" s="8">
        <f>QS.INSTRUMENT.SWAP("swap.6311",C6313,H6313,B6313,"USD","SOFR",I6313,J6313,0,"Actual360","Simple","Annual","Annual","Annual")</f>
        <v/>
      </c>
      <c r="F6313" s="8">
        <f>QS.TRADE.CREATE("trade.6311",C6313,E6313,A6313,"Receive")</f>
        <v/>
      </c>
      <c r="G6313" s="5"/>
      <c r="H6313" s="7" t="s">
        <v>6354</v>
      </c>
      <c r="I6313" s="9">
        <v>1631100</v>
      </c>
      <c r="J6313" s="10">
        <v>0.0361</v>
      </c>
    </row>
    <row r="6314" spans="1:10">
      <c r="A6314" s="7" t="s">
        <v>6348</v>
      </c>
      <c r="B6314" s="7" t="s">
        <v>8181</v>
      </c>
      <c r="C6314" s="8">
        <f>QS.CONTEXT.CREATE("market.6312",A6314,"USD","SOFR")</f>
        <v/>
      </c>
      <c r="D6314" s="8">
        <f>QS.CONTEXT.ADD.CURVE(C6314,"SOFR",$K$2:$K$7,$L$2:$L$7,,,"Actual360","LogLinear",TRUE)</f>
        <v/>
      </c>
      <c r="E6314" s="8">
        <f>QS.INSTRUMENT.SWAP("swap.6312",C6314,H6314,B6314,"USD","SOFR",I6314,J6314,0,"Actual360","Simple","Annual","Annual","Annual")</f>
        <v/>
      </c>
      <c r="F6314" s="8">
        <f>QS.TRADE.CREATE("trade.6312",C6314,E6314,A6314,"Receive")</f>
        <v/>
      </c>
      <c r="G6314" s="5"/>
      <c r="H6314" s="7" t="s">
        <v>6355</v>
      </c>
      <c r="I6314" s="9">
        <v>1631200</v>
      </c>
      <c r="J6314" s="10">
        <v>0.0362</v>
      </c>
    </row>
    <row r="6315" spans="1:10">
      <c r="A6315" s="7" t="s">
        <v>6349</v>
      </c>
      <c r="B6315" s="7" t="s">
        <v>8182</v>
      </c>
      <c r="C6315" s="8">
        <f>QS.CONTEXT.CREATE("market.6313",A6315,"USD","SOFR")</f>
        <v/>
      </c>
      <c r="D6315" s="8">
        <f>QS.CONTEXT.ADD.CURVE(C6315,"SOFR",$K$2:$K$7,$L$2:$L$7,,,"Actual360","LogLinear",TRUE)</f>
        <v/>
      </c>
      <c r="E6315" s="8">
        <f>QS.INSTRUMENT.SWAP("swap.6313",C6315,H6315,B6315,"USD","SOFR",I6315,J6315,0,"Actual360","Simple","Annual","Annual","Annual")</f>
        <v/>
      </c>
      <c r="F6315" s="8">
        <f>QS.TRADE.CREATE("trade.6313",C6315,E6315,A6315,"Receive")</f>
        <v/>
      </c>
      <c r="G6315" s="5"/>
      <c r="H6315" s="7" t="s">
        <v>6356</v>
      </c>
      <c r="I6315" s="9">
        <v>1631300</v>
      </c>
      <c r="J6315" s="10">
        <v>0.03630000000000001</v>
      </c>
    </row>
    <row r="6316" spans="1:10">
      <c r="A6316" s="7" t="s">
        <v>6350</v>
      </c>
      <c r="B6316" s="7" t="s">
        <v>8183</v>
      </c>
      <c r="C6316" s="8">
        <f>QS.CONTEXT.CREATE("market.6314",A6316,"USD","SOFR")</f>
        <v/>
      </c>
      <c r="D6316" s="8">
        <f>QS.CONTEXT.ADD.CURVE(C6316,"SOFR",$K$2:$K$7,$L$2:$L$7,,,"Actual360","LogLinear",TRUE)</f>
        <v/>
      </c>
      <c r="E6316" s="8">
        <f>QS.INSTRUMENT.SWAP("swap.6314",C6316,H6316,B6316,"USD","SOFR",I6316,J6316,0,"Actual360","Simple","Annual","Annual","Annual")</f>
        <v/>
      </c>
      <c r="F6316" s="8">
        <f>QS.TRADE.CREATE("trade.6314",C6316,E6316,A6316,"Receive")</f>
        <v/>
      </c>
      <c r="G6316" s="5"/>
      <c r="H6316" s="7" t="s">
        <v>6357</v>
      </c>
      <c r="I6316" s="9">
        <v>1631400</v>
      </c>
      <c r="J6316" s="10">
        <v>0.0364</v>
      </c>
    </row>
    <row r="6317" spans="1:10">
      <c r="A6317" s="7" t="s">
        <v>6351</v>
      </c>
      <c r="B6317" s="7" t="s">
        <v>8184</v>
      </c>
      <c r="C6317" s="8">
        <f>QS.CONTEXT.CREATE("market.6315",A6317,"USD","SOFR")</f>
        <v/>
      </c>
      <c r="D6317" s="8">
        <f>QS.CONTEXT.ADD.CURVE(C6317,"SOFR",$K$2:$K$7,$L$2:$L$7,,,"Actual360","LogLinear",TRUE)</f>
        <v/>
      </c>
      <c r="E6317" s="8">
        <f>QS.INSTRUMENT.SWAP("swap.6315",C6317,H6317,B6317,"USD","SOFR",I6317,J6317,0,"Actual360","Simple","Annual","Annual","Annual")</f>
        <v/>
      </c>
      <c r="F6317" s="8">
        <f>QS.TRADE.CREATE("trade.6315",C6317,E6317,A6317,"Receive")</f>
        <v/>
      </c>
      <c r="G6317" s="5"/>
      <c r="H6317" s="7" t="s">
        <v>6358</v>
      </c>
      <c r="I6317" s="9">
        <v>1631500</v>
      </c>
      <c r="J6317" s="10">
        <v>0.0365</v>
      </c>
    </row>
    <row r="6318" spans="1:10">
      <c r="A6318" s="7" t="s">
        <v>6352</v>
      </c>
      <c r="B6318" s="7" t="s">
        <v>8185</v>
      </c>
      <c r="C6318" s="8">
        <f>QS.CONTEXT.CREATE("market.6316",A6318,"USD","SOFR")</f>
        <v/>
      </c>
      <c r="D6318" s="8">
        <f>QS.CONTEXT.ADD.CURVE(C6318,"SOFR",$K$2:$K$7,$L$2:$L$7,,,"Actual360","LogLinear",TRUE)</f>
        <v/>
      </c>
      <c r="E6318" s="8">
        <f>QS.INSTRUMENT.SWAP("swap.6316",C6318,H6318,B6318,"USD","SOFR",I6318,J6318,0,"Actual360","Simple","Annual","Annual","Annual")</f>
        <v/>
      </c>
      <c r="F6318" s="8">
        <f>QS.TRADE.CREATE("trade.6316",C6318,E6318,A6318,"Receive")</f>
        <v/>
      </c>
      <c r="G6318" s="5"/>
      <c r="H6318" s="7" t="s">
        <v>6359</v>
      </c>
      <c r="I6318" s="9">
        <v>1631600</v>
      </c>
      <c r="J6318" s="10">
        <v>0.0366</v>
      </c>
    </row>
    <row r="6319" spans="1:10">
      <c r="A6319" s="7" t="s">
        <v>6353</v>
      </c>
      <c r="B6319" s="7" t="s">
        <v>8186</v>
      </c>
      <c r="C6319" s="8">
        <f>QS.CONTEXT.CREATE("market.6317",A6319,"USD","SOFR")</f>
        <v/>
      </c>
      <c r="D6319" s="8">
        <f>QS.CONTEXT.ADD.CURVE(C6319,"SOFR",$K$2:$K$7,$L$2:$L$7,,,"Actual360","LogLinear",TRUE)</f>
        <v/>
      </c>
      <c r="E6319" s="8">
        <f>QS.INSTRUMENT.SWAP("swap.6317",C6319,H6319,B6319,"USD","SOFR",I6319,J6319,0,"Actual360","Simple","Annual","Annual","Annual")</f>
        <v/>
      </c>
      <c r="F6319" s="8">
        <f>QS.TRADE.CREATE("trade.6317",C6319,E6319,A6319,"Receive")</f>
        <v/>
      </c>
      <c r="G6319" s="5"/>
      <c r="H6319" s="7" t="s">
        <v>6360</v>
      </c>
      <c r="I6319" s="9">
        <v>1631700</v>
      </c>
      <c r="J6319" s="10">
        <v>0.0367</v>
      </c>
    </row>
    <row r="6320" spans="1:10">
      <c r="A6320" s="7" t="s">
        <v>6354</v>
      </c>
      <c r="B6320" s="7" t="s">
        <v>8187</v>
      </c>
      <c r="C6320" s="8">
        <f>QS.CONTEXT.CREATE("market.6318",A6320,"USD","SOFR")</f>
        <v/>
      </c>
      <c r="D6320" s="8">
        <f>QS.CONTEXT.ADD.CURVE(C6320,"SOFR",$K$2:$K$7,$L$2:$L$7,,,"Actual360","LogLinear",TRUE)</f>
        <v/>
      </c>
      <c r="E6320" s="8">
        <f>QS.INSTRUMENT.SWAP("swap.6318",C6320,H6320,B6320,"USD","SOFR",I6320,J6320,0,"Actual360","Simple","Annual","Annual","Annual")</f>
        <v/>
      </c>
      <c r="F6320" s="8">
        <f>QS.TRADE.CREATE("trade.6318",C6320,E6320,A6320,"Receive")</f>
        <v/>
      </c>
      <c r="G6320" s="5"/>
      <c r="H6320" s="7" t="s">
        <v>6361</v>
      </c>
      <c r="I6320" s="9">
        <v>1631800</v>
      </c>
      <c r="J6320" s="10">
        <v>0.03680000000000001</v>
      </c>
    </row>
    <row r="6321" spans="1:10">
      <c r="A6321" s="7" t="s">
        <v>6355</v>
      </c>
      <c r="B6321" s="7" t="s">
        <v>8188</v>
      </c>
      <c r="C6321" s="8">
        <f>QS.CONTEXT.CREATE("market.6319",A6321,"USD","SOFR")</f>
        <v/>
      </c>
      <c r="D6321" s="8">
        <f>QS.CONTEXT.ADD.CURVE(C6321,"SOFR",$K$2:$K$7,$L$2:$L$7,,,"Actual360","LogLinear",TRUE)</f>
        <v/>
      </c>
      <c r="E6321" s="8">
        <f>QS.INSTRUMENT.SWAP("swap.6319",C6321,H6321,B6321,"USD","SOFR",I6321,J6321,0,"Actual360","Simple","Annual","Annual","Annual")</f>
        <v/>
      </c>
      <c r="F6321" s="8">
        <f>QS.TRADE.CREATE("trade.6319",C6321,E6321,A6321,"Receive")</f>
        <v/>
      </c>
      <c r="G6321" s="5"/>
      <c r="H6321" s="7" t="s">
        <v>6362</v>
      </c>
      <c r="I6321" s="9">
        <v>1631900</v>
      </c>
      <c r="J6321" s="10">
        <v>0.0369</v>
      </c>
    </row>
    <row r="6322" spans="1:10">
      <c r="A6322" s="7" t="s">
        <v>6356</v>
      </c>
      <c r="B6322" s="7" t="s">
        <v>8189</v>
      </c>
      <c r="C6322" s="8">
        <f>QS.CONTEXT.CREATE("market.6320",A6322,"USD","SOFR")</f>
        <v/>
      </c>
      <c r="D6322" s="8">
        <f>QS.CONTEXT.ADD.CURVE(C6322,"SOFR",$K$2:$K$7,$L$2:$L$7,,,"Actual360","LogLinear",TRUE)</f>
        <v/>
      </c>
      <c r="E6322" s="8">
        <f>QS.INSTRUMENT.SWAP("swap.6320",C6322,H6322,B6322,"USD","SOFR",I6322,J6322,0,"Actual360","Simple","Annual","Annual","Annual")</f>
        <v/>
      </c>
      <c r="F6322" s="8">
        <f>QS.TRADE.CREATE("trade.6320",C6322,E6322,A6322,"Receive")</f>
        <v/>
      </c>
      <c r="G6322" s="5"/>
      <c r="H6322" s="7" t="s">
        <v>6363</v>
      </c>
      <c r="I6322" s="9">
        <v>1632000</v>
      </c>
      <c r="J6322" s="10">
        <v>0.03700000000000001</v>
      </c>
    </row>
    <row r="6323" spans="1:10">
      <c r="A6323" s="7" t="s">
        <v>6357</v>
      </c>
      <c r="B6323" s="7" t="s">
        <v>8190</v>
      </c>
      <c r="C6323" s="8">
        <f>QS.CONTEXT.CREATE("market.6321",A6323,"USD","SOFR")</f>
        <v/>
      </c>
      <c r="D6323" s="8">
        <f>QS.CONTEXT.ADD.CURVE(C6323,"SOFR",$K$2:$K$7,$L$2:$L$7,,,"Actual360","LogLinear",TRUE)</f>
        <v/>
      </c>
      <c r="E6323" s="8">
        <f>QS.INSTRUMENT.SWAP("swap.6321",C6323,H6323,B6323,"USD","SOFR",I6323,J6323,0,"Actual360","Simple","Annual","Annual","Annual")</f>
        <v/>
      </c>
      <c r="F6323" s="8">
        <f>QS.TRADE.CREATE("trade.6321",C6323,E6323,A6323,"Receive")</f>
        <v/>
      </c>
      <c r="G6323" s="5"/>
      <c r="H6323" s="7" t="s">
        <v>6364</v>
      </c>
      <c r="I6323" s="9">
        <v>1632100</v>
      </c>
      <c r="J6323" s="10">
        <v>0.0371</v>
      </c>
    </row>
    <row r="6324" spans="1:10">
      <c r="A6324" s="7" t="s">
        <v>6358</v>
      </c>
      <c r="B6324" s="7" t="s">
        <v>8191</v>
      </c>
      <c r="C6324" s="8">
        <f>QS.CONTEXT.CREATE("market.6322",A6324,"USD","SOFR")</f>
        <v/>
      </c>
      <c r="D6324" s="8">
        <f>QS.CONTEXT.ADD.CURVE(C6324,"SOFR",$K$2:$K$7,$L$2:$L$7,,,"Actual360","LogLinear",TRUE)</f>
        <v/>
      </c>
      <c r="E6324" s="8">
        <f>QS.INSTRUMENT.SWAP("swap.6322",C6324,H6324,B6324,"USD","SOFR",I6324,J6324,0,"Actual360","Simple","Annual","Annual","Annual")</f>
        <v/>
      </c>
      <c r="F6324" s="8">
        <f>QS.TRADE.CREATE("trade.6322",C6324,E6324,A6324,"Receive")</f>
        <v/>
      </c>
      <c r="G6324" s="5"/>
      <c r="H6324" s="7" t="s">
        <v>6365</v>
      </c>
      <c r="I6324" s="9">
        <v>1632200</v>
      </c>
      <c r="J6324" s="10">
        <v>0.0372</v>
      </c>
    </row>
    <row r="6325" spans="1:10">
      <c r="A6325" s="7" t="s">
        <v>6359</v>
      </c>
      <c r="B6325" s="7" t="s">
        <v>8192</v>
      </c>
      <c r="C6325" s="8">
        <f>QS.CONTEXT.CREATE("market.6323",A6325,"USD","SOFR")</f>
        <v/>
      </c>
      <c r="D6325" s="8">
        <f>QS.CONTEXT.ADD.CURVE(C6325,"SOFR",$K$2:$K$7,$L$2:$L$7,,,"Actual360","LogLinear",TRUE)</f>
        <v/>
      </c>
      <c r="E6325" s="8">
        <f>QS.INSTRUMENT.SWAP("swap.6323",C6325,H6325,B6325,"USD","SOFR",I6325,J6325,0,"Actual360","Simple","Annual","Annual","Annual")</f>
        <v/>
      </c>
      <c r="F6325" s="8">
        <f>QS.TRADE.CREATE("trade.6323",C6325,E6325,A6325,"Receive")</f>
        <v/>
      </c>
      <c r="G6325" s="5"/>
      <c r="H6325" s="7" t="s">
        <v>6366</v>
      </c>
      <c r="I6325" s="9">
        <v>1632300</v>
      </c>
      <c r="J6325" s="10">
        <v>0.0373</v>
      </c>
    </row>
    <row r="6326" spans="1:10">
      <c r="A6326" s="7" t="s">
        <v>6360</v>
      </c>
      <c r="B6326" s="7" t="s">
        <v>8193</v>
      </c>
      <c r="C6326" s="8">
        <f>QS.CONTEXT.CREATE("market.6324",A6326,"USD","SOFR")</f>
        <v/>
      </c>
      <c r="D6326" s="8">
        <f>QS.CONTEXT.ADD.CURVE(C6326,"SOFR",$K$2:$K$7,$L$2:$L$7,,,"Actual360","LogLinear",TRUE)</f>
        <v/>
      </c>
      <c r="E6326" s="8">
        <f>QS.INSTRUMENT.SWAP("swap.6324",C6326,H6326,B6326,"USD","SOFR",I6326,J6326,0,"Actual360","Simple","Annual","Annual","Annual")</f>
        <v/>
      </c>
      <c r="F6326" s="8">
        <f>QS.TRADE.CREATE("trade.6324",C6326,E6326,A6326,"Receive")</f>
        <v/>
      </c>
      <c r="G6326" s="5"/>
      <c r="H6326" s="7" t="s">
        <v>6367</v>
      </c>
      <c r="I6326" s="9">
        <v>1632400</v>
      </c>
      <c r="J6326" s="10">
        <v>0.0374</v>
      </c>
    </row>
    <row r="6327" spans="1:10">
      <c r="A6327" s="7" t="s">
        <v>6361</v>
      </c>
      <c r="B6327" s="7" t="s">
        <v>8194</v>
      </c>
      <c r="C6327" s="8">
        <f>QS.CONTEXT.CREATE("market.6325",A6327,"USD","SOFR")</f>
        <v/>
      </c>
      <c r="D6327" s="8">
        <f>QS.CONTEXT.ADD.CURVE(C6327,"SOFR",$K$2:$K$7,$L$2:$L$7,,,"Actual360","LogLinear",TRUE)</f>
        <v/>
      </c>
      <c r="E6327" s="8">
        <f>QS.INSTRUMENT.SWAP("swap.6325",C6327,H6327,B6327,"USD","SOFR",I6327,J6327,0,"Actual360","Simple","Annual","Annual","Annual")</f>
        <v/>
      </c>
      <c r="F6327" s="8">
        <f>QS.TRADE.CREATE("trade.6325",C6327,E6327,A6327,"Receive")</f>
        <v/>
      </c>
      <c r="G6327" s="5"/>
      <c r="H6327" s="7" t="s">
        <v>6368</v>
      </c>
      <c r="I6327" s="9">
        <v>1632500</v>
      </c>
      <c r="J6327" s="10">
        <v>0.03750000000000001</v>
      </c>
    </row>
    <row r="6328" spans="1:10">
      <c r="A6328" s="7" t="s">
        <v>6362</v>
      </c>
      <c r="B6328" s="7" t="s">
        <v>8195</v>
      </c>
      <c r="C6328" s="8">
        <f>QS.CONTEXT.CREATE("market.6326",A6328,"USD","SOFR")</f>
        <v/>
      </c>
      <c r="D6328" s="8">
        <f>QS.CONTEXT.ADD.CURVE(C6328,"SOFR",$K$2:$K$7,$L$2:$L$7,,,"Actual360","LogLinear",TRUE)</f>
        <v/>
      </c>
      <c r="E6328" s="8">
        <f>QS.INSTRUMENT.SWAP("swap.6326",C6328,H6328,B6328,"USD","SOFR",I6328,J6328,0,"Actual360","Simple","Annual","Annual","Annual")</f>
        <v/>
      </c>
      <c r="F6328" s="8">
        <f>QS.TRADE.CREATE("trade.6326",C6328,E6328,A6328,"Receive")</f>
        <v/>
      </c>
      <c r="G6328" s="5"/>
      <c r="H6328" s="7" t="s">
        <v>6369</v>
      </c>
      <c r="I6328" s="9">
        <v>1632600</v>
      </c>
      <c r="J6328" s="10">
        <v>0.0376</v>
      </c>
    </row>
    <row r="6329" spans="1:10">
      <c r="A6329" s="7" t="s">
        <v>6363</v>
      </c>
      <c r="B6329" s="7" t="s">
        <v>8196</v>
      </c>
      <c r="C6329" s="8">
        <f>QS.CONTEXT.CREATE("market.6327",A6329,"USD","SOFR")</f>
        <v/>
      </c>
      <c r="D6329" s="8">
        <f>QS.CONTEXT.ADD.CURVE(C6329,"SOFR",$K$2:$K$7,$L$2:$L$7,,,"Actual360","LogLinear",TRUE)</f>
        <v/>
      </c>
      <c r="E6329" s="8">
        <f>QS.INSTRUMENT.SWAP("swap.6327",C6329,H6329,B6329,"USD","SOFR",I6329,J6329,0,"Actual360","Simple","Annual","Annual","Annual")</f>
        <v/>
      </c>
      <c r="F6329" s="8">
        <f>QS.TRADE.CREATE("trade.6327",C6329,E6329,A6329,"Receive")</f>
        <v/>
      </c>
      <c r="G6329" s="5"/>
      <c r="H6329" s="7" t="s">
        <v>6370</v>
      </c>
      <c r="I6329" s="9">
        <v>1632700</v>
      </c>
      <c r="J6329" s="10">
        <v>0.0377</v>
      </c>
    </row>
    <row r="6330" spans="1:10">
      <c r="A6330" s="7" t="s">
        <v>6364</v>
      </c>
      <c r="B6330" s="7" t="s">
        <v>8197</v>
      </c>
      <c r="C6330" s="8">
        <f>QS.CONTEXT.CREATE("market.6328",A6330,"USD","SOFR")</f>
        <v/>
      </c>
      <c r="D6330" s="8">
        <f>QS.CONTEXT.ADD.CURVE(C6330,"SOFR",$K$2:$K$7,$L$2:$L$7,,,"Actual360","LogLinear",TRUE)</f>
        <v/>
      </c>
      <c r="E6330" s="8">
        <f>QS.INSTRUMENT.SWAP("swap.6328",C6330,H6330,B6330,"USD","SOFR",I6330,J6330,0,"Actual360","Simple","Annual","Annual","Annual")</f>
        <v/>
      </c>
      <c r="F6330" s="8">
        <f>QS.TRADE.CREATE("trade.6328",C6330,E6330,A6330,"Receive")</f>
        <v/>
      </c>
      <c r="G6330" s="5"/>
      <c r="H6330" s="7" t="s">
        <v>6371</v>
      </c>
      <c r="I6330" s="9">
        <v>1632800</v>
      </c>
      <c r="J6330" s="10">
        <v>0.0378</v>
      </c>
    </row>
    <row r="6331" spans="1:10">
      <c r="A6331" s="7" t="s">
        <v>6365</v>
      </c>
      <c r="B6331" s="7" t="s">
        <v>8198</v>
      </c>
      <c r="C6331" s="8">
        <f>QS.CONTEXT.CREATE("market.6329",A6331,"USD","SOFR")</f>
        <v/>
      </c>
      <c r="D6331" s="8">
        <f>QS.CONTEXT.ADD.CURVE(C6331,"SOFR",$K$2:$K$7,$L$2:$L$7,,,"Actual360","LogLinear",TRUE)</f>
        <v/>
      </c>
      <c r="E6331" s="8">
        <f>QS.INSTRUMENT.SWAP("swap.6329",C6331,H6331,B6331,"USD","SOFR",I6331,J6331,0,"Actual360","Simple","Annual","Annual","Annual")</f>
        <v/>
      </c>
      <c r="F6331" s="8">
        <f>QS.TRADE.CREATE("trade.6329",C6331,E6331,A6331,"Receive")</f>
        <v/>
      </c>
      <c r="G6331" s="5"/>
      <c r="H6331" s="7" t="s">
        <v>6372</v>
      </c>
      <c r="I6331" s="9">
        <v>1632900</v>
      </c>
      <c r="J6331" s="10">
        <v>0.0379</v>
      </c>
    </row>
    <row r="6332" spans="1:10">
      <c r="A6332" s="7" t="s">
        <v>6366</v>
      </c>
      <c r="B6332" s="7" t="s">
        <v>8199</v>
      </c>
      <c r="C6332" s="8">
        <f>QS.CONTEXT.CREATE("market.6330",A6332,"USD","SOFR")</f>
        <v/>
      </c>
      <c r="D6332" s="8">
        <f>QS.CONTEXT.ADD.CURVE(C6332,"SOFR",$K$2:$K$7,$L$2:$L$7,,,"Actual360","LogLinear",TRUE)</f>
        <v/>
      </c>
      <c r="E6332" s="8">
        <f>QS.INSTRUMENT.SWAP("swap.6330",C6332,H6332,B6332,"USD","SOFR",I6332,J6332,0,"Actual360","Simple","Annual","Annual","Annual")</f>
        <v/>
      </c>
      <c r="F6332" s="8">
        <f>QS.TRADE.CREATE("trade.6330",C6332,E6332,A6332,"Receive")</f>
        <v/>
      </c>
      <c r="G6332" s="5"/>
      <c r="H6332" s="7" t="s">
        <v>6373</v>
      </c>
      <c r="I6332" s="9">
        <v>1633000</v>
      </c>
      <c r="J6332" s="10">
        <v>0.03800000000000001</v>
      </c>
    </row>
    <row r="6333" spans="1:10">
      <c r="A6333" s="7" t="s">
        <v>6367</v>
      </c>
      <c r="B6333" s="7" t="s">
        <v>8200</v>
      </c>
      <c r="C6333" s="8">
        <f>QS.CONTEXT.CREATE("market.6331",A6333,"USD","SOFR")</f>
        <v/>
      </c>
      <c r="D6333" s="8">
        <f>QS.CONTEXT.ADD.CURVE(C6333,"SOFR",$K$2:$K$7,$L$2:$L$7,,,"Actual360","LogLinear",TRUE)</f>
        <v/>
      </c>
      <c r="E6333" s="8">
        <f>QS.INSTRUMENT.SWAP("swap.6331",C6333,H6333,B6333,"USD","SOFR",I6333,J6333,0,"Actual360","Simple","Annual","Annual","Annual")</f>
        <v/>
      </c>
      <c r="F6333" s="8">
        <f>QS.TRADE.CREATE("trade.6331",C6333,E6333,A6333,"Receive")</f>
        <v/>
      </c>
      <c r="G6333" s="5"/>
      <c r="H6333" s="7" t="s">
        <v>6374</v>
      </c>
      <c r="I6333" s="9">
        <v>1633100</v>
      </c>
      <c r="J6333" s="10">
        <v>0.0381</v>
      </c>
    </row>
    <row r="6334" spans="1:10">
      <c r="A6334" s="7" t="s">
        <v>6368</v>
      </c>
      <c r="B6334" s="7" t="s">
        <v>8201</v>
      </c>
      <c r="C6334" s="8">
        <f>QS.CONTEXT.CREATE("market.6332",A6334,"USD","SOFR")</f>
        <v/>
      </c>
      <c r="D6334" s="8">
        <f>QS.CONTEXT.ADD.CURVE(C6334,"SOFR",$K$2:$K$7,$L$2:$L$7,,,"Actual360","LogLinear",TRUE)</f>
        <v/>
      </c>
      <c r="E6334" s="8">
        <f>QS.INSTRUMENT.SWAP("swap.6332",C6334,H6334,B6334,"USD","SOFR",I6334,J6334,0,"Actual360","Simple","Annual","Annual","Annual")</f>
        <v/>
      </c>
      <c r="F6334" s="8">
        <f>QS.TRADE.CREATE("trade.6332",C6334,E6334,A6334,"Receive")</f>
        <v/>
      </c>
      <c r="G6334" s="5"/>
      <c r="H6334" s="7" t="s">
        <v>6375</v>
      </c>
      <c r="I6334" s="9">
        <v>1633200</v>
      </c>
      <c r="J6334" s="10">
        <v>0.0382</v>
      </c>
    </row>
    <row r="6335" spans="1:10">
      <c r="A6335" s="7" t="s">
        <v>6369</v>
      </c>
      <c r="B6335" s="7" t="s">
        <v>8202</v>
      </c>
      <c r="C6335" s="8">
        <f>QS.CONTEXT.CREATE("market.6333",A6335,"USD","SOFR")</f>
        <v/>
      </c>
      <c r="D6335" s="8">
        <f>QS.CONTEXT.ADD.CURVE(C6335,"SOFR",$K$2:$K$7,$L$2:$L$7,,,"Actual360","LogLinear",TRUE)</f>
        <v/>
      </c>
      <c r="E6335" s="8">
        <f>QS.INSTRUMENT.SWAP("swap.6333",C6335,H6335,B6335,"USD","SOFR",I6335,J6335,0,"Actual360","Simple","Annual","Annual","Annual")</f>
        <v/>
      </c>
      <c r="F6335" s="8">
        <f>QS.TRADE.CREATE("trade.6333",C6335,E6335,A6335,"Receive")</f>
        <v/>
      </c>
      <c r="G6335" s="5"/>
      <c r="H6335" s="7" t="s">
        <v>6376</v>
      </c>
      <c r="I6335" s="9">
        <v>1633300</v>
      </c>
      <c r="J6335" s="10">
        <v>0.0383</v>
      </c>
    </row>
    <row r="6336" spans="1:10">
      <c r="A6336" s="7" t="s">
        <v>6370</v>
      </c>
      <c r="B6336" s="7" t="s">
        <v>8203</v>
      </c>
      <c r="C6336" s="8">
        <f>QS.CONTEXT.CREATE("market.6334",A6336,"USD","SOFR")</f>
        <v/>
      </c>
      <c r="D6336" s="8">
        <f>QS.CONTEXT.ADD.CURVE(C6336,"SOFR",$K$2:$K$7,$L$2:$L$7,,,"Actual360","LogLinear",TRUE)</f>
        <v/>
      </c>
      <c r="E6336" s="8">
        <f>QS.INSTRUMENT.SWAP("swap.6334",C6336,H6336,B6336,"USD","SOFR",I6336,J6336,0,"Actual360","Simple","Annual","Annual","Annual")</f>
        <v/>
      </c>
      <c r="F6336" s="8">
        <f>QS.TRADE.CREATE("trade.6334",C6336,E6336,A6336,"Receive")</f>
        <v/>
      </c>
      <c r="G6336" s="5"/>
      <c r="H6336" s="7" t="s">
        <v>6377</v>
      </c>
      <c r="I6336" s="9">
        <v>1633400</v>
      </c>
      <c r="J6336" s="10">
        <v>0.0384</v>
      </c>
    </row>
    <row r="6337" spans="1:10">
      <c r="A6337" s="7" t="s">
        <v>6371</v>
      </c>
      <c r="B6337" s="7" t="s">
        <v>8204</v>
      </c>
      <c r="C6337" s="8">
        <f>QS.CONTEXT.CREATE("market.6335",A6337,"USD","SOFR")</f>
        <v/>
      </c>
      <c r="D6337" s="8">
        <f>QS.CONTEXT.ADD.CURVE(C6337,"SOFR",$K$2:$K$7,$L$2:$L$7,,,"Actual360","LogLinear",TRUE)</f>
        <v/>
      </c>
      <c r="E6337" s="8">
        <f>QS.INSTRUMENT.SWAP("swap.6335",C6337,H6337,B6337,"USD","SOFR",I6337,J6337,0,"Actual360","Simple","Annual","Annual","Annual")</f>
        <v/>
      </c>
      <c r="F6337" s="8">
        <f>QS.TRADE.CREATE("trade.6335",C6337,E6337,A6337,"Receive")</f>
        <v/>
      </c>
      <c r="G6337" s="5"/>
      <c r="H6337" s="7" t="s">
        <v>6378</v>
      </c>
      <c r="I6337" s="9">
        <v>1633500</v>
      </c>
      <c r="J6337" s="10">
        <v>0.03850000000000001</v>
      </c>
    </row>
    <row r="6338" spans="1:10">
      <c r="A6338" s="7" t="s">
        <v>6372</v>
      </c>
      <c r="B6338" s="7" t="s">
        <v>8205</v>
      </c>
      <c r="C6338" s="8">
        <f>QS.CONTEXT.CREATE("market.6336",A6338,"USD","SOFR")</f>
        <v/>
      </c>
      <c r="D6338" s="8">
        <f>QS.CONTEXT.ADD.CURVE(C6338,"SOFR",$K$2:$K$7,$L$2:$L$7,,,"Actual360","LogLinear",TRUE)</f>
        <v/>
      </c>
      <c r="E6338" s="8">
        <f>QS.INSTRUMENT.SWAP("swap.6336",C6338,H6338,B6338,"USD","SOFR",I6338,J6338,0,"Actual360","Simple","Annual","Annual","Annual")</f>
        <v/>
      </c>
      <c r="F6338" s="8">
        <f>QS.TRADE.CREATE("trade.6336",C6338,E6338,A6338,"Receive")</f>
        <v/>
      </c>
      <c r="G6338" s="5"/>
      <c r="H6338" s="7" t="s">
        <v>6379</v>
      </c>
      <c r="I6338" s="9">
        <v>1633600</v>
      </c>
      <c r="J6338" s="10">
        <v>0.0386</v>
      </c>
    </row>
    <row r="6339" spans="1:10">
      <c r="A6339" s="7" t="s">
        <v>6373</v>
      </c>
      <c r="B6339" s="7" t="s">
        <v>8206</v>
      </c>
      <c r="C6339" s="8">
        <f>QS.CONTEXT.CREATE("market.6337",A6339,"USD","SOFR")</f>
        <v/>
      </c>
      <c r="D6339" s="8">
        <f>QS.CONTEXT.ADD.CURVE(C6339,"SOFR",$K$2:$K$7,$L$2:$L$7,,,"Actual360","LogLinear",TRUE)</f>
        <v/>
      </c>
      <c r="E6339" s="8">
        <f>QS.INSTRUMENT.SWAP("swap.6337",C6339,H6339,B6339,"USD","SOFR",I6339,J6339,0,"Actual360","Simple","Annual","Annual","Annual")</f>
        <v/>
      </c>
      <c r="F6339" s="8">
        <f>QS.TRADE.CREATE("trade.6337",C6339,E6339,A6339,"Receive")</f>
        <v/>
      </c>
      <c r="G6339" s="5"/>
      <c r="H6339" s="7" t="s">
        <v>6380</v>
      </c>
      <c r="I6339" s="9">
        <v>1633700</v>
      </c>
      <c r="J6339" s="10">
        <v>0.03870000000000001</v>
      </c>
    </row>
    <row r="6340" spans="1:10">
      <c r="A6340" s="7" t="s">
        <v>6374</v>
      </c>
      <c r="B6340" s="7" t="s">
        <v>8207</v>
      </c>
      <c r="C6340" s="8">
        <f>QS.CONTEXT.CREATE("market.6338",A6340,"USD","SOFR")</f>
        <v/>
      </c>
      <c r="D6340" s="8">
        <f>QS.CONTEXT.ADD.CURVE(C6340,"SOFR",$K$2:$K$7,$L$2:$L$7,,,"Actual360","LogLinear",TRUE)</f>
        <v/>
      </c>
      <c r="E6340" s="8">
        <f>QS.INSTRUMENT.SWAP("swap.6338",C6340,H6340,B6340,"USD","SOFR",I6340,J6340,0,"Actual360","Simple","Annual","Annual","Annual")</f>
        <v/>
      </c>
      <c r="F6340" s="8">
        <f>QS.TRADE.CREATE("trade.6338",C6340,E6340,A6340,"Receive")</f>
        <v/>
      </c>
      <c r="G6340" s="5"/>
      <c r="H6340" s="7" t="s">
        <v>6381</v>
      </c>
      <c r="I6340" s="9">
        <v>1633800</v>
      </c>
      <c r="J6340" s="10">
        <v>0.0388</v>
      </c>
    </row>
    <row r="6341" spans="1:10">
      <c r="A6341" s="7" t="s">
        <v>6375</v>
      </c>
      <c r="B6341" s="7" t="s">
        <v>8208</v>
      </c>
      <c r="C6341" s="8">
        <f>QS.CONTEXT.CREATE("market.6339",A6341,"USD","SOFR")</f>
        <v/>
      </c>
      <c r="D6341" s="8">
        <f>QS.CONTEXT.ADD.CURVE(C6341,"SOFR",$K$2:$K$7,$L$2:$L$7,,,"Actual360","LogLinear",TRUE)</f>
        <v/>
      </c>
      <c r="E6341" s="8">
        <f>QS.INSTRUMENT.SWAP("swap.6339",C6341,H6341,B6341,"USD","SOFR",I6341,J6341,0,"Actual360","Simple","Annual","Annual","Annual")</f>
        <v/>
      </c>
      <c r="F6341" s="8">
        <f>QS.TRADE.CREATE("trade.6339",C6341,E6341,A6341,"Receive")</f>
        <v/>
      </c>
      <c r="G6341" s="5"/>
      <c r="H6341" s="7" t="s">
        <v>6382</v>
      </c>
      <c r="I6341" s="9">
        <v>1633900</v>
      </c>
      <c r="J6341" s="10">
        <v>0.0389</v>
      </c>
    </row>
    <row r="6342" spans="1:10">
      <c r="A6342" s="7" t="s">
        <v>6376</v>
      </c>
      <c r="B6342" s="7" t="s">
        <v>8209</v>
      </c>
      <c r="C6342" s="8">
        <f>QS.CONTEXT.CREATE("market.6340",A6342,"USD","SOFR")</f>
        <v/>
      </c>
      <c r="D6342" s="8">
        <f>QS.CONTEXT.ADD.CURVE(C6342,"SOFR",$K$2:$K$7,$L$2:$L$7,,,"Actual360","LogLinear",TRUE)</f>
        <v/>
      </c>
      <c r="E6342" s="8">
        <f>QS.INSTRUMENT.SWAP("swap.6340",C6342,H6342,B6342,"USD","SOFR",I6342,J6342,0,"Actual360","Simple","Annual","Annual","Annual")</f>
        <v/>
      </c>
      <c r="F6342" s="8">
        <f>QS.TRADE.CREATE("trade.6340",C6342,E6342,A6342,"Receive")</f>
        <v/>
      </c>
      <c r="G6342" s="5"/>
      <c r="H6342" s="7" t="s">
        <v>6383</v>
      </c>
      <c r="I6342" s="9">
        <v>1634000</v>
      </c>
      <c r="J6342" s="10">
        <v>0.03900000000000001</v>
      </c>
    </row>
    <row r="6343" spans="1:10">
      <c r="A6343" s="7" t="s">
        <v>6377</v>
      </c>
      <c r="B6343" s="7" t="s">
        <v>8210</v>
      </c>
      <c r="C6343" s="8">
        <f>QS.CONTEXT.CREATE("market.6341",A6343,"USD","SOFR")</f>
        <v/>
      </c>
      <c r="D6343" s="8">
        <f>QS.CONTEXT.ADD.CURVE(C6343,"SOFR",$K$2:$K$7,$L$2:$L$7,,,"Actual360","LogLinear",TRUE)</f>
        <v/>
      </c>
      <c r="E6343" s="8">
        <f>QS.INSTRUMENT.SWAP("swap.6341",C6343,H6343,B6343,"USD","SOFR",I6343,J6343,0,"Actual360","Simple","Annual","Annual","Annual")</f>
        <v/>
      </c>
      <c r="F6343" s="8">
        <f>QS.TRADE.CREATE("trade.6341",C6343,E6343,A6343,"Receive")</f>
        <v/>
      </c>
      <c r="G6343" s="5"/>
      <c r="H6343" s="7" t="s">
        <v>6384</v>
      </c>
      <c r="I6343" s="9">
        <v>1634100</v>
      </c>
      <c r="J6343" s="10">
        <v>0.0391</v>
      </c>
    </row>
    <row r="6344" spans="1:10">
      <c r="A6344" s="7" t="s">
        <v>6378</v>
      </c>
      <c r="B6344" s="7" t="s">
        <v>8211</v>
      </c>
      <c r="C6344" s="8">
        <f>QS.CONTEXT.CREATE("market.6342",A6344,"USD","SOFR")</f>
        <v/>
      </c>
      <c r="D6344" s="8">
        <f>QS.CONTEXT.ADD.CURVE(C6344,"SOFR",$K$2:$K$7,$L$2:$L$7,,,"Actual360","LogLinear",TRUE)</f>
        <v/>
      </c>
      <c r="E6344" s="8">
        <f>QS.INSTRUMENT.SWAP("swap.6342",C6344,H6344,B6344,"USD","SOFR",I6344,J6344,0,"Actual360","Simple","Annual","Annual","Annual")</f>
        <v/>
      </c>
      <c r="F6344" s="8">
        <f>QS.TRADE.CREATE("trade.6342",C6344,E6344,A6344,"Receive")</f>
        <v/>
      </c>
      <c r="G6344" s="5"/>
      <c r="H6344" s="7" t="s">
        <v>6385</v>
      </c>
      <c r="I6344" s="9">
        <v>1634200</v>
      </c>
      <c r="J6344" s="10">
        <v>0.03920000000000001</v>
      </c>
    </row>
    <row r="6345" spans="1:10">
      <c r="A6345" s="7" t="s">
        <v>6379</v>
      </c>
      <c r="B6345" s="7" t="s">
        <v>8212</v>
      </c>
      <c r="C6345" s="8">
        <f>QS.CONTEXT.CREATE("market.6343",A6345,"USD","SOFR")</f>
        <v/>
      </c>
      <c r="D6345" s="8">
        <f>QS.CONTEXT.ADD.CURVE(C6345,"SOFR",$K$2:$K$7,$L$2:$L$7,,,"Actual360","LogLinear",TRUE)</f>
        <v/>
      </c>
      <c r="E6345" s="8">
        <f>QS.INSTRUMENT.SWAP("swap.6343",C6345,H6345,B6345,"USD","SOFR",I6345,J6345,0,"Actual360","Simple","Annual","Annual","Annual")</f>
        <v/>
      </c>
      <c r="F6345" s="8">
        <f>QS.TRADE.CREATE("trade.6343",C6345,E6345,A6345,"Receive")</f>
        <v/>
      </c>
      <c r="G6345" s="5"/>
      <c r="H6345" s="7" t="s">
        <v>6386</v>
      </c>
      <c r="I6345" s="9">
        <v>1634300</v>
      </c>
      <c r="J6345" s="10">
        <v>0.0393</v>
      </c>
    </row>
    <row r="6346" spans="1:10">
      <c r="A6346" s="7" t="s">
        <v>6380</v>
      </c>
      <c r="B6346" s="7" t="s">
        <v>8213</v>
      </c>
      <c r="C6346" s="8">
        <f>QS.CONTEXT.CREATE("market.6344",A6346,"USD","SOFR")</f>
        <v/>
      </c>
      <c r="D6346" s="8">
        <f>QS.CONTEXT.ADD.CURVE(C6346,"SOFR",$K$2:$K$7,$L$2:$L$7,,,"Actual360","LogLinear",TRUE)</f>
        <v/>
      </c>
      <c r="E6346" s="8">
        <f>QS.INSTRUMENT.SWAP("swap.6344",C6346,H6346,B6346,"USD","SOFR",I6346,J6346,0,"Actual360","Simple","Annual","Annual","Annual")</f>
        <v/>
      </c>
      <c r="F6346" s="8">
        <f>QS.TRADE.CREATE("trade.6344",C6346,E6346,A6346,"Receive")</f>
        <v/>
      </c>
      <c r="G6346" s="5"/>
      <c r="H6346" s="7" t="s">
        <v>6387</v>
      </c>
      <c r="I6346" s="9">
        <v>1634400</v>
      </c>
      <c r="J6346" s="10">
        <v>0.0394</v>
      </c>
    </row>
    <row r="6347" spans="1:10">
      <c r="A6347" s="7" t="s">
        <v>6381</v>
      </c>
      <c r="B6347" s="7" t="s">
        <v>8214</v>
      </c>
      <c r="C6347" s="8">
        <f>QS.CONTEXT.CREATE("market.6345",A6347,"USD","SOFR")</f>
        <v/>
      </c>
      <c r="D6347" s="8">
        <f>QS.CONTEXT.ADD.CURVE(C6347,"SOFR",$K$2:$K$7,$L$2:$L$7,,,"Actual360","LogLinear",TRUE)</f>
        <v/>
      </c>
      <c r="E6347" s="8">
        <f>QS.INSTRUMENT.SWAP("swap.6345",C6347,H6347,B6347,"USD","SOFR",I6347,J6347,0,"Actual360","Simple","Annual","Annual","Annual")</f>
        <v/>
      </c>
      <c r="F6347" s="8">
        <f>QS.TRADE.CREATE("trade.6345",C6347,E6347,A6347,"Receive")</f>
        <v/>
      </c>
      <c r="G6347" s="5"/>
      <c r="H6347" s="7" t="s">
        <v>6388</v>
      </c>
      <c r="I6347" s="9">
        <v>1634500</v>
      </c>
      <c r="J6347" s="10">
        <v>0.03950000000000001</v>
      </c>
    </row>
    <row r="6348" spans="1:10">
      <c r="A6348" s="7" t="s">
        <v>6382</v>
      </c>
      <c r="B6348" s="7" t="s">
        <v>8215</v>
      </c>
      <c r="C6348" s="8">
        <f>QS.CONTEXT.CREATE("market.6346",A6348,"USD","SOFR")</f>
        <v/>
      </c>
      <c r="D6348" s="8">
        <f>QS.CONTEXT.ADD.CURVE(C6348,"SOFR",$K$2:$K$7,$L$2:$L$7,,,"Actual360","LogLinear",TRUE)</f>
        <v/>
      </c>
      <c r="E6348" s="8">
        <f>QS.INSTRUMENT.SWAP("swap.6346",C6348,H6348,B6348,"USD","SOFR",I6348,J6348,0,"Actual360","Simple","Annual","Annual","Annual")</f>
        <v/>
      </c>
      <c r="F6348" s="8">
        <f>QS.TRADE.CREATE("trade.6346",C6348,E6348,A6348,"Receive")</f>
        <v/>
      </c>
      <c r="G6348" s="5"/>
      <c r="H6348" s="7" t="s">
        <v>6389</v>
      </c>
      <c r="I6348" s="9">
        <v>1634600</v>
      </c>
      <c r="J6348" s="10">
        <v>0.0396</v>
      </c>
    </row>
    <row r="6349" spans="1:10">
      <c r="A6349" s="7" t="s">
        <v>6383</v>
      </c>
      <c r="B6349" s="7" t="s">
        <v>8216</v>
      </c>
      <c r="C6349" s="8">
        <f>QS.CONTEXT.CREATE("market.6347",A6349,"USD","SOFR")</f>
        <v/>
      </c>
      <c r="D6349" s="8">
        <f>QS.CONTEXT.ADD.CURVE(C6349,"SOFR",$K$2:$K$7,$L$2:$L$7,,,"Actual360","LogLinear",TRUE)</f>
        <v/>
      </c>
      <c r="E6349" s="8">
        <f>QS.INSTRUMENT.SWAP("swap.6347",C6349,H6349,B6349,"USD","SOFR",I6349,J6349,0,"Actual360","Simple","Annual","Annual","Annual")</f>
        <v/>
      </c>
      <c r="F6349" s="8">
        <f>QS.TRADE.CREATE("trade.6347",C6349,E6349,A6349,"Receive")</f>
        <v/>
      </c>
      <c r="G6349" s="5"/>
      <c r="H6349" s="7" t="s">
        <v>6390</v>
      </c>
      <c r="I6349" s="9">
        <v>1634700</v>
      </c>
      <c r="J6349" s="10">
        <v>0.03970000000000001</v>
      </c>
    </row>
    <row r="6350" spans="1:10">
      <c r="A6350" s="7" t="s">
        <v>6384</v>
      </c>
      <c r="B6350" s="7" t="s">
        <v>8217</v>
      </c>
      <c r="C6350" s="8">
        <f>QS.CONTEXT.CREATE("market.6348",A6350,"USD","SOFR")</f>
        <v/>
      </c>
      <c r="D6350" s="8">
        <f>QS.CONTEXT.ADD.CURVE(C6350,"SOFR",$K$2:$K$7,$L$2:$L$7,,,"Actual360","LogLinear",TRUE)</f>
        <v/>
      </c>
      <c r="E6350" s="8">
        <f>QS.INSTRUMENT.SWAP("swap.6348",C6350,H6350,B6350,"USD","SOFR",I6350,J6350,0,"Actual360","Simple","Annual","Annual","Annual")</f>
        <v/>
      </c>
      <c r="F6350" s="8">
        <f>QS.TRADE.CREATE("trade.6348",C6350,E6350,A6350,"Receive")</f>
        <v/>
      </c>
      <c r="G6350" s="5"/>
      <c r="H6350" s="7" t="s">
        <v>6391</v>
      </c>
      <c r="I6350" s="9">
        <v>1634800</v>
      </c>
      <c r="J6350" s="10">
        <v>0.0398</v>
      </c>
    </row>
    <row r="6351" spans="1:10">
      <c r="A6351" s="7" t="s">
        <v>6385</v>
      </c>
      <c r="B6351" s="7" t="s">
        <v>8218</v>
      </c>
      <c r="C6351" s="8">
        <f>QS.CONTEXT.CREATE("market.6349",A6351,"USD","SOFR")</f>
        <v/>
      </c>
      <c r="D6351" s="8">
        <f>QS.CONTEXT.ADD.CURVE(C6351,"SOFR",$K$2:$K$7,$L$2:$L$7,,,"Actual360","LogLinear",TRUE)</f>
        <v/>
      </c>
      <c r="E6351" s="8">
        <f>QS.INSTRUMENT.SWAP("swap.6349",C6351,H6351,B6351,"USD","SOFR",I6351,J6351,0,"Actual360","Simple","Annual","Annual","Annual")</f>
        <v/>
      </c>
      <c r="F6351" s="8">
        <f>QS.TRADE.CREATE("trade.6349",C6351,E6351,A6351,"Receive")</f>
        <v/>
      </c>
      <c r="G6351" s="5"/>
      <c r="H6351" s="7" t="s">
        <v>6392</v>
      </c>
      <c r="I6351" s="9">
        <v>1634900</v>
      </c>
      <c r="J6351" s="10">
        <v>0.0399</v>
      </c>
    </row>
    <row r="6352" spans="1:10">
      <c r="A6352" s="7" t="s">
        <v>6386</v>
      </c>
      <c r="B6352" s="7" t="s">
        <v>8219</v>
      </c>
      <c r="C6352" s="8">
        <f>QS.CONTEXT.CREATE("market.6350",A6352,"USD","SOFR")</f>
        <v/>
      </c>
      <c r="D6352" s="8">
        <f>QS.CONTEXT.ADD.CURVE(C6352,"SOFR",$K$2:$K$7,$L$2:$L$7,,,"Actual360","LogLinear",TRUE)</f>
        <v/>
      </c>
      <c r="E6352" s="8">
        <f>QS.INSTRUMENT.SWAP("swap.6350",C6352,H6352,B6352,"USD","SOFR",I6352,J6352,0,"Actual360","Simple","Annual","Annual","Annual")</f>
        <v/>
      </c>
      <c r="F6352" s="8">
        <f>QS.TRADE.CREATE("trade.6350",C6352,E6352,A6352,"Receive")</f>
        <v/>
      </c>
      <c r="G6352" s="5"/>
      <c r="H6352" s="7" t="s">
        <v>6393</v>
      </c>
      <c r="I6352" s="9">
        <v>1635000</v>
      </c>
      <c r="J6352" s="10">
        <v>0.035</v>
      </c>
    </row>
    <row r="6353" spans="1:10">
      <c r="A6353" s="7" t="s">
        <v>6387</v>
      </c>
      <c r="B6353" s="7" t="s">
        <v>8220</v>
      </c>
      <c r="C6353" s="8">
        <f>QS.CONTEXT.CREATE("market.6351",A6353,"USD","SOFR")</f>
        <v/>
      </c>
      <c r="D6353" s="8">
        <f>QS.CONTEXT.ADD.CURVE(C6353,"SOFR",$K$2:$K$7,$L$2:$L$7,,,"Actual360","LogLinear",TRUE)</f>
        <v/>
      </c>
      <c r="E6353" s="8">
        <f>QS.INSTRUMENT.SWAP("swap.6351",C6353,H6353,B6353,"USD","SOFR",I6353,J6353,0,"Actual360","Simple","Annual","Annual","Annual")</f>
        <v/>
      </c>
      <c r="F6353" s="8">
        <f>QS.TRADE.CREATE("trade.6351",C6353,E6353,A6353,"Receive")</f>
        <v/>
      </c>
      <c r="G6353" s="5"/>
      <c r="H6353" s="7" t="s">
        <v>6394</v>
      </c>
      <c r="I6353" s="9">
        <v>1635100</v>
      </c>
      <c r="J6353" s="10">
        <v>0.03510000000000001</v>
      </c>
    </row>
    <row r="6354" spans="1:10">
      <c r="A6354" s="7" t="s">
        <v>6388</v>
      </c>
      <c r="B6354" s="7" t="s">
        <v>8221</v>
      </c>
      <c r="C6354" s="8">
        <f>QS.CONTEXT.CREATE("market.6352",A6354,"USD","SOFR")</f>
        <v/>
      </c>
      <c r="D6354" s="8">
        <f>QS.CONTEXT.ADD.CURVE(C6354,"SOFR",$K$2:$K$7,$L$2:$L$7,,,"Actual360","LogLinear",TRUE)</f>
        <v/>
      </c>
      <c r="E6354" s="8">
        <f>QS.INSTRUMENT.SWAP("swap.6352",C6354,H6354,B6354,"USD","SOFR",I6354,J6354,0,"Actual360","Simple","Annual","Annual","Annual")</f>
        <v/>
      </c>
      <c r="F6354" s="8">
        <f>QS.TRADE.CREATE("trade.6352",C6354,E6354,A6354,"Receive")</f>
        <v/>
      </c>
      <c r="G6354" s="5"/>
      <c r="H6354" s="7" t="s">
        <v>6395</v>
      </c>
      <c r="I6354" s="9">
        <v>1635200</v>
      </c>
      <c r="J6354" s="10">
        <v>0.0352</v>
      </c>
    </row>
    <row r="6355" spans="1:10">
      <c r="A6355" s="7" t="s">
        <v>6389</v>
      </c>
      <c r="B6355" s="7" t="s">
        <v>8222</v>
      </c>
      <c r="C6355" s="8">
        <f>QS.CONTEXT.CREATE("market.6353",A6355,"USD","SOFR")</f>
        <v/>
      </c>
      <c r="D6355" s="8">
        <f>QS.CONTEXT.ADD.CURVE(C6355,"SOFR",$K$2:$K$7,$L$2:$L$7,,,"Actual360","LogLinear",TRUE)</f>
        <v/>
      </c>
      <c r="E6355" s="8">
        <f>QS.INSTRUMENT.SWAP("swap.6353",C6355,H6355,B6355,"USD","SOFR",I6355,J6355,0,"Actual360","Simple","Annual","Annual","Annual")</f>
        <v/>
      </c>
      <c r="F6355" s="8">
        <f>QS.TRADE.CREATE("trade.6353",C6355,E6355,A6355,"Receive")</f>
        <v/>
      </c>
      <c r="G6355" s="5"/>
      <c r="H6355" s="7" t="s">
        <v>6396</v>
      </c>
      <c r="I6355" s="9">
        <v>1635300</v>
      </c>
      <c r="J6355" s="10">
        <v>0.0353</v>
      </c>
    </row>
    <row r="6356" spans="1:10">
      <c r="A6356" s="7" t="s">
        <v>6390</v>
      </c>
      <c r="B6356" s="7" t="s">
        <v>8223</v>
      </c>
      <c r="C6356" s="8">
        <f>QS.CONTEXT.CREATE("market.6354",A6356,"USD","SOFR")</f>
        <v/>
      </c>
      <c r="D6356" s="8">
        <f>QS.CONTEXT.ADD.CURVE(C6356,"SOFR",$K$2:$K$7,$L$2:$L$7,,,"Actual360","LogLinear",TRUE)</f>
        <v/>
      </c>
      <c r="E6356" s="8">
        <f>QS.INSTRUMENT.SWAP("swap.6354",C6356,H6356,B6356,"USD","SOFR",I6356,J6356,0,"Actual360","Simple","Annual","Annual","Annual")</f>
        <v/>
      </c>
      <c r="F6356" s="8">
        <f>QS.TRADE.CREATE("trade.6354",C6356,E6356,A6356,"Receive")</f>
        <v/>
      </c>
      <c r="G6356" s="5"/>
      <c r="H6356" s="7" t="s">
        <v>6397</v>
      </c>
      <c r="I6356" s="9">
        <v>1635400</v>
      </c>
      <c r="J6356" s="10">
        <v>0.0354</v>
      </c>
    </row>
    <row r="6357" spans="1:10">
      <c r="A6357" s="7" t="s">
        <v>6391</v>
      </c>
      <c r="B6357" s="7" t="s">
        <v>8224</v>
      </c>
      <c r="C6357" s="8">
        <f>QS.CONTEXT.CREATE("market.6355",A6357,"USD","SOFR")</f>
        <v/>
      </c>
      <c r="D6357" s="8">
        <f>QS.CONTEXT.ADD.CURVE(C6357,"SOFR",$K$2:$K$7,$L$2:$L$7,,,"Actual360","LogLinear",TRUE)</f>
        <v/>
      </c>
      <c r="E6357" s="8">
        <f>QS.INSTRUMENT.SWAP("swap.6355",C6357,H6357,B6357,"USD","SOFR",I6357,J6357,0,"Actual360","Simple","Annual","Annual","Annual")</f>
        <v/>
      </c>
      <c r="F6357" s="8">
        <f>QS.TRADE.CREATE("trade.6355",C6357,E6357,A6357,"Receive")</f>
        <v/>
      </c>
      <c r="G6357" s="5"/>
      <c r="H6357" s="7" t="s">
        <v>6398</v>
      </c>
      <c r="I6357" s="9">
        <v>1635500</v>
      </c>
      <c r="J6357" s="10">
        <v>0.0355</v>
      </c>
    </row>
    <row r="6358" spans="1:10">
      <c r="A6358" s="7" t="s">
        <v>6392</v>
      </c>
      <c r="B6358" s="7" t="s">
        <v>8225</v>
      </c>
      <c r="C6358" s="8">
        <f>QS.CONTEXT.CREATE("market.6356",A6358,"USD","SOFR")</f>
        <v/>
      </c>
      <c r="D6358" s="8">
        <f>QS.CONTEXT.ADD.CURVE(C6358,"SOFR",$K$2:$K$7,$L$2:$L$7,,,"Actual360","LogLinear",TRUE)</f>
        <v/>
      </c>
      <c r="E6358" s="8">
        <f>QS.INSTRUMENT.SWAP("swap.6356",C6358,H6358,B6358,"USD","SOFR",I6358,J6358,0,"Actual360","Simple","Annual","Annual","Annual")</f>
        <v/>
      </c>
      <c r="F6358" s="8">
        <f>QS.TRADE.CREATE("trade.6356",C6358,E6358,A6358,"Receive")</f>
        <v/>
      </c>
      <c r="G6358" s="5"/>
      <c r="H6358" s="7" t="s">
        <v>6399</v>
      </c>
      <c r="I6358" s="9">
        <v>1635600</v>
      </c>
      <c r="J6358" s="10">
        <v>0.03560000000000001</v>
      </c>
    </row>
    <row r="6359" spans="1:10">
      <c r="A6359" s="7" t="s">
        <v>6393</v>
      </c>
      <c r="B6359" s="7" t="s">
        <v>8226</v>
      </c>
      <c r="C6359" s="8">
        <f>QS.CONTEXT.CREATE("market.6357",A6359,"USD","SOFR")</f>
        <v/>
      </c>
      <c r="D6359" s="8">
        <f>QS.CONTEXT.ADD.CURVE(C6359,"SOFR",$K$2:$K$7,$L$2:$L$7,,,"Actual360","LogLinear",TRUE)</f>
        <v/>
      </c>
      <c r="E6359" s="8">
        <f>QS.INSTRUMENT.SWAP("swap.6357",C6359,H6359,B6359,"USD","SOFR",I6359,J6359,0,"Actual360","Simple","Annual","Annual","Annual")</f>
        <v/>
      </c>
      <c r="F6359" s="8">
        <f>QS.TRADE.CREATE("trade.6357",C6359,E6359,A6359,"Receive")</f>
        <v/>
      </c>
      <c r="G6359" s="5"/>
      <c r="H6359" s="7" t="s">
        <v>6400</v>
      </c>
      <c r="I6359" s="9">
        <v>1635700</v>
      </c>
      <c r="J6359" s="10">
        <v>0.0357</v>
      </c>
    </row>
    <row r="6360" spans="1:10">
      <c r="A6360" s="7" t="s">
        <v>6394</v>
      </c>
      <c r="B6360" s="7" t="s">
        <v>8227</v>
      </c>
      <c r="C6360" s="8">
        <f>QS.CONTEXT.CREATE("market.6358",A6360,"USD","SOFR")</f>
        <v/>
      </c>
      <c r="D6360" s="8">
        <f>QS.CONTEXT.ADD.CURVE(C6360,"SOFR",$K$2:$K$7,$L$2:$L$7,,,"Actual360","LogLinear",TRUE)</f>
        <v/>
      </c>
      <c r="E6360" s="8">
        <f>QS.INSTRUMENT.SWAP("swap.6358",C6360,H6360,B6360,"USD","SOFR",I6360,J6360,0,"Actual360","Simple","Annual","Annual","Annual")</f>
        <v/>
      </c>
      <c r="F6360" s="8">
        <f>QS.TRADE.CREATE("trade.6358",C6360,E6360,A6360,"Receive")</f>
        <v/>
      </c>
      <c r="G6360" s="5"/>
      <c r="H6360" s="7" t="s">
        <v>6401</v>
      </c>
      <c r="I6360" s="9">
        <v>1635800</v>
      </c>
      <c r="J6360" s="10">
        <v>0.03580000000000001</v>
      </c>
    </row>
    <row r="6361" spans="1:10">
      <c r="A6361" s="7" t="s">
        <v>6395</v>
      </c>
      <c r="B6361" s="7" t="s">
        <v>8228</v>
      </c>
      <c r="C6361" s="8">
        <f>QS.CONTEXT.CREATE("market.6359",A6361,"USD","SOFR")</f>
        <v/>
      </c>
      <c r="D6361" s="8">
        <f>QS.CONTEXT.ADD.CURVE(C6361,"SOFR",$K$2:$K$7,$L$2:$L$7,,,"Actual360","LogLinear",TRUE)</f>
        <v/>
      </c>
      <c r="E6361" s="8">
        <f>QS.INSTRUMENT.SWAP("swap.6359",C6361,H6361,B6361,"USD","SOFR",I6361,J6361,0,"Actual360","Simple","Annual","Annual","Annual")</f>
        <v/>
      </c>
      <c r="F6361" s="8">
        <f>QS.TRADE.CREATE("trade.6359",C6361,E6361,A6361,"Receive")</f>
        <v/>
      </c>
      <c r="G6361" s="5"/>
      <c r="H6361" s="7" t="s">
        <v>6402</v>
      </c>
      <c r="I6361" s="9">
        <v>1635900</v>
      </c>
      <c r="J6361" s="10">
        <v>0.0359</v>
      </c>
    </row>
    <row r="6362" spans="1:10">
      <c r="A6362" s="7" t="s">
        <v>6396</v>
      </c>
      <c r="B6362" s="7" t="s">
        <v>8229</v>
      </c>
      <c r="C6362" s="8">
        <f>QS.CONTEXT.CREATE("market.6360",A6362,"USD","SOFR")</f>
        <v/>
      </c>
      <c r="D6362" s="8">
        <f>QS.CONTEXT.ADD.CURVE(C6362,"SOFR",$K$2:$K$7,$L$2:$L$7,,,"Actual360","LogLinear",TRUE)</f>
        <v/>
      </c>
      <c r="E6362" s="8">
        <f>QS.INSTRUMENT.SWAP("swap.6360",C6362,H6362,B6362,"USD","SOFR",I6362,J6362,0,"Actual360","Simple","Annual","Annual","Annual")</f>
        <v/>
      </c>
      <c r="F6362" s="8">
        <f>QS.TRADE.CREATE("trade.6360",C6362,E6362,A6362,"Receive")</f>
        <v/>
      </c>
      <c r="G6362" s="5"/>
      <c r="H6362" s="7" t="s">
        <v>6403</v>
      </c>
      <c r="I6362" s="9">
        <v>1636000</v>
      </c>
      <c r="J6362" s="10">
        <v>0.036</v>
      </c>
    </row>
    <row r="6363" spans="1:10">
      <c r="A6363" s="7" t="s">
        <v>6397</v>
      </c>
      <c r="B6363" s="7" t="s">
        <v>8230</v>
      </c>
      <c r="C6363" s="8">
        <f>QS.CONTEXT.CREATE("market.6361",A6363,"USD","SOFR")</f>
        <v/>
      </c>
      <c r="D6363" s="8">
        <f>QS.CONTEXT.ADD.CURVE(C6363,"SOFR",$K$2:$K$7,$L$2:$L$7,,,"Actual360","LogLinear",TRUE)</f>
        <v/>
      </c>
      <c r="E6363" s="8">
        <f>QS.INSTRUMENT.SWAP("swap.6361",C6363,H6363,B6363,"USD","SOFR",I6363,J6363,0,"Actual360","Simple","Annual","Annual","Annual")</f>
        <v/>
      </c>
      <c r="F6363" s="8">
        <f>QS.TRADE.CREATE("trade.6361",C6363,E6363,A6363,"Receive")</f>
        <v/>
      </c>
      <c r="G6363" s="5"/>
      <c r="H6363" s="7" t="s">
        <v>6404</v>
      </c>
      <c r="I6363" s="9">
        <v>1636100</v>
      </c>
      <c r="J6363" s="10">
        <v>0.0361</v>
      </c>
    </row>
    <row r="6364" spans="1:10">
      <c r="A6364" s="7" t="s">
        <v>6398</v>
      </c>
      <c r="B6364" s="7" t="s">
        <v>8231</v>
      </c>
      <c r="C6364" s="8">
        <f>QS.CONTEXT.CREATE("market.6362",A6364,"USD","SOFR")</f>
        <v/>
      </c>
      <c r="D6364" s="8">
        <f>QS.CONTEXT.ADD.CURVE(C6364,"SOFR",$K$2:$K$7,$L$2:$L$7,,,"Actual360","LogLinear",TRUE)</f>
        <v/>
      </c>
      <c r="E6364" s="8">
        <f>QS.INSTRUMENT.SWAP("swap.6362",C6364,H6364,B6364,"USD","SOFR",I6364,J6364,0,"Actual360","Simple","Annual","Annual","Annual")</f>
        <v/>
      </c>
      <c r="F6364" s="8">
        <f>QS.TRADE.CREATE("trade.6362",C6364,E6364,A6364,"Receive")</f>
        <v/>
      </c>
      <c r="G6364" s="5"/>
      <c r="H6364" s="7" t="s">
        <v>6405</v>
      </c>
      <c r="I6364" s="9">
        <v>1636200</v>
      </c>
      <c r="J6364" s="10">
        <v>0.0362</v>
      </c>
    </row>
    <row r="6365" spans="1:10">
      <c r="A6365" s="7" t="s">
        <v>6399</v>
      </c>
      <c r="B6365" s="7" t="s">
        <v>8232</v>
      </c>
      <c r="C6365" s="8">
        <f>QS.CONTEXT.CREATE("market.6363",A6365,"USD","SOFR")</f>
        <v/>
      </c>
      <c r="D6365" s="8">
        <f>QS.CONTEXT.ADD.CURVE(C6365,"SOFR",$K$2:$K$7,$L$2:$L$7,,,"Actual360","LogLinear",TRUE)</f>
        <v/>
      </c>
      <c r="E6365" s="8">
        <f>QS.INSTRUMENT.SWAP("swap.6363",C6365,H6365,B6365,"USD","SOFR",I6365,J6365,0,"Actual360","Simple","Annual","Annual","Annual")</f>
        <v/>
      </c>
      <c r="F6365" s="8">
        <f>QS.TRADE.CREATE("trade.6363",C6365,E6365,A6365,"Receive")</f>
        <v/>
      </c>
      <c r="G6365" s="5"/>
      <c r="H6365" s="7" t="s">
        <v>6406</v>
      </c>
      <c r="I6365" s="9">
        <v>1636300</v>
      </c>
      <c r="J6365" s="10">
        <v>0.03630000000000001</v>
      </c>
    </row>
    <row r="6366" spans="1:10">
      <c r="A6366" s="7" t="s">
        <v>6400</v>
      </c>
      <c r="B6366" s="7" t="s">
        <v>8233</v>
      </c>
      <c r="C6366" s="8">
        <f>QS.CONTEXT.CREATE("market.6364",A6366,"USD","SOFR")</f>
        <v/>
      </c>
      <c r="D6366" s="8">
        <f>QS.CONTEXT.ADD.CURVE(C6366,"SOFR",$K$2:$K$7,$L$2:$L$7,,,"Actual360","LogLinear",TRUE)</f>
        <v/>
      </c>
      <c r="E6366" s="8">
        <f>QS.INSTRUMENT.SWAP("swap.6364",C6366,H6366,B6366,"USD","SOFR",I6366,J6366,0,"Actual360","Simple","Annual","Annual","Annual")</f>
        <v/>
      </c>
      <c r="F6366" s="8">
        <f>QS.TRADE.CREATE("trade.6364",C6366,E6366,A6366,"Receive")</f>
        <v/>
      </c>
      <c r="G6366" s="5"/>
      <c r="H6366" s="7" t="s">
        <v>6407</v>
      </c>
      <c r="I6366" s="9">
        <v>1636400</v>
      </c>
      <c r="J6366" s="10">
        <v>0.0364</v>
      </c>
    </row>
    <row r="6367" spans="1:10">
      <c r="A6367" s="7" t="s">
        <v>6401</v>
      </c>
      <c r="B6367" s="7" t="s">
        <v>8234</v>
      </c>
      <c r="C6367" s="8">
        <f>QS.CONTEXT.CREATE("market.6365",A6367,"USD","SOFR")</f>
        <v/>
      </c>
      <c r="D6367" s="8">
        <f>QS.CONTEXT.ADD.CURVE(C6367,"SOFR",$K$2:$K$7,$L$2:$L$7,,,"Actual360","LogLinear",TRUE)</f>
        <v/>
      </c>
      <c r="E6367" s="8">
        <f>QS.INSTRUMENT.SWAP("swap.6365",C6367,H6367,B6367,"USD","SOFR",I6367,J6367,0,"Actual360","Simple","Annual","Annual","Annual")</f>
        <v/>
      </c>
      <c r="F6367" s="8">
        <f>QS.TRADE.CREATE("trade.6365",C6367,E6367,A6367,"Receive")</f>
        <v/>
      </c>
      <c r="G6367" s="5"/>
      <c r="H6367" s="7" t="s">
        <v>6408</v>
      </c>
      <c r="I6367" s="9">
        <v>1636500</v>
      </c>
      <c r="J6367" s="10">
        <v>0.0365</v>
      </c>
    </row>
    <row r="6368" spans="1:10">
      <c r="A6368" s="7" t="s">
        <v>6402</v>
      </c>
      <c r="B6368" s="7" t="s">
        <v>8235</v>
      </c>
      <c r="C6368" s="8">
        <f>QS.CONTEXT.CREATE("market.6366",A6368,"USD","SOFR")</f>
        <v/>
      </c>
      <c r="D6368" s="8">
        <f>QS.CONTEXT.ADD.CURVE(C6368,"SOFR",$K$2:$K$7,$L$2:$L$7,,,"Actual360","LogLinear",TRUE)</f>
        <v/>
      </c>
      <c r="E6368" s="8">
        <f>QS.INSTRUMENT.SWAP("swap.6366",C6368,H6368,B6368,"USD","SOFR",I6368,J6368,0,"Actual360","Simple","Annual","Annual","Annual")</f>
        <v/>
      </c>
      <c r="F6368" s="8">
        <f>QS.TRADE.CREATE("trade.6366",C6368,E6368,A6368,"Receive")</f>
        <v/>
      </c>
      <c r="G6368" s="5"/>
      <c r="H6368" s="7" t="s">
        <v>6409</v>
      </c>
      <c r="I6368" s="9">
        <v>1636600</v>
      </c>
      <c r="J6368" s="10">
        <v>0.0366</v>
      </c>
    </row>
    <row r="6369" spans="1:10">
      <c r="A6369" s="7" t="s">
        <v>6403</v>
      </c>
      <c r="B6369" s="7" t="s">
        <v>8236</v>
      </c>
      <c r="C6369" s="8">
        <f>QS.CONTEXT.CREATE("market.6367",A6369,"USD","SOFR")</f>
        <v/>
      </c>
      <c r="D6369" s="8">
        <f>QS.CONTEXT.ADD.CURVE(C6369,"SOFR",$K$2:$K$7,$L$2:$L$7,,,"Actual360","LogLinear",TRUE)</f>
        <v/>
      </c>
      <c r="E6369" s="8">
        <f>QS.INSTRUMENT.SWAP("swap.6367",C6369,H6369,B6369,"USD","SOFR",I6369,J6369,0,"Actual360","Simple","Annual","Annual","Annual")</f>
        <v/>
      </c>
      <c r="F6369" s="8">
        <f>QS.TRADE.CREATE("trade.6367",C6369,E6369,A6369,"Receive")</f>
        <v/>
      </c>
      <c r="G6369" s="5"/>
      <c r="H6369" s="7" t="s">
        <v>6410</v>
      </c>
      <c r="I6369" s="9">
        <v>1636700</v>
      </c>
      <c r="J6369" s="10">
        <v>0.0367</v>
      </c>
    </row>
    <row r="6370" spans="1:10">
      <c r="A6370" s="7" t="s">
        <v>6404</v>
      </c>
      <c r="B6370" s="7" t="s">
        <v>8237</v>
      </c>
      <c r="C6370" s="8">
        <f>QS.CONTEXT.CREATE("market.6368",A6370,"USD","SOFR")</f>
        <v/>
      </c>
      <c r="D6370" s="8">
        <f>QS.CONTEXT.ADD.CURVE(C6370,"SOFR",$K$2:$K$7,$L$2:$L$7,,,"Actual360","LogLinear",TRUE)</f>
        <v/>
      </c>
      <c r="E6370" s="8">
        <f>QS.INSTRUMENT.SWAP("swap.6368",C6370,H6370,B6370,"USD","SOFR",I6370,J6370,0,"Actual360","Simple","Annual","Annual","Annual")</f>
        <v/>
      </c>
      <c r="F6370" s="8">
        <f>QS.TRADE.CREATE("trade.6368",C6370,E6370,A6370,"Receive")</f>
        <v/>
      </c>
      <c r="G6370" s="5"/>
      <c r="H6370" s="7" t="s">
        <v>6411</v>
      </c>
      <c r="I6370" s="9">
        <v>1636800</v>
      </c>
      <c r="J6370" s="10">
        <v>0.03680000000000001</v>
      </c>
    </row>
    <row r="6371" spans="1:10">
      <c r="A6371" s="7" t="s">
        <v>6405</v>
      </c>
      <c r="B6371" s="7" t="s">
        <v>8238</v>
      </c>
      <c r="C6371" s="8">
        <f>QS.CONTEXT.CREATE("market.6369",A6371,"USD","SOFR")</f>
        <v/>
      </c>
      <c r="D6371" s="8">
        <f>QS.CONTEXT.ADD.CURVE(C6371,"SOFR",$K$2:$K$7,$L$2:$L$7,,,"Actual360","LogLinear",TRUE)</f>
        <v/>
      </c>
      <c r="E6371" s="8">
        <f>QS.INSTRUMENT.SWAP("swap.6369",C6371,H6371,B6371,"USD","SOFR",I6371,J6371,0,"Actual360","Simple","Annual","Annual","Annual")</f>
        <v/>
      </c>
      <c r="F6371" s="8">
        <f>QS.TRADE.CREATE("trade.6369",C6371,E6371,A6371,"Receive")</f>
        <v/>
      </c>
      <c r="G6371" s="5"/>
      <c r="H6371" s="7" t="s">
        <v>6412</v>
      </c>
      <c r="I6371" s="9">
        <v>1636900</v>
      </c>
      <c r="J6371" s="10">
        <v>0.0369</v>
      </c>
    </row>
    <row r="6372" spans="1:10">
      <c r="A6372" s="7" t="s">
        <v>6406</v>
      </c>
      <c r="B6372" s="7" t="s">
        <v>8239</v>
      </c>
      <c r="C6372" s="8">
        <f>QS.CONTEXT.CREATE("market.6370",A6372,"USD","SOFR")</f>
        <v/>
      </c>
      <c r="D6372" s="8">
        <f>QS.CONTEXT.ADD.CURVE(C6372,"SOFR",$K$2:$K$7,$L$2:$L$7,,,"Actual360","LogLinear",TRUE)</f>
        <v/>
      </c>
      <c r="E6372" s="8">
        <f>QS.INSTRUMENT.SWAP("swap.6370",C6372,H6372,B6372,"USD","SOFR",I6372,J6372,0,"Actual360","Simple","Annual","Annual","Annual")</f>
        <v/>
      </c>
      <c r="F6372" s="8">
        <f>QS.TRADE.CREATE("trade.6370",C6372,E6372,A6372,"Receive")</f>
        <v/>
      </c>
      <c r="G6372" s="5"/>
      <c r="H6372" s="7" t="s">
        <v>6413</v>
      </c>
      <c r="I6372" s="9">
        <v>1637000</v>
      </c>
      <c r="J6372" s="10">
        <v>0.03700000000000001</v>
      </c>
    </row>
    <row r="6373" spans="1:10">
      <c r="A6373" s="7" t="s">
        <v>6407</v>
      </c>
      <c r="B6373" s="7" t="s">
        <v>8240</v>
      </c>
      <c r="C6373" s="8">
        <f>QS.CONTEXT.CREATE("market.6371",A6373,"USD","SOFR")</f>
        <v/>
      </c>
      <c r="D6373" s="8">
        <f>QS.CONTEXT.ADD.CURVE(C6373,"SOFR",$K$2:$K$7,$L$2:$L$7,,,"Actual360","LogLinear",TRUE)</f>
        <v/>
      </c>
      <c r="E6373" s="8">
        <f>QS.INSTRUMENT.SWAP("swap.6371",C6373,H6373,B6373,"USD","SOFR",I6373,J6373,0,"Actual360","Simple","Annual","Annual","Annual")</f>
        <v/>
      </c>
      <c r="F6373" s="8">
        <f>QS.TRADE.CREATE("trade.6371",C6373,E6373,A6373,"Receive")</f>
        <v/>
      </c>
      <c r="G6373" s="5"/>
      <c r="H6373" s="7" t="s">
        <v>6414</v>
      </c>
      <c r="I6373" s="9">
        <v>1637100</v>
      </c>
      <c r="J6373" s="10">
        <v>0.0371</v>
      </c>
    </row>
    <row r="6374" spans="1:10">
      <c r="A6374" s="7" t="s">
        <v>6408</v>
      </c>
      <c r="B6374" s="7" t="s">
        <v>8241</v>
      </c>
      <c r="C6374" s="8">
        <f>QS.CONTEXT.CREATE("market.6372",A6374,"USD","SOFR")</f>
        <v/>
      </c>
      <c r="D6374" s="8">
        <f>QS.CONTEXT.ADD.CURVE(C6374,"SOFR",$K$2:$K$7,$L$2:$L$7,,,"Actual360","LogLinear",TRUE)</f>
        <v/>
      </c>
      <c r="E6374" s="8">
        <f>QS.INSTRUMENT.SWAP("swap.6372",C6374,H6374,B6374,"USD","SOFR",I6374,J6374,0,"Actual360","Simple","Annual","Annual","Annual")</f>
        <v/>
      </c>
      <c r="F6374" s="8">
        <f>QS.TRADE.CREATE("trade.6372",C6374,E6374,A6374,"Receive")</f>
        <v/>
      </c>
      <c r="G6374" s="5"/>
      <c r="H6374" s="7" t="s">
        <v>6415</v>
      </c>
      <c r="I6374" s="9">
        <v>1637200</v>
      </c>
      <c r="J6374" s="10">
        <v>0.0372</v>
      </c>
    </row>
    <row r="6375" spans="1:10">
      <c r="A6375" s="7" t="s">
        <v>6409</v>
      </c>
      <c r="B6375" s="7" t="s">
        <v>8242</v>
      </c>
      <c r="C6375" s="8">
        <f>QS.CONTEXT.CREATE("market.6373",A6375,"USD","SOFR")</f>
        <v/>
      </c>
      <c r="D6375" s="8">
        <f>QS.CONTEXT.ADD.CURVE(C6375,"SOFR",$K$2:$K$7,$L$2:$L$7,,,"Actual360","LogLinear",TRUE)</f>
        <v/>
      </c>
      <c r="E6375" s="8">
        <f>QS.INSTRUMENT.SWAP("swap.6373",C6375,H6375,B6375,"USD","SOFR",I6375,J6375,0,"Actual360","Simple","Annual","Annual","Annual")</f>
        <v/>
      </c>
      <c r="F6375" s="8">
        <f>QS.TRADE.CREATE("trade.6373",C6375,E6375,A6375,"Receive")</f>
        <v/>
      </c>
      <c r="G6375" s="5"/>
      <c r="H6375" s="7" t="s">
        <v>6416</v>
      </c>
      <c r="I6375" s="9">
        <v>1637300</v>
      </c>
      <c r="J6375" s="10">
        <v>0.0373</v>
      </c>
    </row>
    <row r="6376" spans="1:10">
      <c r="A6376" s="7" t="s">
        <v>6410</v>
      </c>
      <c r="B6376" s="7" t="s">
        <v>8243</v>
      </c>
      <c r="C6376" s="8">
        <f>QS.CONTEXT.CREATE("market.6374",A6376,"USD","SOFR")</f>
        <v/>
      </c>
      <c r="D6376" s="8">
        <f>QS.CONTEXT.ADD.CURVE(C6376,"SOFR",$K$2:$K$7,$L$2:$L$7,,,"Actual360","LogLinear",TRUE)</f>
        <v/>
      </c>
      <c r="E6376" s="8">
        <f>QS.INSTRUMENT.SWAP("swap.6374",C6376,H6376,B6376,"USD","SOFR",I6376,J6376,0,"Actual360","Simple","Annual","Annual","Annual")</f>
        <v/>
      </c>
      <c r="F6376" s="8">
        <f>QS.TRADE.CREATE("trade.6374",C6376,E6376,A6376,"Receive")</f>
        <v/>
      </c>
      <c r="G6376" s="5"/>
      <c r="H6376" s="7" t="s">
        <v>6417</v>
      </c>
      <c r="I6376" s="9">
        <v>1637400</v>
      </c>
      <c r="J6376" s="10">
        <v>0.0374</v>
      </c>
    </row>
    <row r="6377" spans="1:10">
      <c r="A6377" s="7" t="s">
        <v>6411</v>
      </c>
      <c r="B6377" s="7" t="s">
        <v>8244</v>
      </c>
      <c r="C6377" s="8">
        <f>QS.CONTEXT.CREATE("market.6375",A6377,"USD","SOFR")</f>
        <v/>
      </c>
      <c r="D6377" s="8">
        <f>QS.CONTEXT.ADD.CURVE(C6377,"SOFR",$K$2:$K$7,$L$2:$L$7,,,"Actual360","LogLinear",TRUE)</f>
        <v/>
      </c>
      <c r="E6377" s="8">
        <f>QS.INSTRUMENT.SWAP("swap.6375",C6377,H6377,B6377,"USD","SOFR",I6377,J6377,0,"Actual360","Simple","Annual","Annual","Annual")</f>
        <v/>
      </c>
      <c r="F6377" s="8">
        <f>QS.TRADE.CREATE("trade.6375",C6377,E6377,A6377,"Receive")</f>
        <v/>
      </c>
      <c r="G6377" s="5"/>
      <c r="H6377" s="7" t="s">
        <v>6418</v>
      </c>
      <c r="I6377" s="9">
        <v>1637500</v>
      </c>
      <c r="J6377" s="10">
        <v>0.03750000000000001</v>
      </c>
    </row>
    <row r="6378" spans="1:10">
      <c r="A6378" s="7" t="s">
        <v>6412</v>
      </c>
      <c r="B6378" s="7" t="s">
        <v>8245</v>
      </c>
      <c r="C6378" s="8">
        <f>QS.CONTEXT.CREATE("market.6376",A6378,"USD","SOFR")</f>
        <v/>
      </c>
      <c r="D6378" s="8">
        <f>QS.CONTEXT.ADD.CURVE(C6378,"SOFR",$K$2:$K$7,$L$2:$L$7,,,"Actual360","LogLinear",TRUE)</f>
        <v/>
      </c>
      <c r="E6378" s="8">
        <f>QS.INSTRUMENT.SWAP("swap.6376",C6378,H6378,B6378,"USD","SOFR",I6378,J6378,0,"Actual360","Simple","Annual","Annual","Annual")</f>
        <v/>
      </c>
      <c r="F6378" s="8">
        <f>QS.TRADE.CREATE("trade.6376",C6378,E6378,A6378,"Receive")</f>
        <v/>
      </c>
      <c r="G6378" s="5"/>
      <c r="H6378" s="7" t="s">
        <v>6419</v>
      </c>
      <c r="I6378" s="9">
        <v>1637600</v>
      </c>
      <c r="J6378" s="10">
        <v>0.0376</v>
      </c>
    </row>
    <row r="6379" spans="1:10">
      <c r="A6379" s="7" t="s">
        <v>6413</v>
      </c>
      <c r="B6379" s="7" t="s">
        <v>8246</v>
      </c>
      <c r="C6379" s="8">
        <f>QS.CONTEXT.CREATE("market.6377",A6379,"USD","SOFR")</f>
        <v/>
      </c>
      <c r="D6379" s="8">
        <f>QS.CONTEXT.ADD.CURVE(C6379,"SOFR",$K$2:$K$7,$L$2:$L$7,,,"Actual360","LogLinear",TRUE)</f>
        <v/>
      </c>
      <c r="E6379" s="8">
        <f>QS.INSTRUMENT.SWAP("swap.6377",C6379,H6379,B6379,"USD","SOFR",I6379,J6379,0,"Actual360","Simple","Annual","Annual","Annual")</f>
        <v/>
      </c>
      <c r="F6379" s="8">
        <f>QS.TRADE.CREATE("trade.6377",C6379,E6379,A6379,"Receive")</f>
        <v/>
      </c>
      <c r="G6379" s="5"/>
      <c r="H6379" s="7" t="s">
        <v>6420</v>
      </c>
      <c r="I6379" s="9">
        <v>1637700</v>
      </c>
      <c r="J6379" s="10">
        <v>0.0377</v>
      </c>
    </row>
    <row r="6380" spans="1:10">
      <c r="A6380" s="7" t="s">
        <v>6414</v>
      </c>
      <c r="B6380" s="7" t="s">
        <v>8247</v>
      </c>
      <c r="C6380" s="8">
        <f>QS.CONTEXT.CREATE("market.6378",A6380,"USD","SOFR")</f>
        <v/>
      </c>
      <c r="D6380" s="8">
        <f>QS.CONTEXT.ADD.CURVE(C6380,"SOFR",$K$2:$K$7,$L$2:$L$7,,,"Actual360","LogLinear",TRUE)</f>
        <v/>
      </c>
      <c r="E6380" s="8">
        <f>QS.INSTRUMENT.SWAP("swap.6378",C6380,H6380,B6380,"USD","SOFR",I6380,J6380,0,"Actual360","Simple","Annual","Annual","Annual")</f>
        <v/>
      </c>
      <c r="F6380" s="8">
        <f>QS.TRADE.CREATE("trade.6378",C6380,E6380,A6380,"Receive")</f>
        <v/>
      </c>
      <c r="G6380" s="5"/>
      <c r="H6380" s="7" t="s">
        <v>6421</v>
      </c>
      <c r="I6380" s="9">
        <v>1637800</v>
      </c>
      <c r="J6380" s="10">
        <v>0.0378</v>
      </c>
    </row>
    <row r="6381" spans="1:10">
      <c r="A6381" s="7" t="s">
        <v>6415</v>
      </c>
      <c r="B6381" s="7" t="s">
        <v>8248</v>
      </c>
      <c r="C6381" s="8">
        <f>QS.CONTEXT.CREATE("market.6379",A6381,"USD","SOFR")</f>
        <v/>
      </c>
      <c r="D6381" s="8">
        <f>QS.CONTEXT.ADD.CURVE(C6381,"SOFR",$K$2:$K$7,$L$2:$L$7,,,"Actual360","LogLinear",TRUE)</f>
        <v/>
      </c>
      <c r="E6381" s="8">
        <f>QS.INSTRUMENT.SWAP("swap.6379",C6381,H6381,B6381,"USD","SOFR",I6381,J6381,0,"Actual360","Simple","Annual","Annual","Annual")</f>
        <v/>
      </c>
      <c r="F6381" s="8">
        <f>QS.TRADE.CREATE("trade.6379",C6381,E6381,A6381,"Receive")</f>
        <v/>
      </c>
      <c r="G6381" s="5"/>
      <c r="H6381" s="7" t="s">
        <v>6422</v>
      </c>
      <c r="I6381" s="9">
        <v>1637900</v>
      </c>
      <c r="J6381" s="10">
        <v>0.0379</v>
      </c>
    </row>
    <row r="6382" spans="1:10">
      <c r="A6382" s="7" t="s">
        <v>6416</v>
      </c>
      <c r="B6382" s="7" t="s">
        <v>8249</v>
      </c>
      <c r="C6382" s="8">
        <f>QS.CONTEXT.CREATE("market.6380",A6382,"USD","SOFR")</f>
        <v/>
      </c>
      <c r="D6382" s="8">
        <f>QS.CONTEXT.ADD.CURVE(C6382,"SOFR",$K$2:$K$7,$L$2:$L$7,,,"Actual360","LogLinear",TRUE)</f>
        <v/>
      </c>
      <c r="E6382" s="8">
        <f>QS.INSTRUMENT.SWAP("swap.6380",C6382,H6382,B6382,"USD","SOFR",I6382,J6382,0,"Actual360","Simple","Annual","Annual","Annual")</f>
        <v/>
      </c>
      <c r="F6382" s="8">
        <f>QS.TRADE.CREATE("trade.6380",C6382,E6382,A6382,"Receive")</f>
        <v/>
      </c>
      <c r="G6382" s="5"/>
      <c r="H6382" s="7" t="s">
        <v>6423</v>
      </c>
      <c r="I6382" s="9">
        <v>1638000</v>
      </c>
      <c r="J6382" s="10">
        <v>0.03800000000000001</v>
      </c>
    </row>
    <row r="6383" spans="1:10">
      <c r="A6383" s="7" t="s">
        <v>6417</v>
      </c>
      <c r="B6383" s="7" t="s">
        <v>8250</v>
      </c>
      <c r="C6383" s="8">
        <f>QS.CONTEXT.CREATE("market.6381",A6383,"USD","SOFR")</f>
        <v/>
      </c>
      <c r="D6383" s="8">
        <f>QS.CONTEXT.ADD.CURVE(C6383,"SOFR",$K$2:$K$7,$L$2:$L$7,,,"Actual360","LogLinear",TRUE)</f>
        <v/>
      </c>
      <c r="E6383" s="8">
        <f>QS.INSTRUMENT.SWAP("swap.6381",C6383,H6383,B6383,"USD","SOFR",I6383,J6383,0,"Actual360","Simple","Annual","Annual","Annual")</f>
        <v/>
      </c>
      <c r="F6383" s="8">
        <f>QS.TRADE.CREATE("trade.6381",C6383,E6383,A6383,"Receive")</f>
        <v/>
      </c>
      <c r="G6383" s="5"/>
      <c r="H6383" s="7" t="s">
        <v>6424</v>
      </c>
      <c r="I6383" s="9">
        <v>1638100</v>
      </c>
      <c r="J6383" s="10">
        <v>0.0381</v>
      </c>
    </row>
    <row r="6384" spans="1:10">
      <c r="A6384" s="7" t="s">
        <v>6418</v>
      </c>
      <c r="B6384" s="7" t="s">
        <v>8251</v>
      </c>
      <c r="C6384" s="8">
        <f>QS.CONTEXT.CREATE("market.6382",A6384,"USD","SOFR")</f>
        <v/>
      </c>
      <c r="D6384" s="8">
        <f>QS.CONTEXT.ADD.CURVE(C6384,"SOFR",$K$2:$K$7,$L$2:$L$7,,,"Actual360","LogLinear",TRUE)</f>
        <v/>
      </c>
      <c r="E6384" s="8">
        <f>QS.INSTRUMENT.SWAP("swap.6382",C6384,H6384,B6384,"USD","SOFR",I6384,J6384,0,"Actual360","Simple","Annual","Annual","Annual")</f>
        <v/>
      </c>
      <c r="F6384" s="8">
        <f>QS.TRADE.CREATE("trade.6382",C6384,E6384,A6384,"Receive")</f>
        <v/>
      </c>
      <c r="G6384" s="5"/>
      <c r="H6384" s="7" t="s">
        <v>6425</v>
      </c>
      <c r="I6384" s="9">
        <v>1638200</v>
      </c>
      <c r="J6384" s="10">
        <v>0.0382</v>
      </c>
    </row>
    <row r="6385" spans="1:10">
      <c r="A6385" s="7" t="s">
        <v>6419</v>
      </c>
      <c r="B6385" s="7" t="s">
        <v>8252</v>
      </c>
      <c r="C6385" s="8">
        <f>QS.CONTEXT.CREATE("market.6383",A6385,"USD","SOFR")</f>
        <v/>
      </c>
      <c r="D6385" s="8">
        <f>QS.CONTEXT.ADD.CURVE(C6385,"SOFR",$K$2:$K$7,$L$2:$L$7,,,"Actual360","LogLinear",TRUE)</f>
        <v/>
      </c>
      <c r="E6385" s="8">
        <f>QS.INSTRUMENT.SWAP("swap.6383",C6385,H6385,B6385,"USD","SOFR",I6385,J6385,0,"Actual360","Simple","Annual","Annual","Annual")</f>
        <v/>
      </c>
      <c r="F6385" s="8">
        <f>QS.TRADE.CREATE("trade.6383",C6385,E6385,A6385,"Receive")</f>
        <v/>
      </c>
      <c r="G6385" s="5"/>
      <c r="H6385" s="7" t="s">
        <v>6426</v>
      </c>
      <c r="I6385" s="9">
        <v>1638300</v>
      </c>
      <c r="J6385" s="10">
        <v>0.0383</v>
      </c>
    </row>
    <row r="6386" spans="1:10">
      <c r="A6386" s="7" t="s">
        <v>6420</v>
      </c>
      <c r="B6386" s="7" t="s">
        <v>8253</v>
      </c>
      <c r="C6386" s="8">
        <f>QS.CONTEXT.CREATE("market.6384",A6386,"USD","SOFR")</f>
        <v/>
      </c>
      <c r="D6386" s="8">
        <f>QS.CONTEXT.ADD.CURVE(C6386,"SOFR",$K$2:$K$7,$L$2:$L$7,,,"Actual360","LogLinear",TRUE)</f>
        <v/>
      </c>
      <c r="E6386" s="8">
        <f>QS.INSTRUMENT.SWAP("swap.6384",C6386,H6386,B6386,"USD","SOFR",I6386,J6386,0,"Actual360","Simple","Annual","Annual","Annual")</f>
        <v/>
      </c>
      <c r="F6386" s="8">
        <f>QS.TRADE.CREATE("trade.6384",C6386,E6386,A6386,"Receive")</f>
        <v/>
      </c>
      <c r="G6386" s="5"/>
      <c r="H6386" s="7" t="s">
        <v>6427</v>
      </c>
      <c r="I6386" s="9">
        <v>1638400</v>
      </c>
      <c r="J6386" s="10">
        <v>0.0384</v>
      </c>
    </row>
    <row r="6387" spans="1:10">
      <c r="A6387" s="7" t="s">
        <v>6421</v>
      </c>
      <c r="B6387" s="7" t="s">
        <v>8254</v>
      </c>
      <c r="C6387" s="8">
        <f>QS.CONTEXT.CREATE("market.6385",A6387,"USD","SOFR")</f>
        <v/>
      </c>
      <c r="D6387" s="8">
        <f>QS.CONTEXT.ADD.CURVE(C6387,"SOFR",$K$2:$K$7,$L$2:$L$7,,,"Actual360","LogLinear",TRUE)</f>
        <v/>
      </c>
      <c r="E6387" s="8">
        <f>QS.INSTRUMENT.SWAP("swap.6385",C6387,H6387,B6387,"USD","SOFR",I6387,J6387,0,"Actual360","Simple","Annual","Annual","Annual")</f>
        <v/>
      </c>
      <c r="F6387" s="8">
        <f>QS.TRADE.CREATE("trade.6385",C6387,E6387,A6387,"Receive")</f>
        <v/>
      </c>
      <c r="G6387" s="5"/>
      <c r="H6387" s="7" t="s">
        <v>6428</v>
      </c>
      <c r="I6387" s="9">
        <v>1638500</v>
      </c>
      <c r="J6387" s="10">
        <v>0.03850000000000001</v>
      </c>
    </row>
    <row r="6388" spans="1:10">
      <c r="A6388" s="7" t="s">
        <v>6422</v>
      </c>
      <c r="B6388" s="7" t="s">
        <v>8255</v>
      </c>
      <c r="C6388" s="8">
        <f>QS.CONTEXT.CREATE("market.6386",A6388,"USD","SOFR")</f>
        <v/>
      </c>
      <c r="D6388" s="8">
        <f>QS.CONTEXT.ADD.CURVE(C6388,"SOFR",$K$2:$K$7,$L$2:$L$7,,,"Actual360","LogLinear",TRUE)</f>
        <v/>
      </c>
      <c r="E6388" s="8">
        <f>QS.INSTRUMENT.SWAP("swap.6386",C6388,H6388,B6388,"USD","SOFR",I6388,J6388,0,"Actual360","Simple","Annual","Annual","Annual")</f>
        <v/>
      </c>
      <c r="F6388" s="8">
        <f>QS.TRADE.CREATE("trade.6386",C6388,E6388,A6388,"Receive")</f>
        <v/>
      </c>
      <c r="G6388" s="5"/>
      <c r="H6388" s="7" t="s">
        <v>6429</v>
      </c>
      <c r="I6388" s="9">
        <v>1638600</v>
      </c>
      <c r="J6388" s="10">
        <v>0.0386</v>
      </c>
    </row>
    <row r="6389" spans="1:10">
      <c r="A6389" s="7" t="s">
        <v>6423</v>
      </c>
      <c r="B6389" s="7" t="s">
        <v>8256</v>
      </c>
      <c r="C6389" s="8">
        <f>QS.CONTEXT.CREATE("market.6387",A6389,"USD","SOFR")</f>
        <v/>
      </c>
      <c r="D6389" s="8">
        <f>QS.CONTEXT.ADD.CURVE(C6389,"SOFR",$K$2:$K$7,$L$2:$L$7,,,"Actual360","LogLinear",TRUE)</f>
        <v/>
      </c>
      <c r="E6389" s="8">
        <f>QS.INSTRUMENT.SWAP("swap.6387",C6389,H6389,B6389,"USD","SOFR",I6389,J6389,0,"Actual360","Simple","Annual","Annual","Annual")</f>
        <v/>
      </c>
      <c r="F6389" s="8">
        <f>QS.TRADE.CREATE("trade.6387",C6389,E6389,A6389,"Receive")</f>
        <v/>
      </c>
      <c r="G6389" s="5"/>
      <c r="H6389" s="7" t="s">
        <v>6430</v>
      </c>
      <c r="I6389" s="9">
        <v>1638700</v>
      </c>
      <c r="J6389" s="10">
        <v>0.03870000000000001</v>
      </c>
    </row>
    <row r="6390" spans="1:10">
      <c r="A6390" s="7" t="s">
        <v>6424</v>
      </c>
      <c r="B6390" s="7" t="s">
        <v>8257</v>
      </c>
      <c r="C6390" s="8">
        <f>QS.CONTEXT.CREATE("market.6388",A6390,"USD","SOFR")</f>
        <v/>
      </c>
      <c r="D6390" s="8">
        <f>QS.CONTEXT.ADD.CURVE(C6390,"SOFR",$K$2:$K$7,$L$2:$L$7,,,"Actual360","LogLinear",TRUE)</f>
        <v/>
      </c>
      <c r="E6390" s="8">
        <f>QS.INSTRUMENT.SWAP("swap.6388",C6390,H6390,B6390,"USD","SOFR",I6390,J6390,0,"Actual360","Simple","Annual","Annual","Annual")</f>
        <v/>
      </c>
      <c r="F6390" s="8">
        <f>QS.TRADE.CREATE("trade.6388",C6390,E6390,A6390,"Receive")</f>
        <v/>
      </c>
      <c r="G6390" s="5"/>
      <c r="H6390" s="7" t="s">
        <v>6431</v>
      </c>
      <c r="I6390" s="9">
        <v>1638800</v>
      </c>
      <c r="J6390" s="10">
        <v>0.0388</v>
      </c>
    </row>
    <row r="6391" spans="1:10">
      <c r="A6391" s="7" t="s">
        <v>6425</v>
      </c>
      <c r="B6391" s="7" t="s">
        <v>8258</v>
      </c>
      <c r="C6391" s="8">
        <f>QS.CONTEXT.CREATE("market.6389",A6391,"USD","SOFR")</f>
        <v/>
      </c>
      <c r="D6391" s="8">
        <f>QS.CONTEXT.ADD.CURVE(C6391,"SOFR",$K$2:$K$7,$L$2:$L$7,,,"Actual360","LogLinear",TRUE)</f>
        <v/>
      </c>
      <c r="E6391" s="8">
        <f>QS.INSTRUMENT.SWAP("swap.6389",C6391,H6391,B6391,"USD","SOFR",I6391,J6391,0,"Actual360","Simple","Annual","Annual","Annual")</f>
        <v/>
      </c>
      <c r="F6391" s="8">
        <f>QS.TRADE.CREATE("trade.6389",C6391,E6391,A6391,"Receive")</f>
        <v/>
      </c>
      <c r="G6391" s="5"/>
      <c r="H6391" s="7" t="s">
        <v>6432</v>
      </c>
      <c r="I6391" s="9">
        <v>1638900</v>
      </c>
      <c r="J6391" s="10">
        <v>0.0389</v>
      </c>
    </row>
    <row r="6392" spans="1:10">
      <c r="A6392" s="7" t="s">
        <v>6426</v>
      </c>
      <c r="B6392" s="7" t="s">
        <v>8259</v>
      </c>
      <c r="C6392" s="8">
        <f>QS.CONTEXT.CREATE("market.6390",A6392,"USD","SOFR")</f>
        <v/>
      </c>
      <c r="D6392" s="8">
        <f>QS.CONTEXT.ADD.CURVE(C6392,"SOFR",$K$2:$K$7,$L$2:$L$7,,,"Actual360","LogLinear",TRUE)</f>
        <v/>
      </c>
      <c r="E6392" s="8">
        <f>QS.INSTRUMENT.SWAP("swap.6390",C6392,H6392,B6392,"USD","SOFR",I6392,J6392,0,"Actual360","Simple","Annual","Annual","Annual")</f>
        <v/>
      </c>
      <c r="F6392" s="8">
        <f>QS.TRADE.CREATE("trade.6390",C6392,E6392,A6392,"Receive")</f>
        <v/>
      </c>
      <c r="G6392" s="5"/>
      <c r="H6392" s="7" t="s">
        <v>6433</v>
      </c>
      <c r="I6392" s="9">
        <v>1639000</v>
      </c>
      <c r="J6392" s="10">
        <v>0.03900000000000001</v>
      </c>
    </row>
    <row r="6393" spans="1:10">
      <c r="A6393" s="7" t="s">
        <v>6427</v>
      </c>
      <c r="B6393" s="7" t="s">
        <v>8260</v>
      </c>
      <c r="C6393" s="8">
        <f>QS.CONTEXT.CREATE("market.6391",A6393,"USD","SOFR")</f>
        <v/>
      </c>
      <c r="D6393" s="8">
        <f>QS.CONTEXT.ADD.CURVE(C6393,"SOFR",$K$2:$K$7,$L$2:$L$7,,,"Actual360","LogLinear",TRUE)</f>
        <v/>
      </c>
      <c r="E6393" s="8">
        <f>QS.INSTRUMENT.SWAP("swap.6391",C6393,H6393,B6393,"USD","SOFR",I6393,J6393,0,"Actual360","Simple","Annual","Annual","Annual")</f>
        <v/>
      </c>
      <c r="F6393" s="8">
        <f>QS.TRADE.CREATE("trade.6391",C6393,E6393,A6393,"Receive")</f>
        <v/>
      </c>
      <c r="G6393" s="5"/>
      <c r="H6393" s="7" t="s">
        <v>6434</v>
      </c>
      <c r="I6393" s="9">
        <v>1639100</v>
      </c>
      <c r="J6393" s="10">
        <v>0.0391</v>
      </c>
    </row>
    <row r="6394" spans="1:10">
      <c r="A6394" s="7" t="s">
        <v>6428</v>
      </c>
      <c r="B6394" s="7" t="s">
        <v>8261</v>
      </c>
      <c r="C6394" s="8">
        <f>QS.CONTEXT.CREATE("market.6392",A6394,"USD","SOFR")</f>
        <v/>
      </c>
      <c r="D6394" s="8">
        <f>QS.CONTEXT.ADD.CURVE(C6394,"SOFR",$K$2:$K$7,$L$2:$L$7,,,"Actual360","LogLinear",TRUE)</f>
        <v/>
      </c>
      <c r="E6394" s="8">
        <f>QS.INSTRUMENT.SWAP("swap.6392",C6394,H6394,B6394,"USD","SOFR",I6394,J6394,0,"Actual360","Simple","Annual","Annual","Annual")</f>
        <v/>
      </c>
      <c r="F6394" s="8">
        <f>QS.TRADE.CREATE("trade.6392",C6394,E6394,A6394,"Receive")</f>
        <v/>
      </c>
      <c r="G6394" s="5"/>
      <c r="H6394" s="7" t="s">
        <v>6435</v>
      </c>
      <c r="I6394" s="9">
        <v>1639200</v>
      </c>
      <c r="J6394" s="10">
        <v>0.03920000000000001</v>
      </c>
    </row>
    <row r="6395" spans="1:10">
      <c r="A6395" s="7" t="s">
        <v>6429</v>
      </c>
      <c r="B6395" s="7" t="s">
        <v>8262</v>
      </c>
      <c r="C6395" s="8">
        <f>QS.CONTEXT.CREATE("market.6393",A6395,"USD","SOFR")</f>
        <v/>
      </c>
      <c r="D6395" s="8">
        <f>QS.CONTEXT.ADD.CURVE(C6395,"SOFR",$K$2:$K$7,$L$2:$L$7,,,"Actual360","LogLinear",TRUE)</f>
        <v/>
      </c>
      <c r="E6395" s="8">
        <f>QS.INSTRUMENT.SWAP("swap.6393",C6395,H6395,B6395,"USD","SOFR",I6395,J6395,0,"Actual360","Simple","Annual","Annual","Annual")</f>
        <v/>
      </c>
      <c r="F6395" s="8">
        <f>QS.TRADE.CREATE("trade.6393",C6395,E6395,A6395,"Receive")</f>
        <v/>
      </c>
      <c r="G6395" s="5"/>
      <c r="H6395" s="7" t="s">
        <v>6436</v>
      </c>
      <c r="I6395" s="9">
        <v>1639300</v>
      </c>
      <c r="J6395" s="10">
        <v>0.0393</v>
      </c>
    </row>
    <row r="6396" spans="1:10">
      <c r="A6396" s="7" t="s">
        <v>6430</v>
      </c>
      <c r="B6396" s="7" t="s">
        <v>8263</v>
      </c>
      <c r="C6396" s="8">
        <f>QS.CONTEXT.CREATE("market.6394",A6396,"USD","SOFR")</f>
        <v/>
      </c>
      <c r="D6396" s="8">
        <f>QS.CONTEXT.ADD.CURVE(C6396,"SOFR",$K$2:$K$7,$L$2:$L$7,,,"Actual360","LogLinear",TRUE)</f>
        <v/>
      </c>
      <c r="E6396" s="8">
        <f>QS.INSTRUMENT.SWAP("swap.6394",C6396,H6396,B6396,"USD","SOFR",I6396,J6396,0,"Actual360","Simple","Annual","Annual","Annual")</f>
        <v/>
      </c>
      <c r="F6396" s="8">
        <f>QS.TRADE.CREATE("trade.6394",C6396,E6396,A6396,"Receive")</f>
        <v/>
      </c>
      <c r="G6396" s="5"/>
      <c r="H6396" s="7" t="s">
        <v>6437</v>
      </c>
      <c r="I6396" s="9">
        <v>1639400</v>
      </c>
      <c r="J6396" s="10">
        <v>0.0394</v>
      </c>
    </row>
    <row r="6397" spans="1:10">
      <c r="A6397" s="7" t="s">
        <v>6431</v>
      </c>
      <c r="B6397" s="7" t="s">
        <v>8264</v>
      </c>
      <c r="C6397" s="8">
        <f>QS.CONTEXT.CREATE("market.6395",A6397,"USD","SOFR")</f>
        <v/>
      </c>
      <c r="D6397" s="8">
        <f>QS.CONTEXT.ADD.CURVE(C6397,"SOFR",$K$2:$K$7,$L$2:$L$7,,,"Actual360","LogLinear",TRUE)</f>
        <v/>
      </c>
      <c r="E6397" s="8">
        <f>QS.INSTRUMENT.SWAP("swap.6395",C6397,H6397,B6397,"USD","SOFR",I6397,J6397,0,"Actual360","Simple","Annual","Annual","Annual")</f>
        <v/>
      </c>
      <c r="F6397" s="8">
        <f>QS.TRADE.CREATE("trade.6395",C6397,E6397,A6397,"Receive")</f>
        <v/>
      </c>
      <c r="G6397" s="5"/>
      <c r="H6397" s="7" t="s">
        <v>6438</v>
      </c>
      <c r="I6397" s="9">
        <v>1639500</v>
      </c>
      <c r="J6397" s="10">
        <v>0.03950000000000001</v>
      </c>
    </row>
    <row r="6398" spans="1:10">
      <c r="A6398" s="7" t="s">
        <v>6432</v>
      </c>
      <c r="B6398" s="7" t="s">
        <v>8265</v>
      </c>
      <c r="C6398" s="8">
        <f>QS.CONTEXT.CREATE("market.6396",A6398,"USD","SOFR")</f>
        <v/>
      </c>
      <c r="D6398" s="8">
        <f>QS.CONTEXT.ADD.CURVE(C6398,"SOFR",$K$2:$K$7,$L$2:$L$7,,,"Actual360","LogLinear",TRUE)</f>
        <v/>
      </c>
      <c r="E6398" s="8">
        <f>QS.INSTRUMENT.SWAP("swap.6396",C6398,H6398,B6398,"USD","SOFR",I6398,J6398,0,"Actual360","Simple","Annual","Annual","Annual")</f>
        <v/>
      </c>
      <c r="F6398" s="8">
        <f>QS.TRADE.CREATE("trade.6396",C6398,E6398,A6398,"Receive")</f>
        <v/>
      </c>
      <c r="G6398" s="5"/>
      <c r="H6398" s="7" t="s">
        <v>6439</v>
      </c>
      <c r="I6398" s="9">
        <v>1639600</v>
      </c>
      <c r="J6398" s="10">
        <v>0.0396</v>
      </c>
    </row>
    <row r="6399" spans="1:10">
      <c r="A6399" s="7" t="s">
        <v>6433</v>
      </c>
      <c r="B6399" s="7" t="s">
        <v>8266</v>
      </c>
      <c r="C6399" s="8">
        <f>QS.CONTEXT.CREATE("market.6397",A6399,"USD","SOFR")</f>
        <v/>
      </c>
      <c r="D6399" s="8">
        <f>QS.CONTEXT.ADD.CURVE(C6399,"SOFR",$K$2:$K$7,$L$2:$L$7,,,"Actual360","LogLinear",TRUE)</f>
        <v/>
      </c>
      <c r="E6399" s="8">
        <f>QS.INSTRUMENT.SWAP("swap.6397",C6399,H6399,B6399,"USD","SOFR",I6399,J6399,0,"Actual360","Simple","Annual","Annual","Annual")</f>
        <v/>
      </c>
      <c r="F6399" s="8">
        <f>QS.TRADE.CREATE("trade.6397",C6399,E6399,A6399,"Receive")</f>
        <v/>
      </c>
      <c r="G6399" s="5"/>
      <c r="H6399" s="7" t="s">
        <v>6440</v>
      </c>
      <c r="I6399" s="9">
        <v>1639700</v>
      </c>
      <c r="J6399" s="10">
        <v>0.03970000000000001</v>
      </c>
    </row>
    <row r="6400" spans="1:10">
      <c r="A6400" s="7" t="s">
        <v>6434</v>
      </c>
      <c r="B6400" s="7" t="s">
        <v>8267</v>
      </c>
      <c r="C6400" s="8">
        <f>QS.CONTEXT.CREATE("market.6398",A6400,"USD","SOFR")</f>
        <v/>
      </c>
      <c r="D6400" s="8">
        <f>QS.CONTEXT.ADD.CURVE(C6400,"SOFR",$K$2:$K$7,$L$2:$L$7,,,"Actual360","LogLinear",TRUE)</f>
        <v/>
      </c>
      <c r="E6400" s="8">
        <f>QS.INSTRUMENT.SWAP("swap.6398",C6400,H6400,B6400,"USD","SOFR",I6400,J6400,0,"Actual360","Simple","Annual","Annual","Annual")</f>
        <v/>
      </c>
      <c r="F6400" s="8">
        <f>QS.TRADE.CREATE("trade.6398",C6400,E6400,A6400,"Receive")</f>
        <v/>
      </c>
      <c r="G6400" s="5"/>
      <c r="H6400" s="7" t="s">
        <v>6441</v>
      </c>
      <c r="I6400" s="9">
        <v>1639800</v>
      </c>
      <c r="J6400" s="10">
        <v>0.0398</v>
      </c>
    </row>
    <row r="6401" spans="1:10">
      <c r="A6401" s="7" t="s">
        <v>6435</v>
      </c>
      <c r="B6401" s="7" t="s">
        <v>8268</v>
      </c>
      <c r="C6401" s="8">
        <f>QS.CONTEXT.CREATE("market.6399",A6401,"USD","SOFR")</f>
        <v/>
      </c>
      <c r="D6401" s="8">
        <f>QS.CONTEXT.ADD.CURVE(C6401,"SOFR",$K$2:$K$7,$L$2:$L$7,,,"Actual360","LogLinear",TRUE)</f>
        <v/>
      </c>
      <c r="E6401" s="8">
        <f>QS.INSTRUMENT.SWAP("swap.6399",C6401,H6401,B6401,"USD","SOFR",I6401,J6401,0,"Actual360","Simple","Annual","Annual","Annual")</f>
        <v/>
      </c>
      <c r="F6401" s="8">
        <f>QS.TRADE.CREATE("trade.6399",C6401,E6401,A6401,"Receive")</f>
        <v/>
      </c>
      <c r="G6401" s="5"/>
      <c r="H6401" s="7" t="s">
        <v>6442</v>
      </c>
      <c r="I6401" s="9">
        <v>1639900</v>
      </c>
      <c r="J6401" s="10">
        <v>0.0399</v>
      </c>
    </row>
    <row r="6402" spans="1:10">
      <c r="A6402" s="7" t="s">
        <v>6436</v>
      </c>
      <c r="B6402" s="7" t="s">
        <v>8269</v>
      </c>
      <c r="C6402" s="8">
        <f>QS.CONTEXT.CREATE("market.6400",A6402,"USD","SOFR")</f>
        <v/>
      </c>
      <c r="D6402" s="8">
        <f>QS.CONTEXT.ADD.CURVE(C6402,"SOFR",$K$2:$K$7,$L$2:$L$7,,,"Actual360","LogLinear",TRUE)</f>
        <v/>
      </c>
      <c r="E6402" s="8">
        <f>QS.INSTRUMENT.SWAP("swap.6400",C6402,H6402,B6402,"USD","SOFR",I6402,J6402,0,"Actual360","Simple","Annual","Annual","Annual")</f>
        <v/>
      </c>
      <c r="F6402" s="8">
        <f>QS.TRADE.CREATE("trade.6400",C6402,E6402,A6402,"Receive")</f>
        <v/>
      </c>
      <c r="G6402" s="5"/>
      <c r="H6402" s="7" t="s">
        <v>6443</v>
      </c>
      <c r="I6402" s="9">
        <v>1640000</v>
      </c>
      <c r="J6402" s="10">
        <v>0.035</v>
      </c>
    </row>
    <row r="6403" spans="1:10">
      <c r="A6403" s="7" t="s">
        <v>6437</v>
      </c>
      <c r="B6403" s="7" t="s">
        <v>8270</v>
      </c>
      <c r="C6403" s="8">
        <f>QS.CONTEXT.CREATE("market.6401",A6403,"USD","SOFR")</f>
        <v/>
      </c>
      <c r="D6403" s="8">
        <f>QS.CONTEXT.ADD.CURVE(C6403,"SOFR",$K$2:$K$7,$L$2:$L$7,,,"Actual360","LogLinear",TRUE)</f>
        <v/>
      </c>
      <c r="E6403" s="8">
        <f>QS.INSTRUMENT.SWAP("swap.6401",C6403,H6403,B6403,"USD","SOFR",I6403,J6403,0,"Actual360","Simple","Annual","Annual","Annual")</f>
        <v/>
      </c>
      <c r="F6403" s="8">
        <f>QS.TRADE.CREATE("trade.6401",C6403,E6403,A6403,"Receive")</f>
        <v/>
      </c>
      <c r="G6403" s="5"/>
      <c r="H6403" s="7" t="s">
        <v>6444</v>
      </c>
      <c r="I6403" s="9">
        <v>1640100</v>
      </c>
      <c r="J6403" s="10">
        <v>0.03510000000000001</v>
      </c>
    </row>
    <row r="6404" spans="1:10">
      <c r="A6404" s="7" t="s">
        <v>6438</v>
      </c>
      <c r="B6404" s="7" t="s">
        <v>8271</v>
      </c>
      <c r="C6404" s="8">
        <f>QS.CONTEXT.CREATE("market.6402",A6404,"USD","SOFR")</f>
        <v/>
      </c>
      <c r="D6404" s="8">
        <f>QS.CONTEXT.ADD.CURVE(C6404,"SOFR",$K$2:$K$7,$L$2:$L$7,,,"Actual360","LogLinear",TRUE)</f>
        <v/>
      </c>
      <c r="E6404" s="8">
        <f>QS.INSTRUMENT.SWAP("swap.6402",C6404,H6404,B6404,"USD","SOFR",I6404,J6404,0,"Actual360","Simple","Annual","Annual","Annual")</f>
        <v/>
      </c>
      <c r="F6404" s="8">
        <f>QS.TRADE.CREATE("trade.6402",C6404,E6404,A6404,"Receive")</f>
        <v/>
      </c>
      <c r="G6404" s="5"/>
      <c r="H6404" s="7" t="s">
        <v>6445</v>
      </c>
      <c r="I6404" s="9">
        <v>1640200</v>
      </c>
      <c r="J6404" s="10">
        <v>0.0352</v>
      </c>
    </row>
    <row r="6405" spans="1:10">
      <c r="A6405" s="7" t="s">
        <v>6439</v>
      </c>
      <c r="B6405" s="7" t="s">
        <v>8272</v>
      </c>
      <c r="C6405" s="8">
        <f>QS.CONTEXT.CREATE("market.6403",A6405,"USD","SOFR")</f>
        <v/>
      </c>
      <c r="D6405" s="8">
        <f>QS.CONTEXT.ADD.CURVE(C6405,"SOFR",$K$2:$K$7,$L$2:$L$7,,,"Actual360","LogLinear",TRUE)</f>
        <v/>
      </c>
      <c r="E6405" s="8">
        <f>QS.INSTRUMENT.SWAP("swap.6403",C6405,H6405,B6405,"USD","SOFR",I6405,J6405,0,"Actual360","Simple","Annual","Annual","Annual")</f>
        <v/>
      </c>
      <c r="F6405" s="8">
        <f>QS.TRADE.CREATE("trade.6403",C6405,E6405,A6405,"Receive")</f>
        <v/>
      </c>
      <c r="G6405" s="5"/>
      <c r="H6405" s="7" t="s">
        <v>6446</v>
      </c>
      <c r="I6405" s="9">
        <v>1640300</v>
      </c>
      <c r="J6405" s="10">
        <v>0.0353</v>
      </c>
    </row>
    <row r="6406" spans="1:10">
      <c r="A6406" s="7" t="s">
        <v>6440</v>
      </c>
      <c r="B6406" s="7" t="s">
        <v>8273</v>
      </c>
      <c r="C6406" s="8">
        <f>QS.CONTEXT.CREATE("market.6404",A6406,"USD","SOFR")</f>
        <v/>
      </c>
      <c r="D6406" s="8">
        <f>QS.CONTEXT.ADD.CURVE(C6406,"SOFR",$K$2:$K$7,$L$2:$L$7,,,"Actual360","LogLinear",TRUE)</f>
        <v/>
      </c>
      <c r="E6406" s="8">
        <f>QS.INSTRUMENT.SWAP("swap.6404",C6406,H6406,B6406,"USD","SOFR",I6406,J6406,0,"Actual360","Simple","Annual","Annual","Annual")</f>
        <v/>
      </c>
      <c r="F6406" s="8">
        <f>QS.TRADE.CREATE("trade.6404",C6406,E6406,A6406,"Receive")</f>
        <v/>
      </c>
      <c r="G6406" s="5"/>
      <c r="H6406" s="7" t="s">
        <v>6447</v>
      </c>
      <c r="I6406" s="9">
        <v>1640400</v>
      </c>
      <c r="J6406" s="10">
        <v>0.0354</v>
      </c>
    </row>
    <row r="6407" spans="1:10">
      <c r="A6407" s="7" t="s">
        <v>6441</v>
      </c>
      <c r="B6407" s="7" t="s">
        <v>8274</v>
      </c>
      <c r="C6407" s="8">
        <f>QS.CONTEXT.CREATE("market.6405",A6407,"USD","SOFR")</f>
        <v/>
      </c>
      <c r="D6407" s="8">
        <f>QS.CONTEXT.ADD.CURVE(C6407,"SOFR",$K$2:$K$7,$L$2:$L$7,,,"Actual360","LogLinear",TRUE)</f>
        <v/>
      </c>
      <c r="E6407" s="8">
        <f>QS.INSTRUMENT.SWAP("swap.6405",C6407,H6407,B6407,"USD","SOFR",I6407,J6407,0,"Actual360","Simple","Annual","Annual","Annual")</f>
        <v/>
      </c>
      <c r="F6407" s="8">
        <f>QS.TRADE.CREATE("trade.6405",C6407,E6407,A6407,"Receive")</f>
        <v/>
      </c>
      <c r="G6407" s="5"/>
      <c r="H6407" s="7" t="s">
        <v>6448</v>
      </c>
      <c r="I6407" s="9">
        <v>1640500</v>
      </c>
      <c r="J6407" s="10">
        <v>0.0355</v>
      </c>
    </row>
    <row r="6408" spans="1:10">
      <c r="A6408" s="7" t="s">
        <v>6442</v>
      </c>
      <c r="B6408" s="7" t="s">
        <v>8275</v>
      </c>
      <c r="C6408" s="8">
        <f>QS.CONTEXT.CREATE("market.6406",A6408,"USD","SOFR")</f>
        <v/>
      </c>
      <c r="D6408" s="8">
        <f>QS.CONTEXT.ADD.CURVE(C6408,"SOFR",$K$2:$K$7,$L$2:$L$7,,,"Actual360","LogLinear",TRUE)</f>
        <v/>
      </c>
      <c r="E6408" s="8">
        <f>QS.INSTRUMENT.SWAP("swap.6406",C6408,H6408,B6408,"USD","SOFR",I6408,J6408,0,"Actual360","Simple","Annual","Annual","Annual")</f>
        <v/>
      </c>
      <c r="F6408" s="8">
        <f>QS.TRADE.CREATE("trade.6406",C6408,E6408,A6408,"Receive")</f>
        <v/>
      </c>
      <c r="G6408" s="5"/>
      <c r="H6408" s="7" t="s">
        <v>6449</v>
      </c>
      <c r="I6408" s="9">
        <v>1640600</v>
      </c>
      <c r="J6408" s="10">
        <v>0.03560000000000001</v>
      </c>
    </row>
    <row r="6409" spans="1:10">
      <c r="A6409" s="7" t="s">
        <v>6443</v>
      </c>
      <c r="B6409" s="7" t="s">
        <v>8276</v>
      </c>
      <c r="C6409" s="8">
        <f>QS.CONTEXT.CREATE("market.6407",A6409,"USD","SOFR")</f>
        <v/>
      </c>
      <c r="D6409" s="8">
        <f>QS.CONTEXT.ADD.CURVE(C6409,"SOFR",$K$2:$K$7,$L$2:$L$7,,,"Actual360","LogLinear",TRUE)</f>
        <v/>
      </c>
      <c r="E6409" s="8">
        <f>QS.INSTRUMENT.SWAP("swap.6407",C6409,H6409,B6409,"USD","SOFR",I6409,J6409,0,"Actual360","Simple","Annual","Annual","Annual")</f>
        <v/>
      </c>
      <c r="F6409" s="8">
        <f>QS.TRADE.CREATE("trade.6407",C6409,E6409,A6409,"Receive")</f>
        <v/>
      </c>
      <c r="G6409" s="5"/>
      <c r="H6409" s="7" t="s">
        <v>6450</v>
      </c>
      <c r="I6409" s="9">
        <v>1640700</v>
      </c>
      <c r="J6409" s="10">
        <v>0.0357</v>
      </c>
    </row>
    <row r="6410" spans="1:10">
      <c r="A6410" s="7" t="s">
        <v>6444</v>
      </c>
      <c r="B6410" s="7" t="s">
        <v>8277</v>
      </c>
      <c r="C6410" s="8">
        <f>QS.CONTEXT.CREATE("market.6408",A6410,"USD","SOFR")</f>
        <v/>
      </c>
      <c r="D6410" s="8">
        <f>QS.CONTEXT.ADD.CURVE(C6410,"SOFR",$K$2:$K$7,$L$2:$L$7,,,"Actual360","LogLinear",TRUE)</f>
        <v/>
      </c>
      <c r="E6410" s="8">
        <f>QS.INSTRUMENT.SWAP("swap.6408",C6410,H6410,B6410,"USD","SOFR",I6410,J6410,0,"Actual360","Simple","Annual","Annual","Annual")</f>
        <v/>
      </c>
      <c r="F6410" s="8">
        <f>QS.TRADE.CREATE("trade.6408",C6410,E6410,A6410,"Receive")</f>
        <v/>
      </c>
      <c r="G6410" s="5"/>
      <c r="H6410" s="7" t="s">
        <v>6451</v>
      </c>
      <c r="I6410" s="9">
        <v>1640800</v>
      </c>
      <c r="J6410" s="10">
        <v>0.03580000000000001</v>
      </c>
    </row>
    <row r="6411" spans="1:10">
      <c r="A6411" s="7" t="s">
        <v>6445</v>
      </c>
      <c r="B6411" s="7" t="s">
        <v>8278</v>
      </c>
      <c r="C6411" s="8">
        <f>QS.CONTEXT.CREATE("market.6409",A6411,"USD","SOFR")</f>
        <v/>
      </c>
      <c r="D6411" s="8">
        <f>QS.CONTEXT.ADD.CURVE(C6411,"SOFR",$K$2:$K$7,$L$2:$L$7,,,"Actual360","LogLinear",TRUE)</f>
        <v/>
      </c>
      <c r="E6411" s="8">
        <f>QS.INSTRUMENT.SWAP("swap.6409",C6411,H6411,B6411,"USD","SOFR",I6411,J6411,0,"Actual360","Simple","Annual","Annual","Annual")</f>
        <v/>
      </c>
      <c r="F6411" s="8">
        <f>QS.TRADE.CREATE("trade.6409",C6411,E6411,A6411,"Receive")</f>
        <v/>
      </c>
      <c r="G6411" s="5"/>
      <c r="H6411" s="7" t="s">
        <v>6452</v>
      </c>
      <c r="I6411" s="9">
        <v>1640900</v>
      </c>
      <c r="J6411" s="10">
        <v>0.0359</v>
      </c>
    </row>
    <row r="6412" spans="1:10">
      <c r="A6412" s="7" t="s">
        <v>6446</v>
      </c>
      <c r="B6412" s="7" t="s">
        <v>8279</v>
      </c>
      <c r="C6412" s="8">
        <f>QS.CONTEXT.CREATE("market.6410",A6412,"USD","SOFR")</f>
        <v/>
      </c>
      <c r="D6412" s="8">
        <f>QS.CONTEXT.ADD.CURVE(C6412,"SOFR",$K$2:$K$7,$L$2:$L$7,,,"Actual360","LogLinear",TRUE)</f>
        <v/>
      </c>
      <c r="E6412" s="8">
        <f>QS.INSTRUMENT.SWAP("swap.6410",C6412,H6412,B6412,"USD","SOFR",I6412,J6412,0,"Actual360","Simple","Annual","Annual","Annual")</f>
        <v/>
      </c>
      <c r="F6412" s="8">
        <f>QS.TRADE.CREATE("trade.6410",C6412,E6412,A6412,"Receive")</f>
        <v/>
      </c>
      <c r="G6412" s="5"/>
      <c r="H6412" s="7" t="s">
        <v>6453</v>
      </c>
      <c r="I6412" s="9">
        <v>1641000</v>
      </c>
      <c r="J6412" s="10">
        <v>0.036</v>
      </c>
    </row>
    <row r="6413" spans="1:10">
      <c r="A6413" s="7" t="s">
        <v>6447</v>
      </c>
      <c r="B6413" s="7" t="s">
        <v>8280</v>
      </c>
      <c r="C6413" s="8">
        <f>QS.CONTEXT.CREATE("market.6411",A6413,"USD","SOFR")</f>
        <v/>
      </c>
      <c r="D6413" s="8">
        <f>QS.CONTEXT.ADD.CURVE(C6413,"SOFR",$K$2:$K$7,$L$2:$L$7,,,"Actual360","LogLinear",TRUE)</f>
        <v/>
      </c>
      <c r="E6413" s="8">
        <f>QS.INSTRUMENT.SWAP("swap.6411",C6413,H6413,B6413,"USD","SOFR",I6413,J6413,0,"Actual360","Simple","Annual","Annual","Annual")</f>
        <v/>
      </c>
      <c r="F6413" s="8">
        <f>QS.TRADE.CREATE("trade.6411",C6413,E6413,A6413,"Receive")</f>
        <v/>
      </c>
      <c r="G6413" s="5"/>
      <c r="H6413" s="7" t="s">
        <v>6454</v>
      </c>
      <c r="I6413" s="9">
        <v>1641100</v>
      </c>
      <c r="J6413" s="10">
        <v>0.0361</v>
      </c>
    </row>
    <row r="6414" spans="1:10">
      <c r="A6414" s="7" t="s">
        <v>6448</v>
      </c>
      <c r="B6414" s="7" t="s">
        <v>8281</v>
      </c>
      <c r="C6414" s="8">
        <f>QS.CONTEXT.CREATE("market.6412",A6414,"USD","SOFR")</f>
        <v/>
      </c>
      <c r="D6414" s="8">
        <f>QS.CONTEXT.ADD.CURVE(C6414,"SOFR",$K$2:$K$7,$L$2:$L$7,,,"Actual360","LogLinear",TRUE)</f>
        <v/>
      </c>
      <c r="E6414" s="8">
        <f>QS.INSTRUMENT.SWAP("swap.6412",C6414,H6414,B6414,"USD","SOFR",I6414,J6414,0,"Actual360","Simple","Annual","Annual","Annual")</f>
        <v/>
      </c>
      <c r="F6414" s="8">
        <f>QS.TRADE.CREATE("trade.6412",C6414,E6414,A6414,"Receive")</f>
        <v/>
      </c>
      <c r="G6414" s="5"/>
      <c r="H6414" s="7" t="s">
        <v>6455</v>
      </c>
      <c r="I6414" s="9">
        <v>1641200</v>
      </c>
      <c r="J6414" s="10">
        <v>0.0362</v>
      </c>
    </row>
    <row r="6415" spans="1:10">
      <c r="A6415" s="7" t="s">
        <v>6449</v>
      </c>
      <c r="B6415" s="7" t="s">
        <v>8282</v>
      </c>
      <c r="C6415" s="8">
        <f>QS.CONTEXT.CREATE("market.6413",A6415,"USD","SOFR")</f>
        <v/>
      </c>
      <c r="D6415" s="8">
        <f>QS.CONTEXT.ADD.CURVE(C6415,"SOFR",$K$2:$K$7,$L$2:$L$7,,,"Actual360","LogLinear",TRUE)</f>
        <v/>
      </c>
      <c r="E6415" s="8">
        <f>QS.INSTRUMENT.SWAP("swap.6413",C6415,H6415,B6415,"USD","SOFR",I6415,J6415,0,"Actual360","Simple","Annual","Annual","Annual")</f>
        <v/>
      </c>
      <c r="F6415" s="8">
        <f>QS.TRADE.CREATE("trade.6413",C6415,E6415,A6415,"Receive")</f>
        <v/>
      </c>
      <c r="G6415" s="5"/>
      <c r="H6415" s="7" t="s">
        <v>6456</v>
      </c>
      <c r="I6415" s="9">
        <v>1641300</v>
      </c>
      <c r="J6415" s="10">
        <v>0.03630000000000001</v>
      </c>
    </row>
    <row r="6416" spans="1:10">
      <c r="A6416" s="7" t="s">
        <v>6450</v>
      </c>
      <c r="B6416" s="7" t="s">
        <v>8283</v>
      </c>
      <c r="C6416" s="8">
        <f>QS.CONTEXT.CREATE("market.6414",A6416,"USD","SOFR")</f>
        <v/>
      </c>
      <c r="D6416" s="8">
        <f>QS.CONTEXT.ADD.CURVE(C6416,"SOFR",$K$2:$K$7,$L$2:$L$7,,,"Actual360","LogLinear",TRUE)</f>
        <v/>
      </c>
      <c r="E6416" s="8">
        <f>QS.INSTRUMENT.SWAP("swap.6414",C6416,H6416,B6416,"USD","SOFR",I6416,J6416,0,"Actual360","Simple","Annual","Annual","Annual")</f>
        <v/>
      </c>
      <c r="F6416" s="8">
        <f>QS.TRADE.CREATE("trade.6414",C6416,E6416,A6416,"Receive")</f>
        <v/>
      </c>
      <c r="G6416" s="5"/>
      <c r="H6416" s="7" t="s">
        <v>6457</v>
      </c>
      <c r="I6416" s="9">
        <v>1641400</v>
      </c>
      <c r="J6416" s="10">
        <v>0.0364</v>
      </c>
    </row>
    <row r="6417" spans="1:10">
      <c r="A6417" s="7" t="s">
        <v>6451</v>
      </c>
      <c r="B6417" s="7" t="s">
        <v>8284</v>
      </c>
      <c r="C6417" s="8">
        <f>QS.CONTEXT.CREATE("market.6415",A6417,"USD","SOFR")</f>
        <v/>
      </c>
      <c r="D6417" s="8">
        <f>QS.CONTEXT.ADD.CURVE(C6417,"SOFR",$K$2:$K$7,$L$2:$L$7,,,"Actual360","LogLinear",TRUE)</f>
        <v/>
      </c>
      <c r="E6417" s="8">
        <f>QS.INSTRUMENT.SWAP("swap.6415",C6417,H6417,B6417,"USD","SOFR",I6417,J6417,0,"Actual360","Simple","Annual","Annual","Annual")</f>
        <v/>
      </c>
      <c r="F6417" s="8">
        <f>QS.TRADE.CREATE("trade.6415",C6417,E6417,A6417,"Receive")</f>
        <v/>
      </c>
      <c r="G6417" s="5"/>
      <c r="H6417" s="7" t="s">
        <v>6458</v>
      </c>
      <c r="I6417" s="9">
        <v>1641500</v>
      </c>
      <c r="J6417" s="10">
        <v>0.0365</v>
      </c>
    </row>
    <row r="6418" spans="1:10">
      <c r="A6418" s="7" t="s">
        <v>6452</v>
      </c>
      <c r="B6418" s="7" t="s">
        <v>8285</v>
      </c>
      <c r="C6418" s="8">
        <f>QS.CONTEXT.CREATE("market.6416",A6418,"USD","SOFR")</f>
        <v/>
      </c>
      <c r="D6418" s="8">
        <f>QS.CONTEXT.ADD.CURVE(C6418,"SOFR",$K$2:$K$7,$L$2:$L$7,,,"Actual360","LogLinear",TRUE)</f>
        <v/>
      </c>
      <c r="E6418" s="8">
        <f>QS.INSTRUMENT.SWAP("swap.6416",C6418,H6418,B6418,"USD","SOFR",I6418,J6418,0,"Actual360","Simple","Annual","Annual","Annual")</f>
        <v/>
      </c>
      <c r="F6418" s="8">
        <f>QS.TRADE.CREATE("trade.6416",C6418,E6418,A6418,"Receive")</f>
        <v/>
      </c>
      <c r="G6418" s="5"/>
      <c r="H6418" s="7" t="s">
        <v>6459</v>
      </c>
      <c r="I6418" s="9">
        <v>1641600</v>
      </c>
      <c r="J6418" s="10">
        <v>0.0366</v>
      </c>
    </row>
    <row r="6419" spans="1:10">
      <c r="A6419" s="7" t="s">
        <v>6453</v>
      </c>
      <c r="B6419" s="7" t="s">
        <v>8286</v>
      </c>
      <c r="C6419" s="8">
        <f>QS.CONTEXT.CREATE("market.6417",A6419,"USD","SOFR")</f>
        <v/>
      </c>
      <c r="D6419" s="8">
        <f>QS.CONTEXT.ADD.CURVE(C6419,"SOFR",$K$2:$K$7,$L$2:$L$7,,,"Actual360","LogLinear",TRUE)</f>
        <v/>
      </c>
      <c r="E6419" s="8">
        <f>QS.INSTRUMENT.SWAP("swap.6417",C6419,H6419,B6419,"USD","SOFR",I6419,J6419,0,"Actual360","Simple","Annual","Annual","Annual")</f>
        <v/>
      </c>
      <c r="F6419" s="8">
        <f>QS.TRADE.CREATE("trade.6417",C6419,E6419,A6419,"Receive")</f>
        <v/>
      </c>
      <c r="G6419" s="5"/>
      <c r="H6419" s="7" t="s">
        <v>6460</v>
      </c>
      <c r="I6419" s="9">
        <v>1641700</v>
      </c>
      <c r="J6419" s="10">
        <v>0.0367</v>
      </c>
    </row>
    <row r="6420" spans="1:10">
      <c r="A6420" s="7" t="s">
        <v>6454</v>
      </c>
      <c r="B6420" s="7" t="s">
        <v>8287</v>
      </c>
      <c r="C6420" s="8">
        <f>QS.CONTEXT.CREATE("market.6418",A6420,"USD","SOFR")</f>
        <v/>
      </c>
      <c r="D6420" s="8">
        <f>QS.CONTEXT.ADD.CURVE(C6420,"SOFR",$K$2:$K$7,$L$2:$L$7,,,"Actual360","LogLinear",TRUE)</f>
        <v/>
      </c>
      <c r="E6420" s="8">
        <f>QS.INSTRUMENT.SWAP("swap.6418",C6420,H6420,B6420,"USD","SOFR",I6420,J6420,0,"Actual360","Simple","Annual","Annual","Annual")</f>
        <v/>
      </c>
      <c r="F6420" s="8">
        <f>QS.TRADE.CREATE("trade.6418",C6420,E6420,A6420,"Receive")</f>
        <v/>
      </c>
      <c r="G6420" s="5"/>
      <c r="H6420" s="7" t="s">
        <v>6461</v>
      </c>
      <c r="I6420" s="9">
        <v>1641800</v>
      </c>
      <c r="J6420" s="10">
        <v>0.03680000000000001</v>
      </c>
    </row>
    <row r="6421" spans="1:10">
      <c r="A6421" s="7" t="s">
        <v>6455</v>
      </c>
      <c r="B6421" s="7" t="s">
        <v>8288</v>
      </c>
      <c r="C6421" s="8">
        <f>QS.CONTEXT.CREATE("market.6419",A6421,"USD","SOFR")</f>
        <v/>
      </c>
      <c r="D6421" s="8">
        <f>QS.CONTEXT.ADD.CURVE(C6421,"SOFR",$K$2:$K$7,$L$2:$L$7,,,"Actual360","LogLinear",TRUE)</f>
        <v/>
      </c>
      <c r="E6421" s="8">
        <f>QS.INSTRUMENT.SWAP("swap.6419",C6421,H6421,B6421,"USD","SOFR",I6421,J6421,0,"Actual360","Simple","Annual","Annual","Annual")</f>
        <v/>
      </c>
      <c r="F6421" s="8">
        <f>QS.TRADE.CREATE("trade.6419",C6421,E6421,A6421,"Receive")</f>
        <v/>
      </c>
      <c r="G6421" s="5"/>
      <c r="H6421" s="7" t="s">
        <v>6462</v>
      </c>
      <c r="I6421" s="9">
        <v>1641900</v>
      </c>
      <c r="J6421" s="10">
        <v>0.0369</v>
      </c>
    </row>
    <row r="6422" spans="1:10">
      <c r="A6422" s="7" t="s">
        <v>6456</v>
      </c>
      <c r="B6422" s="7" t="s">
        <v>8289</v>
      </c>
      <c r="C6422" s="8">
        <f>QS.CONTEXT.CREATE("market.6420",A6422,"USD","SOFR")</f>
        <v/>
      </c>
      <c r="D6422" s="8">
        <f>QS.CONTEXT.ADD.CURVE(C6422,"SOFR",$K$2:$K$7,$L$2:$L$7,,,"Actual360","LogLinear",TRUE)</f>
        <v/>
      </c>
      <c r="E6422" s="8">
        <f>QS.INSTRUMENT.SWAP("swap.6420",C6422,H6422,B6422,"USD","SOFR",I6422,J6422,0,"Actual360","Simple","Annual","Annual","Annual")</f>
        <v/>
      </c>
      <c r="F6422" s="8">
        <f>QS.TRADE.CREATE("trade.6420",C6422,E6422,A6422,"Receive")</f>
        <v/>
      </c>
      <c r="G6422" s="5"/>
      <c r="H6422" s="7" t="s">
        <v>6463</v>
      </c>
      <c r="I6422" s="9">
        <v>1642000</v>
      </c>
      <c r="J6422" s="10">
        <v>0.03700000000000001</v>
      </c>
    </row>
    <row r="6423" spans="1:10">
      <c r="A6423" s="7" t="s">
        <v>6457</v>
      </c>
      <c r="B6423" s="7" t="s">
        <v>8290</v>
      </c>
      <c r="C6423" s="8">
        <f>QS.CONTEXT.CREATE("market.6421",A6423,"USD","SOFR")</f>
        <v/>
      </c>
      <c r="D6423" s="8">
        <f>QS.CONTEXT.ADD.CURVE(C6423,"SOFR",$K$2:$K$7,$L$2:$L$7,,,"Actual360","LogLinear",TRUE)</f>
        <v/>
      </c>
      <c r="E6423" s="8">
        <f>QS.INSTRUMENT.SWAP("swap.6421",C6423,H6423,B6423,"USD","SOFR",I6423,J6423,0,"Actual360","Simple","Annual","Annual","Annual")</f>
        <v/>
      </c>
      <c r="F6423" s="8">
        <f>QS.TRADE.CREATE("trade.6421",C6423,E6423,A6423,"Receive")</f>
        <v/>
      </c>
      <c r="G6423" s="5"/>
      <c r="H6423" s="7" t="s">
        <v>6464</v>
      </c>
      <c r="I6423" s="9">
        <v>1642100</v>
      </c>
      <c r="J6423" s="10">
        <v>0.0371</v>
      </c>
    </row>
    <row r="6424" spans="1:10">
      <c r="A6424" s="7" t="s">
        <v>6458</v>
      </c>
      <c r="B6424" s="7" t="s">
        <v>8291</v>
      </c>
      <c r="C6424" s="8">
        <f>QS.CONTEXT.CREATE("market.6422",A6424,"USD","SOFR")</f>
        <v/>
      </c>
      <c r="D6424" s="8">
        <f>QS.CONTEXT.ADD.CURVE(C6424,"SOFR",$K$2:$K$7,$L$2:$L$7,,,"Actual360","LogLinear",TRUE)</f>
        <v/>
      </c>
      <c r="E6424" s="8">
        <f>QS.INSTRUMENT.SWAP("swap.6422",C6424,H6424,B6424,"USD","SOFR",I6424,J6424,0,"Actual360","Simple","Annual","Annual","Annual")</f>
        <v/>
      </c>
      <c r="F6424" s="8">
        <f>QS.TRADE.CREATE("trade.6422",C6424,E6424,A6424,"Receive")</f>
        <v/>
      </c>
      <c r="G6424" s="5"/>
      <c r="H6424" s="7" t="s">
        <v>6465</v>
      </c>
      <c r="I6424" s="9">
        <v>1642200</v>
      </c>
      <c r="J6424" s="10">
        <v>0.0372</v>
      </c>
    </row>
    <row r="6425" spans="1:10">
      <c r="A6425" s="7" t="s">
        <v>6459</v>
      </c>
      <c r="B6425" s="7" t="s">
        <v>8292</v>
      </c>
      <c r="C6425" s="8">
        <f>QS.CONTEXT.CREATE("market.6423",A6425,"USD","SOFR")</f>
        <v/>
      </c>
      <c r="D6425" s="8">
        <f>QS.CONTEXT.ADD.CURVE(C6425,"SOFR",$K$2:$K$7,$L$2:$L$7,,,"Actual360","LogLinear",TRUE)</f>
        <v/>
      </c>
      <c r="E6425" s="8">
        <f>QS.INSTRUMENT.SWAP("swap.6423",C6425,H6425,B6425,"USD","SOFR",I6425,J6425,0,"Actual360","Simple","Annual","Annual","Annual")</f>
        <v/>
      </c>
      <c r="F6425" s="8">
        <f>QS.TRADE.CREATE("trade.6423",C6425,E6425,A6425,"Receive")</f>
        <v/>
      </c>
      <c r="G6425" s="5"/>
      <c r="H6425" s="7" t="s">
        <v>6466</v>
      </c>
      <c r="I6425" s="9">
        <v>1642300</v>
      </c>
      <c r="J6425" s="10">
        <v>0.0373</v>
      </c>
    </row>
    <row r="6426" spans="1:10">
      <c r="A6426" s="7" t="s">
        <v>6460</v>
      </c>
      <c r="B6426" s="7" t="s">
        <v>8293</v>
      </c>
      <c r="C6426" s="8">
        <f>QS.CONTEXT.CREATE("market.6424",A6426,"USD","SOFR")</f>
        <v/>
      </c>
      <c r="D6426" s="8">
        <f>QS.CONTEXT.ADD.CURVE(C6426,"SOFR",$K$2:$K$7,$L$2:$L$7,,,"Actual360","LogLinear",TRUE)</f>
        <v/>
      </c>
      <c r="E6426" s="8">
        <f>QS.INSTRUMENT.SWAP("swap.6424",C6426,H6426,B6426,"USD","SOFR",I6426,J6426,0,"Actual360","Simple","Annual","Annual","Annual")</f>
        <v/>
      </c>
      <c r="F6426" s="8">
        <f>QS.TRADE.CREATE("trade.6424",C6426,E6426,A6426,"Receive")</f>
        <v/>
      </c>
      <c r="G6426" s="5"/>
      <c r="H6426" s="7" t="s">
        <v>6467</v>
      </c>
      <c r="I6426" s="9">
        <v>1642400</v>
      </c>
      <c r="J6426" s="10">
        <v>0.0374</v>
      </c>
    </row>
    <row r="6427" spans="1:10">
      <c r="A6427" s="7" t="s">
        <v>6461</v>
      </c>
      <c r="B6427" s="7" t="s">
        <v>8294</v>
      </c>
      <c r="C6427" s="8">
        <f>QS.CONTEXT.CREATE("market.6425",A6427,"USD","SOFR")</f>
        <v/>
      </c>
      <c r="D6427" s="8">
        <f>QS.CONTEXT.ADD.CURVE(C6427,"SOFR",$K$2:$K$7,$L$2:$L$7,,,"Actual360","LogLinear",TRUE)</f>
        <v/>
      </c>
      <c r="E6427" s="8">
        <f>QS.INSTRUMENT.SWAP("swap.6425",C6427,H6427,B6427,"USD","SOFR",I6427,J6427,0,"Actual360","Simple","Annual","Annual","Annual")</f>
        <v/>
      </c>
      <c r="F6427" s="8">
        <f>QS.TRADE.CREATE("trade.6425",C6427,E6427,A6427,"Receive")</f>
        <v/>
      </c>
      <c r="G6427" s="5"/>
      <c r="H6427" s="7" t="s">
        <v>6468</v>
      </c>
      <c r="I6427" s="9">
        <v>1642500</v>
      </c>
      <c r="J6427" s="10">
        <v>0.03750000000000001</v>
      </c>
    </row>
    <row r="6428" spans="1:10">
      <c r="A6428" s="7" t="s">
        <v>6462</v>
      </c>
      <c r="B6428" s="7" t="s">
        <v>8295</v>
      </c>
      <c r="C6428" s="8">
        <f>QS.CONTEXT.CREATE("market.6426",A6428,"USD","SOFR")</f>
        <v/>
      </c>
      <c r="D6428" s="8">
        <f>QS.CONTEXT.ADD.CURVE(C6428,"SOFR",$K$2:$K$7,$L$2:$L$7,,,"Actual360","LogLinear",TRUE)</f>
        <v/>
      </c>
      <c r="E6428" s="8">
        <f>QS.INSTRUMENT.SWAP("swap.6426",C6428,H6428,B6428,"USD","SOFR",I6428,J6428,0,"Actual360","Simple","Annual","Annual","Annual")</f>
        <v/>
      </c>
      <c r="F6428" s="8">
        <f>QS.TRADE.CREATE("trade.6426",C6428,E6428,A6428,"Receive")</f>
        <v/>
      </c>
      <c r="G6428" s="5"/>
      <c r="H6428" s="7" t="s">
        <v>6469</v>
      </c>
      <c r="I6428" s="9">
        <v>1642600</v>
      </c>
      <c r="J6428" s="10">
        <v>0.0376</v>
      </c>
    </row>
    <row r="6429" spans="1:10">
      <c r="A6429" s="7" t="s">
        <v>6463</v>
      </c>
      <c r="B6429" s="7" t="s">
        <v>8296</v>
      </c>
      <c r="C6429" s="8">
        <f>QS.CONTEXT.CREATE("market.6427",A6429,"USD","SOFR")</f>
        <v/>
      </c>
      <c r="D6429" s="8">
        <f>QS.CONTEXT.ADD.CURVE(C6429,"SOFR",$K$2:$K$7,$L$2:$L$7,,,"Actual360","LogLinear",TRUE)</f>
        <v/>
      </c>
      <c r="E6429" s="8">
        <f>QS.INSTRUMENT.SWAP("swap.6427",C6429,H6429,B6429,"USD","SOFR",I6429,J6429,0,"Actual360","Simple","Annual","Annual","Annual")</f>
        <v/>
      </c>
      <c r="F6429" s="8">
        <f>QS.TRADE.CREATE("trade.6427",C6429,E6429,A6429,"Receive")</f>
        <v/>
      </c>
      <c r="G6429" s="5"/>
      <c r="H6429" s="7" t="s">
        <v>6470</v>
      </c>
      <c r="I6429" s="9">
        <v>1642700</v>
      </c>
      <c r="J6429" s="10">
        <v>0.0377</v>
      </c>
    </row>
    <row r="6430" spans="1:10">
      <c r="A6430" s="7" t="s">
        <v>6464</v>
      </c>
      <c r="B6430" s="7" t="s">
        <v>8297</v>
      </c>
      <c r="C6430" s="8">
        <f>QS.CONTEXT.CREATE("market.6428",A6430,"USD","SOFR")</f>
        <v/>
      </c>
      <c r="D6430" s="8">
        <f>QS.CONTEXT.ADD.CURVE(C6430,"SOFR",$K$2:$K$7,$L$2:$L$7,,,"Actual360","LogLinear",TRUE)</f>
        <v/>
      </c>
      <c r="E6430" s="8">
        <f>QS.INSTRUMENT.SWAP("swap.6428",C6430,H6430,B6430,"USD","SOFR",I6430,J6430,0,"Actual360","Simple","Annual","Annual","Annual")</f>
        <v/>
      </c>
      <c r="F6430" s="8">
        <f>QS.TRADE.CREATE("trade.6428",C6430,E6430,A6430,"Receive")</f>
        <v/>
      </c>
      <c r="G6430" s="5"/>
      <c r="H6430" s="7" t="s">
        <v>6471</v>
      </c>
      <c r="I6430" s="9">
        <v>1642800</v>
      </c>
      <c r="J6430" s="10">
        <v>0.0378</v>
      </c>
    </row>
    <row r="6431" spans="1:10">
      <c r="A6431" s="7" t="s">
        <v>6465</v>
      </c>
      <c r="B6431" s="7" t="s">
        <v>8298</v>
      </c>
      <c r="C6431" s="8">
        <f>QS.CONTEXT.CREATE("market.6429",A6431,"USD","SOFR")</f>
        <v/>
      </c>
      <c r="D6431" s="8">
        <f>QS.CONTEXT.ADD.CURVE(C6431,"SOFR",$K$2:$K$7,$L$2:$L$7,,,"Actual360","LogLinear",TRUE)</f>
        <v/>
      </c>
      <c r="E6431" s="8">
        <f>QS.INSTRUMENT.SWAP("swap.6429",C6431,H6431,B6431,"USD","SOFR",I6431,J6431,0,"Actual360","Simple","Annual","Annual","Annual")</f>
        <v/>
      </c>
      <c r="F6431" s="8">
        <f>QS.TRADE.CREATE("trade.6429",C6431,E6431,A6431,"Receive")</f>
        <v/>
      </c>
      <c r="G6431" s="5"/>
      <c r="H6431" s="7" t="s">
        <v>6472</v>
      </c>
      <c r="I6431" s="9">
        <v>1642900</v>
      </c>
      <c r="J6431" s="10">
        <v>0.0379</v>
      </c>
    </row>
    <row r="6432" spans="1:10">
      <c r="A6432" s="7" t="s">
        <v>6466</v>
      </c>
      <c r="B6432" s="7" t="s">
        <v>8299</v>
      </c>
      <c r="C6432" s="8">
        <f>QS.CONTEXT.CREATE("market.6430",A6432,"USD","SOFR")</f>
        <v/>
      </c>
      <c r="D6432" s="8">
        <f>QS.CONTEXT.ADD.CURVE(C6432,"SOFR",$K$2:$K$7,$L$2:$L$7,,,"Actual360","LogLinear",TRUE)</f>
        <v/>
      </c>
      <c r="E6432" s="8">
        <f>QS.INSTRUMENT.SWAP("swap.6430",C6432,H6432,B6432,"USD","SOFR",I6432,J6432,0,"Actual360","Simple","Annual","Annual","Annual")</f>
        <v/>
      </c>
      <c r="F6432" s="8">
        <f>QS.TRADE.CREATE("trade.6430",C6432,E6432,A6432,"Receive")</f>
        <v/>
      </c>
      <c r="G6432" s="5"/>
      <c r="H6432" s="7" t="s">
        <v>6473</v>
      </c>
      <c r="I6432" s="9">
        <v>1643000</v>
      </c>
      <c r="J6432" s="10">
        <v>0.03800000000000001</v>
      </c>
    </row>
    <row r="6433" spans="1:10">
      <c r="A6433" s="7" t="s">
        <v>6467</v>
      </c>
      <c r="B6433" s="7" t="s">
        <v>8300</v>
      </c>
      <c r="C6433" s="8">
        <f>QS.CONTEXT.CREATE("market.6431",A6433,"USD","SOFR")</f>
        <v/>
      </c>
      <c r="D6433" s="8">
        <f>QS.CONTEXT.ADD.CURVE(C6433,"SOFR",$K$2:$K$7,$L$2:$L$7,,,"Actual360","LogLinear",TRUE)</f>
        <v/>
      </c>
      <c r="E6433" s="8">
        <f>QS.INSTRUMENT.SWAP("swap.6431",C6433,H6433,B6433,"USD","SOFR",I6433,J6433,0,"Actual360","Simple","Annual","Annual","Annual")</f>
        <v/>
      </c>
      <c r="F6433" s="8">
        <f>QS.TRADE.CREATE("trade.6431",C6433,E6433,A6433,"Receive")</f>
        <v/>
      </c>
      <c r="G6433" s="5"/>
      <c r="H6433" s="7" t="s">
        <v>6474</v>
      </c>
      <c r="I6433" s="9">
        <v>1643100</v>
      </c>
      <c r="J6433" s="10">
        <v>0.0381</v>
      </c>
    </row>
    <row r="6434" spans="1:10">
      <c r="A6434" s="7" t="s">
        <v>6468</v>
      </c>
      <c r="B6434" s="7" t="s">
        <v>8301</v>
      </c>
      <c r="C6434" s="8">
        <f>QS.CONTEXT.CREATE("market.6432",A6434,"USD","SOFR")</f>
        <v/>
      </c>
      <c r="D6434" s="8">
        <f>QS.CONTEXT.ADD.CURVE(C6434,"SOFR",$K$2:$K$7,$L$2:$L$7,,,"Actual360","LogLinear",TRUE)</f>
        <v/>
      </c>
      <c r="E6434" s="8">
        <f>QS.INSTRUMENT.SWAP("swap.6432",C6434,H6434,B6434,"USD","SOFR",I6434,J6434,0,"Actual360","Simple","Annual","Annual","Annual")</f>
        <v/>
      </c>
      <c r="F6434" s="8">
        <f>QS.TRADE.CREATE("trade.6432",C6434,E6434,A6434,"Receive")</f>
        <v/>
      </c>
      <c r="G6434" s="5"/>
      <c r="H6434" s="7" t="s">
        <v>6475</v>
      </c>
      <c r="I6434" s="9">
        <v>1643200</v>
      </c>
      <c r="J6434" s="10">
        <v>0.0382</v>
      </c>
    </row>
    <row r="6435" spans="1:10">
      <c r="A6435" s="7" t="s">
        <v>6469</v>
      </c>
      <c r="B6435" s="7" t="s">
        <v>8302</v>
      </c>
      <c r="C6435" s="8">
        <f>QS.CONTEXT.CREATE("market.6433",A6435,"USD","SOFR")</f>
        <v/>
      </c>
      <c r="D6435" s="8">
        <f>QS.CONTEXT.ADD.CURVE(C6435,"SOFR",$K$2:$K$7,$L$2:$L$7,,,"Actual360","LogLinear",TRUE)</f>
        <v/>
      </c>
      <c r="E6435" s="8">
        <f>QS.INSTRUMENT.SWAP("swap.6433",C6435,H6435,B6435,"USD","SOFR",I6435,J6435,0,"Actual360","Simple","Annual","Annual","Annual")</f>
        <v/>
      </c>
      <c r="F6435" s="8">
        <f>QS.TRADE.CREATE("trade.6433",C6435,E6435,A6435,"Receive")</f>
        <v/>
      </c>
      <c r="G6435" s="5"/>
      <c r="H6435" s="7" t="s">
        <v>6476</v>
      </c>
      <c r="I6435" s="9">
        <v>1643300</v>
      </c>
      <c r="J6435" s="10">
        <v>0.0383</v>
      </c>
    </row>
    <row r="6436" spans="1:10">
      <c r="A6436" s="7" t="s">
        <v>6470</v>
      </c>
      <c r="B6436" s="7" t="s">
        <v>8303</v>
      </c>
      <c r="C6436" s="8">
        <f>QS.CONTEXT.CREATE("market.6434",A6436,"USD","SOFR")</f>
        <v/>
      </c>
      <c r="D6436" s="8">
        <f>QS.CONTEXT.ADD.CURVE(C6436,"SOFR",$K$2:$K$7,$L$2:$L$7,,,"Actual360","LogLinear",TRUE)</f>
        <v/>
      </c>
      <c r="E6436" s="8">
        <f>QS.INSTRUMENT.SWAP("swap.6434",C6436,H6436,B6436,"USD","SOFR",I6436,J6436,0,"Actual360","Simple","Annual","Annual","Annual")</f>
        <v/>
      </c>
      <c r="F6436" s="8">
        <f>QS.TRADE.CREATE("trade.6434",C6436,E6436,A6436,"Receive")</f>
        <v/>
      </c>
      <c r="G6436" s="5"/>
      <c r="H6436" s="7" t="s">
        <v>6477</v>
      </c>
      <c r="I6436" s="9">
        <v>1643400</v>
      </c>
      <c r="J6436" s="10">
        <v>0.0384</v>
      </c>
    </row>
    <row r="6437" spans="1:10">
      <c r="A6437" s="7" t="s">
        <v>6471</v>
      </c>
      <c r="B6437" s="7" t="s">
        <v>8304</v>
      </c>
      <c r="C6437" s="8">
        <f>QS.CONTEXT.CREATE("market.6435",A6437,"USD","SOFR")</f>
        <v/>
      </c>
      <c r="D6437" s="8">
        <f>QS.CONTEXT.ADD.CURVE(C6437,"SOFR",$K$2:$K$7,$L$2:$L$7,,,"Actual360","LogLinear",TRUE)</f>
        <v/>
      </c>
      <c r="E6437" s="8">
        <f>QS.INSTRUMENT.SWAP("swap.6435",C6437,H6437,B6437,"USD","SOFR",I6437,J6437,0,"Actual360","Simple","Annual","Annual","Annual")</f>
        <v/>
      </c>
      <c r="F6437" s="8">
        <f>QS.TRADE.CREATE("trade.6435",C6437,E6437,A6437,"Receive")</f>
        <v/>
      </c>
      <c r="G6437" s="5"/>
      <c r="H6437" s="7" t="s">
        <v>6478</v>
      </c>
      <c r="I6437" s="9">
        <v>1643500</v>
      </c>
      <c r="J6437" s="10">
        <v>0.03850000000000001</v>
      </c>
    </row>
    <row r="6438" spans="1:10">
      <c r="A6438" s="7" t="s">
        <v>6472</v>
      </c>
      <c r="B6438" s="7" t="s">
        <v>8305</v>
      </c>
      <c r="C6438" s="8">
        <f>QS.CONTEXT.CREATE("market.6436",A6438,"USD","SOFR")</f>
        <v/>
      </c>
      <c r="D6438" s="8">
        <f>QS.CONTEXT.ADD.CURVE(C6438,"SOFR",$K$2:$K$7,$L$2:$L$7,,,"Actual360","LogLinear",TRUE)</f>
        <v/>
      </c>
      <c r="E6438" s="8">
        <f>QS.INSTRUMENT.SWAP("swap.6436",C6438,H6438,B6438,"USD","SOFR",I6438,J6438,0,"Actual360","Simple","Annual","Annual","Annual")</f>
        <v/>
      </c>
      <c r="F6438" s="8">
        <f>QS.TRADE.CREATE("trade.6436",C6438,E6438,A6438,"Receive")</f>
        <v/>
      </c>
      <c r="G6438" s="5"/>
      <c r="H6438" s="7" t="s">
        <v>6479</v>
      </c>
      <c r="I6438" s="9">
        <v>1643600</v>
      </c>
      <c r="J6438" s="10">
        <v>0.0386</v>
      </c>
    </row>
    <row r="6439" spans="1:10">
      <c r="A6439" s="7" t="s">
        <v>6473</v>
      </c>
      <c r="B6439" s="7" t="s">
        <v>8306</v>
      </c>
      <c r="C6439" s="8">
        <f>QS.CONTEXT.CREATE("market.6437",A6439,"USD","SOFR")</f>
        <v/>
      </c>
      <c r="D6439" s="8">
        <f>QS.CONTEXT.ADD.CURVE(C6439,"SOFR",$K$2:$K$7,$L$2:$L$7,,,"Actual360","LogLinear",TRUE)</f>
        <v/>
      </c>
      <c r="E6439" s="8">
        <f>QS.INSTRUMENT.SWAP("swap.6437",C6439,H6439,B6439,"USD","SOFR",I6439,J6439,0,"Actual360","Simple","Annual","Annual","Annual")</f>
        <v/>
      </c>
      <c r="F6439" s="8">
        <f>QS.TRADE.CREATE("trade.6437",C6439,E6439,A6439,"Receive")</f>
        <v/>
      </c>
      <c r="G6439" s="5"/>
      <c r="H6439" s="7" t="s">
        <v>6480</v>
      </c>
      <c r="I6439" s="9">
        <v>1643700</v>
      </c>
      <c r="J6439" s="10">
        <v>0.03870000000000001</v>
      </c>
    </row>
    <row r="6440" spans="1:10">
      <c r="A6440" s="7" t="s">
        <v>6474</v>
      </c>
      <c r="B6440" s="7" t="s">
        <v>8307</v>
      </c>
      <c r="C6440" s="8">
        <f>QS.CONTEXT.CREATE("market.6438",A6440,"USD","SOFR")</f>
        <v/>
      </c>
      <c r="D6440" s="8">
        <f>QS.CONTEXT.ADD.CURVE(C6440,"SOFR",$K$2:$K$7,$L$2:$L$7,,,"Actual360","LogLinear",TRUE)</f>
        <v/>
      </c>
      <c r="E6440" s="8">
        <f>QS.INSTRUMENT.SWAP("swap.6438",C6440,H6440,B6440,"USD","SOFR",I6440,J6440,0,"Actual360","Simple","Annual","Annual","Annual")</f>
        <v/>
      </c>
      <c r="F6440" s="8">
        <f>QS.TRADE.CREATE("trade.6438",C6440,E6440,A6440,"Receive")</f>
        <v/>
      </c>
      <c r="G6440" s="5"/>
      <c r="H6440" s="7" t="s">
        <v>6481</v>
      </c>
      <c r="I6440" s="9">
        <v>1643800</v>
      </c>
      <c r="J6440" s="10">
        <v>0.0388</v>
      </c>
    </row>
    <row r="6441" spans="1:10">
      <c r="A6441" s="7" t="s">
        <v>6475</v>
      </c>
      <c r="B6441" s="7" t="s">
        <v>8308</v>
      </c>
      <c r="C6441" s="8">
        <f>QS.CONTEXT.CREATE("market.6439",A6441,"USD","SOFR")</f>
        <v/>
      </c>
      <c r="D6441" s="8">
        <f>QS.CONTEXT.ADD.CURVE(C6441,"SOFR",$K$2:$K$7,$L$2:$L$7,,,"Actual360","LogLinear",TRUE)</f>
        <v/>
      </c>
      <c r="E6441" s="8">
        <f>QS.INSTRUMENT.SWAP("swap.6439",C6441,H6441,B6441,"USD","SOFR",I6441,J6441,0,"Actual360","Simple","Annual","Annual","Annual")</f>
        <v/>
      </c>
      <c r="F6441" s="8">
        <f>QS.TRADE.CREATE("trade.6439",C6441,E6441,A6441,"Receive")</f>
        <v/>
      </c>
      <c r="G6441" s="5"/>
      <c r="H6441" s="7" t="s">
        <v>6482</v>
      </c>
      <c r="I6441" s="9">
        <v>1643900</v>
      </c>
      <c r="J6441" s="10">
        <v>0.0389</v>
      </c>
    </row>
    <row r="6442" spans="1:10">
      <c r="A6442" s="7" t="s">
        <v>6476</v>
      </c>
      <c r="B6442" s="7" t="s">
        <v>8309</v>
      </c>
      <c r="C6442" s="8">
        <f>QS.CONTEXT.CREATE("market.6440",A6442,"USD","SOFR")</f>
        <v/>
      </c>
      <c r="D6442" s="8">
        <f>QS.CONTEXT.ADD.CURVE(C6442,"SOFR",$K$2:$K$7,$L$2:$L$7,,,"Actual360","LogLinear",TRUE)</f>
        <v/>
      </c>
      <c r="E6442" s="8">
        <f>QS.INSTRUMENT.SWAP("swap.6440",C6442,H6442,B6442,"USD","SOFR",I6442,J6442,0,"Actual360","Simple","Annual","Annual","Annual")</f>
        <v/>
      </c>
      <c r="F6442" s="8">
        <f>QS.TRADE.CREATE("trade.6440",C6442,E6442,A6442,"Receive")</f>
        <v/>
      </c>
      <c r="G6442" s="5"/>
      <c r="H6442" s="7" t="s">
        <v>6483</v>
      </c>
      <c r="I6442" s="9">
        <v>1644000</v>
      </c>
      <c r="J6442" s="10">
        <v>0.03900000000000001</v>
      </c>
    </row>
    <row r="6443" spans="1:10">
      <c r="A6443" s="7" t="s">
        <v>6477</v>
      </c>
      <c r="B6443" s="7" t="s">
        <v>8310</v>
      </c>
      <c r="C6443" s="8">
        <f>QS.CONTEXT.CREATE("market.6441",A6443,"USD","SOFR")</f>
        <v/>
      </c>
      <c r="D6443" s="8">
        <f>QS.CONTEXT.ADD.CURVE(C6443,"SOFR",$K$2:$K$7,$L$2:$L$7,,,"Actual360","LogLinear",TRUE)</f>
        <v/>
      </c>
      <c r="E6443" s="8">
        <f>QS.INSTRUMENT.SWAP("swap.6441",C6443,H6443,B6443,"USD","SOFR",I6443,J6443,0,"Actual360","Simple","Annual","Annual","Annual")</f>
        <v/>
      </c>
      <c r="F6443" s="8">
        <f>QS.TRADE.CREATE("trade.6441",C6443,E6443,A6443,"Receive")</f>
        <v/>
      </c>
      <c r="G6443" s="5"/>
      <c r="H6443" s="7" t="s">
        <v>6484</v>
      </c>
      <c r="I6443" s="9">
        <v>1644100</v>
      </c>
      <c r="J6443" s="10">
        <v>0.0391</v>
      </c>
    </row>
    <row r="6444" spans="1:10">
      <c r="A6444" s="7" t="s">
        <v>6478</v>
      </c>
      <c r="B6444" s="7" t="s">
        <v>8311</v>
      </c>
      <c r="C6444" s="8">
        <f>QS.CONTEXT.CREATE("market.6442",A6444,"USD","SOFR")</f>
        <v/>
      </c>
      <c r="D6444" s="8">
        <f>QS.CONTEXT.ADD.CURVE(C6444,"SOFR",$K$2:$K$7,$L$2:$L$7,,,"Actual360","LogLinear",TRUE)</f>
        <v/>
      </c>
      <c r="E6444" s="8">
        <f>QS.INSTRUMENT.SWAP("swap.6442",C6444,H6444,B6444,"USD","SOFR",I6444,J6444,0,"Actual360","Simple","Annual","Annual","Annual")</f>
        <v/>
      </c>
      <c r="F6444" s="8">
        <f>QS.TRADE.CREATE("trade.6442",C6444,E6444,A6444,"Receive")</f>
        <v/>
      </c>
      <c r="G6444" s="5"/>
      <c r="H6444" s="7" t="s">
        <v>6485</v>
      </c>
      <c r="I6444" s="9">
        <v>1644200</v>
      </c>
      <c r="J6444" s="10">
        <v>0.03920000000000001</v>
      </c>
    </row>
    <row r="6445" spans="1:10">
      <c r="A6445" s="7" t="s">
        <v>6479</v>
      </c>
      <c r="B6445" s="7" t="s">
        <v>8312</v>
      </c>
      <c r="C6445" s="8">
        <f>QS.CONTEXT.CREATE("market.6443",A6445,"USD","SOFR")</f>
        <v/>
      </c>
      <c r="D6445" s="8">
        <f>QS.CONTEXT.ADD.CURVE(C6445,"SOFR",$K$2:$K$7,$L$2:$L$7,,,"Actual360","LogLinear",TRUE)</f>
        <v/>
      </c>
      <c r="E6445" s="8">
        <f>QS.INSTRUMENT.SWAP("swap.6443",C6445,H6445,B6445,"USD","SOFR",I6445,J6445,0,"Actual360","Simple","Annual","Annual","Annual")</f>
        <v/>
      </c>
      <c r="F6445" s="8">
        <f>QS.TRADE.CREATE("trade.6443",C6445,E6445,A6445,"Receive")</f>
        <v/>
      </c>
      <c r="G6445" s="5"/>
      <c r="H6445" s="7" t="s">
        <v>6486</v>
      </c>
      <c r="I6445" s="9">
        <v>1644300</v>
      </c>
      <c r="J6445" s="10">
        <v>0.0393</v>
      </c>
    </row>
    <row r="6446" spans="1:10">
      <c r="A6446" s="7" t="s">
        <v>6480</v>
      </c>
      <c r="B6446" s="7" t="s">
        <v>8313</v>
      </c>
      <c r="C6446" s="8">
        <f>QS.CONTEXT.CREATE("market.6444",A6446,"USD","SOFR")</f>
        <v/>
      </c>
      <c r="D6446" s="8">
        <f>QS.CONTEXT.ADD.CURVE(C6446,"SOFR",$K$2:$K$7,$L$2:$L$7,,,"Actual360","LogLinear",TRUE)</f>
        <v/>
      </c>
      <c r="E6446" s="8">
        <f>QS.INSTRUMENT.SWAP("swap.6444",C6446,H6446,B6446,"USD","SOFR",I6446,J6446,0,"Actual360","Simple","Annual","Annual","Annual")</f>
        <v/>
      </c>
      <c r="F6446" s="8">
        <f>QS.TRADE.CREATE("trade.6444",C6446,E6446,A6446,"Receive")</f>
        <v/>
      </c>
      <c r="G6446" s="5"/>
      <c r="H6446" s="7" t="s">
        <v>6487</v>
      </c>
      <c r="I6446" s="9">
        <v>1644400</v>
      </c>
      <c r="J6446" s="10">
        <v>0.0394</v>
      </c>
    </row>
    <row r="6447" spans="1:10">
      <c r="A6447" s="7" t="s">
        <v>6481</v>
      </c>
      <c r="B6447" s="7" t="s">
        <v>8314</v>
      </c>
      <c r="C6447" s="8">
        <f>QS.CONTEXT.CREATE("market.6445",A6447,"USD","SOFR")</f>
        <v/>
      </c>
      <c r="D6447" s="8">
        <f>QS.CONTEXT.ADD.CURVE(C6447,"SOFR",$K$2:$K$7,$L$2:$L$7,,,"Actual360","LogLinear",TRUE)</f>
        <v/>
      </c>
      <c r="E6447" s="8">
        <f>QS.INSTRUMENT.SWAP("swap.6445",C6447,H6447,B6447,"USD","SOFR",I6447,J6447,0,"Actual360","Simple","Annual","Annual","Annual")</f>
        <v/>
      </c>
      <c r="F6447" s="8">
        <f>QS.TRADE.CREATE("trade.6445",C6447,E6447,A6447,"Receive")</f>
        <v/>
      </c>
      <c r="G6447" s="5"/>
      <c r="H6447" s="7" t="s">
        <v>6488</v>
      </c>
      <c r="I6447" s="9">
        <v>1644500</v>
      </c>
      <c r="J6447" s="10">
        <v>0.03950000000000001</v>
      </c>
    </row>
    <row r="6448" spans="1:10">
      <c r="A6448" s="7" t="s">
        <v>6482</v>
      </c>
      <c r="B6448" s="7" t="s">
        <v>8315</v>
      </c>
      <c r="C6448" s="8">
        <f>QS.CONTEXT.CREATE("market.6446",A6448,"USD","SOFR")</f>
        <v/>
      </c>
      <c r="D6448" s="8">
        <f>QS.CONTEXT.ADD.CURVE(C6448,"SOFR",$K$2:$K$7,$L$2:$L$7,,,"Actual360","LogLinear",TRUE)</f>
        <v/>
      </c>
      <c r="E6448" s="8">
        <f>QS.INSTRUMENT.SWAP("swap.6446",C6448,H6448,B6448,"USD","SOFR",I6448,J6448,0,"Actual360","Simple","Annual","Annual","Annual")</f>
        <v/>
      </c>
      <c r="F6448" s="8">
        <f>QS.TRADE.CREATE("trade.6446",C6448,E6448,A6448,"Receive")</f>
        <v/>
      </c>
      <c r="G6448" s="5"/>
      <c r="H6448" s="7" t="s">
        <v>6489</v>
      </c>
      <c r="I6448" s="9">
        <v>1644600</v>
      </c>
      <c r="J6448" s="10">
        <v>0.0396</v>
      </c>
    </row>
    <row r="6449" spans="1:10">
      <c r="A6449" s="7" t="s">
        <v>6483</v>
      </c>
      <c r="B6449" s="7" t="s">
        <v>8316</v>
      </c>
      <c r="C6449" s="8">
        <f>QS.CONTEXT.CREATE("market.6447",A6449,"USD","SOFR")</f>
        <v/>
      </c>
      <c r="D6449" s="8">
        <f>QS.CONTEXT.ADD.CURVE(C6449,"SOFR",$K$2:$K$7,$L$2:$L$7,,,"Actual360","LogLinear",TRUE)</f>
        <v/>
      </c>
      <c r="E6449" s="8">
        <f>QS.INSTRUMENT.SWAP("swap.6447",C6449,H6449,B6449,"USD","SOFR",I6449,J6449,0,"Actual360","Simple","Annual","Annual","Annual")</f>
        <v/>
      </c>
      <c r="F6449" s="8">
        <f>QS.TRADE.CREATE("trade.6447",C6449,E6449,A6449,"Receive")</f>
        <v/>
      </c>
      <c r="G6449" s="5"/>
      <c r="H6449" s="7" t="s">
        <v>6490</v>
      </c>
      <c r="I6449" s="9">
        <v>1644700</v>
      </c>
      <c r="J6449" s="10">
        <v>0.03970000000000001</v>
      </c>
    </row>
    <row r="6450" spans="1:10">
      <c r="A6450" s="7" t="s">
        <v>6484</v>
      </c>
      <c r="B6450" s="7" t="s">
        <v>8317</v>
      </c>
      <c r="C6450" s="8">
        <f>QS.CONTEXT.CREATE("market.6448",A6450,"USD","SOFR")</f>
        <v/>
      </c>
      <c r="D6450" s="8">
        <f>QS.CONTEXT.ADD.CURVE(C6450,"SOFR",$K$2:$K$7,$L$2:$L$7,,,"Actual360","LogLinear",TRUE)</f>
        <v/>
      </c>
      <c r="E6450" s="8">
        <f>QS.INSTRUMENT.SWAP("swap.6448",C6450,H6450,B6450,"USD","SOFR",I6450,J6450,0,"Actual360","Simple","Annual","Annual","Annual")</f>
        <v/>
      </c>
      <c r="F6450" s="8">
        <f>QS.TRADE.CREATE("trade.6448",C6450,E6450,A6450,"Receive")</f>
        <v/>
      </c>
      <c r="G6450" s="5"/>
      <c r="H6450" s="7" t="s">
        <v>6491</v>
      </c>
      <c r="I6450" s="9">
        <v>1644800</v>
      </c>
      <c r="J6450" s="10">
        <v>0.0398</v>
      </c>
    </row>
    <row r="6451" spans="1:10">
      <c r="A6451" s="7" t="s">
        <v>6485</v>
      </c>
      <c r="B6451" s="7" t="s">
        <v>8318</v>
      </c>
      <c r="C6451" s="8">
        <f>QS.CONTEXT.CREATE("market.6449",A6451,"USD","SOFR")</f>
        <v/>
      </c>
      <c r="D6451" s="8">
        <f>QS.CONTEXT.ADD.CURVE(C6451,"SOFR",$K$2:$K$7,$L$2:$L$7,,,"Actual360","LogLinear",TRUE)</f>
        <v/>
      </c>
      <c r="E6451" s="8">
        <f>QS.INSTRUMENT.SWAP("swap.6449",C6451,H6451,B6451,"USD","SOFR",I6451,J6451,0,"Actual360","Simple","Annual","Annual","Annual")</f>
        <v/>
      </c>
      <c r="F6451" s="8">
        <f>QS.TRADE.CREATE("trade.6449",C6451,E6451,A6451,"Receive")</f>
        <v/>
      </c>
      <c r="G6451" s="5"/>
      <c r="H6451" s="7" t="s">
        <v>6492</v>
      </c>
      <c r="I6451" s="9">
        <v>1644900</v>
      </c>
      <c r="J6451" s="10">
        <v>0.0399</v>
      </c>
    </row>
    <row r="6452" spans="1:10">
      <c r="A6452" s="7" t="s">
        <v>6486</v>
      </c>
      <c r="B6452" s="7" t="s">
        <v>8319</v>
      </c>
      <c r="C6452" s="8">
        <f>QS.CONTEXT.CREATE("market.6450",A6452,"USD","SOFR")</f>
        <v/>
      </c>
      <c r="D6452" s="8">
        <f>QS.CONTEXT.ADD.CURVE(C6452,"SOFR",$K$2:$K$7,$L$2:$L$7,,,"Actual360","LogLinear",TRUE)</f>
        <v/>
      </c>
      <c r="E6452" s="8">
        <f>QS.INSTRUMENT.SWAP("swap.6450",C6452,H6452,B6452,"USD","SOFR",I6452,J6452,0,"Actual360","Simple","Annual","Annual","Annual")</f>
        <v/>
      </c>
      <c r="F6452" s="8">
        <f>QS.TRADE.CREATE("trade.6450",C6452,E6452,A6452,"Receive")</f>
        <v/>
      </c>
      <c r="G6452" s="5"/>
      <c r="H6452" s="7" t="s">
        <v>6493</v>
      </c>
      <c r="I6452" s="9">
        <v>1645000</v>
      </c>
      <c r="J6452" s="10">
        <v>0.035</v>
      </c>
    </row>
    <row r="6453" spans="1:10">
      <c r="A6453" s="7" t="s">
        <v>6487</v>
      </c>
      <c r="B6453" s="7" t="s">
        <v>8320</v>
      </c>
      <c r="C6453" s="8">
        <f>QS.CONTEXT.CREATE("market.6451",A6453,"USD","SOFR")</f>
        <v/>
      </c>
      <c r="D6453" s="8">
        <f>QS.CONTEXT.ADD.CURVE(C6453,"SOFR",$K$2:$K$7,$L$2:$L$7,,,"Actual360","LogLinear",TRUE)</f>
        <v/>
      </c>
      <c r="E6453" s="8">
        <f>QS.INSTRUMENT.SWAP("swap.6451",C6453,H6453,B6453,"USD","SOFR",I6453,J6453,0,"Actual360","Simple","Annual","Annual","Annual")</f>
        <v/>
      </c>
      <c r="F6453" s="8">
        <f>QS.TRADE.CREATE("trade.6451",C6453,E6453,A6453,"Receive")</f>
        <v/>
      </c>
      <c r="G6453" s="5"/>
      <c r="H6453" s="7" t="s">
        <v>6494</v>
      </c>
      <c r="I6453" s="9">
        <v>1645100</v>
      </c>
      <c r="J6453" s="10">
        <v>0.03510000000000001</v>
      </c>
    </row>
    <row r="6454" spans="1:10">
      <c r="A6454" s="7" t="s">
        <v>6488</v>
      </c>
      <c r="B6454" s="7" t="s">
        <v>8321</v>
      </c>
      <c r="C6454" s="8">
        <f>QS.CONTEXT.CREATE("market.6452",A6454,"USD","SOFR")</f>
        <v/>
      </c>
      <c r="D6454" s="8">
        <f>QS.CONTEXT.ADD.CURVE(C6454,"SOFR",$K$2:$K$7,$L$2:$L$7,,,"Actual360","LogLinear",TRUE)</f>
        <v/>
      </c>
      <c r="E6454" s="8">
        <f>QS.INSTRUMENT.SWAP("swap.6452",C6454,H6454,B6454,"USD","SOFR",I6454,J6454,0,"Actual360","Simple","Annual","Annual","Annual")</f>
        <v/>
      </c>
      <c r="F6454" s="8">
        <f>QS.TRADE.CREATE("trade.6452",C6454,E6454,A6454,"Receive")</f>
        <v/>
      </c>
      <c r="G6454" s="5"/>
      <c r="H6454" s="7" t="s">
        <v>6495</v>
      </c>
      <c r="I6454" s="9">
        <v>1645200</v>
      </c>
      <c r="J6454" s="10">
        <v>0.0352</v>
      </c>
    </row>
    <row r="6455" spans="1:10">
      <c r="A6455" s="7" t="s">
        <v>6489</v>
      </c>
      <c r="B6455" s="7" t="s">
        <v>8322</v>
      </c>
      <c r="C6455" s="8">
        <f>QS.CONTEXT.CREATE("market.6453",A6455,"USD","SOFR")</f>
        <v/>
      </c>
      <c r="D6455" s="8">
        <f>QS.CONTEXT.ADD.CURVE(C6455,"SOFR",$K$2:$K$7,$L$2:$L$7,,,"Actual360","LogLinear",TRUE)</f>
        <v/>
      </c>
      <c r="E6455" s="8">
        <f>QS.INSTRUMENT.SWAP("swap.6453",C6455,H6455,B6455,"USD","SOFR",I6455,J6455,0,"Actual360","Simple","Annual","Annual","Annual")</f>
        <v/>
      </c>
      <c r="F6455" s="8">
        <f>QS.TRADE.CREATE("trade.6453",C6455,E6455,A6455,"Receive")</f>
        <v/>
      </c>
      <c r="G6455" s="5"/>
      <c r="H6455" s="7" t="s">
        <v>6496</v>
      </c>
      <c r="I6455" s="9">
        <v>1645300</v>
      </c>
      <c r="J6455" s="10">
        <v>0.0353</v>
      </c>
    </row>
    <row r="6456" spans="1:10">
      <c r="A6456" s="7" t="s">
        <v>6490</v>
      </c>
      <c r="B6456" s="7" t="s">
        <v>8323</v>
      </c>
      <c r="C6456" s="8">
        <f>QS.CONTEXT.CREATE("market.6454",A6456,"USD","SOFR")</f>
        <v/>
      </c>
      <c r="D6456" s="8">
        <f>QS.CONTEXT.ADD.CURVE(C6456,"SOFR",$K$2:$K$7,$L$2:$L$7,,,"Actual360","LogLinear",TRUE)</f>
        <v/>
      </c>
      <c r="E6456" s="8">
        <f>QS.INSTRUMENT.SWAP("swap.6454",C6456,H6456,B6456,"USD","SOFR",I6456,J6456,0,"Actual360","Simple","Annual","Annual","Annual")</f>
        <v/>
      </c>
      <c r="F6456" s="8">
        <f>QS.TRADE.CREATE("trade.6454",C6456,E6456,A6456,"Receive")</f>
        <v/>
      </c>
      <c r="G6456" s="5"/>
      <c r="H6456" s="7" t="s">
        <v>6497</v>
      </c>
      <c r="I6456" s="9">
        <v>1645400</v>
      </c>
      <c r="J6456" s="10">
        <v>0.0354</v>
      </c>
    </row>
    <row r="6457" spans="1:10">
      <c r="A6457" s="7" t="s">
        <v>6491</v>
      </c>
      <c r="B6457" s="7" t="s">
        <v>8324</v>
      </c>
      <c r="C6457" s="8">
        <f>QS.CONTEXT.CREATE("market.6455",A6457,"USD","SOFR")</f>
        <v/>
      </c>
      <c r="D6457" s="8">
        <f>QS.CONTEXT.ADD.CURVE(C6457,"SOFR",$K$2:$K$7,$L$2:$L$7,,,"Actual360","LogLinear",TRUE)</f>
        <v/>
      </c>
      <c r="E6457" s="8">
        <f>QS.INSTRUMENT.SWAP("swap.6455",C6457,H6457,B6457,"USD","SOFR",I6457,J6457,0,"Actual360","Simple","Annual","Annual","Annual")</f>
        <v/>
      </c>
      <c r="F6457" s="8">
        <f>QS.TRADE.CREATE("trade.6455",C6457,E6457,A6457,"Receive")</f>
        <v/>
      </c>
      <c r="G6457" s="5"/>
      <c r="H6457" s="7" t="s">
        <v>6498</v>
      </c>
      <c r="I6457" s="9">
        <v>1645500</v>
      </c>
      <c r="J6457" s="10">
        <v>0.0355</v>
      </c>
    </row>
    <row r="6458" spans="1:10">
      <c r="A6458" s="7" t="s">
        <v>6492</v>
      </c>
      <c r="B6458" s="7" t="s">
        <v>8325</v>
      </c>
      <c r="C6458" s="8">
        <f>QS.CONTEXT.CREATE("market.6456",A6458,"USD","SOFR")</f>
        <v/>
      </c>
      <c r="D6458" s="8">
        <f>QS.CONTEXT.ADD.CURVE(C6458,"SOFR",$K$2:$K$7,$L$2:$L$7,,,"Actual360","LogLinear",TRUE)</f>
        <v/>
      </c>
      <c r="E6458" s="8">
        <f>QS.INSTRUMENT.SWAP("swap.6456",C6458,H6458,B6458,"USD","SOFR",I6458,J6458,0,"Actual360","Simple","Annual","Annual","Annual")</f>
        <v/>
      </c>
      <c r="F6458" s="8">
        <f>QS.TRADE.CREATE("trade.6456",C6458,E6458,A6458,"Receive")</f>
        <v/>
      </c>
      <c r="G6458" s="5"/>
      <c r="H6458" s="7" t="s">
        <v>6499</v>
      </c>
      <c r="I6458" s="9">
        <v>1645600</v>
      </c>
      <c r="J6458" s="10">
        <v>0.03560000000000001</v>
      </c>
    </row>
    <row r="6459" spans="1:10">
      <c r="A6459" s="7" t="s">
        <v>6493</v>
      </c>
      <c r="B6459" s="7" t="s">
        <v>8326</v>
      </c>
      <c r="C6459" s="8">
        <f>QS.CONTEXT.CREATE("market.6457",A6459,"USD","SOFR")</f>
        <v/>
      </c>
      <c r="D6459" s="8">
        <f>QS.CONTEXT.ADD.CURVE(C6459,"SOFR",$K$2:$K$7,$L$2:$L$7,,,"Actual360","LogLinear",TRUE)</f>
        <v/>
      </c>
      <c r="E6459" s="8">
        <f>QS.INSTRUMENT.SWAP("swap.6457",C6459,H6459,B6459,"USD","SOFR",I6459,J6459,0,"Actual360","Simple","Annual","Annual","Annual")</f>
        <v/>
      </c>
      <c r="F6459" s="8">
        <f>QS.TRADE.CREATE("trade.6457",C6459,E6459,A6459,"Receive")</f>
        <v/>
      </c>
      <c r="G6459" s="5"/>
      <c r="H6459" s="7" t="s">
        <v>6500</v>
      </c>
      <c r="I6459" s="9">
        <v>1645700</v>
      </c>
      <c r="J6459" s="10">
        <v>0.0357</v>
      </c>
    </row>
    <row r="6460" spans="1:10">
      <c r="A6460" s="7" t="s">
        <v>6494</v>
      </c>
      <c r="B6460" s="7" t="s">
        <v>8327</v>
      </c>
      <c r="C6460" s="8">
        <f>QS.CONTEXT.CREATE("market.6458",A6460,"USD","SOFR")</f>
        <v/>
      </c>
      <c r="D6460" s="8">
        <f>QS.CONTEXT.ADD.CURVE(C6460,"SOFR",$K$2:$K$7,$L$2:$L$7,,,"Actual360","LogLinear",TRUE)</f>
        <v/>
      </c>
      <c r="E6460" s="8">
        <f>QS.INSTRUMENT.SWAP("swap.6458",C6460,H6460,B6460,"USD","SOFR",I6460,J6460,0,"Actual360","Simple","Annual","Annual","Annual")</f>
        <v/>
      </c>
      <c r="F6460" s="8">
        <f>QS.TRADE.CREATE("trade.6458",C6460,E6460,A6460,"Receive")</f>
        <v/>
      </c>
      <c r="G6460" s="5"/>
      <c r="H6460" s="7" t="s">
        <v>6501</v>
      </c>
      <c r="I6460" s="9">
        <v>1645800</v>
      </c>
      <c r="J6460" s="10">
        <v>0.03580000000000001</v>
      </c>
    </row>
    <row r="6461" spans="1:10">
      <c r="A6461" s="7" t="s">
        <v>6495</v>
      </c>
      <c r="B6461" s="7" t="s">
        <v>8328</v>
      </c>
      <c r="C6461" s="8">
        <f>QS.CONTEXT.CREATE("market.6459",A6461,"USD","SOFR")</f>
        <v/>
      </c>
      <c r="D6461" s="8">
        <f>QS.CONTEXT.ADD.CURVE(C6461,"SOFR",$K$2:$K$7,$L$2:$L$7,,,"Actual360","LogLinear",TRUE)</f>
        <v/>
      </c>
      <c r="E6461" s="8">
        <f>QS.INSTRUMENT.SWAP("swap.6459",C6461,H6461,B6461,"USD","SOFR",I6461,J6461,0,"Actual360","Simple","Annual","Annual","Annual")</f>
        <v/>
      </c>
      <c r="F6461" s="8">
        <f>QS.TRADE.CREATE("trade.6459",C6461,E6461,A6461,"Receive")</f>
        <v/>
      </c>
      <c r="G6461" s="5"/>
      <c r="H6461" s="7" t="s">
        <v>6502</v>
      </c>
      <c r="I6461" s="9">
        <v>1645900</v>
      </c>
      <c r="J6461" s="10">
        <v>0.0359</v>
      </c>
    </row>
    <row r="6462" spans="1:10">
      <c r="A6462" s="7" t="s">
        <v>6496</v>
      </c>
      <c r="B6462" s="7" t="s">
        <v>8329</v>
      </c>
      <c r="C6462" s="8">
        <f>QS.CONTEXT.CREATE("market.6460",A6462,"USD","SOFR")</f>
        <v/>
      </c>
      <c r="D6462" s="8">
        <f>QS.CONTEXT.ADD.CURVE(C6462,"SOFR",$K$2:$K$7,$L$2:$L$7,,,"Actual360","LogLinear",TRUE)</f>
        <v/>
      </c>
      <c r="E6462" s="8">
        <f>QS.INSTRUMENT.SWAP("swap.6460",C6462,H6462,B6462,"USD","SOFR",I6462,J6462,0,"Actual360","Simple","Annual","Annual","Annual")</f>
        <v/>
      </c>
      <c r="F6462" s="8">
        <f>QS.TRADE.CREATE("trade.6460",C6462,E6462,A6462,"Receive")</f>
        <v/>
      </c>
      <c r="G6462" s="5"/>
      <c r="H6462" s="7" t="s">
        <v>6503</v>
      </c>
      <c r="I6462" s="9">
        <v>1646000</v>
      </c>
      <c r="J6462" s="10">
        <v>0.036</v>
      </c>
    </row>
    <row r="6463" spans="1:10">
      <c r="A6463" s="7" t="s">
        <v>6497</v>
      </c>
      <c r="B6463" s="7" t="s">
        <v>8330</v>
      </c>
      <c r="C6463" s="8">
        <f>QS.CONTEXT.CREATE("market.6461",A6463,"USD","SOFR")</f>
        <v/>
      </c>
      <c r="D6463" s="8">
        <f>QS.CONTEXT.ADD.CURVE(C6463,"SOFR",$K$2:$K$7,$L$2:$L$7,,,"Actual360","LogLinear",TRUE)</f>
        <v/>
      </c>
      <c r="E6463" s="8">
        <f>QS.INSTRUMENT.SWAP("swap.6461",C6463,H6463,B6463,"USD","SOFR",I6463,J6463,0,"Actual360","Simple","Annual","Annual","Annual")</f>
        <v/>
      </c>
      <c r="F6463" s="8">
        <f>QS.TRADE.CREATE("trade.6461",C6463,E6463,A6463,"Receive")</f>
        <v/>
      </c>
      <c r="G6463" s="5"/>
      <c r="H6463" s="7" t="s">
        <v>6504</v>
      </c>
      <c r="I6463" s="9">
        <v>1646100</v>
      </c>
      <c r="J6463" s="10">
        <v>0.0361</v>
      </c>
    </row>
    <row r="6464" spans="1:10">
      <c r="A6464" s="7" t="s">
        <v>6498</v>
      </c>
      <c r="B6464" s="7" t="s">
        <v>8331</v>
      </c>
      <c r="C6464" s="8">
        <f>QS.CONTEXT.CREATE("market.6462",A6464,"USD","SOFR")</f>
        <v/>
      </c>
      <c r="D6464" s="8">
        <f>QS.CONTEXT.ADD.CURVE(C6464,"SOFR",$K$2:$K$7,$L$2:$L$7,,,"Actual360","LogLinear",TRUE)</f>
        <v/>
      </c>
      <c r="E6464" s="8">
        <f>QS.INSTRUMENT.SWAP("swap.6462",C6464,H6464,B6464,"USD","SOFR",I6464,J6464,0,"Actual360","Simple","Annual","Annual","Annual")</f>
        <v/>
      </c>
      <c r="F6464" s="8">
        <f>QS.TRADE.CREATE("trade.6462",C6464,E6464,A6464,"Receive")</f>
        <v/>
      </c>
      <c r="G6464" s="5"/>
      <c r="H6464" s="7" t="s">
        <v>6505</v>
      </c>
      <c r="I6464" s="9">
        <v>1646200</v>
      </c>
      <c r="J6464" s="10">
        <v>0.0362</v>
      </c>
    </row>
    <row r="6465" spans="1:10">
      <c r="A6465" s="7" t="s">
        <v>6499</v>
      </c>
      <c r="B6465" s="7" t="s">
        <v>8332</v>
      </c>
      <c r="C6465" s="8">
        <f>QS.CONTEXT.CREATE("market.6463",A6465,"USD","SOFR")</f>
        <v/>
      </c>
      <c r="D6465" s="8">
        <f>QS.CONTEXT.ADD.CURVE(C6465,"SOFR",$K$2:$K$7,$L$2:$L$7,,,"Actual360","LogLinear",TRUE)</f>
        <v/>
      </c>
      <c r="E6465" s="8">
        <f>QS.INSTRUMENT.SWAP("swap.6463",C6465,H6465,B6465,"USD","SOFR",I6465,J6465,0,"Actual360","Simple","Annual","Annual","Annual")</f>
        <v/>
      </c>
      <c r="F6465" s="8">
        <f>QS.TRADE.CREATE("trade.6463",C6465,E6465,A6465,"Receive")</f>
        <v/>
      </c>
      <c r="G6465" s="5"/>
      <c r="H6465" s="7" t="s">
        <v>6506</v>
      </c>
      <c r="I6465" s="9">
        <v>1646300</v>
      </c>
      <c r="J6465" s="10">
        <v>0.03630000000000001</v>
      </c>
    </row>
    <row r="6466" spans="1:10">
      <c r="A6466" s="7" t="s">
        <v>6500</v>
      </c>
      <c r="B6466" s="7" t="s">
        <v>8333</v>
      </c>
      <c r="C6466" s="8">
        <f>QS.CONTEXT.CREATE("market.6464",A6466,"USD","SOFR")</f>
        <v/>
      </c>
      <c r="D6466" s="8">
        <f>QS.CONTEXT.ADD.CURVE(C6466,"SOFR",$K$2:$K$7,$L$2:$L$7,,,"Actual360","LogLinear",TRUE)</f>
        <v/>
      </c>
      <c r="E6466" s="8">
        <f>QS.INSTRUMENT.SWAP("swap.6464",C6466,H6466,B6466,"USD","SOFR",I6466,J6466,0,"Actual360","Simple","Annual","Annual","Annual")</f>
        <v/>
      </c>
      <c r="F6466" s="8">
        <f>QS.TRADE.CREATE("trade.6464",C6466,E6466,A6466,"Receive")</f>
        <v/>
      </c>
      <c r="G6466" s="5"/>
      <c r="H6466" s="7" t="s">
        <v>6507</v>
      </c>
      <c r="I6466" s="9">
        <v>1646400</v>
      </c>
      <c r="J6466" s="10">
        <v>0.0364</v>
      </c>
    </row>
    <row r="6467" spans="1:10">
      <c r="A6467" s="7" t="s">
        <v>6501</v>
      </c>
      <c r="B6467" s="7" t="s">
        <v>8334</v>
      </c>
      <c r="C6467" s="8">
        <f>QS.CONTEXT.CREATE("market.6465",A6467,"USD","SOFR")</f>
        <v/>
      </c>
      <c r="D6467" s="8">
        <f>QS.CONTEXT.ADD.CURVE(C6467,"SOFR",$K$2:$K$7,$L$2:$L$7,,,"Actual360","LogLinear",TRUE)</f>
        <v/>
      </c>
      <c r="E6467" s="8">
        <f>QS.INSTRUMENT.SWAP("swap.6465",C6467,H6467,B6467,"USD","SOFR",I6467,J6467,0,"Actual360","Simple","Annual","Annual","Annual")</f>
        <v/>
      </c>
      <c r="F6467" s="8">
        <f>QS.TRADE.CREATE("trade.6465",C6467,E6467,A6467,"Receive")</f>
        <v/>
      </c>
      <c r="G6467" s="5"/>
      <c r="H6467" s="7" t="s">
        <v>6508</v>
      </c>
      <c r="I6467" s="9">
        <v>1646500</v>
      </c>
      <c r="J6467" s="10">
        <v>0.0365</v>
      </c>
    </row>
    <row r="6468" spans="1:10">
      <c r="A6468" s="7" t="s">
        <v>6502</v>
      </c>
      <c r="B6468" s="7" t="s">
        <v>8335</v>
      </c>
      <c r="C6468" s="8">
        <f>QS.CONTEXT.CREATE("market.6466",A6468,"USD","SOFR")</f>
        <v/>
      </c>
      <c r="D6468" s="8">
        <f>QS.CONTEXT.ADD.CURVE(C6468,"SOFR",$K$2:$K$7,$L$2:$L$7,,,"Actual360","LogLinear",TRUE)</f>
        <v/>
      </c>
      <c r="E6468" s="8">
        <f>QS.INSTRUMENT.SWAP("swap.6466",C6468,H6468,B6468,"USD","SOFR",I6468,J6468,0,"Actual360","Simple","Annual","Annual","Annual")</f>
        <v/>
      </c>
      <c r="F6468" s="8">
        <f>QS.TRADE.CREATE("trade.6466",C6468,E6468,A6468,"Receive")</f>
        <v/>
      </c>
      <c r="G6468" s="5"/>
      <c r="H6468" s="7" t="s">
        <v>6509</v>
      </c>
      <c r="I6468" s="9">
        <v>1646600</v>
      </c>
      <c r="J6468" s="10">
        <v>0.0366</v>
      </c>
    </row>
    <row r="6469" spans="1:10">
      <c r="A6469" s="7" t="s">
        <v>6503</v>
      </c>
      <c r="B6469" s="7" t="s">
        <v>8336</v>
      </c>
      <c r="C6469" s="8">
        <f>QS.CONTEXT.CREATE("market.6467",A6469,"USD","SOFR")</f>
        <v/>
      </c>
      <c r="D6469" s="8">
        <f>QS.CONTEXT.ADD.CURVE(C6469,"SOFR",$K$2:$K$7,$L$2:$L$7,,,"Actual360","LogLinear",TRUE)</f>
        <v/>
      </c>
      <c r="E6469" s="8">
        <f>QS.INSTRUMENT.SWAP("swap.6467",C6469,H6469,B6469,"USD","SOFR",I6469,J6469,0,"Actual360","Simple","Annual","Annual","Annual")</f>
        <v/>
      </c>
      <c r="F6469" s="8">
        <f>QS.TRADE.CREATE("trade.6467",C6469,E6469,A6469,"Receive")</f>
        <v/>
      </c>
      <c r="G6469" s="5"/>
      <c r="H6469" s="7" t="s">
        <v>6510</v>
      </c>
      <c r="I6469" s="9">
        <v>1646700</v>
      </c>
      <c r="J6469" s="10">
        <v>0.0367</v>
      </c>
    </row>
    <row r="6470" spans="1:10">
      <c r="A6470" s="7" t="s">
        <v>6504</v>
      </c>
      <c r="B6470" s="7" t="s">
        <v>8337</v>
      </c>
      <c r="C6470" s="8">
        <f>QS.CONTEXT.CREATE("market.6468",A6470,"USD","SOFR")</f>
        <v/>
      </c>
      <c r="D6470" s="8">
        <f>QS.CONTEXT.ADD.CURVE(C6470,"SOFR",$K$2:$K$7,$L$2:$L$7,,,"Actual360","LogLinear",TRUE)</f>
        <v/>
      </c>
      <c r="E6470" s="8">
        <f>QS.INSTRUMENT.SWAP("swap.6468",C6470,H6470,B6470,"USD","SOFR",I6470,J6470,0,"Actual360","Simple","Annual","Annual","Annual")</f>
        <v/>
      </c>
      <c r="F6470" s="8">
        <f>QS.TRADE.CREATE("trade.6468",C6470,E6470,A6470,"Receive")</f>
        <v/>
      </c>
      <c r="G6470" s="5"/>
      <c r="H6470" s="7" t="s">
        <v>6511</v>
      </c>
      <c r="I6470" s="9">
        <v>1646800</v>
      </c>
      <c r="J6470" s="10">
        <v>0.03680000000000001</v>
      </c>
    </row>
    <row r="6471" spans="1:10">
      <c r="A6471" s="7" t="s">
        <v>6505</v>
      </c>
      <c r="B6471" s="7" t="s">
        <v>8338</v>
      </c>
      <c r="C6471" s="8">
        <f>QS.CONTEXT.CREATE("market.6469",A6471,"USD","SOFR")</f>
        <v/>
      </c>
      <c r="D6471" s="8">
        <f>QS.CONTEXT.ADD.CURVE(C6471,"SOFR",$K$2:$K$7,$L$2:$L$7,,,"Actual360","LogLinear",TRUE)</f>
        <v/>
      </c>
      <c r="E6471" s="8">
        <f>QS.INSTRUMENT.SWAP("swap.6469",C6471,H6471,B6471,"USD","SOFR",I6471,J6471,0,"Actual360","Simple","Annual","Annual","Annual")</f>
        <v/>
      </c>
      <c r="F6471" s="8">
        <f>QS.TRADE.CREATE("trade.6469",C6471,E6471,A6471,"Receive")</f>
        <v/>
      </c>
      <c r="G6471" s="5"/>
      <c r="H6471" s="7" t="s">
        <v>6512</v>
      </c>
      <c r="I6471" s="9">
        <v>1646900</v>
      </c>
      <c r="J6471" s="10">
        <v>0.0369</v>
      </c>
    </row>
    <row r="6472" spans="1:10">
      <c r="A6472" s="7" t="s">
        <v>6506</v>
      </c>
      <c r="B6472" s="7" t="s">
        <v>8339</v>
      </c>
      <c r="C6472" s="8">
        <f>QS.CONTEXT.CREATE("market.6470",A6472,"USD","SOFR")</f>
        <v/>
      </c>
      <c r="D6472" s="8">
        <f>QS.CONTEXT.ADD.CURVE(C6472,"SOFR",$K$2:$K$7,$L$2:$L$7,,,"Actual360","LogLinear",TRUE)</f>
        <v/>
      </c>
      <c r="E6472" s="8">
        <f>QS.INSTRUMENT.SWAP("swap.6470",C6472,H6472,B6472,"USD","SOFR",I6472,J6472,0,"Actual360","Simple","Annual","Annual","Annual")</f>
        <v/>
      </c>
      <c r="F6472" s="8">
        <f>QS.TRADE.CREATE("trade.6470",C6472,E6472,A6472,"Receive")</f>
        <v/>
      </c>
      <c r="G6472" s="5"/>
      <c r="H6472" s="7" t="s">
        <v>6513</v>
      </c>
      <c r="I6472" s="9">
        <v>1647000</v>
      </c>
      <c r="J6472" s="10">
        <v>0.03700000000000001</v>
      </c>
    </row>
    <row r="6473" spans="1:10">
      <c r="A6473" s="7" t="s">
        <v>6507</v>
      </c>
      <c r="B6473" s="7" t="s">
        <v>8340</v>
      </c>
      <c r="C6473" s="8">
        <f>QS.CONTEXT.CREATE("market.6471",A6473,"USD","SOFR")</f>
        <v/>
      </c>
      <c r="D6473" s="8">
        <f>QS.CONTEXT.ADD.CURVE(C6473,"SOFR",$K$2:$K$7,$L$2:$L$7,,,"Actual360","LogLinear",TRUE)</f>
        <v/>
      </c>
      <c r="E6473" s="8">
        <f>QS.INSTRUMENT.SWAP("swap.6471",C6473,H6473,B6473,"USD","SOFR",I6473,J6473,0,"Actual360","Simple","Annual","Annual","Annual")</f>
        <v/>
      </c>
      <c r="F6473" s="8">
        <f>QS.TRADE.CREATE("trade.6471",C6473,E6473,A6473,"Receive")</f>
        <v/>
      </c>
      <c r="G6473" s="5"/>
      <c r="H6473" s="7" t="s">
        <v>6514</v>
      </c>
      <c r="I6473" s="9">
        <v>1647100</v>
      </c>
      <c r="J6473" s="10">
        <v>0.0371</v>
      </c>
    </row>
    <row r="6474" spans="1:10">
      <c r="A6474" s="7" t="s">
        <v>6508</v>
      </c>
      <c r="B6474" s="7" t="s">
        <v>8341</v>
      </c>
      <c r="C6474" s="8">
        <f>QS.CONTEXT.CREATE("market.6472",A6474,"USD","SOFR")</f>
        <v/>
      </c>
      <c r="D6474" s="8">
        <f>QS.CONTEXT.ADD.CURVE(C6474,"SOFR",$K$2:$K$7,$L$2:$L$7,,,"Actual360","LogLinear",TRUE)</f>
        <v/>
      </c>
      <c r="E6474" s="8">
        <f>QS.INSTRUMENT.SWAP("swap.6472",C6474,H6474,B6474,"USD","SOFR",I6474,J6474,0,"Actual360","Simple","Annual","Annual","Annual")</f>
        <v/>
      </c>
      <c r="F6474" s="8">
        <f>QS.TRADE.CREATE("trade.6472",C6474,E6474,A6474,"Receive")</f>
        <v/>
      </c>
      <c r="G6474" s="5"/>
      <c r="H6474" s="7" t="s">
        <v>6515</v>
      </c>
      <c r="I6474" s="9">
        <v>1647200</v>
      </c>
      <c r="J6474" s="10">
        <v>0.0372</v>
      </c>
    </row>
    <row r="6475" spans="1:10">
      <c r="A6475" s="7" t="s">
        <v>6509</v>
      </c>
      <c r="B6475" s="7" t="s">
        <v>8342</v>
      </c>
      <c r="C6475" s="8">
        <f>QS.CONTEXT.CREATE("market.6473",A6475,"USD","SOFR")</f>
        <v/>
      </c>
      <c r="D6475" s="8">
        <f>QS.CONTEXT.ADD.CURVE(C6475,"SOFR",$K$2:$K$7,$L$2:$L$7,,,"Actual360","LogLinear",TRUE)</f>
        <v/>
      </c>
      <c r="E6475" s="8">
        <f>QS.INSTRUMENT.SWAP("swap.6473",C6475,H6475,B6475,"USD","SOFR",I6475,J6475,0,"Actual360","Simple","Annual","Annual","Annual")</f>
        <v/>
      </c>
      <c r="F6475" s="8">
        <f>QS.TRADE.CREATE("trade.6473",C6475,E6475,A6475,"Receive")</f>
        <v/>
      </c>
      <c r="G6475" s="5"/>
      <c r="H6475" s="7" t="s">
        <v>6516</v>
      </c>
      <c r="I6475" s="9">
        <v>1647300</v>
      </c>
      <c r="J6475" s="10">
        <v>0.0373</v>
      </c>
    </row>
    <row r="6476" spans="1:10">
      <c r="A6476" s="7" t="s">
        <v>6510</v>
      </c>
      <c r="B6476" s="7" t="s">
        <v>8343</v>
      </c>
      <c r="C6476" s="8">
        <f>QS.CONTEXT.CREATE("market.6474",A6476,"USD","SOFR")</f>
        <v/>
      </c>
      <c r="D6476" s="8">
        <f>QS.CONTEXT.ADD.CURVE(C6476,"SOFR",$K$2:$K$7,$L$2:$L$7,,,"Actual360","LogLinear",TRUE)</f>
        <v/>
      </c>
      <c r="E6476" s="8">
        <f>QS.INSTRUMENT.SWAP("swap.6474",C6476,H6476,B6476,"USD","SOFR",I6476,J6476,0,"Actual360","Simple","Annual","Annual","Annual")</f>
        <v/>
      </c>
      <c r="F6476" s="8">
        <f>QS.TRADE.CREATE("trade.6474",C6476,E6476,A6476,"Receive")</f>
        <v/>
      </c>
      <c r="G6476" s="5"/>
      <c r="H6476" s="7" t="s">
        <v>6517</v>
      </c>
      <c r="I6476" s="9">
        <v>1647400</v>
      </c>
      <c r="J6476" s="10">
        <v>0.0374</v>
      </c>
    </row>
    <row r="6477" spans="1:10">
      <c r="A6477" s="7" t="s">
        <v>6511</v>
      </c>
      <c r="B6477" s="7" t="s">
        <v>8344</v>
      </c>
      <c r="C6477" s="8">
        <f>QS.CONTEXT.CREATE("market.6475",A6477,"USD","SOFR")</f>
        <v/>
      </c>
      <c r="D6477" s="8">
        <f>QS.CONTEXT.ADD.CURVE(C6477,"SOFR",$K$2:$K$7,$L$2:$L$7,,,"Actual360","LogLinear",TRUE)</f>
        <v/>
      </c>
      <c r="E6477" s="8">
        <f>QS.INSTRUMENT.SWAP("swap.6475",C6477,H6477,B6477,"USD","SOFR",I6477,J6477,0,"Actual360","Simple","Annual","Annual","Annual")</f>
        <v/>
      </c>
      <c r="F6477" s="8">
        <f>QS.TRADE.CREATE("trade.6475",C6477,E6477,A6477,"Receive")</f>
        <v/>
      </c>
      <c r="G6477" s="5"/>
      <c r="H6477" s="7" t="s">
        <v>6518</v>
      </c>
      <c r="I6477" s="9">
        <v>1647500</v>
      </c>
      <c r="J6477" s="10">
        <v>0.03750000000000001</v>
      </c>
    </row>
    <row r="6478" spans="1:10">
      <c r="A6478" s="7" t="s">
        <v>6512</v>
      </c>
      <c r="B6478" s="7" t="s">
        <v>8345</v>
      </c>
      <c r="C6478" s="8">
        <f>QS.CONTEXT.CREATE("market.6476",A6478,"USD","SOFR")</f>
        <v/>
      </c>
      <c r="D6478" s="8">
        <f>QS.CONTEXT.ADD.CURVE(C6478,"SOFR",$K$2:$K$7,$L$2:$L$7,,,"Actual360","LogLinear",TRUE)</f>
        <v/>
      </c>
      <c r="E6478" s="8">
        <f>QS.INSTRUMENT.SWAP("swap.6476",C6478,H6478,B6478,"USD","SOFR",I6478,J6478,0,"Actual360","Simple","Annual","Annual","Annual")</f>
        <v/>
      </c>
      <c r="F6478" s="8">
        <f>QS.TRADE.CREATE("trade.6476",C6478,E6478,A6478,"Receive")</f>
        <v/>
      </c>
      <c r="G6478" s="5"/>
      <c r="H6478" s="7" t="s">
        <v>6519</v>
      </c>
      <c r="I6478" s="9">
        <v>1647600</v>
      </c>
      <c r="J6478" s="10">
        <v>0.0376</v>
      </c>
    </row>
    <row r="6479" spans="1:10">
      <c r="A6479" s="7" t="s">
        <v>6513</v>
      </c>
      <c r="B6479" s="7" t="s">
        <v>8346</v>
      </c>
      <c r="C6479" s="8">
        <f>QS.CONTEXT.CREATE("market.6477",A6479,"USD","SOFR")</f>
        <v/>
      </c>
      <c r="D6479" s="8">
        <f>QS.CONTEXT.ADD.CURVE(C6479,"SOFR",$K$2:$K$7,$L$2:$L$7,,,"Actual360","LogLinear",TRUE)</f>
        <v/>
      </c>
      <c r="E6479" s="8">
        <f>QS.INSTRUMENT.SWAP("swap.6477",C6479,H6479,B6479,"USD","SOFR",I6479,J6479,0,"Actual360","Simple","Annual","Annual","Annual")</f>
        <v/>
      </c>
      <c r="F6479" s="8">
        <f>QS.TRADE.CREATE("trade.6477",C6479,E6479,A6479,"Receive")</f>
        <v/>
      </c>
      <c r="G6479" s="5"/>
      <c r="H6479" s="7" t="s">
        <v>6520</v>
      </c>
      <c r="I6479" s="9">
        <v>1647700</v>
      </c>
      <c r="J6479" s="10">
        <v>0.0377</v>
      </c>
    </row>
    <row r="6480" spans="1:10">
      <c r="A6480" s="7" t="s">
        <v>6514</v>
      </c>
      <c r="B6480" s="7" t="s">
        <v>8347</v>
      </c>
      <c r="C6480" s="8">
        <f>QS.CONTEXT.CREATE("market.6478",A6480,"USD","SOFR")</f>
        <v/>
      </c>
      <c r="D6480" s="8">
        <f>QS.CONTEXT.ADD.CURVE(C6480,"SOFR",$K$2:$K$7,$L$2:$L$7,,,"Actual360","LogLinear",TRUE)</f>
        <v/>
      </c>
      <c r="E6480" s="8">
        <f>QS.INSTRUMENT.SWAP("swap.6478",C6480,H6480,B6480,"USD","SOFR",I6480,J6480,0,"Actual360","Simple","Annual","Annual","Annual")</f>
        <v/>
      </c>
      <c r="F6480" s="8">
        <f>QS.TRADE.CREATE("trade.6478",C6480,E6480,A6480,"Receive")</f>
        <v/>
      </c>
      <c r="G6480" s="5"/>
      <c r="H6480" s="7" t="s">
        <v>6521</v>
      </c>
      <c r="I6480" s="9">
        <v>1647800</v>
      </c>
      <c r="J6480" s="10">
        <v>0.0378</v>
      </c>
    </row>
    <row r="6481" spans="1:10">
      <c r="A6481" s="7" t="s">
        <v>6515</v>
      </c>
      <c r="B6481" s="7" t="s">
        <v>8348</v>
      </c>
      <c r="C6481" s="8">
        <f>QS.CONTEXT.CREATE("market.6479",A6481,"USD","SOFR")</f>
        <v/>
      </c>
      <c r="D6481" s="8">
        <f>QS.CONTEXT.ADD.CURVE(C6481,"SOFR",$K$2:$K$7,$L$2:$L$7,,,"Actual360","LogLinear",TRUE)</f>
        <v/>
      </c>
      <c r="E6481" s="8">
        <f>QS.INSTRUMENT.SWAP("swap.6479",C6481,H6481,B6481,"USD","SOFR",I6481,J6481,0,"Actual360","Simple","Annual","Annual","Annual")</f>
        <v/>
      </c>
      <c r="F6481" s="8">
        <f>QS.TRADE.CREATE("trade.6479",C6481,E6481,A6481,"Receive")</f>
        <v/>
      </c>
      <c r="G6481" s="5"/>
      <c r="H6481" s="7" t="s">
        <v>6522</v>
      </c>
      <c r="I6481" s="9">
        <v>1647900</v>
      </c>
      <c r="J6481" s="10">
        <v>0.0379</v>
      </c>
    </row>
    <row r="6482" spans="1:10">
      <c r="A6482" s="7" t="s">
        <v>6516</v>
      </c>
      <c r="B6482" s="7" t="s">
        <v>8349</v>
      </c>
      <c r="C6482" s="8">
        <f>QS.CONTEXT.CREATE("market.6480",A6482,"USD","SOFR")</f>
        <v/>
      </c>
      <c r="D6482" s="8">
        <f>QS.CONTEXT.ADD.CURVE(C6482,"SOFR",$K$2:$K$7,$L$2:$L$7,,,"Actual360","LogLinear",TRUE)</f>
        <v/>
      </c>
      <c r="E6482" s="8">
        <f>QS.INSTRUMENT.SWAP("swap.6480",C6482,H6482,B6482,"USD","SOFR",I6482,J6482,0,"Actual360","Simple","Annual","Annual","Annual")</f>
        <v/>
      </c>
      <c r="F6482" s="8">
        <f>QS.TRADE.CREATE("trade.6480",C6482,E6482,A6482,"Receive")</f>
        <v/>
      </c>
      <c r="G6482" s="5"/>
      <c r="H6482" s="7" t="s">
        <v>6523</v>
      </c>
      <c r="I6482" s="9">
        <v>1648000</v>
      </c>
      <c r="J6482" s="10">
        <v>0.03800000000000001</v>
      </c>
    </row>
    <row r="6483" spans="1:10">
      <c r="A6483" s="7" t="s">
        <v>6517</v>
      </c>
      <c r="B6483" s="7" t="s">
        <v>8350</v>
      </c>
      <c r="C6483" s="8">
        <f>QS.CONTEXT.CREATE("market.6481",A6483,"USD","SOFR")</f>
        <v/>
      </c>
      <c r="D6483" s="8">
        <f>QS.CONTEXT.ADD.CURVE(C6483,"SOFR",$K$2:$K$7,$L$2:$L$7,,,"Actual360","LogLinear",TRUE)</f>
        <v/>
      </c>
      <c r="E6483" s="8">
        <f>QS.INSTRUMENT.SWAP("swap.6481",C6483,H6483,B6483,"USD","SOFR",I6483,J6483,0,"Actual360","Simple","Annual","Annual","Annual")</f>
        <v/>
      </c>
      <c r="F6483" s="8">
        <f>QS.TRADE.CREATE("trade.6481",C6483,E6483,A6483,"Receive")</f>
        <v/>
      </c>
      <c r="G6483" s="5"/>
      <c r="H6483" s="7" t="s">
        <v>6524</v>
      </c>
      <c r="I6483" s="9">
        <v>1648100</v>
      </c>
      <c r="J6483" s="10">
        <v>0.0381</v>
      </c>
    </row>
    <row r="6484" spans="1:10">
      <c r="A6484" s="7" t="s">
        <v>6518</v>
      </c>
      <c r="B6484" s="7" t="s">
        <v>8351</v>
      </c>
      <c r="C6484" s="8">
        <f>QS.CONTEXT.CREATE("market.6482",A6484,"USD","SOFR")</f>
        <v/>
      </c>
      <c r="D6484" s="8">
        <f>QS.CONTEXT.ADD.CURVE(C6484,"SOFR",$K$2:$K$7,$L$2:$L$7,,,"Actual360","LogLinear",TRUE)</f>
        <v/>
      </c>
      <c r="E6484" s="8">
        <f>QS.INSTRUMENT.SWAP("swap.6482",C6484,H6484,B6484,"USD","SOFR",I6484,J6484,0,"Actual360","Simple","Annual","Annual","Annual")</f>
        <v/>
      </c>
      <c r="F6484" s="8">
        <f>QS.TRADE.CREATE("trade.6482",C6484,E6484,A6484,"Receive")</f>
        <v/>
      </c>
      <c r="G6484" s="5"/>
      <c r="H6484" s="7" t="s">
        <v>6525</v>
      </c>
      <c r="I6484" s="9">
        <v>1648200</v>
      </c>
      <c r="J6484" s="10">
        <v>0.0382</v>
      </c>
    </row>
    <row r="6485" spans="1:10">
      <c r="A6485" s="7" t="s">
        <v>6519</v>
      </c>
      <c r="B6485" s="7" t="s">
        <v>8352</v>
      </c>
      <c r="C6485" s="8">
        <f>QS.CONTEXT.CREATE("market.6483",A6485,"USD","SOFR")</f>
        <v/>
      </c>
      <c r="D6485" s="8">
        <f>QS.CONTEXT.ADD.CURVE(C6485,"SOFR",$K$2:$K$7,$L$2:$L$7,,,"Actual360","LogLinear",TRUE)</f>
        <v/>
      </c>
      <c r="E6485" s="8">
        <f>QS.INSTRUMENT.SWAP("swap.6483",C6485,H6485,B6485,"USD","SOFR",I6485,J6485,0,"Actual360","Simple","Annual","Annual","Annual")</f>
        <v/>
      </c>
      <c r="F6485" s="8">
        <f>QS.TRADE.CREATE("trade.6483",C6485,E6485,A6485,"Receive")</f>
        <v/>
      </c>
      <c r="G6485" s="5"/>
      <c r="H6485" s="7" t="s">
        <v>6526</v>
      </c>
      <c r="I6485" s="9">
        <v>1648300</v>
      </c>
      <c r="J6485" s="10">
        <v>0.0383</v>
      </c>
    </row>
    <row r="6486" spans="1:10">
      <c r="A6486" s="7" t="s">
        <v>6520</v>
      </c>
      <c r="B6486" s="7" t="s">
        <v>8353</v>
      </c>
      <c r="C6486" s="8">
        <f>QS.CONTEXT.CREATE("market.6484",A6486,"USD","SOFR")</f>
        <v/>
      </c>
      <c r="D6486" s="8">
        <f>QS.CONTEXT.ADD.CURVE(C6486,"SOFR",$K$2:$K$7,$L$2:$L$7,,,"Actual360","LogLinear",TRUE)</f>
        <v/>
      </c>
      <c r="E6486" s="8">
        <f>QS.INSTRUMENT.SWAP("swap.6484",C6486,H6486,B6486,"USD","SOFR",I6486,J6486,0,"Actual360","Simple","Annual","Annual","Annual")</f>
        <v/>
      </c>
      <c r="F6486" s="8">
        <f>QS.TRADE.CREATE("trade.6484",C6486,E6486,A6486,"Receive")</f>
        <v/>
      </c>
      <c r="G6486" s="5"/>
      <c r="H6486" s="7" t="s">
        <v>6527</v>
      </c>
      <c r="I6486" s="9">
        <v>1648400</v>
      </c>
      <c r="J6486" s="10">
        <v>0.0384</v>
      </c>
    </row>
    <row r="6487" spans="1:10">
      <c r="A6487" s="7" t="s">
        <v>6521</v>
      </c>
      <c r="B6487" s="7" t="s">
        <v>8354</v>
      </c>
      <c r="C6487" s="8">
        <f>QS.CONTEXT.CREATE("market.6485",A6487,"USD","SOFR")</f>
        <v/>
      </c>
      <c r="D6487" s="8">
        <f>QS.CONTEXT.ADD.CURVE(C6487,"SOFR",$K$2:$K$7,$L$2:$L$7,,,"Actual360","LogLinear",TRUE)</f>
        <v/>
      </c>
      <c r="E6487" s="8">
        <f>QS.INSTRUMENT.SWAP("swap.6485",C6487,H6487,B6487,"USD","SOFR",I6487,J6487,0,"Actual360","Simple","Annual","Annual","Annual")</f>
        <v/>
      </c>
      <c r="F6487" s="8">
        <f>QS.TRADE.CREATE("trade.6485",C6487,E6487,A6487,"Receive")</f>
        <v/>
      </c>
      <c r="G6487" s="5"/>
      <c r="H6487" s="7" t="s">
        <v>6528</v>
      </c>
      <c r="I6487" s="9">
        <v>1648500</v>
      </c>
      <c r="J6487" s="10">
        <v>0.03850000000000001</v>
      </c>
    </row>
    <row r="6488" spans="1:10">
      <c r="A6488" s="7" t="s">
        <v>6522</v>
      </c>
      <c r="B6488" s="7" t="s">
        <v>8355</v>
      </c>
      <c r="C6488" s="8">
        <f>QS.CONTEXT.CREATE("market.6486",A6488,"USD","SOFR")</f>
        <v/>
      </c>
      <c r="D6488" s="8">
        <f>QS.CONTEXT.ADD.CURVE(C6488,"SOFR",$K$2:$K$7,$L$2:$L$7,,,"Actual360","LogLinear",TRUE)</f>
        <v/>
      </c>
      <c r="E6488" s="8">
        <f>QS.INSTRUMENT.SWAP("swap.6486",C6488,H6488,B6488,"USD","SOFR",I6488,J6488,0,"Actual360","Simple","Annual","Annual","Annual")</f>
        <v/>
      </c>
      <c r="F6488" s="8">
        <f>QS.TRADE.CREATE("trade.6486",C6488,E6488,A6488,"Receive")</f>
        <v/>
      </c>
      <c r="G6488" s="5"/>
      <c r="H6488" s="7" t="s">
        <v>6529</v>
      </c>
      <c r="I6488" s="9">
        <v>1648600</v>
      </c>
      <c r="J6488" s="10">
        <v>0.0386</v>
      </c>
    </row>
    <row r="6489" spans="1:10">
      <c r="A6489" s="7" t="s">
        <v>6523</v>
      </c>
      <c r="B6489" s="7" t="s">
        <v>8356</v>
      </c>
      <c r="C6489" s="8">
        <f>QS.CONTEXT.CREATE("market.6487",A6489,"USD","SOFR")</f>
        <v/>
      </c>
      <c r="D6489" s="8">
        <f>QS.CONTEXT.ADD.CURVE(C6489,"SOFR",$K$2:$K$7,$L$2:$L$7,,,"Actual360","LogLinear",TRUE)</f>
        <v/>
      </c>
      <c r="E6489" s="8">
        <f>QS.INSTRUMENT.SWAP("swap.6487",C6489,H6489,B6489,"USD","SOFR",I6489,J6489,0,"Actual360","Simple","Annual","Annual","Annual")</f>
        <v/>
      </c>
      <c r="F6489" s="8">
        <f>QS.TRADE.CREATE("trade.6487",C6489,E6489,A6489,"Receive")</f>
        <v/>
      </c>
      <c r="G6489" s="5"/>
      <c r="H6489" s="7" t="s">
        <v>6530</v>
      </c>
      <c r="I6489" s="9">
        <v>1648700</v>
      </c>
      <c r="J6489" s="10">
        <v>0.03870000000000001</v>
      </c>
    </row>
    <row r="6490" spans="1:10">
      <c r="A6490" s="7" t="s">
        <v>6524</v>
      </c>
      <c r="B6490" s="7" t="s">
        <v>8357</v>
      </c>
      <c r="C6490" s="8">
        <f>QS.CONTEXT.CREATE("market.6488",A6490,"USD","SOFR")</f>
        <v/>
      </c>
      <c r="D6490" s="8">
        <f>QS.CONTEXT.ADD.CURVE(C6490,"SOFR",$K$2:$K$7,$L$2:$L$7,,,"Actual360","LogLinear",TRUE)</f>
        <v/>
      </c>
      <c r="E6490" s="8">
        <f>QS.INSTRUMENT.SWAP("swap.6488",C6490,H6490,B6490,"USD","SOFR",I6490,J6490,0,"Actual360","Simple","Annual","Annual","Annual")</f>
        <v/>
      </c>
      <c r="F6490" s="8">
        <f>QS.TRADE.CREATE("trade.6488",C6490,E6490,A6490,"Receive")</f>
        <v/>
      </c>
      <c r="G6490" s="5"/>
      <c r="H6490" s="7" t="s">
        <v>6531</v>
      </c>
      <c r="I6490" s="9">
        <v>1648800</v>
      </c>
      <c r="J6490" s="10">
        <v>0.0388</v>
      </c>
    </row>
    <row r="6491" spans="1:10">
      <c r="A6491" s="7" t="s">
        <v>6525</v>
      </c>
      <c r="B6491" s="7" t="s">
        <v>8358</v>
      </c>
      <c r="C6491" s="8">
        <f>QS.CONTEXT.CREATE("market.6489",A6491,"USD","SOFR")</f>
        <v/>
      </c>
      <c r="D6491" s="8">
        <f>QS.CONTEXT.ADD.CURVE(C6491,"SOFR",$K$2:$K$7,$L$2:$L$7,,,"Actual360","LogLinear",TRUE)</f>
        <v/>
      </c>
      <c r="E6491" s="8">
        <f>QS.INSTRUMENT.SWAP("swap.6489",C6491,H6491,B6491,"USD","SOFR",I6491,J6491,0,"Actual360","Simple","Annual","Annual","Annual")</f>
        <v/>
      </c>
      <c r="F6491" s="8">
        <f>QS.TRADE.CREATE("trade.6489",C6491,E6491,A6491,"Receive")</f>
        <v/>
      </c>
      <c r="G6491" s="5"/>
      <c r="H6491" s="7" t="s">
        <v>6532</v>
      </c>
      <c r="I6491" s="9">
        <v>1648900</v>
      </c>
      <c r="J6491" s="10">
        <v>0.0389</v>
      </c>
    </row>
    <row r="6492" spans="1:10">
      <c r="A6492" s="7" t="s">
        <v>6526</v>
      </c>
      <c r="B6492" s="7" t="s">
        <v>8359</v>
      </c>
      <c r="C6492" s="8">
        <f>QS.CONTEXT.CREATE("market.6490",A6492,"USD","SOFR")</f>
        <v/>
      </c>
      <c r="D6492" s="8">
        <f>QS.CONTEXT.ADD.CURVE(C6492,"SOFR",$K$2:$K$7,$L$2:$L$7,,,"Actual360","LogLinear",TRUE)</f>
        <v/>
      </c>
      <c r="E6492" s="8">
        <f>QS.INSTRUMENT.SWAP("swap.6490",C6492,H6492,B6492,"USD","SOFR",I6492,J6492,0,"Actual360","Simple","Annual","Annual","Annual")</f>
        <v/>
      </c>
      <c r="F6492" s="8">
        <f>QS.TRADE.CREATE("trade.6490",C6492,E6492,A6492,"Receive")</f>
        <v/>
      </c>
      <c r="G6492" s="5"/>
      <c r="H6492" s="7" t="s">
        <v>6533</v>
      </c>
      <c r="I6492" s="9">
        <v>1649000</v>
      </c>
      <c r="J6492" s="10">
        <v>0.03900000000000001</v>
      </c>
    </row>
    <row r="6493" spans="1:10">
      <c r="A6493" s="7" t="s">
        <v>6527</v>
      </c>
      <c r="B6493" s="7" t="s">
        <v>8360</v>
      </c>
      <c r="C6493" s="8">
        <f>QS.CONTEXT.CREATE("market.6491",A6493,"USD","SOFR")</f>
        <v/>
      </c>
      <c r="D6493" s="8">
        <f>QS.CONTEXT.ADD.CURVE(C6493,"SOFR",$K$2:$K$7,$L$2:$L$7,,,"Actual360","LogLinear",TRUE)</f>
        <v/>
      </c>
      <c r="E6493" s="8">
        <f>QS.INSTRUMENT.SWAP("swap.6491",C6493,H6493,B6493,"USD","SOFR",I6493,J6493,0,"Actual360","Simple","Annual","Annual","Annual")</f>
        <v/>
      </c>
      <c r="F6493" s="8">
        <f>QS.TRADE.CREATE("trade.6491",C6493,E6493,A6493,"Receive")</f>
        <v/>
      </c>
      <c r="G6493" s="5"/>
      <c r="H6493" s="7" t="s">
        <v>6534</v>
      </c>
      <c r="I6493" s="9">
        <v>1649100</v>
      </c>
      <c r="J6493" s="10">
        <v>0.0391</v>
      </c>
    </row>
    <row r="6494" spans="1:10">
      <c r="A6494" s="7" t="s">
        <v>6528</v>
      </c>
      <c r="B6494" s="7" t="s">
        <v>8361</v>
      </c>
      <c r="C6494" s="8">
        <f>QS.CONTEXT.CREATE("market.6492",A6494,"USD","SOFR")</f>
        <v/>
      </c>
      <c r="D6494" s="8">
        <f>QS.CONTEXT.ADD.CURVE(C6494,"SOFR",$K$2:$K$7,$L$2:$L$7,,,"Actual360","LogLinear",TRUE)</f>
        <v/>
      </c>
      <c r="E6494" s="8">
        <f>QS.INSTRUMENT.SWAP("swap.6492",C6494,H6494,B6494,"USD","SOFR",I6494,J6494,0,"Actual360","Simple","Annual","Annual","Annual")</f>
        <v/>
      </c>
      <c r="F6494" s="8">
        <f>QS.TRADE.CREATE("trade.6492",C6494,E6494,A6494,"Receive")</f>
        <v/>
      </c>
      <c r="G6494" s="5"/>
      <c r="H6494" s="7" t="s">
        <v>6535</v>
      </c>
      <c r="I6494" s="9">
        <v>1649200</v>
      </c>
      <c r="J6494" s="10">
        <v>0.03920000000000001</v>
      </c>
    </row>
    <row r="6495" spans="1:10">
      <c r="A6495" s="7" t="s">
        <v>6529</v>
      </c>
      <c r="B6495" s="7" t="s">
        <v>8362</v>
      </c>
      <c r="C6495" s="8">
        <f>QS.CONTEXT.CREATE("market.6493",A6495,"USD","SOFR")</f>
        <v/>
      </c>
      <c r="D6495" s="8">
        <f>QS.CONTEXT.ADD.CURVE(C6495,"SOFR",$K$2:$K$7,$L$2:$L$7,,,"Actual360","LogLinear",TRUE)</f>
        <v/>
      </c>
      <c r="E6495" s="8">
        <f>QS.INSTRUMENT.SWAP("swap.6493",C6495,H6495,B6495,"USD","SOFR",I6495,J6495,0,"Actual360","Simple","Annual","Annual","Annual")</f>
        <v/>
      </c>
      <c r="F6495" s="8">
        <f>QS.TRADE.CREATE("trade.6493",C6495,E6495,A6495,"Receive")</f>
        <v/>
      </c>
      <c r="G6495" s="5"/>
      <c r="H6495" s="7" t="s">
        <v>6536</v>
      </c>
      <c r="I6495" s="9">
        <v>1649300</v>
      </c>
      <c r="J6495" s="10">
        <v>0.0393</v>
      </c>
    </row>
    <row r="6496" spans="1:10">
      <c r="A6496" s="7" t="s">
        <v>6530</v>
      </c>
      <c r="B6496" s="7" t="s">
        <v>8363</v>
      </c>
      <c r="C6496" s="8">
        <f>QS.CONTEXT.CREATE("market.6494",A6496,"USD","SOFR")</f>
        <v/>
      </c>
      <c r="D6496" s="8">
        <f>QS.CONTEXT.ADD.CURVE(C6496,"SOFR",$K$2:$K$7,$L$2:$L$7,,,"Actual360","LogLinear",TRUE)</f>
        <v/>
      </c>
      <c r="E6496" s="8">
        <f>QS.INSTRUMENT.SWAP("swap.6494",C6496,H6496,B6496,"USD","SOFR",I6496,J6496,0,"Actual360","Simple","Annual","Annual","Annual")</f>
        <v/>
      </c>
      <c r="F6496" s="8">
        <f>QS.TRADE.CREATE("trade.6494",C6496,E6496,A6496,"Receive")</f>
        <v/>
      </c>
      <c r="G6496" s="5"/>
      <c r="H6496" s="7" t="s">
        <v>6537</v>
      </c>
      <c r="I6496" s="9">
        <v>1649400</v>
      </c>
      <c r="J6496" s="10">
        <v>0.0394</v>
      </c>
    </row>
    <row r="6497" spans="1:10">
      <c r="A6497" s="7" t="s">
        <v>6531</v>
      </c>
      <c r="B6497" s="7" t="s">
        <v>8364</v>
      </c>
      <c r="C6497" s="8">
        <f>QS.CONTEXT.CREATE("market.6495",A6497,"USD","SOFR")</f>
        <v/>
      </c>
      <c r="D6497" s="8">
        <f>QS.CONTEXT.ADD.CURVE(C6497,"SOFR",$K$2:$K$7,$L$2:$L$7,,,"Actual360","LogLinear",TRUE)</f>
        <v/>
      </c>
      <c r="E6497" s="8">
        <f>QS.INSTRUMENT.SWAP("swap.6495",C6497,H6497,B6497,"USD","SOFR",I6497,J6497,0,"Actual360","Simple","Annual","Annual","Annual")</f>
        <v/>
      </c>
      <c r="F6497" s="8">
        <f>QS.TRADE.CREATE("trade.6495",C6497,E6497,A6497,"Receive")</f>
        <v/>
      </c>
      <c r="G6497" s="5"/>
      <c r="H6497" s="7" t="s">
        <v>6538</v>
      </c>
      <c r="I6497" s="9">
        <v>1649500</v>
      </c>
      <c r="J6497" s="10">
        <v>0.03950000000000001</v>
      </c>
    </row>
    <row r="6498" spans="1:10">
      <c r="A6498" s="7" t="s">
        <v>6532</v>
      </c>
      <c r="B6498" s="7" t="s">
        <v>8365</v>
      </c>
      <c r="C6498" s="8">
        <f>QS.CONTEXT.CREATE("market.6496",A6498,"USD","SOFR")</f>
        <v/>
      </c>
      <c r="D6498" s="8">
        <f>QS.CONTEXT.ADD.CURVE(C6498,"SOFR",$K$2:$K$7,$L$2:$L$7,,,"Actual360","LogLinear",TRUE)</f>
        <v/>
      </c>
      <c r="E6498" s="8">
        <f>QS.INSTRUMENT.SWAP("swap.6496",C6498,H6498,B6498,"USD","SOFR",I6498,J6498,0,"Actual360","Simple","Annual","Annual","Annual")</f>
        <v/>
      </c>
      <c r="F6498" s="8">
        <f>QS.TRADE.CREATE("trade.6496",C6498,E6498,A6498,"Receive")</f>
        <v/>
      </c>
      <c r="G6498" s="5"/>
      <c r="H6498" s="7" t="s">
        <v>6539</v>
      </c>
      <c r="I6498" s="9">
        <v>1649600</v>
      </c>
      <c r="J6498" s="10">
        <v>0.0396</v>
      </c>
    </row>
    <row r="6499" spans="1:10">
      <c r="A6499" s="7" t="s">
        <v>6533</v>
      </c>
      <c r="B6499" s="7" t="s">
        <v>8366</v>
      </c>
      <c r="C6499" s="8">
        <f>QS.CONTEXT.CREATE("market.6497",A6499,"USD","SOFR")</f>
        <v/>
      </c>
      <c r="D6499" s="8">
        <f>QS.CONTEXT.ADD.CURVE(C6499,"SOFR",$K$2:$K$7,$L$2:$L$7,,,"Actual360","LogLinear",TRUE)</f>
        <v/>
      </c>
      <c r="E6499" s="8">
        <f>QS.INSTRUMENT.SWAP("swap.6497",C6499,H6499,B6499,"USD","SOFR",I6499,J6499,0,"Actual360","Simple","Annual","Annual","Annual")</f>
        <v/>
      </c>
      <c r="F6499" s="8">
        <f>QS.TRADE.CREATE("trade.6497",C6499,E6499,A6499,"Receive")</f>
        <v/>
      </c>
      <c r="G6499" s="5"/>
      <c r="H6499" s="7" t="s">
        <v>6540</v>
      </c>
      <c r="I6499" s="9">
        <v>1649700</v>
      </c>
      <c r="J6499" s="10">
        <v>0.03970000000000001</v>
      </c>
    </row>
    <row r="6500" spans="1:10">
      <c r="A6500" s="7" t="s">
        <v>6534</v>
      </c>
      <c r="B6500" s="7" t="s">
        <v>8367</v>
      </c>
      <c r="C6500" s="8">
        <f>QS.CONTEXT.CREATE("market.6498",A6500,"USD","SOFR")</f>
        <v/>
      </c>
      <c r="D6500" s="8">
        <f>QS.CONTEXT.ADD.CURVE(C6500,"SOFR",$K$2:$K$7,$L$2:$L$7,,,"Actual360","LogLinear",TRUE)</f>
        <v/>
      </c>
      <c r="E6500" s="8">
        <f>QS.INSTRUMENT.SWAP("swap.6498",C6500,H6500,B6500,"USD","SOFR",I6500,J6500,0,"Actual360","Simple","Annual","Annual","Annual")</f>
        <v/>
      </c>
      <c r="F6500" s="8">
        <f>QS.TRADE.CREATE("trade.6498",C6500,E6500,A6500,"Receive")</f>
        <v/>
      </c>
      <c r="G6500" s="5"/>
      <c r="H6500" s="7" t="s">
        <v>6541</v>
      </c>
      <c r="I6500" s="9">
        <v>1649800</v>
      </c>
      <c r="J6500" s="10">
        <v>0.0398</v>
      </c>
    </row>
    <row r="6501" spans="1:10">
      <c r="A6501" s="7" t="s">
        <v>6535</v>
      </c>
      <c r="B6501" s="7" t="s">
        <v>8368</v>
      </c>
      <c r="C6501" s="8">
        <f>QS.CONTEXT.CREATE("market.6499",A6501,"USD","SOFR")</f>
        <v/>
      </c>
      <c r="D6501" s="8">
        <f>QS.CONTEXT.ADD.CURVE(C6501,"SOFR",$K$2:$K$7,$L$2:$L$7,,,"Actual360","LogLinear",TRUE)</f>
        <v/>
      </c>
      <c r="E6501" s="8">
        <f>QS.INSTRUMENT.SWAP("swap.6499",C6501,H6501,B6501,"USD","SOFR",I6501,J6501,0,"Actual360","Simple","Annual","Annual","Annual")</f>
        <v/>
      </c>
      <c r="F6501" s="8">
        <f>QS.TRADE.CREATE("trade.6499",C6501,E6501,A6501,"Receive")</f>
        <v/>
      </c>
      <c r="G6501" s="5"/>
      <c r="H6501" s="7" t="s">
        <v>6542</v>
      </c>
      <c r="I6501" s="9">
        <v>1649900</v>
      </c>
      <c r="J6501" s="10">
        <v>0.0399</v>
      </c>
    </row>
    <row r="6502" spans="1:10">
      <c r="A6502" s="7" t="s">
        <v>6536</v>
      </c>
      <c r="B6502" s="7" t="s">
        <v>8369</v>
      </c>
      <c r="C6502" s="8">
        <f>QS.CONTEXT.CREATE("market.6500",A6502,"USD","SOFR")</f>
        <v/>
      </c>
      <c r="D6502" s="8">
        <f>QS.CONTEXT.ADD.CURVE(C6502,"SOFR",$K$2:$K$7,$L$2:$L$7,,,"Actual360","LogLinear",TRUE)</f>
        <v/>
      </c>
      <c r="E6502" s="8">
        <f>QS.INSTRUMENT.SWAP("swap.6500",C6502,H6502,B6502,"USD","SOFR",I6502,J6502,0,"Actual360","Simple","Annual","Annual","Annual")</f>
        <v/>
      </c>
      <c r="F6502" s="8">
        <f>QS.TRADE.CREATE("trade.6500",C6502,E6502,A6502,"Receive")</f>
        <v/>
      </c>
      <c r="G6502" s="5"/>
      <c r="H6502" s="7" t="s">
        <v>6543</v>
      </c>
      <c r="I6502" s="9">
        <v>1650000</v>
      </c>
      <c r="J6502" s="10">
        <v>0.035</v>
      </c>
    </row>
    <row r="6503" spans="1:10">
      <c r="A6503" s="7" t="s">
        <v>6537</v>
      </c>
      <c r="B6503" s="7" t="s">
        <v>8370</v>
      </c>
      <c r="C6503" s="8">
        <f>QS.CONTEXT.CREATE("market.6501",A6503,"USD","SOFR")</f>
        <v/>
      </c>
      <c r="D6503" s="8">
        <f>QS.CONTEXT.ADD.CURVE(C6503,"SOFR",$K$2:$K$7,$L$2:$L$7,,,"Actual360","LogLinear",TRUE)</f>
        <v/>
      </c>
      <c r="E6503" s="8">
        <f>QS.INSTRUMENT.SWAP("swap.6501",C6503,H6503,B6503,"USD","SOFR",I6503,J6503,0,"Actual360","Simple","Annual","Annual","Annual")</f>
        <v/>
      </c>
      <c r="F6503" s="8">
        <f>QS.TRADE.CREATE("trade.6501",C6503,E6503,A6503,"Receive")</f>
        <v/>
      </c>
      <c r="G6503" s="5"/>
      <c r="H6503" s="7" t="s">
        <v>6544</v>
      </c>
      <c r="I6503" s="9">
        <v>1650100</v>
      </c>
      <c r="J6503" s="10">
        <v>0.03510000000000001</v>
      </c>
    </row>
    <row r="6504" spans="1:10">
      <c r="A6504" s="7" t="s">
        <v>6538</v>
      </c>
      <c r="B6504" s="7" t="s">
        <v>8371</v>
      </c>
      <c r="C6504" s="8">
        <f>QS.CONTEXT.CREATE("market.6502",A6504,"USD","SOFR")</f>
        <v/>
      </c>
      <c r="D6504" s="8">
        <f>QS.CONTEXT.ADD.CURVE(C6504,"SOFR",$K$2:$K$7,$L$2:$L$7,,,"Actual360","LogLinear",TRUE)</f>
        <v/>
      </c>
      <c r="E6504" s="8">
        <f>QS.INSTRUMENT.SWAP("swap.6502",C6504,H6504,B6504,"USD","SOFR",I6504,J6504,0,"Actual360","Simple","Annual","Annual","Annual")</f>
        <v/>
      </c>
      <c r="F6504" s="8">
        <f>QS.TRADE.CREATE("trade.6502",C6504,E6504,A6504,"Receive")</f>
        <v/>
      </c>
      <c r="G6504" s="5"/>
      <c r="H6504" s="7" t="s">
        <v>6545</v>
      </c>
      <c r="I6504" s="9">
        <v>1650200</v>
      </c>
      <c r="J6504" s="10">
        <v>0.0352</v>
      </c>
    </row>
    <row r="6505" spans="1:10">
      <c r="A6505" s="7" t="s">
        <v>6539</v>
      </c>
      <c r="B6505" s="7" t="s">
        <v>8372</v>
      </c>
      <c r="C6505" s="8">
        <f>QS.CONTEXT.CREATE("market.6503",A6505,"USD","SOFR")</f>
        <v/>
      </c>
      <c r="D6505" s="8">
        <f>QS.CONTEXT.ADD.CURVE(C6505,"SOFR",$K$2:$K$7,$L$2:$L$7,,,"Actual360","LogLinear",TRUE)</f>
        <v/>
      </c>
      <c r="E6505" s="8">
        <f>QS.INSTRUMENT.SWAP("swap.6503",C6505,H6505,B6505,"USD","SOFR",I6505,J6505,0,"Actual360","Simple","Annual","Annual","Annual")</f>
        <v/>
      </c>
      <c r="F6505" s="8">
        <f>QS.TRADE.CREATE("trade.6503",C6505,E6505,A6505,"Receive")</f>
        <v/>
      </c>
      <c r="G6505" s="5"/>
      <c r="H6505" s="7" t="s">
        <v>6546</v>
      </c>
      <c r="I6505" s="9">
        <v>1650300</v>
      </c>
      <c r="J6505" s="10">
        <v>0.0353</v>
      </c>
    </row>
    <row r="6506" spans="1:10">
      <c r="A6506" s="7" t="s">
        <v>6540</v>
      </c>
      <c r="B6506" s="7" t="s">
        <v>8373</v>
      </c>
      <c r="C6506" s="8">
        <f>QS.CONTEXT.CREATE("market.6504",A6506,"USD","SOFR")</f>
        <v/>
      </c>
      <c r="D6506" s="8">
        <f>QS.CONTEXT.ADD.CURVE(C6506,"SOFR",$K$2:$K$7,$L$2:$L$7,,,"Actual360","LogLinear",TRUE)</f>
        <v/>
      </c>
      <c r="E6506" s="8">
        <f>QS.INSTRUMENT.SWAP("swap.6504",C6506,H6506,B6506,"USD","SOFR",I6506,J6506,0,"Actual360","Simple","Annual","Annual","Annual")</f>
        <v/>
      </c>
      <c r="F6506" s="8">
        <f>QS.TRADE.CREATE("trade.6504",C6506,E6506,A6506,"Receive")</f>
        <v/>
      </c>
      <c r="G6506" s="5"/>
      <c r="H6506" s="7" t="s">
        <v>6547</v>
      </c>
      <c r="I6506" s="9">
        <v>1650400</v>
      </c>
      <c r="J6506" s="10">
        <v>0.0354</v>
      </c>
    </row>
    <row r="6507" spans="1:10">
      <c r="A6507" s="7" t="s">
        <v>6541</v>
      </c>
      <c r="B6507" s="7" t="s">
        <v>8374</v>
      </c>
      <c r="C6507" s="8">
        <f>QS.CONTEXT.CREATE("market.6505",A6507,"USD","SOFR")</f>
        <v/>
      </c>
      <c r="D6507" s="8">
        <f>QS.CONTEXT.ADD.CURVE(C6507,"SOFR",$K$2:$K$7,$L$2:$L$7,,,"Actual360","LogLinear",TRUE)</f>
        <v/>
      </c>
      <c r="E6507" s="8">
        <f>QS.INSTRUMENT.SWAP("swap.6505",C6507,H6507,B6507,"USD","SOFR",I6507,J6507,0,"Actual360","Simple","Annual","Annual","Annual")</f>
        <v/>
      </c>
      <c r="F6507" s="8">
        <f>QS.TRADE.CREATE("trade.6505",C6507,E6507,A6507,"Receive")</f>
        <v/>
      </c>
      <c r="G6507" s="5"/>
      <c r="H6507" s="7" t="s">
        <v>6548</v>
      </c>
      <c r="I6507" s="9">
        <v>1650500</v>
      </c>
      <c r="J6507" s="10">
        <v>0.0355</v>
      </c>
    </row>
    <row r="6508" spans="1:10">
      <c r="A6508" s="7" t="s">
        <v>6542</v>
      </c>
      <c r="B6508" s="7" t="s">
        <v>8375</v>
      </c>
      <c r="C6508" s="8">
        <f>QS.CONTEXT.CREATE("market.6506",A6508,"USD","SOFR")</f>
        <v/>
      </c>
      <c r="D6508" s="8">
        <f>QS.CONTEXT.ADD.CURVE(C6508,"SOFR",$K$2:$K$7,$L$2:$L$7,,,"Actual360","LogLinear",TRUE)</f>
        <v/>
      </c>
      <c r="E6508" s="8">
        <f>QS.INSTRUMENT.SWAP("swap.6506",C6508,H6508,B6508,"USD","SOFR",I6508,J6508,0,"Actual360","Simple","Annual","Annual","Annual")</f>
        <v/>
      </c>
      <c r="F6508" s="8">
        <f>QS.TRADE.CREATE("trade.6506",C6508,E6508,A6508,"Receive")</f>
        <v/>
      </c>
      <c r="G6508" s="5"/>
      <c r="H6508" s="7" t="s">
        <v>6549</v>
      </c>
      <c r="I6508" s="9">
        <v>1650600</v>
      </c>
      <c r="J6508" s="10">
        <v>0.03560000000000001</v>
      </c>
    </row>
    <row r="6509" spans="1:10">
      <c r="A6509" s="7" t="s">
        <v>6543</v>
      </c>
      <c r="B6509" s="7" t="s">
        <v>8376</v>
      </c>
      <c r="C6509" s="8">
        <f>QS.CONTEXT.CREATE("market.6507",A6509,"USD","SOFR")</f>
        <v/>
      </c>
      <c r="D6509" s="8">
        <f>QS.CONTEXT.ADD.CURVE(C6509,"SOFR",$K$2:$K$7,$L$2:$L$7,,,"Actual360","LogLinear",TRUE)</f>
        <v/>
      </c>
      <c r="E6509" s="8">
        <f>QS.INSTRUMENT.SWAP("swap.6507",C6509,H6509,B6509,"USD","SOFR",I6509,J6509,0,"Actual360","Simple","Annual","Annual","Annual")</f>
        <v/>
      </c>
      <c r="F6509" s="8">
        <f>QS.TRADE.CREATE("trade.6507",C6509,E6509,A6509,"Receive")</f>
        <v/>
      </c>
      <c r="G6509" s="5"/>
      <c r="H6509" s="7" t="s">
        <v>6550</v>
      </c>
      <c r="I6509" s="9">
        <v>1650700</v>
      </c>
      <c r="J6509" s="10">
        <v>0.0357</v>
      </c>
    </row>
    <row r="6510" spans="1:10">
      <c r="A6510" s="7" t="s">
        <v>6544</v>
      </c>
      <c r="B6510" s="7" t="s">
        <v>8377</v>
      </c>
      <c r="C6510" s="8">
        <f>QS.CONTEXT.CREATE("market.6508",A6510,"USD","SOFR")</f>
        <v/>
      </c>
      <c r="D6510" s="8">
        <f>QS.CONTEXT.ADD.CURVE(C6510,"SOFR",$K$2:$K$7,$L$2:$L$7,,,"Actual360","LogLinear",TRUE)</f>
        <v/>
      </c>
      <c r="E6510" s="8">
        <f>QS.INSTRUMENT.SWAP("swap.6508",C6510,H6510,B6510,"USD","SOFR",I6510,J6510,0,"Actual360","Simple","Annual","Annual","Annual")</f>
        <v/>
      </c>
      <c r="F6510" s="8">
        <f>QS.TRADE.CREATE("trade.6508",C6510,E6510,A6510,"Receive")</f>
        <v/>
      </c>
      <c r="G6510" s="5"/>
      <c r="H6510" s="7" t="s">
        <v>6551</v>
      </c>
      <c r="I6510" s="9">
        <v>1650800</v>
      </c>
      <c r="J6510" s="10">
        <v>0.03580000000000001</v>
      </c>
    </row>
    <row r="6511" spans="1:10">
      <c r="A6511" s="7" t="s">
        <v>6545</v>
      </c>
      <c r="B6511" s="7" t="s">
        <v>8378</v>
      </c>
      <c r="C6511" s="8">
        <f>QS.CONTEXT.CREATE("market.6509",A6511,"USD","SOFR")</f>
        <v/>
      </c>
      <c r="D6511" s="8">
        <f>QS.CONTEXT.ADD.CURVE(C6511,"SOFR",$K$2:$K$7,$L$2:$L$7,,,"Actual360","LogLinear",TRUE)</f>
        <v/>
      </c>
      <c r="E6511" s="8">
        <f>QS.INSTRUMENT.SWAP("swap.6509",C6511,H6511,B6511,"USD","SOFR",I6511,J6511,0,"Actual360","Simple","Annual","Annual","Annual")</f>
        <v/>
      </c>
      <c r="F6511" s="8">
        <f>QS.TRADE.CREATE("trade.6509",C6511,E6511,A6511,"Receive")</f>
        <v/>
      </c>
      <c r="G6511" s="5"/>
      <c r="H6511" s="7" t="s">
        <v>6552</v>
      </c>
      <c r="I6511" s="9">
        <v>1650900</v>
      </c>
      <c r="J6511" s="10">
        <v>0.0359</v>
      </c>
    </row>
    <row r="6512" spans="1:10">
      <c r="A6512" s="7" t="s">
        <v>6546</v>
      </c>
      <c r="B6512" s="7" t="s">
        <v>8379</v>
      </c>
      <c r="C6512" s="8">
        <f>QS.CONTEXT.CREATE("market.6510",A6512,"USD","SOFR")</f>
        <v/>
      </c>
      <c r="D6512" s="8">
        <f>QS.CONTEXT.ADD.CURVE(C6512,"SOFR",$K$2:$K$7,$L$2:$L$7,,,"Actual360","LogLinear",TRUE)</f>
        <v/>
      </c>
      <c r="E6512" s="8">
        <f>QS.INSTRUMENT.SWAP("swap.6510",C6512,H6512,B6512,"USD","SOFR",I6512,J6512,0,"Actual360","Simple","Annual","Annual","Annual")</f>
        <v/>
      </c>
      <c r="F6512" s="8">
        <f>QS.TRADE.CREATE("trade.6510",C6512,E6512,A6512,"Receive")</f>
        <v/>
      </c>
      <c r="G6512" s="5"/>
      <c r="H6512" s="7" t="s">
        <v>6553</v>
      </c>
      <c r="I6512" s="9">
        <v>1651000</v>
      </c>
      <c r="J6512" s="10">
        <v>0.036</v>
      </c>
    </row>
    <row r="6513" spans="1:10">
      <c r="A6513" s="7" t="s">
        <v>6547</v>
      </c>
      <c r="B6513" s="7" t="s">
        <v>8380</v>
      </c>
      <c r="C6513" s="8">
        <f>QS.CONTEXT.CREATE("market.6511",A6513,"USD","SOFR")</f>
        <v/>
      </c>
      <c r="D6513" s="8">
        <f>QS.CONTEXT.ADD.CURVE(C6513,"SOFR",$K$2:$K$7,$L$2:$L$7,,,"Actual360","LogLinear",TRUE)</f>
        <v/>
      </c>
      <c r="E6513" s="8">
        <f>QS.INSTRUMENT.SWAP("swap.6511",C6513,H6513,B6513,"USD","SOFR",I6513,J6513,0,"Actual360","Simple","Annual","Annual","Annual")</f>
        <v/>
      </c>
      <c r="F6513" s="8">
        <f>QS.TRADE.CREATE("trade.6511",C6513,E6513,A6513,"Receive")</f>
        <v/>
      </c>
      <c r="G6513" s="5"/>
      <c r="H6513" s="7" t="s">
        <v>6554</v>
      </c>
      <c r="I6513" s="9">
        <v>1651100</v>
      </c>
      <c r="J6513" s="10">
        <v>0.0361</v>
      </c>
    </row>
    <row r="6514" spans="1:10">
      <c r="A6514" s="7" t="s">
        <v>6548</v>
      </c>
      <c r="B6514" s="7" t="s">
        <v>8381</v>
      </c>
      <c r="C6514" s="8">
        <f>QS.CONTEXT.CREATE("market.6512",A6514,"USD","SOFR")</f>
        <v/>
      </c>
      <c r="D6514" s="8">
        <f>QS.CONTEXT.ADD.CURVE(C6514,"SOFR",$K$2:$K$7,$L$2:$L$7,,,"Actual360","LogLinear",TRUE)</f>
        <v/>
      </c>
      <c r="E6514" s="8">
        <f>QS.INSTRUMENT.SWAP("swap.6512",C6514,H6514,B6514,"USD","SOFR",I6514,J6514,0,"Actual360","Simple","Annual","Annual","Annual")</f>
        <v/>
      </c>
      <c r="F6514" s="8">
        <f>QS.TRADE.CREATE("trade.6512",C6514,E6514,A6514,"Receive")</f>
        <v/>
      </c>
      <c r="G6514" s="5"/>
      <c r="H6514" s="7" t="s">
        <v>6555</v>
      </c>
      <c r="I6514" s="9">
        <v>1651200</v>
      </c>
      <c r="J6514" s="10">
        <v>0.0362</v>
      </c>
    </row>
    <row r="6515" spans="1:10">
      <c r="A6515" s="7" t="s">
        <v>6549</v>
      </c>
      <c r="B6515" s="7" t="s">
        <v>8382</v>
      </c>
      <c r="C6515" s="8">
        <f>QS.CONTEXT.CREATE("market.6513",A6515,"USD","SOFR")</f>
        <v/>
      </c>
      <c r="D6515" s="8">
        <f>QS.CONTEXT.ADD.CURVE(C6515,"SOFR",$K$2:$K$7,$L$2:$L$7,,,"Actual360","LogLinear",TRUE)</f>
        <v/>
      </c>
      <c r="E6515" s="8">
        <f>QS.INSTRUMENT.SWAP("swap.6513",C6515,H6515,B6515,"USD","SOFR",I6515,J6515,0,"Actual360","Simple","Annual","Annual","Annual")</f>
        <v/>
      </c>
      <c r="F6515" s="8">
        <f>QS.TRADE.CREATE("trade.6513",C6515,E6515,A6515,"Receive")</f>
        <v/>
      </c>
      <c r="G6515" s="5"/>
      <c r="H6515" s="7" t="s">
        <v>6556</v>
      </c>
      <c r="I6515" s="9">
        <v>1651300</v>
      </c>
      <c r="J6515" s="10">
        <v>0.03630000000000001</v>
      </c>
    </row>
    <row r="6516" spans="1:10">
      <c r="A6516" s="7" t="s">
        <v>6550</v>
      </c>
      <c r="B6516" s="7" t="s">
        <v>8383</v>
      </c>
      <c r="C6516" s="8">
        <f>QS.CONTEXT.CREATE("market.6514",A6516,"USD","SOFR")</f>
        <v/>
      </c>
      <c r="D6516" s="8">
        <f>QS.CONTEXT.ADD.CURVE(C6516,"SOFR",$K$2:$K$7,$L$2:$L$7,,,"Actual360","LogLinear",TRUE)</f>
        <v/>
      </c>
      <c r="E6516" s="8">
        <f>QS.INSTRUMENT.SWAP("swap.6514",C6516,H6516,B6516,"USD","SOFR",I6516,J6516,0,"Actual360","Simple","Annual","Annual","Annual")</f>
        <v/>
      </c>
      <c r="F6516" s="8">
        <f>QS.TRADE.CREATE("trade.6514",C6516,E6516,A6516,"Receive")</f>
        <v/>
      </c>
      <c r="G6516" s="5"/>
      <c r="H6516" s="7" t="s">
        <v>6557</v>
      </c>
      <c r="I6516" s="9">
        <v>1651400</v>
      </c>
      <c r="J6516" s="10">
        <v>0.0364</v>
      </c>
    </row>
    <row r="6517" spans="1:10">
      <c r="A6517" s="7" t="s">
        <v>6551</v>
      </c>
      <c r="B6517" s="7" t="s">
        <v>8384</v>
      </c>
      <c r="C6517" s="8">
        <f>QS.CONTEXT.CREATE("market.6515",A6517,"USD","SOFR")</f>
        <v/>
      </c>
      <c r="D6517" s="8">
        <f>QS.CONTEXT.ADD.CURVE(C6517,"SOFR",$K$2:$K$7,$L$2:$L$7,,,"Actual360","LogLinear",TRUE)</f>
        <v/>
      </c>
      <c r="E6517" s="8">
        <f>QS.INSTRUMENT.SWAP("swap.6515",C6517,H6517,B6517,"USD","SOFR",I6517,J6517,0,"Actual360","Simple","Annual","Annual","Annual")</f>
        <v/>
      </c>
      <c r="F6517" s="8">
        <f>QS.TRADE.CREATE("trade.6515",C6517,E6517,A6517,"Receive")</f>
        <v/>
      </c>
      <c r="G6517" s="5"/>
      <c r="H6517" s="7" t="s">
        <v>6558</v>
      </c>
      <c r="I6517" s="9">
        <v>1651500</v>
      </c>
      <c r="J6517" s="10">
        <v>0.0365</v>
      </c>
    </row>
    <row r="6518" spans="1:10">
      <c r="A6518" s="7" t="s">
        <v>6552</v>
      </c>
      <c r="B6518" s="7" t="s">
        <v>8385</v>
      </c>
      <c r="C6518" s="8">
        <f>QS.CONTEXT.CREATE("market.6516",A6518,"USD","SOFR")</f>
        <v/>
      </c>
      <c r="D6518" s="8">
        <f>QS.CONTEXT.ADD.CURVE(C6518,"SOFR",$K$2:$K$7,$L$2:$L$7,,,"Actual360","LogLinear",TRUE)</f>
        <v/>
      </c>
      <c r="E6518" s="8">
        <f>QS.INSTRUMENT.SWAP("swap.6516",C6518,H6518,B6518,"USD","SOFR",I6518,J6518,0,"Actual360","Simple","Annual","Annual","Annual")</f>
        <v/>
      </c>
      <c r="F6518" s="8">
        <f>QS.TRADE.CREATE("trade.6516",C6518,E6518,A6518,"Receive")</f>
        <v/>
      </c>
      <c r="G6518" s="5"/>
      <c r="H6518" s="7" t="s">
        <v>6559</v>
      </c>
      <c r="I6518" s="9">
        <v>1651600</v>
      </c>
      <c r="J6518" s="10">
        <v>0.0366</v>
      </c>
    </row>
    <row r="6519" spans="1:10">
      <c r="A6519" s="7" t="s">
        <v>6553</v>
      </c>
      <c r="B6519" s="7" t="s">
        <v>8386</v>
      </c>
      <c r="C6519" s="8">
        <f>QS.CONTEXT.CREATE("market.6517",A6519,"USD","SOFR")</f>
        <v/>
      </c>
      <c r="D6519" s="8">
        <f>QS.CONTEXT.ADD.CURVE(C6519,"SOFR",$K$2:$K$7,$L$2:$L$7,,,"Actual360","LogLinear",TRUE)</f>
        <v/>
      </c>
      <c r="E6519" s="8">
        <f>QS.INSTRUMENT.SWAP("swap.6517",C6519,H6519,B6519,"USD","SOFR",I6519,J6519,0,"Actual360","Simple","Annual","Annual","Annual")</f>
        <v/>
      </c>
      <c r="F6519" s="8">
        <f>QS.TRADE.CREATE("trade.6517",C6519,E6519,A6519,"Receive")</f>
        <v/>
      </c>
      <c r="G6519" s="5"/>
      <c r="H6519" s="7" t="s">
        <v>6560</v>
      </c>
      <c r="I6519" s="9">
        <v>1651700</v>
      </c>
      <c r="J6519" s="10">
        <v>0.0367</v>
      </c>
    </row>
    <row r="6520" spans="1:10">
      <c r="A6520" s="7" t="s">
        <v>6554</v>
      </c>
      <c r="B6520" s="7" t="s">
        <v>8387</v>
      </c>
      <c r="C6520" s="8">
        <f>QS.CONTEXT.CREATE("market.6518",A6520,"USD","SOFR")</f>
        <v/>
      </c>
      <c r="D6520" s="8">
        <f>QS.CONTEXT.ADD.CURVE(C6520,"SOFR",$K$2:$K$7,$L$2:$L$7,,,"Actual360","LogLinear",TRUE)</f>
        <v/>
      </c>
      <c r="E6520" s="8">
        <f>QS.INSTRUMENT.SWAP("swap.6518",C6520,H6520,B6520,"USD","SOFR",I6520,J6520,0,"Actual360","Simple","Annual","Annual","Annual")</f>
        <v/>
      </c>
      <c r="F6520" s="8">
        <f>QS.TRADE.CREATE("trade.6518",C6520,E6520,A6520,"Receive")</f>
        <v/>
      </c>
      <c r="G6520" s="5"/>
      <c r="H6520" s="7" t="s">
        <v>6561</v>
      </c>
      <c r="I6520" s="9">
        <v>1651800</v>
      </c>
      <c r="J6520" s="10">
        <v>0.03680000000000001</v>
      </c>
    </row>
    <row r="6521" spans="1:10">
      <c r="A6521" s="7" t="s">
        <v>6555</v>
      </c>
      <c r="B6521" s="7" t="s">
        <v>8388</v>
      </c>
      <c r="C6521" s="8">
        <f>QS.CONTEXT.CREATE("market.6519",A6521,"USD","SOFR")</f>
        <v/>
      </c>
      <c r="D6521" s="8">
        <f>QS.CONTEXT.ADD.CURVE(C6521,"SOFR",$K$2:$K$7,$L$2:$L$7,,,"Actual360","LogLinear",TRUE)</f>
        <v/>
      </c>
      <c r="E6521" s="8">
        <f>QS.INSTRUMENT.SWAP("swap.6519",C6521,H6521,B6521,"USD","SOFR",I6521,J6521,0,"Actual360","Simple","Annual","Annual","Annual")</f>
        <v/>
      </c>
      <c r="F6521" s="8">
        <f>QS.TRADE.CREATE("trade.6519",C6521,E6521,A6521,"Receive")</f>
        <v/>
      </c>
      <c r="G6521" s="5"/>
      <c r="H6521" s="7" t="s">
        <v>6562</v>
      </c>
      <c r="I6521" s="9">
        <v>1651900</v>
      </c>
      <c r="J6521" s="10">
        <v>0.0369</v>
      </c>
    </row>
    <row r="6522" spans="1:10">
      <c r="A6522" s="7" t="s">
        <v>6556</v>
      </c>
      <c r="B6522" s="7" t="s">
        <v>8389</v>
      </c>
      <c r="C6522" s="8">
        <f>QS.CONTEXT.CREATE("market.6520",A6522,"USD","SOFR")</f>
        <v/>
      </c>
      <c r="D6522" s="8">
        <f>QS.CONTEXT.ADD.CURVE(C6522,"SOFR",$K$2:$K$7,$L$2:$L$7,,,"Actual360","LogLinear",TRUE)</f>
        <v/>
      </c>
      <c r="E6522" s="8">
        <f>QS.INSTRUMENT.SWAP("swap.6520",C6522,H6522,B6522,"USD","SOFR",I6522,J6522,0,"Actual360","Simple","Annual","Annual","Annual")</f>
        <v/>
      </c>
      <c r="F6522" s="8">
        <f>QS.TRADE.CREATE("trade.6520",C6522,E6522,A6522,"Receive")</f>
        <v/>
      </c>
      <c r="G6522" s="5"/>
      <c r="H6522" s="7" t="s">
        <v>6563</v>
      </c>
      <c r="I6522" s="9">
        <v>1652000</v>
      </c>
      <c r="J6522" s="10">
        <v>0.03700000000000001</v>
      </c>
    </row>
    <row r="6523" spans="1:10">
      <c r="A6523" s="7" t="s">
        <v>6557</v>
      </c>
      <c r="B6523" s="7" t="s">
        <v>8390</v>
      </c>
      <c r="C6523" s="8">
        <f>QS.CONTEXT.CREATE("market.6521",A6523,"USD","SOFR")</f>
        <v/>
      </c>
      <c r="D6523" s="8">
        <f>QS.CONTEXT.ADD.CURVE(C6523,"SOFR",$K$2:$K$7,$L$2:$L$7,,,"Actual360","LogLinear",TRUE)</f>
        <v/>
      </c>
      <c r="E6523" s="8">
        <f>QS.INSTRUMENT.SWAP("swap.6521",C6523,H6523,B6523,"USD","SOFR",I6523,J6523,0,"Actual360","Simple","Annual","Annual","Annual")</f>
        <v/>
      </c>
      <c r="F6523" s="8">
        <f>QS.TRADE.CREATE("trade.6521",C6523,E6523,A6523,"Receive")</f>
        <v/>
      </c>
      <c r="G6523" s="5"/>
      <c r="H6523" s="7" t="s">
        <v>6564</v>
      </c>
      <c r="I6523" s="9">
        <v>1652100</v>
      </c>
      <c r="J6523" s="10">
        <v>0.0371</v>
      </c>
    </row>
    <row r="6524" spans="1:10">
      <c r="A6524" s="7" t="s">
        <v>6558</v>
      </c>
      <c r="B6524" s="7" t="s">
        <v>8391</v>
      </c>
      <c r="C6524" s="8">
        <f>QS.CONTEXT.CREATE("market.6522",A6524,"USD","SOFR")</f>
        <v/>
      </c>
      <c r="D6524" s="8">
        <f>QS.CONTEXT.ADD.CURVE(C6524,"SOFR",$K$2:$K$7,$L$2:$L$7,,,"Actual360","LogLinear",TRUE)</f>
        <v/>
      </c>
      <c r="E6524" s="8">
        <f>QS.INSTRUMENT.SWAP("swap.6522",C6524,H6524,B6524,"USD","SOFR",I6524,J6524,0,"Actual360","Simple","Annual","Annual","Annual")</f>
        <v/>
      </c>
      <c r="F6524" s="8">
        <f>QS.TRADE.CREATE("trade.6522",C6524,E6524,A6524,"Receive")</f>
        <v/>
      </c>
      <c r="G6524" s="5"/>
      <c r="H6524" s="7" t="s">
        <v>6565</v>
      </c>
      <c r="I6524" s="9">
        <v>1652200</v>
      </c>
      <c r="J6524" s="10">
        <v>0.0372</v>
      </c>
    </row>
    <row r="6525" spans="1:10">
      <c r="A6525" s="7" t="s">
        <v>6559</v>
      </c>
      <c r="B6525" s="7" t="s">
        <v>8392</v>
      </c>
      <c r="C6525" s="8">
        <f>QS.CONTEXT.CREATE("market.6523",A6525,"USD","SOFR")</f>
        <v/>
      </c>
      <c r="D6525" s="8">
        <f>QS.CONTEXT.ADD.CURVE(C6525,"SOFR",$K$2:$K$7,$L$2:$L$7,,,"Actual360","LogLinear",TRUE)</f>
        <v/>
      </c>
      <c r="E6525" s="8">
        <f>QS.INSTRUMENT.SWAP("swap.6523",C6525,H6525,B6525,"USD","SOFR",I6525,J6525,0,"Actual360","Simple","Annual","Annual","Annual")</f>
        <v/>
      </c>
      <c r="F6525" s="8">
        <f>QS.TRADE.CREATE("trade.6523",C6525,E6525,A6525,"Receive")</f>
        <v/>
      </c>
      <c r="G6525" s="5"/>
      <c r="H6525" s="7" t="s">
        <v>6566</v>
      </c>
      <c r="I6525" s="9">
        <v>1652300</v>
      </c>
      <c r="J6525" s="10">
        <v>0.0373</v>
      </c>
    </row>
    <row r="6526" spans="1:10">
      <c r="A6526" s="7" t="s">
        <v>6560</v>
      </c>
      <c r="B6526" s="7" t="s">
        <v>8393</v>
      </c>
      <c r="C6526" s="8">
        <f>QS.CONTEXT.CREATE("market.6524",A6526,"USD","SOFR")</f>
        <v/>
      </c>
      <c r="D6526" s="8">
        <f>QS.CONTEXT.ADD.CURVE(C6526,"SOFR",$K$2:$K$7,$L$2:$L$7,,,"Actual360","LogLinear",TRUE)</f>
        <v/>
      </c>
      <c r="E6526" s="8">
        <f>QS.INSTRUMENT.SWAP("swap.6524",C6526,H6526,B6526,"USD","SOFR",I6526,J6526,0,"Actual360","Simple","Annual","Annual","Annual")</f>
        <v/>
      </c>
      <c r="F6526" s="8">
        <f>QS.TRADE.CREATE("trade.6524",C6526,E6526,A6526,"Receive")</f>
        <v/>
      </c>
      <c r="G6526" s="5"/>
      <c r="H6526" s="7" t="s">
        <v>6567</v>
      </c>
      <c r="I6526" s="9">
        <v>1652400</v>
      </c>
      <c r="J6526" s="10">
        <v>0.0374</v>
      </c>
    </row>
    <row r="6527" spans="1:10">
      <c r="A6527" s="7" t="s">
        <v>6561</v>
      </c>
      <c r="B6527" s="7" t="s">
        <v>8394</v>
      </c>
      <c r="C6527" s="8">
        <f>QS.CONTEXT.CREATE("market.6525",A6527,"USD","SOFR")</f>
        <v/>
      </c>
      <c r="D6527" s="8">
        <f>QS.CONTEXT.ADD.CURVE(C6527,"SOFR",$K$2:$K$7,$L$2:$L$7,,,"Actual360","LogLinear",TRUE)</f>
        <v/>
      </c>
      <c r="E6527" s="8">
        <f>QS.INSTRUMENT.SWAP("swap.6525",C6527,H6527,B6527,"USD","SOFR",I6527,J6527,0,"Actual360","Simple","Annual","Annual","Annual")</f>
        <v/>
      </c>
      <c r="F6527" s="8">
        <f>QS.TRADE.CREATE("trade.6525",C6527,E6527,A6527,"Receive")</f>
        <v/>
      </c>
      <c r="G6527" s="5"/>
      <c r="H6527" s="7" t="s">
        <v>6568</v>
      </c>
      <c r="I6527" s="9">
        <v>1652500</v>
      </c>
      <c r="J6527" s="10">
        <v>0.03750000000000001</v>
      </c>
    </row>
    <row r="6528" spans="1:10">
      <c r="A6528" s="7" t="s">
        <v>6562</v>
      </c>
      <c r="B6528" s="7" t="s">
        <v>8395</v>
      </c>
      <c r="C6528" s="8">
        <f>QS.CONTEXT.CREATE("market.6526",A6528,"USD","SOFR")</f>
        <v/>
      </c>
      <c r="D6528" s="8">
        <f>QS.CONTEXT.ADD.CURVE(C6528,"SOFR",$K$2:$K$7,$L$2:$L$7,,,"Actual360","LogLinear",TRUE)</f>
        <v/>
      </c>
      <c r="E6528" s="8">
        <f>QS.INSTRUMENT.SWAP("swap.6526",C6528,H6528,B6528,"USD","SOFR",I6528,J6528,0,"Actual360","Simple","Annual","Annual","Annual")</f>
        <v/>
      </c>
      <c r="F6528" s="8">
        <f>QS.TRADE.CREATE("trade.6526",C6528,E6528,A6528,"Receive")</f>
        <v/>
      </c>
      <c r="G6528" s="5"/>
      <c r="H6528" s="7" t="s">
        <v>6569</v>
      </c>
      <c r="I6528" s="9">
        <v>1652600</v>
      </c>
      <c r="J6528" s="10">
        <v>0.0376</v>
      </c>
    </row>
    <row r="6529" spans="1:10">
      <c r="A6529" s="7" t="s">
        <v>6563</v>
      </c>
      <c r="B6529" s="7" t="s">
        <v>8396</v>
      </c>
      <c r="C6529" s="8">
        <f>QS.CONTEXT.CREATE("market.6527",A6529,"USD","SOFR")</f>
        <v/>
      </c>
      <c r="D6529" s="8">
        <f>QS.CONTEXT.ADD.CURVE(C6529,"SOFR",$K$2:$K$7,$L$2:$L$7,,,"Actual360","LogLinear",TRUE)</f>
        <v/>
      </c>
      <c r="E6529" s="8">
        <f>QS.INSTRUMENT.SWAP("swap.6527",C6529,H6529,B6529,"USD","SOFR",I6529,J6529,0,"Actual360","Simple","Annual","Annual","Annual")</f>
        <v/>
      </c>
      <c r="F6529" s="8">
        <f>QS.TRADE.CREATE("trade.6527",C6529,E6529,A6529,"Receive")</f>
        <v/>
      </c>
      <c r="G6529" s="5"/>
      <c r="H6529" s="7" t="s">
        <v>6570</v>
      </c>
      <c r="I6529" s="9">
        <v>1652700</v>
      </c>
      <c r="J6529" s="10">
        <v>0.0377</v>
      </c>
    </row>
    <row r="6530" spans="1:10">
      <c r="A6530" s="7" t="s">
        <v>6564</v>
      </c>
      <c r="B6530" s="7" t="s">
        <v>8397</v>
      </c>
      <c r="C6530" s="8">
        <f>QS.CONTEXT.CREATE("market.6528",A6530,"USD","SOFR")</f>
        <v/>
      </c>
      <c r="D6530" s="8">
        <f>QS.CONTEXT.ADD.CURVE(C6530,"SOFR",$K$2:$K$7,$L$2:$L$7,,,"Actual360","LogLinear",TRUE)</f>
        <v/>
      </c>
      <c r="E6530" s="8">
        <f>QS.INSTRUMENT.SWAP("swap.6528",C6530,H6530,B6530,"USD","SOFR",I6530,J6530,0,"Actual360","Simple","Annual","Annual","Annual")</f>
        <v/>
      </c>
      <c r="F6530" s="8">
        <f>QS.TRADE.CREATE("trade.6528",C6530,E6530,A6530,"Receive")</f>
        <v/>
      </c>
      <c r="G6530" s="5"/>
      <c r="H6530" s="7" t="s">
        <v>6571</v>
      </c>
      <c r="I6530" s="9">
        <v>1652800</v>
      </c>
      <c r="J6530" s="10">
        <v>0.0378</v>
      </c>
    </row>
    <row r="6531" spans="1:10">
      <c r="A6531" s="7" t="s">
        <v>6565</v>
      </c>
      <c r="B6531" s="7" t="s">
        <v>8398</v>
      </c>
      <c r="C6531" s="8">
        <f>QS.CONTEXT.CREATE("market.6529",A6531,"USD","SOFR")</f>
        <v/>
      </c>
      <c r="D6531" s="8">
        <f>QS.CONTEXT.ADD.CURVE(C6531,"SOFR",$K$2:$K$7,$L$2:$L$7,,,"Actual360","LogLinear",TRUE)</f>
        <v/>
      </c>
      <c r="E6531" s="8">
        <f>QS.INSTRUMENT.SWAP("swap.6529",C6531,H6531,B6531,"USD","SOFR",I6531,J6531,0,"Actual360","Simple","Annual","Annual","Annual")</f>
        <v/>
      </c>
      <c r="F6531" s="8">
        <f>QS.TRADE.CREATE("trade.6529",C6531,E6531,A6531,"Receive")</f>
        <v/>
      </c>
      <c r="G6531" s="5"/>
      <c r="H6531" s="7" t="s">
        <v>6572</v>
      </c>
      <c r="I6531" s="9">
        <v>1652900</v>
      </c>
      <c r="J6531" s="10">
        <v>0.0379</v>
      </c>
    </row>
    <row r="6532" spans="1:10">
      <c r="A6532" s="7" t="s">
        <v>6566</v>
      </c>
      <c r="B6532" s="7" t="s">
        <v>8399</v>
      </c>
      <c r="C6532" s="8">
        <f>QS.CONTEXT.CREATE("market.6530",A6532,"USD","SOFR")</f>
        <v/>
      </c>
      <c r="D6532" s="8">
        <f>QS.CONTEXT.ADD.CURVE(C6532,"SOFR",$K$2:$K$7,$L$2:$L$7,,,"Actual360","LogLinear",TRUE)</f>
        <v/>
      </c>
      <c r="E6532" s="8">
        <f>QS.INSTRUMENT.SWAP("swap.6530",C6532,H6532,B6532,"USD","SOFR",I6532,J6532,0,"Actual360","Simple","Annual","Annual","Annual")</f>
        <v/>
      </c>
      <c r="F6532" s="8">
        <f>QS.TRADE.CREATE("trade.6530",C6532,E6532,A6532,"Receive")</f>
        <v/>
      </c>
      <c r="G6532" s="5"/>
      <c r="H6532" s="7" t="s">
        <v>6573</v>
      </c>
      <c r="I6532" s="9">
        <v>1653000</v>
      </c>
      <c r="J6532" s="10">
        <v>0.03800000000000001</v>
      </c>
    </row>
    <row r="6533" spans="1:10">
      <c r="A6533" s="7" t="s">
        <v>6567</v>
      </c>
      <c r="B6533" s="7" t="s">
        <v>8400</v>
      </c>
      <c r="C6533" s="8">
        <f>QS.CONTEXT.CREATE("market.6531",A6533,"USD","SOFR")</f>
        <v/>
      </c>
      <c r="D6533" s="8">
        <f>QS.CONTEXT.ADD.CURVE(C6533,"SOFR",$K$2:$K$7,$L$2:$L$7,,,"Actual360","LogLinear",TRUE)</f>
        <v/>
      </c>
      <c r="E6533" s="8">
        <f>QS.INSTRUMENT.SWAP("swap.6531",C6533,H6533,B6533,"USD","SOFR",I6533,J6533,0,"Actual360","Simple","Annual","Annual","Annual")</f>
        <v/>
      </c>
      <c r="F6533" s="8">
        <f>QS.TRADE.CREATE("trade.6531",C6533,E6533,A6533,"Receive")</f>
        <v/>
      </c>
      <c r="G6533" s="5"/>
      <c r="H6533" s="7" t="s">
        <v>6574</v>
      </c>
      <c r="I6533" s="9">
        <v>1653100</v>
      </c>
      <c r="J6533" s="10">
        <v>0.0381</v>
      </c>
    </row>
    <row r="6534" spans="1:10">
      <c r="A6534" s="7" t="s">
        <v>6568</v>
      </c>
      <c r="B6534" s="7" t="s">
        <v>8401</v>
      </c>
      <c r="C6534" s="8">
        <f>QS.CONTEXT.CREATE("market.6532",A6534,"USD","SOFR")</f>
        <v/>
      </c>
      <c r="D6534" s="8">
        <f>QS.CONTEXT.ADD.CURVE(C6534,"SOFR",$K$2:$K$7,$L$2:$L$7,,,"Actual360","LogLinear",TRUE)</f>
        <v/>
      </c>
      <c r="E6534" s="8">
        <f>QS.INSTRUMENT.SWAP("swap.6532",C6534,H6534,B6534,"USD","SOFR",I6534,J6534,0,"Actual360","Simple","Annual","Annual","Annual")</f>
        <v/>
      </c>
      <c r="F6534" s="8">
        <f>QS.TRADE.CREATE("trade.6532",C6534,E6534,A6534,"Receive")</f>
        <v/>
      </c>
      <c r="G6534" s="5"/>
      <c r="H6534" s="7" t="s">
        <v>6575</v>
      </c>
      <c r="I6534" s="9">
        <v>1653200</v>
      </c>
      <c r="J6534" s="10">
        <v>0.0382</v>
      </c>
    </row>
    <row r="6535" spans="1:10">
      <c r="A6535" s="7" t="s">
        <v>6569</v>
      </c>
      <c r="B6535" s="7" t="s">
        <v>8402</v>
      </c>
      <c r="C6535" s="8">
        <f>QS.CONTEXT.CREATE("market.6533",A6535,"USD","SOFR")</f>
        <v/>
      </c>
      <c r="D6535" s="8">
        <f>QS.CONTEXT.ADD.CURVE(C6535,"SOFR",$K$2:$K$7,$L$2:$L$7,,,"Actual360","LogLinear",TRUE)</f>
        <v/>
      </c>
      <c r="E6535" s="8">
        <f>QS.INSTRUMENT.SWAP("swap.6533",C6535,H6535,B6535,"USD","SOFR",I6535,J6535,0,"Actual360","Simple","Annual","Annual","Annual")</f>
        <v/>
      </c>
      <c r="F6535" s="8">
        <f>QS.TRADE.CREATE("trade.6533",C6535,E6535,A6535,"Receive")</f>
        <v/>
      </c>
      <c r="G6535" s="5"/>
      <c r="H6535" s="7" t="s">
        <v>6576</v>
      </c>
      <c r="I6535" s="9">
        <v>1653300</v>
      </c>
      <c r="J6535" s="10">
        <v>0.0383</v>
      </c>
    </row>
    <row r="6536" spans="1:10">
      <c r="A6536" s="7" t="s">
        <v>6570</v>
      </c>
      <c r="B6536" s="7" t="s">
        <v>8403</v>
      </c>
      <c r="C6536" s="8">
        <f>QS.CONTEXT.CREATE("market.6534",A6536,"USD","SOFR")</f>
        <v/>
      </c>
      <c r="D6536" s="8">
        <f>QS.CONTEXT.ADD.CURVE(C6536,"SOFR",$K$2:$K$7,$L$2:$L$7,,,"Actual360","LogLinear",TRUE)</f>
        <v/>
      </c>
      <c r="E6536" s="8">
        <f>QS.INSTRUMENT.SWAP("swap.6534",C6536,H6536,B6536,"USD","SOFR",I6536,J6536,0,"Actual360","Simple","Annual","Annual","Annual")</f>
        <v/>
      </c>
      <c r="F6536" s="8">
        <f>QS.TRADE.CREATE("trade.6534",C6536,E6536,A6536,"Receive")</f>
        <v/>
      </c>
      <c r="G6536" s="5"/>
      <c r="H6536" s="7" t="s">
        <v>6577</v>
      </c>
      <c r="I6536" s="9">
        <v>1653400</v>
      </c>
      <c r="J6536" s="10">
        <v>0.0384</v>
      </c>
    </row>
    <row r="6537" spans="1:10">
      <c r="A6537" s="7" t="s">
        <v>6571</v>
      </c>
      <c r="B6537" s="7" t="s">
        <v>8404</v>
      </c>
      <c r="C6537" s="8">
        <f>QS.CONTEXT.CREATE("market.6535",A6537,"USD","SOFR")</f>
        <v/>
      </c>
      <c r="D6537" s="8">
        <f>QS.CONTEXT.ADD.CURVE(C6537,"SOFR",$K$2:$K$7,$L$2:$L$7,,,"Actual360","LogLinear",TRUE)</f>
        <v/>
      </c>
      <c r="E6537" s="8">
        <f>QS.INSTRUMENT.SWAP("swap.6535",C6537,H6537,B6537,"USD","SOFR",I6537,J6537,0,"Actual360","Simple","Annual","Annual","Annual")</f>
        <v/>
      </c>
      <c r="F6537" s="8">
        <f>QS.TRADE.CREATE("trade.6535",C6537,E6537,A6537,"Receive")</f>
        <v/>
      </c>
      <c r="G6537" s="5"/>
      <c r="H6537" s="7" t="s">
        <v>6578</v>
      </c>
      <c r="I6537" s="9">
        <v>1653500</v>
      </c>
      <c r="J6537" s="10">
        <v>0.03850000000000001</v>
      </c>
    </row>
    <row r="6538" spans="1:10">
      <c r="A6538" s="7" t="s">
        <v>6572</v>
      </c>
      <c r="B6538" s="7" t="s">
        <v>8405</v>
      </c>
      <c r="C6538" s="8">
        <f>QS.CONTEXT.CREATE("market.6536",A6538,"USD","SOFR")</f>
        <v/>
      </c>
      <c r="D6538" s="8">
        <f>QS.CONTEXT.ADD.CURVE(C6538,"SOFR",$K$2:$K$7,$L$2:$L$7,,,"Actual360","LogLinear",TRUE)</f>
        <v/>
      </c>
      <c r="E6538" s="8">
        <f>QS.INSTRUMENT.SWAP("swap.6536",C6538,H6538,B6538,"USD","SOFR",I6538,J6538,0,"Actual360","Simple","Annual","Annual","Annual")</f>
        <v/>
      </c>
      <c r="F6538" s="8">
        <f>QS.TRADE.CREATE("trade.6536",C6538,E6538,A6538,"Receive")</f>
        <v/>
      </c>
      <c r="G6538" s="5"/>
      <c r="H6538" s="7" t="s">
        <v>6579</v>
      </c>
      <c r="I6538" s="9">
        <v>1653600</v>
      </c>
      <c r="J6538" s="10">
        <v>0.0386</v>
      </c>
    </row>
    <row r="6539" spans="1:10">
      <c r="A6539" s="7" t="s">
        <v>6573</v>
      </c>
      <c r="B6539" s="7" t="s">
        <v>8406</v>
      </c>
      <c r="C6539" s="8">
        <f>QS.CONTEXT.CREATE("market.6537",A6539,"USD","SOFR")</f>
        <v/>
      </c>
      <c r="D6539" s="8">
        <f>QS.CONTEXT.ADD.CURVE(C6539,"SOFR",$K$2:$K$7,$L$2:$L$7,,,"Actual360","LogLinear",TRUE)</f>
        <v/>
      </c>
      <c r="E6539" s="8">
        <f>QS.INSTRUMENT.SWAP("swap.6537",C6539,H6539,B6539,"USD","SOFR",I6539,J6539,0,"Actual360","Simple","Annual","Annual","Annual")</f>
        <v/>
      </c>
      <c r="F6539" s="8">
        <f>QS.TRADE.CREATE("trade.6537",C6539,E6539,A6539,"Receive")</f>
        <v/>
      </c>
      <c r="G6539" s="5"/>
      <c r="H6539" s="7" t="s">
        <v>6580</v>
      </c>
      <c r="I6539" s="9">
        <v>1653700</v>
      </c>
      <c r="J6539" s="10">
        <v>0.03870000000000001</v>
      </c>
    </row>
    <row r="6540" spans="1:10">
      <c r="A6540" s="7" t="s">
        <v>6574</v>
      </c>
      <c r="B6540" s="7" t="s">
        <v>8407</v>
      </c>
      <c r="C6540" s="8">
        <f>QS.CONTEXT.CREATE("market.6538",A6540,"USD","SOFR")</f>
        <v/>
      </c>
      <c r="D6540" s="8">
        <f>QS.CONTEXT.ADD.CURVE(C6540,"SOFR",$K$2:$K$7,$L$2:$L$7,,,"Actual360","LogLinear",TRUE)</f>
        <v/>
      </c>
      <c r="E6540" s="8">
        <f>QS.INSTRUMENT.SWAP("swap.6538",C6540,H6540,B6540,"USD","SOFR",I6540,J6540,0,"Actual360","Simple","Annual","Annual","Annual")</f>
        <v/>
      </c>
      <c r="F6540" s="8">
        <f>QS.TRADE.CREATE("trade.6538",C6540,E6540,A6540,"Receive")</f>
        <v/>
      </c>
      <c r="G6540" s="5"/>
      <c r="H6540" s="7" t="s">
        <v>6581</v>
      </c>
      <c r="I6540" s="9">
        <v>1653800</v>
      </c>
      <c r="J6540" s="10">
        <v>0.0388</v>
      </c>
    </row>
    <row r="6541" spans="1:10">
      <c r="A6541" s="7" t="s">
        <v>6575</v>
      </c>
      <c r="B6541" s="7" t="s">
        <v>8408</v>
      </c>
      <c r="C6541" s="8">
        <f>QS.CONTEXT.CREATE("market.6539",A6541,"USD","SOFR")</f>
        <v/>
      </c>
      <c r="D6541" s="8">
        <f>QS.CONTEXT.ADD.CURVE(C6541,"SOFR",$K$2:$K$7,$L$2:$L$7,,,"Actual360","LogLinear",TRUE)</f>
        <v/>
      </c>
      <c r="E6541" s="8">
        <f>QS.INSTRUMENT.SWAP("swap.6539",C6541,H6541,B6541,"USD","SOFR",I6541,J6541,0,"Actual360","Simple","Annual","Annual","Annual")</f>
        <v/>
      </c>
      <c r="F6541" s="8">
        <f>QS.TRADE.CREATE("trade.6539",C6541,E6541,A6541,"Receive")</f>
        <v/>
      </c>
      <c r="G6541" s="5"/>
      <c r="H6541" s="7" t="s">
        <v>6582</v>
      </c>
      <c r="I6541" s="9">
        <v>1653900</v>
      </c>
      <c r="J6541" s="10">
        <v>0.0389</v>
      </c>
    </row>
    <row r="6542" spans="1:10">
      <c r="A6542" s="7" t="s">
        <v>6576</v>
      </c>
      <c r="B6542" s="7" t="s">
        <v>8409</v>
      </c>
      <c r="C6542" s="8">
        <f>QS.CONTEXT.CREATE("market.6540",A6542,"USD","SOFR")</f>
        <v/>
      </c>
      <c r="D6542" s="8">
        <f>QS.CONTEXT.ADD.CURVE(C6542,"SOFR",$K$2:$K$7,$L$2:$L$7,,,"Actual360","LogLinear",TRUE)</f>
        <v/>
      </c>
      <c r="E6542" s="8">
        <f>QS.INSTRUMENT.SWAP("swap.6540",C6542,H6542,B6542,"USD","SOFR",I6542,J6542,0,"Actual360","Simple","Annual","Annual","Annual")</f>
        <v/>
      </c>
      <c r="F6542" s="8">
        <f>QS.TRADE.CREATE("trade.6540",C6542,E6542,A6542,"Receive")</f>
        <v/>
      </c>
      <c r="G6542" s="5"/>
      <c r="H6542" s="7" t="s">
        <v>6583</v>
      </c>
      <c r="I6542" s="9">
        <v>1654000</v>
      </c>
      <c r="J6542" s="10">
        <v>0.03900000000000001</v>
      </c>
    </row>
    <row r="6543" spans="1:10">
      <c r="A6543" s="7" t="s">
        <v>6577</v>
      </c>
      <c r="B6543" s="7" t="s">
        <v>8410</v>
      </c>
      <c r="C6543" s="8">
        <f>QS.CONTEXT.CREATE("market.6541",A6543,"USD","SOFR")</f>
        <v/>
      </c>
      <c r="D6543" s="8">
        <f>QS.CONTEXT.ADD.CURVE(C6543,"SOFR",$K$2:$K$7,$L$2:$L$7,,,"Actual360","LogLinear",TRUE)</f>
        <v/>
      </c>
      <c r="E6543" s="8">
        <f>QS.INSTRUMENT.SWAP("swap.6541",C6543,H6543,B6543,"USD","SOFR",I6543,J6543,0,"Actual360","Simple","Annual","Annual","Annual")</f>
        <v/>
      </c>
      <c r="F6543" s="8">
        <f>QS.TRADE.CREATE("trade.6541",C6543,E6543,A6543,"Receive")</f>
        <v/>
      </c>
      <c r="G6543" s="5"/>
      <c r="H6543" s="7" t="s">
        <v>6584</v>
      </c>
      <c r="I6543" s="9">
        <v>1654100</v>
      </c>
      <c r="J6543" s="10">
        <v>0.0391</v>
      </c>
    </row>
    <row r="6544" spans="1:10">
      <c r="A6544" s="7" t="s">
        <v>6578</v>
      </c>
      <c r="B6544" s="7" t="s">
        <v>8411</v>
      </c>
      <c r="C6544" s="8">
        <f>QS.CONTEXT.CREATE("market.6542",A6544,"USD","SOFR")</f>
        <v/>
      </c>
      <c r="D6544" s="8">
        <f>QS.CONTEXT.ADD.CURVE(C6544,"SOFR",$K$2:$K$7,$L$2:$L$7,,,"Actual360","LogLinear",TRUE)</f>
        <v/>
      </c>
      <c r="E6544" s="8">
        <f>QS.INSTRUMENT.SWAP("swap.6542",C6544,H6544,B6544,"USD","SOFR",I6544,J6544,0,"Actual360","Simple","Annual","Annual","Annual")</f>
        <v/>
      </c>
      <c r="F6544" s="8">
        <f>QS.TRADE.CREATE("trade.6542",C6544,E6544,A6544,"Receive")</f>
        <v/>
      </c>
      <c r="G6544" s="5"/>
      <c r="H6544" s="7" t="s">
        <v>6585</v>
      </c>
      <c r="I6544" s="9">
        <v>1654200</v>
      </c>
      <c r="J6544" s="10">
        <v>0.03920000000000001</v>
      </c>
    </row>
    <row r="6545" spans="1:10">
      <c r="A6545" s="7" t="s">
        <v>6579</v>
      </c>
      <c r="B6545" s="7" t="s">
        <v>8412</v>
      </c>
      <c r="C6545" s="8">
        <f>QS.CONTEXT.CREATE("market.6543",A6545,"USD","SOFR")</f>
        <v/>
      </c>
      <c r="D6545" s="8">
        <f>QS.CONTEXT.ADD.CURVE(C6545,"SOFR",$K$2:$K$7,$L$2:$L$7,,,"Actual360","LogLinear",TRUE)</f>
        <v/>
      </c>
      <c r="E6545" s="8">
        <f>QS.INSTRUMENT.SWAP("swap.6543",C6545,H6545,B6545,"USD","SOFR",I6545,J6545,0,"Actual360","Simple","Annual","Annual","Annual")</f>
        <v/>
      </c>
      <c r="F6545" s="8">
        <f>QS.TRADE.CREATE("trade.6543",C6545,E6545,A6545,"Receive")</f>
        <v/>
      </c>
      <c r="G6545" s="5"/>
      <c r="H6545" s="7" t="s">
        <v>6586</v>
      </c>
      <c r="I6545" s="9">
        <v>1654300</v>
      </c>
      <c r="J6545" s="10">
        <v>0.0393</v>
      </c>
    </row>
    <row r="6546" spans="1:10">
      <c r="A6546" s="7" t="s">
        <v>6580</v>
      </c>
      <c r="B6546" s="7" t="s">
        <v>8413</v>
      </c>
      <c r="C6546" s="8">
        <f>QS.CONTEXT.CREATE("market.6544",A6546,"USD","SOFR")</f>
        <v/>
      </c>
      <c r="D6546" s="8">
        <f>QS.CONTEXT.ADD.CURVE(C6546,"SOFR",$K$2:$K$7,$L$2:$L$7,,,"Actual360","LogLinear",TRUE)</f>
        <v/>
      </c>
      <c r="E6546" s="8">
        <f>QS.INSTRUMENT.SWAP("swap.6544",C6546,H6546,B6546,"USD","SOFR",I6546,J6546,0,"Actual360","Simple","Annual","Annual","Annual")</f>
        <v/>
      </c>
      <c r="F6546" s="8">
        <f>QS.TRADE.CREATE("trade.6544",C6546,E6546,A6546,"Receive")</f>
        <v/>
      </c>
      <c r="G6546" s="5"/>
      <c r="H6546" s="7" t="s">
        <v>6587</v>
      </c>
      <c r="I6546" s="9">
        <v>1654400</v>
      </c>
      <c r="J6546" s="10">
        <v>0.0394</v>
      </c>
    </row>
    <row r="6547" spans="1:10">
      <c r="A6547" s="7" t="s">
        <v>6581</v>
      </c>
      <c r="B6547" s="7" t="s">
        <v>8414</v>
      </c>
      <c r="C6547" s="8">
        <f>QS.CONTEXT.CREATE("market.6545",A6547,"USD","SOFR")</f>
        <v/>
      </c>
      <c r="D6547" s="8">
        <f>QS.CONTEXT.ADD.CURVE(C6547,"SOFR",$K$2:$K$7,$L$2:$L$7,,,"Actual360","LogLinear",TRUE)</f>
        <v/>
      </c>
      <c r="E6547" s="8">
        <f>QS.INSTRUMENT.SWAP("swap.6545",C6547,H6547,B6547,"USD","SOFR",I6547,J6547,0,"Actual360","Simple","Annual","Annual","Annual")</f>
        <v/>
      </c>
      <c r="F6547" s="8">
        <f>QS.TRADE.CREATE("trade.6545",C6547,E6547,A6547,"Receive")</f>
        <v/>
      </c>
      <c r="G6547" s="5"/>
      <c r="H6547" s="7" t="s">
        <v>6588</v>
      </c>
      <c r="I6547" s="9">
        <v>1654500</v>
      </c>
      <c r="J6547" s="10">
        <v>0.03950000000000001</v>
      </c>
    </row>
    <row r="6548" spans="1:10">
      <c r="A6548" s="7" t="s">
        <v>6582</v>
      </c>
      <c r="B6548" s="7" t="s">
        <v>8415</v>
      </c>
      <c r="C6548" s="8">
        <f>QS.CONTEXT.CREATE("market.6546",A6548,"USD","SOFR")</f>
        <v/>
      </c>
      <c r="D6548" s="8">
        <f>QS.CONTEXT.ADD.CURVE(C6548,"SOFR",$K$2:$K$7,$L$2:$L$7,,,"Actual360","LogLinear",TRUE)</f>
        <v/>
      </c>
      <c r="E6548" s="8">
        <f>QS.INSTRUMENT.SWAP("swap.6546",C6548,H6548,B6548,"USD","SOFR",I6548,J6548,0,"Actual360","Simple","Annual","Annual","Annual")</f>
        <v/>
      </c>
      <c r="F6548" s="8">
        <f>QS.TRADE.CREATE("trade.6546",C6548,E6548,A6548,"Receive")</f>
        <v/>
      </c>
      <c r="G6548" s="5"/>
      <c r="H6548" s="7" t="s">
        <v>6589</v>
      </c>
      <c r="I6548" s="9">
        <v>1654600</v>
      </c>
      <c r="J6548" s="10">
        <v>0.0396</v>
      </c>
    </row>
    <row r="6549" spans="1:10">
      <c r="A6549" s="7" t="s">
        <v>6583</v>
      </c>
      <c r="B6549" s="7" t="s">
        <v>8416</v>
      </c>
      <c r="C6549" s="8">
        <f>QS.CONTEXT.CREATE("market.6547",A6549,"USD","SOFR")</f>
        <v/>
      </c>
      <c r="D6549" s="8">
        <f>QS.CONTEXT.ADD.CURVE(C6549,"SOFR",$K$2:$K$7,$L$2:$L$7,,,"Actual360","LogLinear",TRUE)</f>
        <v/>
      </c>
      <c r="E6549" s="8">
        <f>QS.INSTRUMENT.SWAP("swap.6547",C6549,H6549,B6549,"USD","SOFR",I6549,J6549,0,"Actual360","Simple","Annual","Annual","Annual")</f>
        <v/>
      </c>
      <c r="F6549" s="8">
        <f>QS.TRADE.CREATE("trade.6547",C6549,E6549,A6549,"Receive")</f>
        <v/>
      </c>
      <c r="G6549" s="5"/>
      <c r="H6549" s="7" t="s">
        <v>6590</v>
      </c>
      <c r="I6549" s="9">
        <v>1654700</v>
      </c>
      <c r="J6549" s="10">
        <v>0.03970000000000001</v>
      </c>
    </row>
    <row r="6550" spans="1:10">
      <c r="A6550" s="7" t="s">
        <v>6584</v>
      </c>
      <c r="B6550" s="7" t="s">
        <v>8417</v>
      </c>
      <c r="C6550" s="8">
        <f>QS.CONTEXT.CREATE("market.6548",A6550,"USD","SOFR")</f>
        <v/>
      </c>
      <c r="D6550" s="8">
        <f>QS.CONTEXT.ADD.CURVE(C6550,"SOFR",$K$2:$K$7,$L$2:$L$7,,,"Actual360","LogLinear",TRUE)</f>
        <v/>
      </c>
      <c r="E6550" s="8">
        <f>QS.INSTRUMENT.SWAP("swap.6548",C6550,H6550,B6550,"USD","SOFR",I6550,J6550,0,"Actual360","Simple","Annual","Annual","Annual")</f>
        <v/>
      </c>
      <c r="F6550" s="8">
        <f>QS.TRADE.CREATE("trade.6548",C6550,E6550,A6550,"Receive")</f>
        <v/>
      </c>
      <c r="G6550" s="5"/>
      <c r="H6550" s="7" t="s">
        <v>6591</v>
      </c>
      <c r="I6550" s="9">
        <v>1654800</v>
      </c>
      <c r="J6550" s="10">
        <v>0.0398</v>
      </c>
    </row>
    <row r="6551" spans="1:10">
      <c r="A6551" s="7" t="s">
        <v>6585</v>
      </c>
      <c r="B6551" s="7" t="s">
        <v>8418</v>
      </c>
      <c r="C6551" s="8">
        <f>QS.CONTEXT.CREATE("market.6549",A6551,"USD","SOFR")</f>
        <v/>
      </c>
      <c r="D6551" s="8">
        <f>QS.CONTEXT.ADD.CURVE(C6551,"SOFR",$K$2:$K$7,$L$2:$L$7,,,"Actual360","LogLinear",TRUE)</f>
        <v/>
      </c>
      <c r="E6551" s="8">
        <f>QS.INSTRUMENT.SWAP("swap.6549",C6551,H6551,B6551,"USD","SOFR",I6551,J6551,0,"Actual360","Simple","Annual","Annual","Annual")</f>
        <v/>
      </c>
      <c r="F6551" s="8">
        <f>QS.TRADE.CREATE("trade.6549",C6551,E6551,A6551,"Receive")</f>
        <v/>
      </c>
      <c r="G6551" s="5"/>
      <c r="H6551" s="7" t="s">
        <v>6592</v>
      </c>
      <c r="I6551" s="9">
        <v>1654900</v>
      </c>
      <c r="J6551" s="10">
        <v>0.0399</v>
      </c>
    </row>
    <row r="6552" spans="1:10">
      <c r="A6552" s="7" t="s">
        <v>6586</v>
      </c>
      <c r="B6552" s="7" t="s">
        <v>8419</v>
      </c>
      <c r="C6552" s="8">
        <f>QS.CONTEXT.CREATE("market.6550",A6552,"USD","SOFR")</f>
        <v/>
      </c>
      <c r="D6552" s="8">
        <f>QS.CONTEXT.ADD.CURVE(C6552,"SOFR",$K$2:$K$7,$L$2:$L$7,,,"Actual360","LogLinear",TRUE)</f>
        <v/>
      </c>
      <c r="E6552" s="8">
        <f>QS.INSTRUMENT.SWAP("swap.6550",C6552,H6552,B6552,"USD","SOFR",I6552,J6552,0,"Actual360","Simple","Annual","Annual","Annual")</f>
        <v/>
      </c>
      <c r="F6552" s="8">
        <f>QS.TRADE.CREATE("trade.6550",C6552,E6552,A6552,"Receive")</f>
        <v/>
      </c>
      <c r="G6552" s="5"/>
      <c r="H6552" s="7" t="s">
        <v>6593</v>
      </c>
      <c r="I6552" s="9">
        <v>1655000</v>
      </c>
      <c r="J6552" s="10">
        <v>0.035</v>
      </c>
    </row>
    <row r="6553" spans="1:10">
      <c r="A6553" s="7" t="s">
        <v>6587</v>
      </c>
      <c r="B6553" s="7" t="s">
        <v>8420</v>
      </c>
      <c r="C6553" s="8">
        <f>QS.CONTEXT.CREATE("market.6551",A6553,"USD","SOFR")</f>
        <v/>
      </c>
      <c r="D6553" s="8">
        <f>QS.CONTEXT.ADD.CURVE(C6553,"SOFR",$K$2:$K$7,$L$2:$L$7,,,"Actual360","LogLinear",TRUE)</f>
        <v/>
      </c>
      <c r="E6553" s="8">
        <f>QS.INSTRUMENT.SWAP("swap.6551",C6553,H6553,B6553,"USD","SOFR",I6553,J6553,0,"Actual360","Simple","Annual","Annual","Annual")</f>
        <v/>
      </c>
      <c r="F6553" s="8">
        <f>QS.TRADE.CREATE("trade.6551",C6553,E6553,A6553,"Receive")</f>
        <v/>
      </c>
      <c r="G6553" s="5"/>
      <c r="H6553" s="7" t="s">
        <v>6594</v>
      </c>
      <c r="I6553" s="9">
        <v>1655100</v>
      </c>
      <c r="J6553" s="10">
        <v>0.03510000000000001</v>
      </c>
    </row>
    <row r="6554" spans="1:10">
      <c r="A6554" s="7" t="s">
        <v>6588</v>
      </c>
      <c r="B6554" s="7" t="s">
        <v>8421</v>
      </c>
      <c r="C6554" s="8">
        <f>QS.CONTEXT.CREATE("market.6552",A6554,"USD","SOFR")</f>
        <v/>
      </c>
      <c r="D6554" s="8">
        <f>QS.CONTEXT.ADD.CURVE(C6554,"SOFR",$K$2:$K$7,$L$2:$L$7,,,"Actual360","LogLinear",TRUE)</f>
        <v/>
      </c>
      <c r="E6554" s="8">
        <f>QS.INSTRUMENT.SWAP("swap.6552",C6554,H6554,B6554,"USD","SOFR",I6554,J6554,0,"Actual360","Simple","Annual","Annual","Annual")</f>
        <v/>
      </c>
      <c r="F6554" s="8">
        <f>QS.TRADE.CREATE("trade.6552",C6554,E6554,A6554,"Receive")</f>
        <v/>
      </c>
      <c r="G6554" s="5"/>
      <c r="H6554" s="7" t="s">
        <v>6595</v>
      </c>
      <c r="I6554" s="9">
        <v>1655200</v>
      </c>
      <c r="J6554" s="10">
        <v>0.0352</v>
      </c>
    </row>
    <row r="6555" spans="1:10">
      <c r="A6555" s="7" t="s">
        <v>6589</v>
      </c>
      <c r="B6555" s="7" t="s">
        <v>8422</v>
      </c>
      <c r="C6555" s="8">
        <f>QS.CONTEXT.CREATE("market.6553",A6555,"USD","SOFR")</f>
        <v/>
      </c>
      <c r="D6555" s="8">
        <f>QS.CONTEXT.ADD.CURVE(C6555,"SOFR",$K$2:$K$7,$L$2:$L$7,,,"Actual360","LogLinear",TRUE)</f>
        <v/>
      </c>
      <c r="E6555" s="8">
        <f>QS.INSTRUMENT.SWAP("swap.6553",C6555,H6555,B6555,"USD","SOFR",I6555,J6555,0,"Actual360","Simple","Annual","Annual","Annual")</f>
        <v/>
      </c>
      <c r="F6555" s="8">
        <f>QS.TRADE.CREATE("trade.6553",C6555,E6555,A6555,"Receive")</f>
        <v/>
      </c>
      <c r="G6555" s="5"/>
      <c r="H6555" s="7" t="s">
        <v>6596</v>
      </c>
      <c r="I6555" s="9">
        <v>1655300</v>
      </c>
      <c r="J6555" s="10">
        <v>0.0353</v>
      </c>
    </row>
    <row r="6556" spans="1:10">
      <c r="A6556" s="7" t="s">
        <v>6590</v>
      </c>
      <c r="B6556" s="7" t="s">
        <v>8423</v>
      </c>
      <c r="C6556" s="8">
        <f>QS.CONTEXT.CREATE("market.6554",A6556,"USD","SOFR")</f>
        <v/>
      </c>
      <c r="D6556" s="8">
        <f>QS.CONTEXT.ADD.CURVE(C6556,"SOFR",$K$2:$K$7,$L$2:$L$7,,,"Actual360","LogLinear",TRUE)</f>
        <v/>
      </c>
      <c r="E6556" s="8">
        <f>QS.INSTRUMENT.SWAP("swap.6554",C6556,H6556,B6556,"USD","SOFR",I6556,J6556,0,"Actual360","Simple","Annual","Annual","Annual")</f>
        <v/>
      </c>
      <c r="F6556" s="8">
        <f>QS.TRADE.CREATE("trade.6554",C6556,E6556,A6556,"Receive")</f>
        <v/>
      </c>
      <c r="G6556" s="5"/>
      <c r="H6556" s="7" t="s">
        <v>6597</v>
      </c>
      <c r="I6556" s="9">
        <v>1655400</v>
      </c>
      <c r="J6556" s="10">
        <v>0.0354</v>
      </c>
    </row>
    <row r="6557" spans="1:10">
      <c r="A6557" s="7" t="s">
        <v>6591</v>
      </c>
      <c r="B6557" s="7" t="s">
        <v>8424</v>
      </c>
      <c r="C6557" s="8">
        <f>QS.CONTEXT.CREATE("market.6555",A6557,"USD","SOFR")</f>
        <v/>
      </c>
      <c r="D6557" s="8">
        <f>QS.CONTEXT.ADD.CURVE(C6557,"SOFR",$K$2:$K$7,$L$2:$L$7,,,"Actual360","LogLinear",TRUE)</f>
        <v/>
      </c>
      <c r="E6557" s="8">
        <f>QS.INSTRUMENT.SWAP("swap.6555",C6557,H6557,B6557,"USD","SOFR",I6557,J6557,0,"Actual360","Simple","Annual","Annual","Annual")</f>
        <v/>
      </c>
      <c r="F6557" s="8">
        <f>QS.TRADE.CREATE("trade.6555",C6557,E6557,A6557,"Receive")</f>
        <v/>
      </c>
      <c r="G6557" s="5"/>
      <c r="H6557" s="7" t="s">
        <v>6598</v>
      </c>
      <c r="I6557" s="9">
        <v>1655500</v>
      </c>
      <c r="J6557" s="10">
        <v>0.0355</v>
      </c>
    </row>
    <row r="6558" spans="1:10">
      <c r="A6558" s="7" t="s">
        <v>6592</v>
      </c>
      <c r="B6558" s="7" t="s">
        <v>8425</v>
      </c>
      <c r="C6558" s="8">
        <f>QS.CONTEXT.CREATE("market.6556",A6558,"USD","SOFR")</f>
        <v/>
      </c>
      <c r="D6558" s="8">
        <f>QS.CONTEXT.ADD.CURVE(C6558,"SOFR",$K$2:$K$7,$L$2:$L$7,,,"Actual360","LogLinear",TRUE)</f>
        <v/>
      </c>
      <c r="E6558" s="8">
        <f>QS.INSTRUMENT.SWAP("swap.6556",C6558,H6558,B6558,"USD","SOFR",I6558,J6558,0,"Actual360","Simple","Annual","Annual","Annual")</f>
        <v/>
      </c>
      <c r="F6558" s="8">
        <f>QS.TRADE.CREATE("trade.6556",C6558,E6558,A6558,"Receive")</f>
        <v/>
      </c>
      <c r="G6558" s="5"/>
      <c r="H6558" s="7" t="s">
        <v>6599</v>
      </c>
      <c r="I6558" s="9">
        <v>1655600</v>
      </c>
      <c r="J6558" s="10">
        <v>0.03560000000000001</v>
      </c>
    </row>
    <row r="6559" spans="1:10">
      <c r="A6559" s="7" t="s">
        <v>6593</v>
      </c>
      <c r="B6559" s="7" t="s">
        <v>8426</v>
      </c>
      <c r="C6559" s="8">
        <f>QS.CONTEXT.CREATE("market.6557",A6559,"USD","SOFR")</f>
        <v/>
      </c>
      <c r="D6559" s="8">
        <f>QS.CONTEXT.ADD.CURVE(C6559,"SOFR",$K$2:$K$7,$L$2:$L$7,,,"Actual360","LogLinear",TRUE)</f>
        <v/>
      </c>
      <c r="E6559" s="8">
        <f>QS.INSTRUMENT.SWAP("swap.6557",C6559,H6559,B6559,"USD","SOFR",I6559,J6559,0,"Actual360","Simple","Annual","Annual","Annual")</f>
        <v/>
      </c>
      <c r="F6559" s="8">
        <f>QS.TRADE.CREATE("trade.6557",C6559,E6559,A6559,"Receive")</f>
        <v/>
      </c>
      <c r="G6559" s="5"/>
      <c r="H6559" s="7" t="s">
        <v>6600</v>
      </c>
      <c r="I6559" s="9">
        <v>1655700</v>
      </c>
      <c r="J6559" s="10">
        <v>0.0357</v>
      </c>
    </row>
    <row r="6560" spans="1:10">
      <c r="A6560" s="7" t="s">
        <v>6594</v>
      </c>
      <c r="B6560" s="7" t="s">
        <v>8427</v>
      </c>
      <c r="C6560" s="8">
        <f>QS.CONTEXT.CREATE("market.6558",A6560,"USD","SOFR")</f>
        <v/>
      </c>
      <c r="D6560" s="8">
        <f>QS.CONTEXT.ADD.CURVE(C6560,"SOFR",$K$2:$K$7,$L$2:$L$7,,,"Actual360","LogLinear",TRUE)</f>
        <v/>
      </c>
      <c r="E6560" s="8">
        <f>QS.INSTRUMENT.SWAP("swap.6558",C6560,H6560,B6560,"USD","SOFR",I6560,J6560,0,"Actual360","Simple","Annual","Annual","Annual")</f>
        <v/>
      </c>
      <c r="F6560" s="8">
        <f>QS.TRADE.CREATE("trade.6558",C6560,E6560,A6560,"Receive")</f>
        <v/>
      </c>
      <c r="G6560" s="5"/>
      <c r="H6560" s="7" t="s">
        <v>6601</v>
      </c>
      <c r="I6560" s="9">
        <v>1655800</v>
      </c>
      <c r="J6560" s="10">
        <v>0.03580000000000001</v>
      </c>
    </row>
    <row r="6561" spans="1:10">
      <c r="A6561" s="7" t="s">
        <v>6595</v>
      </c>
      <c r="B6561" s="7" t="s">
        <v>8428</v>
      </c>
      <c r="C6561" s="8">
        <f>QS.CONTEXT.CREATE("market.6559",A6561,"USD","SOFR")</f>
        <v/>
      </c>
      <c r="D6561" s="8">
        <f>QS.CONTEXT.ADD.CURVE(C6561,"SOFR",$K$2:$K$7,$L$2:$L$7,,,"Actual360","LogLinear",TRUE)</f>
        <v/>
      </c>
      <c r="E6561" s="8">
        <f>QS.INSTRUMENT.SWAP("swap.6559",C6561,H6561,B6561,"USD","SOFR",I6561,J6561,0,"Actual360","Simple","Annual","Annual","Annual")</f>
        <v/>
      </c>
      <c r="F6561" s="8">
        <f>QS.TRADE.CREATE("trade.6559",C6561,E6561,A6561,"Receive")</f>
        <v/>
      </c>
      <c r="G6561" s="5"/>
      <c r="H6561" s="7" t="s">
        <v>6602</v>
      </c>
      <c r="I6561" s="9">
        <v>1655900</v>
      </c>
      <c r="J6561" s="10">
        <v>0.0359</v>
      </c>
    </row>
    <row r="6562" spans="1:10">
      <c r="A6562" s="7" t="s">
        <v>6596</v>
      </c>
      <c r="B6562" s="7" t="s">
        <v>8429</v>
      </c>
      <c r="C6562" s="8">
        <f>QS.CONTEXT.CREATE("market.6560",A6562,"USD","SOFR")</f>
        <v/>
      </c>
      <c r="D6562" s="8">
        <f>QS.CONTEXT.ADD.CURVE(C6562,"SOFR",$K$2:$K$7,$L$2:$L$7,,,"Actual360","LogLinear",TRUE)</f>
        <v/>
      </c>
      <c r="E6562" s="8">
        <f>QS.INSTRUMENT.SWAP("swap.6560",C6562,H6562,B6562,"USD","SOFR",I6562,J6562,0,"Actual360","Simple","Annual","Annual","Annual")</f>
        <v/>
      </c>
      <c r="F6562" s="8">
        <f>QS.TRADE.CREATE("trade.6560",C6562,E6562,A6562,"Receive")</f>
        <v/>
      </c>
      <c r="G6562" s="5"/>
      <c r="H6562" s="7" t="s">
        <v>6603</v>
      </c>
      <c r="I6562" s="9">
        <v>1656000</v>
      </c>
      <c r="J6562" s="10">
        <v>0.036</v>
      </c>
    </row>
    <row r="6563" spans="1:10">
      <c r="A6563" s="7" t="s">
        <v>6597</v>
      </c>
      <c r="B6563" s="7" t="s">
        <v>8430</v>
      </c>
      <c r="C6563" s="8">
        <f>QS.CONTEXT.CREATE("market.6561",A6563,"USD","SOFR")</f>
        <v/>
      </c>
      <c r="D6563" s="8">
        <f>QS.CONTEXT.ADD.CURVE(C6563,"SOFR",$K$2:$K$7,$L$2:$L$7,,,"Actual360","LogLinear",TRUE)</f>
        <v/>
      </c>
      <c r="E6563" s="8">
        <f>QS.INSTRUMENT.SWAP("swap.6561",C6563,H6563,B6563,"USD","SOFR",I6563,J6563,0,"Actual360","Simple","Annual","Annual","Annual")</f>
        <v/>
      </c>
      <c r="F6563" s="8">
        <f>QS.TRADE.CREATE("trade.6561",C6563,E6563,A6563,"Receive")</f>
        <v/>
      </c>
      <c r="G6563" s="5"/>
      <c r="H6563" s="7" t="s">
        <v>6604</v>
      </c>
      <c r="I6563" s="9">
        <v>1656100</v>
      </c>
      <c r="J6563" s="10">
        <v>0.0361</v>
      </c>
    </row>
    <row r="6564" spans="1:10">
      <c r="A6564" s="7" t="s">
        <v>6598</v>
      </c>
      <c r="B6564" s="7" t="s">
        <v>8431</v>
      </c>
      <c r="C6564" s="8">
        <f>QS.CONTEXT.CREATE("market.6562",A6564,"USD","SOFR")</f>
        <v/>
      </c>
      <c r="D6564" s="8">
        <f>QS.CONTEXT.ADD.CURVE(C6564,"SOFR",$K$2:$K$7,$L$2:$L$7,,,"Actual360","LogLinear",TRUE)</f>
        <v/>
      </c>
      <c r="E6564" s="8">
        <f>QS.INSTRUMENT.SWAP("swap.6562",C6564,H6564,B6564,"USD","SOFR",I6564,J6564,0,"Actual360","Simple","Annual","Annual","Annual")</f>
        <v/>
      </c>
      <c r="F6564" s="8">
        <f>QS.TRADE.CREATE("trade.6562",C6564,E6564,A6564,"Receive")</f>
        <v/>
      </c>
      <c r="G6564" s="5"/>
      <c r="H6564" s="7" t="s">
        <v>6605</v>
      </c>
      <c r="I6564" s="9">
        <v>1656200</v>
      </c>
      <c r="J6564" s="10">
        <v>0.0362</v>
      </c>
    </row>
    <row r="6565" spans="1:10">
      <c r="A6565" s="7" t="s">
        <v>6599</v>
      </c>
      <c r="B6565" s="7" t="s">
        <v>8432</v>
      </c>
      <c r="C6565" s="8">
        <f>QS.CONTEXT.CREATE("market.6563",A6565,"USD","SOFR")</f>
        <v/>
      </c>
      <c r="D6565" s="8">
        <f>QS.CONTEXT.ADD.CURVE(C6565,"SOFR",$K$2:$K$7,$L$2:$L$7,,,"Actual360","LogLinear",TRUE)</f>
        <v/>
      </c>
      <c r="E6565" s="8">
        <f>QS.INSTRUMENT.SWAP("swap.6563",C6565,H6565,B6565,"USD","SOFR",I6565,J6565,0,"Actual360","Simple","Annual","Annual","Annual")</f>
        <v/>
      </c>
      <c r="F6565" s="8">
        <f>QS.TRADE.CREATE("trade.6563",C6565,E6565,A6565,"Receive")</f>
        <v/>
      </c>
      <c r="G6565" s="5"/>
      <c r="H6565" s="7" t="s">
        <v>6606</v>
      </c>
      <c r="I6565" s="9">
        <v>1656300</v>
      </c>
      <c r="J6565" s="10">
        <v>0.03630000000000001</v>
      </c>
    </row>
    <row r="6566" spans="1:10">
      <c r="A6566" s="7" t="s">
        <v>6600</v>
      </c>
      <c r="B6566" s="7" t="s">
        <v>8433</v>
      </c>
      <c r="C6566" s="8">
        <f>QS.CONTEXT.CREATE("market.6564",A6566,"USD","SOFR")</f>
        <v/>
      </c>
      <c r="D6566" s="8">
        <f>QS.CONTEXT.ADD.CURVE(C6566,"SOFR",$K$2:$K$7,$L$2:$L$7,,,"Actual360","LogLinear",TRUE)</f>
        <v/>
      </c>
      <c r="E6566" s="8">
        <f>QS.INSTRUMENT.SWAP("swap.6564",C6566,H6566,B6566,"USD","SOFR",I6566,J6566,0,"Actual360","Simple","Annual","Annual","Annual")</f>
        <v/>
      </c>
      <c r="F6566" s="8">
        <f>QS.TRADE.CREATE("trade.6564",C6566,E6566,A6566,"Receive")</f>
        <v/>
      </c>
      <c r="G6566" s="5"/>
      <c r="H6566" s="7" t="s">
        <v>6607</v>
      </c>
      <c r="I6566" s="9">
        <v>1656400</v>
      </c>
      <c r="J6566" s="10">
        <v>0.0364</v>
      </c>
    </row>
    <row r="6567" spans="1:10">
      <c r="A6567" s="7" t="s">
        <v>6601</v>
      </c>
      <c r="B6567" s="7" t="s">
        <v>8434</v>
      </c>
      <c r="C6567" s="8">
        <f>QS.CONTEXT.CREATE("market.6565",A6567,"USD","SOFR")</f>
        <v/>
      </c>
      <c r="D6567" s="8">
        <f>QS.CONTEXT.ADD.CURVE(C6567,"SOFR",$K$2:$K$7,$L$2:$L$7,,,"Actual360","LogLinear",TRUE)</f>
        <v/>
      </c>
      <c r="E6567" s="8">
        <f>QS.INSTRUMENT.SWAP("swap.6565",C6567,H6567,B6567,"USD","SOFR",I6567,J6567,0,"Actual360","Simple","Annual","Annual","Annual")</f>
        <v/>
      </c>
      <c r="F6567" s="8">
        <f>QS.TRADE.CREATE("trade.6565",C6567,E6567,A6567,"Receive")</f>
        <v/>
      </c>
      <c r="G6567" s="5"/>
      <c r="H6567" s="7" t="s">
        <v>6608</v>
      </c>
      <c r="I6567" s="9">
        <v>1656500</v>
      </c>
      <c r="J6567" s="10">
        <v>0.0365</v>
      </c>
    </row>
    <row r="6568" spans="1:10">
      <c r="A6568" s="7" t="s">
        <v>6602</v>
      </c>
      <c r="B6568" s="7" t="s">
        <v>8435</v>
      </c>
      <c r="C6568" s="8">
        <f>QS.CONTEXT.CREATE("market.6566",A6568,"USD","SOFR")</f>
        <v/>
      </c>
      <c r="D6568" s="8">
        <f>QS.CONTEXT.ADD.CURVE(C6568,"SOFR",$K$2:$K$7,$L$2:$L$7,,,"Actual360","LogLinear",TRUE)</f>
        <v/>
      </c>
      <c r="E6568" s="8">
        <f>QS.INSTRUMENT.SWAP("swap.6566",C6568,H6568,B6568,"USD","SOFR",I6568,J6568,0,"Actual360","Simple","Annual","Annual","Annual")</f>
        <v/>
      </c>
      <c r="F6568" s="8">
        <f>QS.TRADE.CREATE("trade.6566",C6568,E6568,A6568,"Receive")</f>
        <v/>
      </c>
      <c r="G6568" s="5"/>
      <c r="H6568" s="7" t="s">
        <v>6609</v>
      </c>
      <c r="I6568" s="9">
        <v>1656600</v>
      </c>
      <c r="J6568" s="10">
        <v>0.0366</v>
      </c>
    </row>
    <row r="6569" spans="1:10">
      <c r="A6569" s="7" t="s">
        <v>6603</v>
      </c>
      <c r="B6569" s="7" t="s">
        <v>8436</v>
      </c>
      <c r="C6569" s="8">
        <f>QS.CONTEXT.CREATE("market.6567",A6569,"USD","SOFR")</f>
        <v/>
      </c>
      <c r="D6569" s="8">
        <f>QS.CONTEXT.ADD.CURVE(C6569,"SOFR",$K$2:$K$7,$L$2:$L$7,,,"Actual360","LogLinear",TRUE)</f>
        <v/>
      </c>
      <c r="E6569" s="8">
        <f>QS.INSTRUMENT.SWAP("swap.6567",C6569,H6569,B6569,"USD","SOFR",I6569,J6569,0,"Actual360","Simple","Annual","Annual","Annual")</f>
        <v/>
      </c>
      <c r="F6569" s="8">
        <f>QS.TRADE.CREATE("trade.6567",C6569,E6569,A6569,"Receive")</f>
        <v/>
      </c>
      <c r="G6569" s="5"/>
      <c r="H6569" s="7" t="s">
        <v>6610</v>
      </c>
      <c r="I6569" s="9">
        <v>1656700</v>
      </c>
      <c r="J6569" s="10">
        <v>0.0367</v>
      </c>
    </row>
    <row r="6570" spans="1:10">
      <c r="A6570" s="7" t="s">
        <v>6604</v>
      </c>
      <c r="B6570" s="7" t="s">
        <v>8437</v>
      </c>
      <c r="C6570" s="8">
        <f>QS.CONTEXT.CREATE("market.6568",A6570,"USD","SOFR")</f>
        <v/>
      </c>
      <c r="D6570" s="8">
        <f>QS.CONTEXT.ADD.CURVE(C6570,"SOFR",$K$2:$K$7,$L$2:$L$7,,,"Actual360","LogLinear",TRUE)</f>
        <v/>
      </c>
      <c r="E6570" s="8">
        <f>QS.INSTRUMENT.SWAP("swap.6568",C6570,H6570,B6570,"USD","SOFR",I6570,J6570,0,"Actual360","Simple","Annual","Annual","Annual")</f>
        <v/>
      </c>
      <c r="F6570" s="8">
        <f>QS.TRADE.CREATE("trade.6568",C6570,E6570,A6570,"Receive")</f>
        <v/>
      </c>
      <c r="G6570" s="5"/>
      <c r="H6570" s="7" t="s">
        <v>6611</v>
      </c>
      <c r="I6570" s="9">
        <v>1656800</v>
      </c>
      <c r="J6570" s="10">
        <v>0.03680000000000001</v>
      </c>
    </row>
    <row r="6571" spans="1:10">
      <c r="A6571" s="7" t="s">
        <v>6605</v>
      </c>
      <c r="B6571" s="7" t="s">
        <v>8438</v>
      </c>
      <c r="C6571" s="8">
        <f>QS.CONTEXT.CREATE("market.6569",A6571,"USD","SOFR")</f>
        <v/>
      </c>
      <c r="D6571" s="8">
        <f>QS.CONTEXT.ADD.CURVE(C6571,"SOFR",$K$2:$K$7,$L$2:$L$7,,,"Actual360","LogLinear",TRUE)</f>
        <v/>
      </c>
      <c r="E6571" s="8">
        <f>QS.INSTRUMENT.SWAP("swap.6569",C6571,H6571,B6571,"USD","SOFR",I6571,J6571,0,"Actual360","Simple","Annual","Annual","Annual")</f>
        <v/>
      </c>
      <c r="F6571" s="8">
        <f>QS.TRADE.CREATE("trade.6569",C6571,E6571,A6571,"Receive")</f>
        <v/>
      </c>
      <c r="G6571" s="5"/>
      <c r="H6571" s="7" t="s">
        <v>6612</v>
      </c>
      <c r="I6571" s="9">
        <v>1656900</v>
      </c>
      <c r="J6571" s="10">
        <v>0.0369</v>
      </c>
    </row>
    <row r="6572" spans="1:10">
      <c r="A6572" s="7" t="s">
        <v>6606</v>
      </c>
      <c r="B6572" s="7" t="s">
        <v>8439</v>
      </c>
      <c r="C6572" s="8">
        <f>QS.CONTEXT.CREATE("market.6570",A6572,"USD","SOFR")</f>
        <v/>
      </c>
      <c r="D6572" s="8">
        <f>QS.CONTEXT.ADD.CURVE(C6572,"SOFR",$K$2:$K$7,$L$2:$L$7,,,"Actual360","LogLinear",TRUE)</f>
        <v/>
      </c>
      <c r="E6572" s="8">
        <f>QS.INSTRUMENT.SWAP("swap.6570",C6572,H6572,B6572,"USD","SOFR",I6572,J6572,0,"Actual360","Simple","Annual","Annual","Annual")</f>
        <v/>
      </c>
      <c r="F6572" s="8">
        <f>QS.TRADE.CREATE("trade.6570",C6572,E6572,A6572,"Receive")</f>
        <v/>
      </c>
      <c r="G6572" s="5"/>
      <c r="H6572" s="7" t="s">
        <v>6613</v>
      </c>
      <c r="I6572" s="9">
        <v>1657000</v>
      </c>
      <c r="J6572" s="10">
        <v>0.03700000000000001</v>
      </c>
    </row>
    <row r="6573" spans="1:10">
      <c r="A6573" s="7" t="s">
        <v>6607</v>
      </c>
      <c r="B6573" s="7" t="s">
        <v>8440</v>
      </c>
      <c r="C6573" s="8">
        <f>QS.CONTEXT.CREATE("market.6571",A6573,"USD","SOFR")</f>
        <v/>
      </c>
      <c r="D6573" s="8">
        <f>QS.CONTEXT.ADD.CURVE(C6573,"SOFR",$K$2:$K$7,$L$2:$L$7,,,"Actual360","LogLinear",TRUE)</f>
        <v/>
      </c>
      <c r="E6573" s="8">
        <f>QS.INSTRUMENT.SWAP("swap.6571",C6573,H6573,B6573,"USD","SOFR",I6573,J6573,0,"Actual360","Simple","Annual","Annual","Annual")</f>
        <v/>
      </c>
      <c r="F6573" s="8">
        <f>QS.TRADE.CREATE("trade.6571",C6573,E6573,A6573,"Receive")</f>
        <v/>
      </c>
      <c r="G6573" s="5"/>
      <c r="H6573" s="7" t="s">
        <v>6614</v>
      </c>
      <c r="I6573" s="9">
        <v>1657100</v>
      </c>
      <c r="J6573" s="10">
        <v>0.0371</v>
      </c>
    </row>
    <row r="6574" spans="1:10">
      <c r="A6574" s="7" t="s">
        <v>6608</v>
      </c>
      <c r="B6574" s="7" t="s">
        <v>8441</v>
      </c>
      <c r="C6574" s="8">
        <f>QS.CONTEXT.CREATE("market.6572",A6574,"USD","SOFR")</f>
        <v/>
      </c>
      <c r="D6574" s="8">
        <f>QS.CONTEXT.ADD.CURVE(C6574,"SOFR",$K$2:$K$7,$L$2:$L$7,,,"Actual360","LogLinear",TRUE)</f>
        <v/>
      </c>
      <c r="E6574" s="8">
        <f>QS.INSTRUMENT.SWAP("swap.6572",C6574,H6574,B6574,"USD","SOFR",I6574,J6574,0,"Actual360","Simple","Annual","Annual","Annual")</f>
        <v/>
      </c>
      <c r="F6574" s="8">
        <f>QS.TRADE.CREATE("trade.6572",C6574,E6574,A6574,"Receive")</f>
        <v/>
      </c>
      <c r="G6574" s="5"/>
      <c r="H6574" s="7" t="s">
        <v>6615</v>
      </c>
      <c r="I6574" s="9">
        <v>1657200</v>
      </c>
      <c r="J6574" s="10">
        <v>0.0372</v>
      </c>
    </row>
    <row r="6575" spans="1:10">
      <c r="A6575" s="7" t="s">
        <v>6609</v>
      </c>
      <c r="B6575" s="7" t="s">
        <v>8442</v>
      </c>
      <c r="C6575" s="8">
        <f>QS.CONTEXT.CREATE("market.6573",A6575,"USD","SOFR")</f>
        <v/>
      </c>
      <c r="D6575" s="8">
        <f>QS.CONTEXT.ADD.CURVE(C6575,"SOFR",$K$2:$K$7,$L$2:$L$7,,,"Actual360","LogLinear",TRUE)</f>
        <v/>
      </c>
      <c r="E6575" s="8">
        <f>QS.INSTRUMENT.SWAP("swap.6573",C6575,H6575,B6575,"USD","SOFR",I6575,J6575,0,"Actual360","Simple","Annual","Annual","Annual")</f>
        <v/>
      </c>
      <c r="F6575" s="8">
        <f>QS.TRADE.CREATE("trade.6573",C6575,E6575,A6575,"Receive")</f>
        <v/>
      </c>
      <c r="G6575" s="5"/>
      <c r="H6575" s="7" t="s">
        <v>6616</v>
      </c>
      <c r="I6575" s="9">
        <v>1657300</v>
      </c>
      <c r="J6575" s="10">
        <v>0.0373</v>
      </c>
    </row>
    <row r="6576" spans="1:10">
      <c r="A6576" s="7" t="s">
        <v>6610</v>
      </c>
      <c r="B6576" s="7" t="s">
        <v>8443</v>
      </c>
      <c r="C6576" s="8">
        <f>QS.CONTEXT.CREATE("market.6574",A6576,"USD","SOFR")</f>
        <v/>
      </c>
      <c r="D6576" s="8">
        <f>QS.CONTEXT.ADD.CURVE(C6576,"SOFR",$K$2:$K$7,$L$2:$L$7,,,"Actual360","LogLinear",TRUE)</f>
        <v/>
      </c>
      <c r="E6576" s="8">
        <f>QS.INSTRUMENT.SWAP("swap.6574",C6576,H6576,B6576,"USD","SOFR",I6576,J6576,0,"Actual360","Simple","Annual","Annual","Annual")</f>
        <v/>
      </c>
      <c r="F6576" s="8">
        <f>QS.TRADE.CREATE("trade.6574",C6576,E6576,A6576,"Receive")</f>
        <v/>
      </c>
      <c r="G6576" s="5"/>
      <c r="H6576" s="7" t="s">
        <v>6617</v>
      </c>
      <c r="I6576" s="9">
        <v>1657400</v>
      </c>
      <c r="J6576" s="10">
        <v>0.0374</v>
      </c>
    </row>
    <row r="6577" spans="1:10">
      <c r="A6577" s="7" t="s">
        <v>6611</v>
      </c>
      <c r="B6577" s="7" t="s">
        <v>8444</v>
      </c>
      <c r="C6577" s="8">
        <f>QS.CONTEXT.CREATE("market.6575",A6577,"USD","SOFR")</f>
        <v/>
      </c>
      <c r="D6577" s="8">
        <f>QS.CONTEXT.ADD.CURVE(C6577,"SOFR",$K$2:$K$7,$L$2:$L$7,,,"Actual360","LogLinear",TRUE)</f>
        <v/>
      </c>
      <c r="E6577" s="8">
        <f>QS.INSTRUMENT.SWAP("swap.6575",C6577,H6577,B6577,"USD","SOFR",I6577,J6577,0,"Actual360","Simple","Annual","Annual","Annual")</f>
        <v/>
      </c>
      <c r="F6577" s="8">
        <f>QS.TRADE.CREATE("trade.6575",C6577,E6577,A6577,"Receive")</f>
        <v/>
      </c>
      <c r="G6577" s="5"/>
      <c r="H6577" s="7" t="s">
        <v>6618</v>
      </c>
      <c r="I6577" s="9">
        <v>1657500</v>
      </c>
      <c r="J6577" s="10">
        <v>0.03750000000000001</v>
      </c>
    </row>
    <row r="6578" spans="1:10">
      <c r="A6578" s="7" t="s">
        <v>6612</v>
      </c>
      <c r="B6578" s="7" t="s">
        <v>8445</v>
      </c>
      <c r="C6578" s="8">
        <f>QS.CONTEXT.CREATE("market.6576",A6578,"USD","SOFR")</f>
        <v/>
      </c>
      <c r="D6578" s="8">
        <f>QS.CONTEXT.ADD.CURVE(C6578,"SOFR",$K$2:$K$7,$L$2:$L$7,,,"Actual360","LogLinear",TRUE)</f>
        <v/>
      </c>
      <c r="E6578" s="8">
        <f>QS.INSTRUMENT.SWAP("swap.6576",C6578,H6578,B6578,"USD","SOFR",I6578,J6578,0,"Actual360","Simple","Annual","Annual","Annual")</f>
        <v/>
      </c>
      <c r="F6578" s="8">
        <f>QS.TRADE.CREATE("trade.6576",C6578,E6578,A6578,"Receive")</f>
        <v/>
      </c>
      <c r="G6578" s="5"/>
      <c r="H6578" s="7" t="s">
        <v>6619</v>
      </c>
      <c r="I6578" s="9">
        <v>1657600</v>
      </c>
      <c r="J6578" s="10">
        <v>0.0376</v>
      </c>
    </row>
    <row r="6579" spans="1:10">
      <c r="A6579" s="7" t="s">
        <v>6613</v>
      </c>
      <c r="B6579" s="7" t="s">
        <v>8446</v>
      </c>
      <c r="C6579" s="8">
        <f>QS.CONTEXT.CREATE("market.6577",A6579,"USD","SOFR")</f>
        <v/>
      </c>
      <c r="D6579" s="8">
        <f>QS.CONTEXT.ADD.CURVE(C6579,"SOFR",$K$2:$K$7,$L$2:$L$7,,,"Actual360","LogLinear",TRUE)</f>
        <v/>
      </c>
      <c r="E6579" s="8">
        <f>QS.INSTRUMENT.SWAP("swap.6577",C6579,H6579,B6579,"USD","SOFR",I6579,J6579,0,"Actual360","Simple","Annual","Annual","Annual")</f>
        <v/>
      </c>
      <c r="F6579" s="8">
        <f>QS.TRADE.CREATE("trade.6577",C6579,E6579,A6579,"Receive")</f>
        <v/>
      </c>
      <c r="G6579" s="5"/>
      <c r="H6579" s="7" t="s">
        <v>6620</v>
      </c>
      <c r="I6579" s="9">
        <v>1657700</v>
      </c>
      <c r="J6579" s="10">
        <v>0.0377</v>
      </c>
    </row>
    <row r="6580" spans="1:10">
      <c r="A6580" s="7" t="s">
        <v>6614</v>
      </c>
      <c r="B6580" s="7" t="s">
        <v>8447</v>
      </c>
      <c r="C6580" s="8">
        <f>QS.CONTEXT.CREATE("market.6578",A6580,"USD","SOFR")</f>
        <v/>
      </c>
      <c r="D6580" s="8">
        <f>QS.CONTEXT.ADD.CURVE(C6580,"SOFR",$K$2:$K$7,$L$2:$L$7,,,"Actual360","LogLinear",TRUE)</f>
        <v/>
      </c>
      <c r="E6580" s="8">
        <f>QS.INSTRUMENT.SWAP("swap.6578",C6580,H6580,B6580,"USD","SOFR",I6580,J6580,0,"Actual360","Simple","Annual","Annual","Annual")</f>
        <v/>
      </c>
      <c r="F6580" s="8">
        <f>QS.TRADE.CREATE("trade.6578",C6580,E6580,A6580,"Receive")</f>
        <v/>
      </c>
      <c r="G6580" s="5"/>
      <c r="H6580" s="7" t="s">
        <v>6621</v>
      </c>
      <c r="I6580" s="9">
        <v>1657800</v>
      </c>
      <c r="J6580" s="10">
        <v>0.0378</v>
      </c>
    </row>
    <row r="6581" spans="1:10">
      <c r="A6581" s="7" t="s">
        <v>6615</v>
      </c>
      <c r="B6581" s="7" t="s">
        <v>8448</v>
      </c>
      <c r="C6581" s="8">
        <f>QS.CONTEXT.CREATE("market.6579",A6581,"USD","SOFR")</f>
        <v/>
      </c>
      <c r="D6581" s="8">
        <f>QS.CONTEXT.ADD.CURVE(C6581,"SOFR",$K$2:$K$7,$L$2:$L$7,,,"Actual360","LogLinear",TRUE)</f>
        <v/>
      </c>
      <c r="E6581" s="8">
        <f>QS.INSTRUMENT.SWAP("swap.6579",C6581,H6581,B6581,"USD","SOFR",I6581,J6581,0,"Actual360","Simple","Annual","Annual","Annual")</f>
        <v/>
      </c>
      <c r="F6581" s="8">
        <f>QS.TRADE.CREATE("trade.6579",C6581,E6581,A6581,"Receive")</f>
        <v/>
      </c>
      <c r="G6581" s="5"/>
      <c r="H6581" s="7" t="s">
        <v>6622</v>
      </c>
      <c r="I6581" s="9">
        <v>1657900</v>
      </c>
      <c r="J6581" s="10">
        <v>0.0379</v>
      </c>
    </row>
    <row r="6582" spans="1:10">
      <c r="A6582" s="7" t="s">
        <v>6616</v>
      </c>
      <c r="B6582" s="7" t="s">
        <v>8449</v>
      </c>
      <c r="C6582" s="8">
        <f>QS.CONTEXT.CREATE("market.6580",A6582,"USD","SOFR")</f>
        <v/>
      </c>
      <c r="D6582" s="8">
        <f>QS.CONTEXT.ADD.CURVE(C6582,"SOFR",$K$2:$K$7,$L$2:$L$7,,,"Actual360","LogLinear",TRUE)</f>
        <v/>
      </c>
      <c r="E6582" s="8">
        <f>QS.INSTRUMENT.SWAP("swap.6580",C6582,H6582,B6582,"USD","SOFR",I6582,J6582,0,"Actual360","Simple","Annual","Annual","Annual")</f>
        <v/>
      </c>
      <c r="F6582" s="8">
        <f>QS.TRADE.CREATE("trade.6580",C6582,E6582,A6582,"Receive")</f>
        <v/>
      </c>
      <c r="G6582" s="5"/>
      <c r="H6582" s="7" t="s">
        <v>6623</v>
      </c>
      <c r="I6582" s="9">
        <v>1658000</v>
      </c>
      <c r="J6582" s="10">
        <v>0.03800000000000001</v>
      </c>
    </row>
    <row r="6583" spans="1:10">
      <c r="A6583" s="7" t="s">
        <v>6617</v>
      </c>
      <c r="B6583" s="7" t="s">
        <v>8450</v>
      </c>
      <c r="C6583" s="8">
        <f>QS.CONTEXT.CREATE("market.6581",A6583,"USD","SOFR")</f>
        <v/>
      </c>
      <c r="D6583" s="8">
        <f>QS.CONTEXT.ADD.CURVE(C6583,"SOFR",$K$2:$K$7,$L$2:$L$7,,,"Actual360","LogLinear",TRUE)</f>
        <v/>
      </c>
      <c r="E6583" s="8">
        <f>QS.INSTRUMENT.SWAP("swap.6581",C6583,H6583,B6583,"USD","SOFR",I6583,J6583,0,"Actual360","Simple","Annual","Annual","Annual")</f>
        <v/>
      </c>
      <c r="F6583" s="8">
        <f>QS.TRADE.CREATE("trade.6581",C6583,E6583,A6583,"Receive")</f>
        <v/>
      </c>
      <c r="G6583" s="5"/>
      <c r="H6583" s="7" t="s">
        <v>6624</v>
      </c>
      <c r="I6583" s="9">
        <v>1658100</v>
      </c>
      <c r="J6583" s="10">
        <v>0.0381</v>
      </c>
    </row>
    <row r="6584" spans="1:10">
      <c r="A6584" s="7" t="s">
        <v>6618</v>
      </c>
      <c r="B6584" s="7" t="s">
        <v>8451</v>
      </c>
      <c r="C6584" s="8">
        <f>QS.CONTEXT.CREATE("market.6582",A6584,"USD","SOFR")</f>
        <v/>
      </c>
      <c r="D6584" s="8">
        <f>QS.CONTEXT.ADD.CURVE(C6584,"SOFR",$K$2:$K$7,$L$2:$L$7,,,"Actual360","LogLinear",TRUE)</f>
        <v/>
      </c>
      <c r="E6584" s="8">
        <f>QS.INSTRUMENT.SWAP("swap.6582",C6584,H6584,B6584,"USD","SOFR",I6584,J6584,0,"Actual360","Simple","Annual","Annual","Annual")</f>
        <v/>
      </c>
      <c r="F6584" s="8">
        <f>QS.TRADE.CREATE("trade.6582",C6584,E6584,A6584,"Receive")</f>
        <v/>
      </c>
      <c r="G6584" s="5"/>
      <c r="H6584" s="7" t="s">
        <v>6625</v>
      </c>
      <c r="I6584" s="9">
        <v>1658200</v>
      </c>
      <c r="J6584" s="10">
        <v>0.0382</v>
      </c>
    </row>
    <row r="6585" spans="1:10">
      <c r="A6585" s="7" t="s">
        <v>6619</v>
      </c>
      <c r="B6585" s="7" t="s">
        <v>8452</v>
      </c>
      <c r="C6585" s="8">
        <f>QS.CONTEXT.CREATE("market.6583",A6585,"USD","SOFR")</f>
        <v/>
      </c>
      <c r="D6585" s="8">
        <f>QS.CONTEXT.ADD.CURVE(C6585,"SOFR",$K$2:$K$7,$L$2:$L$7,,,"Actual360","LogLinear",TRUE)</f>
        <v/>
      </c>
      <c r="E6585" s="8">
        <f>QS.INSTRUMENT.SWAP("swap.6583",C6585,H6585,B6585,"USD","SOFR",I6585,J6585,0,"Actual360","Simple","Annual","Annual","Annual")</f>
        <v/>
      </c>
      <c r="F6585" s="8">
        <f>QS.TRADE.CREATE("trade.6583",C6585,E6585,A6585,"Receive")</f>
        <v/>
      </c>
      <c r="G6585" s="5"/>
      <c r="H6585" s="7" t="s">
        <v>6626</v>
      </c>
      <c r="I6585" s="9">
        <v>1658300</v>
      </c>
      <c r="J6585" s="10">
        <v>0.0383</v>
      </c>
    </row>
    <row r="6586" spans="1:10">
      <c r="A6586" s="7" t="s">
        <v>6620</v>
      </c>
      <c r="B6586" s="7" t="s">
        <v>8453</v>
      </c>
      <c r="C6586" s="8">
        <f>QS.CONTEXT.CREATE("market.6584",A6586,"USD","SOFR")</f>
        <v/>
      </c>
      <c r="D6586" s="8">
        <f>QS.CONTEXT.ADD.CURVE(C6586,"SOFR",$K$2:$K$7,$L$2:$L$7,,,"Actual360","LogLinear",TRUE)</f>
        <v/>
      </c>
      <c r="E6586" s="8">
        <f>QS.INSTRUMENT.SWAP("swap.6584",C6586,H6586,B6586,"USD","SOFR",I6586,J6586,0,"Actual360","Simple","Annual","Annual","Annual")</f>
        <v/>
      </c>
      <c r="F6586" s="8">
        <f>QS.TRADE.CREATE("trade.6584",C6586,E6586,A6586,"Receive")</f>
        <v/>
      </c>
      <c r="G6586" s="5"/>
      <c r="H6586" s="7" t="s">
        <v>6627</v>
      </c>
      <c r="I6586" s="9">
        <v>1658400</v>
      </c>
      <c r="J6586" s="10">
        <v>0.0384</v>
      </c>
    </row>
    <row r="6587" spans="1:10">
      <c r="A6587" s="7" t="s">
        <v>6621</v>
      </c>
      <c r="B6587" s="7" t="s">
        <v>8454</v>
      </c>
      <c r="C6587" s="8">
        <f>QS.CONTEXT.CREATE("market.6585",A6587,"USD","SOFR")</f>
        <v/>
      </c>
      <c r="D6587" s="8">
        <f>QS.CONTEXT.ADD.CURVE(C6587,"SOFR",$K$2:$K$7,$L$2:$L$7,,,"Actual360","LogLinear",TRUE)</f>
        <v/>
      </c>
      <c r="E6587" s="8">
        <f>QS.INSTRUMENT.SWAP("swap.6585",C6587,H6587,B6587,"USD","SOFR",I6587,J6587,0,"Actual360","Simple","Annual","Annual","Annual")</f>
        <v/>
      </c>
      <c r="F6587" s="8">
        <f>QS.TRADE.CREATE("trade.6585",C6587,E6587,A6587,"Receive")</f>
        <v/>
      </c>
      <c r="G6587" s="5"/>
      <c r="H6587" s="7" t="s">
        <v>6628</v>
      </c>
      <c r="I6587" s="9">
        <v>1658500</v>
      </c>
      <c r="J6587" s="10">
        <v>0.03850000000000001</v>
      </c>
    </row>
    <row r="6588" spans="1:10">
      <c r="A6588" s="7" t="s">
        <v>6622</v>
      </c>
      <c r="B6588" s="7" t="s">
        <v>8455</v>
      </c>
      <c r="C6588" s="8">
        <f>QS.CONTEXT.CREATE("market.6586",A6588,"USD","SOFR")</f>
        <v/>
      </c>
      <c r="D6588" s="8">
        <f>QS.CONTEXT.ADD.CURVE(C6588,"SOFR",$K$2:$K$7,$L$2:$L$7,,,"Actual360","LogLinear",TRUE)</f>
        <v/>
      </c>
      <c r="E6588" s="8">
        <f>QS.INSTRUMENT.SWAP("swap.6586",C6588,H6588,B6588,"USD","SOFR",I6588,J6588,0,"Actual360","Simple","Annual","Annual","Annual")</f>
        <v/>
      </c>
      <c r="F6588" s="8">
        <f>QS.TRADE.CREATE("trade.6586",C6588,E6588,A6588,"Receive")</f>
        <v/>
      </c>
      <c r="G6588" s="5"/>
      <c r="H6588" s="7" t="s">
        <v>6629</v>
      </c>
      <c r="I6588" s="9">
        <v>1658600</v>
      </c>
      <c r="J6588" s="10">
        <v>0.0386</v>
      </c>
    </row>
    <row r="6589" spans="1:10">
      <c r="A6589" s="7" t="s">
        <v>6623</v>
      </c>
      <c r="B6589" s="7" t="s">
        <v>8456</v>
      </c>
      <c r="C6589" s="8">
        <f>QS.CONTEXT.CREATE("market.6587",A6589,"USD","SOFR")</f>
        <v/>
      </c>
      <c r="D6589" s="8">
        <f>QS.CONTEXT.ADD.CURVE(C6589,"SOFR",$K$2:$K$7,$L$2:$L$7,,,"Actual360","LogLinear",TRUE)</f>
        <v/>
      </c>
      <c r="E6589" s="8">
        <f>QS.INSTRUMENT.SWAP("swap.6587",C6589,H6589,B6589,"USD","SOFR",I6589,J6589,0,"Actual360","Simple","Annual","Annual","Annual")</f>
        <v/>
      </c>
      <c r="F6589" s="8">
        <f>QS.TRADE.CREATE("trade.6587",C6589,E6589,A6589,"Receive")</f>
        <v/>
      </c>
      <c r="G6589" s="5"/>
      <c r="H6589" s="7" t="s">
        <v>6630</v>
      </c>
      <c r="I6589" s="9">
        <v>1658700</v>
      </c>
      <c r="J6589" s="10">
        <v>0.03870000000000001</v>
      </c>
    </row>
    <row r="6590" spans="1:10">
      <c r="A6590" s="7" t="s">
        <v>6624</v>
      </c>
      <c r="B6590" s="7" t="s">
        <v>8457</v>
      </c>
      <c r="C6590" s="8">
        <f>QS.CONTEXT.CREATE("market.6588",A6590,"USD","SOFR")</f>
        <v/>
      </c>
      <c r="D6590" s="8">
        <f>QS.CONTEXT.ADD.CURVE(C6590,"SOFR",$K$2:$K$7,$L$2:$L$7,,,"Actual360","LogLinear",TRUE)</f>
        <v/>
      </c>
      <c r="E6590" s="8">
        <f>QS.INSTRUMENT.SWAP("swap.6588",C6590,H6590,B6590,"USD","SOFR",I6590,J6590,0,"Actual360","Simple","Annual","Annual","Annual")</f>
        <v/>
      </c>
      <c r="F6590" s="8">
        <f>QS.TRADE.CREATE("trade.6588",C6590,E6590,A6590,"Receive")</f>
        <v/>
      </c>
      <c r="G6590" s="5"/>
      <c r="H6590" s="7" t="s">
        <v>6631</v>
      </c>
      <c r="I6590" s="9">
        <v>1658800</v>
      </c>
      <c r="J6590" s="10">
        <v>0.0388</v>
      </c>
    </row>
    <row r="6591" spans="1:10">
      <c r="A6591" s="7" t="s">
        <v>6625</v>
      </c>
      <c r="B6591" s="7" t="s">
        <v>8458</v>
      </c>
      <c r="C6591" s="8">
        <f>QS.CONTEXT.CREATE("market.6589",A6591,"USD","SOFR")</f>
        <v/>
      </c>
      <c r="D6591" s="8">
        <f>QS.CONTEXT.ADD.CURVE(C6591,"SOFR",$K$2:$K$7,$L$2:$L$7,,,"Actual360","LogLinear",TRUE)</f>
        <v/>
      </c>
      <c r="E6591" s="8">
        <f>QS.INSTRUMENT.SWAP("swap.6589",C6591,H6591,B6591,"USD","SOFR",I6591,J6591,0,"Actual360","Simple","Annual","Annual","Annual")</f>
        <v/>
      </c>
      <c r="F6591" s="8">
        <f>QS.TRADE.CREATE("trade.6589",C6591,E6591,A6591,"Receive")</f>
        <v/>
      </c>
      <c r="G6591" s="5"/>
      <c r="H6591" s="7" t="s">
        <v>6632</v>
      </c>
      <c r="I6591" s="9">
        <v>1658900</v>
      </c>
      <c r="J6591" s="10">
        <v>0.0389</v>
      </c>
    </row>
    <row r="6592" spans="1:10">
      <c r="A6592" s="7" t="s">
        <v>6626</v>
      </c>
      <c r="B6592" s="7" t="s">
        <v>8459</v>
      </c>
      <c r="C6592" s="8">
        <f>QS.CONTEXT.CREATE("market.6590",A6592,"USD","SOFR")</f>
        <v/>
      </c>
      <c r="D6592" s="8">
        <f>QS.CONTEXT.ADD.CURVE(C6592,"SOFR",$K$2:$K$7,$L$2:$L$7,,,"Actual360","LogLinear",TRUE)</f>
        <v/>
      </c>
      <c r="E6592" s="8">
        <f>QS.INSTRUMENT.SWAP("swap.6590",C6592,H6592,B6592,"USD","SOFR",I6592,J6592,0,"Actual360","Simple","Annual","Annual","Annual")</f>
        <v/>
      </c>
      <c r="F6592" s="8">
        <f>QS.TRADE.CREATE("trade.6590",C6592,E6592,A6592,"Receive")</f>
        <v/>
      </c>
      <c r="G6592" s="5"/>
      <c r="H6592" s="7" t="s">
        <v>6633</v>
      </c>
      <c r="I6592" s="9">
        <v>1659000</v>
      </c>
      <c r="J6592" s="10">
        <v>0.03900000000000001</v>
      </c>
    </row>
    <row r="6593" spans="1:10">
      <c r="A6593" s="7" t="s">
        <v>6627</v>
      </c>
      <c r="B6593" s="7" t="s">
        <v>8460</v>
      </c>
      <c r="C6593" s="8">
        <f>QS.CONTEXT.CREATE("market.6591",A6593,"USD","SOFR")</f>
        <v/>
      </c>
      <c r="D6593" s="8">
        <f>QS.CONTEXT.ADD.CURVE(C6593,"SOFR",$K$2:$K$7,$L$2:$L$7,,,"Actual360","LogLinear",TRUE)</f>
        <v/>
      </c>
      <c r="E6593" s="8">
        <f>QS.INSTRUMENT.SWAP("swap.6591",C6593,H6593,B6593,"USD","SOFR",I6593,J6593,0,"Actual360","Simple","Annual","Annual","Annual")</f>
        <v/>
      </c>
      <c r="F6593" s="8">
        <f>QS.TRADE.CREATE("trade.6591",C6593,E6593,A6593,"Receive")</f>
        <v/>
      </c>
      <c r="G6593" s="5"/>
      <c r="H6593" s="7" t="s">
        <v>6634</v>
      </c>
      <c r="I6593" s="9">
        <v>1659100</v>
      </c>
      <c r="J6593" s="10">
        <v>0.0391</v>
      </c>
    </row>
    <row r="6594" spans="1:10">
      <c r="A6594" s="7" t="s">
        <v>6628</v>
      </c>
      <c r="B6594" s="7" t="s">
        <v>8461</v>
      </c>
      <c r="C6594" s="8">
        <f>QS.CONTEXT.CREATE("market.6592",A6594,"USD","SOFR")</f>
        <v/>
      </c>
      <c r="D6594" s="8">
        <f>QS.CONTEXT.ADD.CURVE(C6594,"SOFR",$K$2:$K$7,$L$2:$L$7,,,"Actual360","LogLinear",TRUE)</f>
        <v/>
      </c>
      <c r="E6594" s="8">
        <f>QS.INSTRUMENT.SWAP("swap.6592",C6594,H6594,B6594,"USD","SOFR",I6594,J6594,0,"Actual360","Simple","Annual","Annual","Annual")</f>
        <v/>
      </c>
      <c r="F6594" s="8">
        <f>QS.TRADE.CREATE("trade.6592",C6594,E6594,A6594,"Receive")</f>
        <v/>
      </c>
      <c r="G6594" s="5"/>
      <c r="H6594" s="7" t="s">
        <v>6635</v>
      </c>
      <c r="I6594" s="9">
        <v>1659200</v>
      </c>
      <c r="J6594" s="10">
        <v>0.03920000000000001</v>
      </c>
    </row>
    <row r="6595" spans="1:10">
      <c r="A6595" s="7" t="s">
        <v>6629</v>
      </c>
      <c r="B6595" s="7" t="s">
        <v>8462</v>
      </c>
      <c r="C6595" s="8">
        <f>QS.CONTEXT.CREATE("market.6593",A6595,"USD","SOFR")</f>
        <v/>
      </c>
      <c r="D6595" s="8">
        <f>QS.CONTEXT.ADD.CURVE(C6595,"SOFR",$K$2:$K$7,$L$2:$L$7,,,"Actual360","LogLinear",TRUE)</f>
        <v/>
      </c>
      <c r="E6595" s="8">
        <f>QS.INSTRUMENT.SWAP("swap.6593",C6595,H6595,B6595,"USD","SOFR",I6595,J6595,0,"Actual360","Simple","Annual","Annual","Annual")</f>
        <v/>
      </c>
      <c r="F6595" s="8">
        <f>QS.TRADE.CREATE("trade.6593",C6595,E6595,A6595,"Receive")</f>
        <v/>
      </c>
      <c r="G6595" s="5"/>
      <c r="H6595" s="7" t="s">
        <v>6636</v>
      </c>
      <c r="I6595" s="9">
        <v>1659300</v>
      </c>
      <c r="J6595" s="10">
        <v>0.0393</v>
      </c>
    </row>
    <row r="6596" spans="1:10">
      <c r="A6596" s="7" t="s">
        <v>6630</v>
      </c>
      <c r="B6596" s="7" t="s">
        <v>8463</v>
      </c>
      <c r="C6596" s="8">
        <f>QS.CONTEXT.CREATE("market.6594",A6596,"USD","SOFR")</f>
        <v/>
      </c>
      <c r="D6596" s="8">
        <f>QS.CONTEXT.ADD.CURVE(C6596,"SOFR",$K$2:$K$7,$L$2:$L$7,,,"Actual360","LogLinear",TRUE)</f>
        <v/>
      </c>
      <c r="E6596" s="8">
        <f>QS.INSTRUMENT.SWAP("swap.6594",C6596,H6596,B6596,"USD","SOFR",I6596,J6596,0,"Actual360","Simple","Annual","Annual","Annual")</f>
        <v/>
      </c>
      <c r="F6596" s="8">
        <f>QS.TRADE.CREATE("trade.6594",C6596,E6596,A6596,"Receive")</f>
        <v/>
      </c>
      <c r="G6596" s="5"/>
      <c r="H6596" s="7" t="s">
        <v>6637</v>
      </c>
      <c r="I6596" s="9">
        <v>1659400</v>
      </c>
      <c r="J6596" s="10">
        <v>0.0394</v>
      </c>
    </row>
    <row r="6597" spans="1:10">
      <c r="A6597" s="7" t="s">
        <v>6631</v>
      </c>
      <c r="B6597" s="7" t="s">
        <v>8464</v>
      </c>
      <c r="C6597" s="8">
        <f>QS.CONTEXT.CREATE("market.6595",A6597,"USD","SOFR")</f>
        <v/>
      </c>
      <c r="D6597" s="8">
        <f>QS.CONTEXT.ADD.CURVE(C6597,"SOFR",$K$2:$K$7,$L$2:$L$7,,,"Actual360","LogLinear",TRUE)</f>
        <v/>
      </c>
      <c r="E6597" s="8">
        <f>QS.INSTRUMENT.SWAP("swap.6595",C6597,H6597,B6597,"USD","SOFR",I6597,J6597,0,"Actual360","Simple","Annual","Annual","Annual")</f>
        <v/>
      </c>
      <c r="F6597" s="8">
        <f>QS.TRADE.CREATE("trade.6595",C6597,E6597,A6597,"Receive")</f>
        <v/>
      </c>
      <c r="G6597" s="5"/>
      <c r="H6597" s="7" t="s">
        <v>6638</v>
      </c>
      <c r="I6597" s="9">
        <v>1659500</v>
      </c>
      <c r="J6597" s="10">
        <v>0.03950000000000001</v>
      </c>
    </row>
    <row r="6598" spans="1:10">
      <c r="A6598" s="7" t="s">
        <v>6632</v>
      </c>
      <c r="B6598" s="7" t="s">
        <v>8465</v>
      </c>
      <c r="C6598" s="8">
        <f>QS.CONTEXT.CREATE("market.6596",A6598,"USD","SOFR")</f>
        <v/>
      </c>
      <c r="D6598" s="8">
        <f>QS.CONTEXT.ADD.CURVE(C6598,"SOFR",$K$2:$K$7,$L$2:$L$7,,,"Actual360","LogLinear",TRUE)</f>
        <v/>
      </c>
      <c r="E6598" s="8">
        <f>QS.INSTRUMENT.SWAP("swap.6596",C6598,H6598,B6598,"USD","SOFR",I6598,J6598,0,"Actual360","Simple","Annual","Annual","Annual")</f>
        <v/>
      </c>
      <c r="F6598" s="8">
        <f>QS.TRADE.CREATE("trade.6596",C6598,E6598,A6598,"Receive")</f>
        <v/>
      </c>
      <c r="G6598" s="5"/>
      <c r="H6598" s="7" t="s">
        <v>6639</v>
      </c>
      <c r="I6598" s="9">
        <v>1659600</v>
      </c>
      <c r="J6598" s="10">
        <v>0.0396</v>
      </c>
    </row>
    <row r="6599" spans="1:10">
      <c r="A6599" s="7" t="s">
        <v>6633</v>
      </c>
      <c r="B6599" s="7" t="s">
        <v>8466</v>
      </c>
      <c r="C6599" s="8">
        <f>QS.CONTEXT.CREATE("market.6597",A6599,"USD","SOFR")</f>
        <v/>
      </c>
      <c r="D6599" s="8">
        <f>QS.CONTEXT.ADD.CURVE(C6599,"SOFR",$K$2:$K$7,$L$2:$L$7,,,"Actual360","LogLinear",TRUE)</f>
        <v/>
      </c>
      <c r="E6599" s="8">
        <f>QS.INSTRUMENT.SWAP("swap.6597",C6599,H6599,B6599,"USD","SOFR",I6599,J6599,0,"Actual360","Simple","Annual","Annual","Annual")</f>
        <v/>
      </c>
      <c r="F6599" s="8">
        <f>QS.TRADE.CREATE("trade.6597",C6599,E6599,A6599,"Receive")</f>
        <v/>
      </c>
      <c r="G6599" s="5"/>
      <c r="H6599" s="7" t="s">
        <v>6640</v>
      </c>
      <c r="I6599" s="9">
        <v>1659700</v>
      </c>
      <c r="J6599" s="10">
        <v>0.03970000000000001</v>
      </c>
    </row>
    <row r="6600" spans="1:10">
      <c r="A6600" s="7" t="s">
        <v>6634</v>
      </c>
      <c r="B6600" s="7" t="s">
        <v>8467</v>
      </c>
      <c r="C6600" s="8">
        <f>QS.CONTEXT.CREATE("market.6598",A6600,"USD","SOFR")</f>
        <v/>
      </c>
      <c r="D6600" s="8">
        <f>QS.CONTEXT.ADD.CURVE(C6600,"SOFR",$K$2:$K$7,$L$2:$L$7,,,"Actual360","LogLinear",TRUE)</f>
        <v/>
      </c>
      <c r="E6600" s="8">
        <f>QS.INSTRUMENT.SWAP("swap.6598",C6600,H6600,B6600,"USD","SOFR",I6600,J6600,0,"Actual360","Simple","Annual","Annual","Annual")</f>
        <v/>
      </c>
      <c r="F6600" s="8">
        <f>QS.TRADE.CREATE("trade.6598",C6600,E6600,A6600,"Receive")</f>
        <v/>
      </c>
      <c r="G6600" s="5"/>
      <c r="H6600" s="7" t="s">
        <v>6641</v>
      </c>
      <c r="I6600" s="9">
        <v>1659800</v>
      </c>
      <c r="J6600" s="10">
        <v>0.0398</v>
      </c>
    </row>
    <row r="6601" spans="1:10">
      <c r="A6601" s="7" t="s">
        <v>6635</v>
      </c>
      <c r="B6601" s="7" t="s">
        <v>8468</v>
      </c>
      <c r="C6601" s="8">
        <f>QS.CONTEXT.CREATE("market.6599",A6601,"USD","SOFR")</f>
        <v/>
      </c>
      <c r="D6601" s="8">
        <f>QS.CONTEXT.ADD.CURVE(C6601,"SOFR",$K$2:$K$7,$L$2:$L$7,,,"Actual360","LogLinear",TRUE)</f>
        <v/>
      </c>
      <c r="E6601" s="8">
        <f>QS.INSTRUMENT.SWAP("swap.6599",C6601,H6601,B6601,"USD","SOFR",I6601,J6601,0,"Actual360","Simple","Annual","Annual","Annual")</f>
        <v/>
      </c>
      <c r="F6601" s="8">
        <f>QS.TRADE.CREATE("trade.6599",C6601,E6601,A6601,"Receive")</f>
        <v/>
      </c>
      <c r="G6601" s="5"/>
      <c r="H6601" s="7" t="s">
        <v>6642</v>
      </c>
      <c r="I6601" s="9">
        <v>1659900</v>
      </c>
      <c r="J6601" s="10">
        <v>0.0399</v>
      </c>
    </row>
    <row r="6602" spans="1:10">
      <c r="A6602" s="7" t="s">
        <v>6636</v>
      </c>
      <c r="B6602" s="7" t="s">
        <v>8469</v>
      </c>
      <c r="C6602" s="8">
        <f>QS.CONTEXT.CREATE("market.6600",A6602,"USD","SOFR")</f>
        <v/>
      </c>
      <c r="D6602" s="8">
        <f>QS.CONTEXT.ADD.CURVE(C6602,"SOFR",$K$2:$K$7,$L$2:$L$7,,,"Actual360","LogLinear",TRUE)</f>
        <v/>
      </c>
      <c r="E6602" s="8">
        <f>QS.INSTRUMENT.SWAP("swap.6600",C6602,H6602,B6602,"USD","SOFR",I6602,J6602,0,"Actual360","Simple","Annual","Annual","Annual")</f>
        <v/>
      </c>
      <c r="F6602" s="8">
        <f>QS.TRADE.CREATE("trade.6600",C6602,E6602,A6602,"Receive")</f>
        <v/>
      </c>
      <c r="G6602" s="5"/>
      <c r="H6602" s="7" t="s">
        <v>6643</v>
      </c>
      <c r="I6602" s="9">
        <v>1660000</v>
      </c>
      <c r="J6602" s="10">
        <v>0.035</v>
      </c>
    </row>
    <row r="6603" spans="1:10">
      <c r="A6603" s="7" t="s">
        <v>6637</v>
      </c>
      <c r="B6603" s="7" t="s">
        <v>8470</v>
      </c>
      <c r="C6603" s="8">
        <f>QS.CONTEXT.CREATE("market.6601",A6603,"USD","SOFR")</f>
        <v/>
      </c>
      <c r="D6603" s="8">
        <f>QS.CONTEXT.ADD.CURVE(C6603,"SOFR",$K$2:$K$7,$L$2:$L$7,,,"Actual360","LogLinear",TRUE)</f>
        <v/>
      </c>
      <c r="E6603" s="8">
        <f>QS.INSTRUMENT.SWAP("swap.6601",C6603,H6603,B6603,"USD","SOFR",I6603,J6603,0,"Actual360","Simple","Annual","Annual","Annual")</f>
        <v/>
      </c>
      <c r="F6603" s="8">
        <f>QS.TRADE.CREATE("trade.6601",C6603,E6603,A6603,"Receive")</f>
        <v/>
      </c>
      <c r="G6603" s="5"/>
      <c r="H6603" s="7" t="s">
        <v>6644</v>
      </c>
      <c r="I6603" s="9">
        <v>1660100</v>
      </c>
      <c r="J6603" s="10">
        <v>0.03510000000000001</v>
      </c>
    </row>
    <row r="6604" spans="1:10">
      <c r="A6604" s="7" t="s">
        <v>6638</v>
      </c>
      <c r="B6604" s="7" t="s">
        <v>8471</v>
      </c>
      <c r="C6604" s="8">
        <f>QS.CONTEXT.CREATE("market.6602",A6604,"USD","SOFR")</f>
        <v/>
      </c>
      <c r="D6604" s="8">
        <f>QS.CONTEXT.ADD.CURVE(C6604,"SOFR",$K$2:$K$7,$L$2:$L$7,,,"Actual360","LogLinear",TRUE)</f>
        <v/>
      </c>
      <c r="E6604" s="8">
        <f>QS.INSTRUMENT.SWAP("swap.6602",C6604,H6604,B6604,"USD","SOFR",I6604,J6604,0,"Actual360","Simple","Annual","Annual","Annual")</f>
        <v/>
      </c>
      <c r="F6604" s="8">
        <f>QS.TRADE.CREATE("trade.6602",C6604,E6604,A6604,"Receive")</f>
        <v/>
      </c>
      <c r="G6604" s="5"/>
      <c r="H6604" s="7" t="s">
        <v>6645</v>
      </c>
      <c r="I6604" s="9">
        <v>1660200</v>
      </c>
      <c r="J6604" s="10">
        <v>0.0352</v>
      </c>
    </row>
    <row r="6605" spans="1:10">
      <c r="A6605" s="7" t="s">
        <v>6639</v>
      </c>
      <c r="B6605" s="7" t="s">
        <v>8472</v>
      </c>
      <c r="C6605" s="8">
        <f>QS.CONTEXT.CREATE("market.6603",A6605,"USD","SOFR")</f>
        <v/>
      </c>
      <c r="D6605" s="8">
        <f>QS.CONTEXT.ADD.CURVE(C6605,"SOFR",$K$2:$K$7,$L$2:$L$7,,,"Actual360","LogLinear",TRUE)</f>
        <v/>
      </c>
      <c r="E6605" s="8">
        <f>QS.INSTRUMENT.SWAP("swap.6603",C6605,H6605,B6605,"USD","SOFR",I6605,J6605,0,"Actual360","Simple","Annual","Annual","Annual")</f>
        <v/>
      </c>
      <c r="F6605" s="8">
        <f>QS.TRADE.CREATE("trade.6603",C6605,E6605,A6605,"Receive")</f>
        <v/>
      </c>
      <c r="G6605" s="5"/>
      <c r="H6605" s="7" t="s">
        <v>6646</v>
      </c>
      <c r="I6605" s="9">
        <v>1660300</v>
      </c>
      <c r="J6605" s="10">
        <v>0.0353</v>
      </c>
    </row>
    <row r="6606" spans="1:10">
      <c r="A6606" s="7" t="s">
        <v>6640</v>
      </c>
      <c r="B6606" s="7" t="s">
        <v>8473</v>
      </c>
      <c r="C6606" s="8">
        <f>QS.CONTEXT.CREATE("market.6604",A6606,"USD","SOFR")</f>
        <v/>
      </c>
      <c r="D6606" s="8">
        <f>QS.CONTEXT.ADD.CURVE(C6606,"SOFR",$K$2:$K$7,$L$2:$L$7,,,"Actual360","LogLinear",TRUE)</f>
        <v/>
      </c>
      <c r="E6606" s="8">
        <f>QS.INSTRUMENT.SWAP("swap.6604",C6606,H6606,B6606,"USD","SOFR",I6606,J6606,0,"Actual360","Simple","Annual","Annual","Annual")</f>
        <v/>
      </c>
      <c r="F6606" s="8">
        <f>QS.TRADE.CREATE("trade.6604",C6606,E6606,A6606,"Receive")</f>
        <v/>
      </c>
      <c r="G6606" s="5"/>
      <c r="H6606" s="7" t="s">
        <v>6647</v>
      </c>
      <c r="I6606" s="9">
        <v>1660400</v>
      </c>
      <c r="J6606" s="10">
        <v>0.0354</v>
      </c>
    </row>
    <row r="6607" spans="1:10">
      <c r="A6607" s="7" t="s">
        <v>6641</v>
      </c>
      <c r="B6607" s="7" t="s">
        <v>8474</v>
      </c>
      <c r="C6607" s="8">
        <f>QS.CONTEXT.CREATE("market.6605",A6607,"USD","SOFR")</f>
        <v/>
      </c>
      <c r="D6607" s="8">
        <f>QS.CONTEXT.ADD.CURVE(C6607,"SOFR",$K$2:$K$7,$L$2:$L$7,,,"Actual360","LogLinear",TRUE)</f>
        <v/>
      </c>
      <c r="E6607" s="8">
        <f>QS.INSTRUMENT.SWAP("swap.6605",C6607,H6607,B6607,"USD","SOFR",I6607,J6607,0,"Actual360","Simple","Annual","Annual","Annual")</f>
        <v/>
      </c>
      <c r="F6607" s="8">
        <f>QS.TRADE.CREATE("trade.6605",C6607,E6607,A6607,"Receive")</f>
        <v/>
      </c>
      <c r="G6607" s="5"/>
      <c r="H6607" s="7" t="s">
        <v>6648</v>
      </c>
      <c r="I6607" s="9">
        <v>1660500</v>
      </c>
      <c r="J6607" s="10">
        <v>0.0355</v>
      </c>
    </row>
    <row r="6608" spans="1:10">
      <c r="A6608" s="7" t="s">
        <v>6642</v>
      </c>
      <c r="B6608" s="7" t="s">
        <v>8475</v>
      </c>
      <c r="C6608" s="8">
        <f>QS.CONTEXT.CREATE("market.6606",A6608,"USD","SOFR")</f>
        <v/>
      </c>
      <c r="D6608" s="8">
        <f>QS.CONTEXT.ADD.CURVE(C6608,"SOFR",$K$2:$K$7,$L$2:$L$7,,,"Actual360","LogLinear",TRUE)</f>
        <v/>
      </c>
      <c r="E6608" s="8">
        <f>QS.INSTRUMENT.SWAP("swap.6606",C6608,H6608,B6608,"USD","SOFR",I6608,J6608,0,"Actual360","Simple","Annual","Annual","Annual")</f>
        <v/>
      </c>
      <c r="F6608" s="8">
        <f>QS.TRADE.CREATE("trade.6606",C6608,E6608,A6608,"Receive")</f>
        <v/>
      </c>
      <c r="G6608" s="5"/>
      <c r="H6608" s="7" t="s">
        <v>6649</v>
      </c>
      <c r="I6608" s="9">
        <v>1660600</v>
      </c>
      <c r="J6608" s="10">
        <v>0.03560000000000001</v>
      </c>
    </row>
    <row r="6609" spans="1:10">
      <c r="A6609" s="7" t="s">
        <v>6643</v>
      </c>
      <c r="B6609" s="7" t="s">
        <v>8476</v>
      </c>
      <c r="C6609" s="8">
        <f>QS.CONTEXT.CREATE("market.6607",A6609,"USD","SOFR")</f>
        <v/>
      </c>
      <c r="D6609" s="8">
        <f>QS.CONTEXT.ADD.CURVE(C6609,"SOFR",$K$2:$K$7,$L$2:$L$7,,,"Actual360","LogLinear",TRUE)</f>
        <v/>
      </c>
      <c r="E6609" s="8">
        <f>QS.INSTRUMENT.SWAP("swap.6607",C6609,H6609,B6609,"USD","SOFR",I6609,J6609,0,"Actual360","Simple","Annual","Annual","Annual")</f>
        <v/>
      </c>
      <c r="F6609" s="8">
        <f>QS.TRADE.CREATE("trade.6607",C6609,E6609,A6609,"Receive")</f>
        <v/>
      </c>
      <c r="G6609" s="5"/>
      <c r="H6609" s="7" t="s">
        <v>6650</v>
      </c>
      <c r="I6609" s="9">
        <v>1660700</v>
      </c>
      <c r="J6609" s="10">
        <v>0.0357</v>
      </c>
    </row>
    <row r="6610" spans="1:10">
      <c r="A6610" s="7" t="s">
        <v>6644</v>
      </c>
      <c r="B6610" s="7" t="s">
        <v>8477</v>
      </c>
      <c r="C6610" s="8">
        <f>QS.CONTEXT.CREATE("market.6608",A6610,"USD","SOFR")</f>
        <v/>
      </c>
      <c r="D6610" s="8">
        <f>QS.CONTEXT.ADD.CURVE(C6610,"SOFR",$K$2:$K$7,$L$2:$L$7,,,"Actual360","LogLinear",TRUE)</f>
        <v/>
      </c>
      <c r="E6610" s="8">
        <f>QS.INSTRUMENT.SWAP("swap.6608",C6610,H6610,B6610,"USD","SOFR",I6610,J6610,0,"Actual360","Simple","Annual","Annual","Annual")</f>
        <v/>
      </c>
      <c r="F6610" s="8">
        <f>QS.TRADE.CREATE("trade.6608",C6610,E6610,A6610,"Receive")</f>
        <v/>
      </c>
      <c r="G6610" s="5"/>
      <c r="H6610" s="7" t="s">
        <v>6651</v>
      </c>
      <c r="I6610" s="9">
        <v>1660800</v>
      </c>
      <c r="J6610" s="10">
        <v>0.03580000000000001</v>
      </c>
    </row>
    <row r="6611" spans="1:10">
      <c r="A6611" s="7" t="s">
        <v>6645</v>
      </c>
      <c r="B6611" s="7" t="s">
        <v>8478</v>
      </c>
      <c r="C6611" s="8">
        <f>QS.CONTEXT.CREATE("market.6609",A6611,"USD","SOFR")</f>
        <v/>
      </c>
      <c r="D6611" s="8">
        <f>QS.CONTEXT.ADD.CURVE(C6611,"SOFR",$K$2:$K$7,$L$2:$L$7,,,"Actual360","LogLinear",TRUE)</f>
        <v/>
      </c>
      <c r="E6611" s="8">
        <f>QS.INSTRUMENT.SWAP("swap.6609",C6611,H6611,B6611,"USD","SOFR",I6611,J6611,0,"Actual360","Simple","Annual","Annual","Annual")</f>
        <v/>
      </c>
      <c r="F6611" s="8">
        <f>QS.TRADE.CREATE("trade.6609",C6611,E6611,A6611,"Receive")</f>
        <v/>
      </c>
      <c r="G6611" s="5"/>
      <c r="H6611" s="7" t="s">
        <v>6652</v>
      </c>
      <c r="I6611" s="9">
        <v>1660900</v>
      </c>
      <c r="J6611" s="10">
        <v>0.0359</v>
      </c>
    </row>
    <row r="6612" spans="1:10">
      <c r="A6612" s="7" t="s">
        <v>6646</v>
      </c>
      <c r="B6612" s="7" t="s">
        <v>8479</v>
      </c>
      <c r="C6612" s="8">
        <f>QS.CONTEXT.CREATE("market.6610",A6612,"USD","SOFR")</f>
        <v/>
      </c>
      <c r="D6612" s="8">
        <f>QS.CONTEXT.ADD.CURVE(C6612,"SOFR",$K$2:$K$7,$L$2:$L$7,,,"Actual360","LogLinear",TRUE)</f>
        <v/>
      </c>
      <c r="E6612" s="8">
        <f>QS.INSTRUMENT.SWAP("swap.6610",C6612,H6612,B6612,"USD","SOFR",I6612,J6612,0,"Actual360","Simple","Annual","Annual","Annual")</f>
        <v/>
      </c>
      <c r="F6612" s="8">
        <f>QS.TRADE.CREATE("trade.6610",C6612,E6612,A6612,"Receive")</f>
        <v/>
      </c>
      <c r="G6612" s="5"/>
      <c r="H6612" s="7" t="s">
        <v>6653</v>
      </c>
      <c r="I6612" s="9">
        <v>1661000</v>
      </c>
      <c r="J6612" s="10">
        <v>0.036</v>
      </c>
    </row>
    <row r="6613" spans="1:10">
      <c r="A6613" s="7" t="s">
        <v>6647</v>
      </c>
      <c r="B6613" s="7" t="s">
        <v>8480</v>
      </c>
      <c r="C6613" s="8">
        <f>QS.CONTEXT.CREATE("market.6611",A6613,"USD","SOFR")</f>
        <v/>
      </c>
      <c r="D6613" s="8">
        <f>QS.CONTEXT.ADD.CURVE(C6613,"SOFR",$K$2:$K$7,$L$2:$L$7,,,"Actual360","LogLinear",TRUE)</f>
        <v/>
      </c>
      <c r="E6613" s="8">
        <f>QS.INSTRUMENT.SWAP("swap.6611",C6613,H6613,B6613,"USD","SOFR",I6613,J6613,0,"Actual360","Simple","Annual","Annual","Annual")</f>
        <v/>
      </c>
      <c r="F6613" s="8">
        <f>QS.TRADE.CREATE("trade.6611",C6613,E6613,A6613,"Receive")</f>
        <v/>
      </c>
      <c r="G6613" s="5"/>
      <c r="H6613" s="7" t="s">
        <v>6654</v>
      </c>
      <c r="I6613" s="9">
        <v>1661100</v>
      </c>
      <c r="J6613" s="10">
        <v>0.0361</v>
      </c>
    </row>
    <row r="6614" spans="1:10">
      <c r="A6614" s="7" t="s">
        <v>6648</v>
      </c>
      <c r="B6614" s="7" t="s">
        <v>8481</v>
      </c>
      <c r="C6614" s="8">
        <f>QS.CONTEXT.CREATE("market.6612",A6614,"USD","SOFR")</f>
        <v/>
      </c>
      <c r="D6614" s="8">
        <f>QS.CONTEXT.ADD.CURVE(C6614,"SOFR",$K$2:$K$7,$L$2:$L$7,,,"Actual360","LogLinear",TRUE)</f>
        <v/>
      </c>
      <c r="E6614" s="8">
        <f>QS.INSTRUMENT.SWAP("swap.6612",C6614,H6614,B6614,"USD","SOFR",I6614,J6614,0,"Actual360","Simple","Annual","Annual","Annual")</f>
        <v/>
      </c>
      <c r="F6614" s="8">
        <f>QS.TRADE.CREATE("trade.6612",C6614,E6614,A6614,"Receive")</f>
        <v/>
      </c>
      <c r="G6614" s="5"/>
      <c r="H6614" s="7" t="s">
        <v>6655</v>
      </c>
      <c r="I6614" s="9">
        <v>1661200</v>
      </c>
      <c r="J6614" s="10">
        <v>0.0362</v>
      </c>
    </row>
    <row r="6615" spans="1:10">
      <c r="A6615" s="7" t="s">
        <v>6649</v>
      </c>
      <c r="B6615" s="7" t="s">
        <v>8482</v>
      </c>
      <c r="C6615" s="8">
        <f>QS.CONTEXT.CREATE("market.6613",A6615,"USD","SOFR")</f>
        <v/>
      </c>
      <c r="D6615" s="8">
        <f>QS.CONTEXT.ADD.CURVE(C6615,"SOFR",$K$2:$K$7,$L$2:$L$7,,,"Actual360","LogLinear",TRUE)</f>
        <v/>
      </c>
      <c r="E6615" s="8">
        <f>QS.INSTRUMENT.SWAP("swap.6613",C6615,H6615,B6615,"USD","SOFR",I6615,J6615,0,"Actual360","Simple","Annual","Annual","Annual")</f>
        <v/>
      </c>
      <c r="F6615" s="8">
        <f>QS.TRADE.CREATE("trade.6613",C6615,E6615,A6615,"Receive")</f>
        <v/>
      </c>
      <c r="G6615" s="5"/>
      <c r="H6615" s="7" t="s">
        <v>6656</v>
      </c>
      <c r="I6615" s="9">
        <v>1661300</v>
      </c>
      <c r="J6615" s="10">
        <v>0.03630000000000001</v>
      </c>
    </row>
    <row r="6616" spans="1:10">
      <c r="A6616" s="7" t="s">
        <v>6650</v>
      </c>
      <c r="B6616" s="7" t="s">
        <v>8483</v>
      </c>
      <c r="C6616" s="8">
        <f>QS.CONTEXT.CREATE("market.6614",A6616,"USD","SOFR")</f>
        <v/>
      </c>
      <c r="D6616" s="8">
        <f>QS.CONTEXT.ADD.CURVE(C6616,"SOFR",$K$2:$K$7,$L$2:$L$7,,,"Actual360","LogLinear",TRUE)</f>
        <v/>
      </c>
      <c r="E6616" s="8">
        <f>QS.INSTRUMENT.SWAP("swap.6614",C6616,H6616,B6616,"USD","SOFR",I6616,J6616,0,"Actual360","Simple","Annual","Annual","Annual")</f>
        <v/>
      </c>
      <c r="F6616" s="8">
        <f>QS.TRADE.CREATE("trade.6614",C6616,E6616,A6616,"Receive")</f>
        <v/>
      </c>
      <c r="G6616" s="5"/>
      <c r="H6616" s="7" t="s">
        <v>6657</v>
      </c>
      <c r="I6616" s="9">
        <v>1661400</v>
      </c>
      <c r="J6616" s="10">
        <v>0.0364</v>
      </c>
    </row>
    <row r="6617" spans="1:10">
      <c r="A6617" s="7" t="s">
        <v>6651</v>
      </c>
      <c r="B6617" s="7" t="s">
        <v>8484</v>
      </c>
      <c r="C6617" s="8">
        <f>QS.CONTEXT.CREATE("market.6615",A6617,"USD","SOFR")</f>
        <v/>
      </c>
      <c r="D6617" s="8">
        <f>QS.CONTEXT.ADD.CURVE(C6617,"SOFR",$K$2:$K$7,$L$2:$L$7,,,"Actual360","LogLinear",TRUE)</f>
        <v/>
      </c>
      <c r="E6617" s="8">
        <f>QS.INSTRUMENT.SWAP("swap.6615",C6617,H6617,B6617,"USD","SOFR",I6617,J6617,0,"Actual360","Simple","Annual","Annual","Annual")</f>
        <v/>
      </c>
      <c r="F6617" s="8">
        <f>QS.TRADE.CREATE("trade.6615",C6617,E6617,A6617,"Receive")</f>
        <v/>
      </c>
      <c r="G6617" s="5"/>
      <c r="H6617" s="7" t="s">
        <v>6658</v>
      </c>
      <c r="I6617" s="9">
        <v>1661500</v>
      </c>
      <c r="J6617" s="10">
        <v>0.0365</v>
      </c>
    </row>
    <row r="6618" spans="1:10">
      <c r="A6618" s="7" t="s">
        <v>6652</v>
      </c>
      <c r="B6618" s="7" t="s">
        <v>8485</v>
      </c>
      <c r="C6618" s="8">
        <f>QS.CONTEXT.CREATE("market.6616",A6618,"USD","SOFR")</f>
        <v/>
      </c>
      <c r="D6618" s="8">
        <f>QS.CONTEXT.ADD.CURVE(C6618,"SOFR",$K$2:$K$7,$L$2:$L$7,,,"Actual360","LogLinear",TRUE)</f>
        <v/>
      </c>
      <c r="E6618" s="8">
        <f>QS.INSTRUMENT.SWAP("swap.6616",C6618,H6618,B6618,"USD","SOFR",I6618,J6618,0,"Actual360","Simple","Annual","Annual","Annual")</f>
        <v/>
      </c>
      <c r="F6618" s="8">
        <f>QS.TRADE.CREATE("trade.6616",C6618,E6618,A6618,"Receive")</f>
        <v/>
      </c>
      <c r="G6618" s="5"/>
      <c r="H6618" s="7" t="s">
        <v>6659</v>
      </c>
      <c r="I6618" s="9">
        <v>1661600</v>
      </c>
      <c r="J6618" s="10">
        <v>0.0366</v>
      </c>
    </row>
    <row r="6619" spans="1:10">
      <c r="A6619" s="7" t="s">
        <v>6653</v>
      </c>
      <c r="B6619" s="7" t="s">
        <v>8486</v>
      </c>
      <c r="C6619" s="8">
        <f>QS.CONTEXT.CREATE("market.6617",A6619,"USD","SOFR")</f>
        <v/>
      </c>
      <c r="D6619" s="8">
        <f>QS.CONTEXT.ADD.CURVE(C6619,"SOFR",$K$2:$K$7,$L$2:$L$7,,,"Actual360","LogLinear",TRUE)</f>
        <v/>
      </c>
      <c r="E6619" s="8">
        <f>QS.INSTRUMENT.SWAP("swap.6617",C6619,H6619,B6619,"USD","SOFR",I6619,J6619,0,"Actual360","Simple","Annual","Annual","Annual")</f>
        <v/>
      </c>
      <c r="F6619" s="8">
        <f>QS.TRADE.CREATE("trade.6617",C6619,E6619,A6619,"Receive")</f>
        <v/>
      </c>
      <c r="G6619" s="5"/>
      <c r="H6619" s="7" t="s">
        <v>6660</v>
      </c>
      <c r="I6619" s="9">
        <v>1661700</v>
      </c>
      <c r="J6619" s="10">
        <v>0.0367</v>
      </c>
    </row>
    <row r="6620" spans="1:10">
      <c r="A6620" s="7" t="s">
        <v>6654</v>
      </c>
      <c r="B6620" s="7" t="s">
        <v>8487</v>
      </c>
      <c r="C6620" s="8">
        <f>QS.CONTEXT.CREATE("market.6618",A6620,"USD","SOFR")</f>
        <v/>
      </c>
      <c r="D6620" s="8">
        <f>QS.CONTEXT.ADD.CURVE(C6620,"SOFR",$K$2:$K$7,$L$2:$L$7,,,"Actual360","LogLinear",TRUE)</f>
        <v/>
      </c>
      <c r="E6620" s="8">
        <f>QS.INSTRUMENT.SWAP("swap.6618",C6620,H6620,B6620,"USD","SOFR",I6620,J6620,0,"Actual360","Simple","Annual","Annual","Annual")</f>
        <v/>
      </c>
      <c r="F6620" s="8">
        <f>QS.TRADE.CREATE("trade.6618",C6620,E6620,A6620,"Receive")</f>
        <v/>
      </c>
      <c r="G6620" s="5"/>
      <c r="H6620" s="7" t="s">
        <v>6661</v>
      </c>
      <c r="I6620" s="9">
        <v>1661800</v>
      </c>
      <c r="J6620" s="10">
        <v>0.03680000000000001</v>
      </c>
    </row>
    <row r="6621" spans="1:10">
      <c r="A6621" s="7" t="s">
        <v>6655</v>
      </c>
      <c r="B6621" s="7" t="s">
        <v>8488</v>
      </c>
      <c r="C6621" s="8">
        <f>QS.CONTEXT.CREATE("market.6619",A6621,"USD","SOFR")</f>
        <v/>
      </c>
      <c r="D6621" s="8">
        <f>QS.CONTEXT.ADD.CURVE(C6621,"SOFR",$K$2:$K$7,$L$2:$L$7,,,"Actual360","LogLinear",TRUE)</f>
        <v/>
      </c>
      <c r="E6621" s="8">
        <f>QS.INSTRUMENT.SWAP("swap.6619",C6621,H6621,B6621,"USD","SOFR",I6621,J6621,0,"Actual360","Simple","Annual","Annual","Annual")</f>
        <v/>
      </c>
      <c r="F6621" s="8">
        <f>QS.TRADE.CREATE("trade.6619",C6621,E6621,A6621,"Receive")</f>
        <v/>
      </c>
      <c r="G6621" s="5"/>
      <c r="H6621" s="7" t="s">
        <v>6662</v>
      </c>
      <c r="I6621" s="9">
        <v>1661900</v>
      </c>
      <c r="J6621" s="10">
        <v>0.0369</v>
      </c>
    </row>
    <row r="6622" spans="1:10">
      <c r="A6622" s="7" t="s">
        <v>6656</v>
      </c>
      <c r="B6622" s="7" t="s">
        <v>8489</v>
      </c>
      <c r="C6622" s="8">
        <f>QS.CONTEXT.CREATE("market.6620",A6622,"USD","SOFR")</f>
        <v/>
      </c>
      <c r="D6622" s="8">
        <f>QS.CONTEXT.ADD.CURVE(C6622,"SOFR",$K$2:$K$7,$L$2:$L$7,,,"Actual360","LogLinear",TRUE)</f>
        <v/>
      </c>
      <c r="E6622" s="8">
        <f>QS.INSTRUMENT.SWAP("swap.6620",C6622,H6622,B6622,"USD","SOFR",I6622,J6622,0,"Actual360","Simple","Annual","Annual","Annual")</f>
        <v/>
      </c>
      <c r="F6622" s="8">
        <f>QS.TRADE.CREATE("trade.6620",C6622,E6622,A6622,"Receive")</f>
        <v/>
      </c>
      <c r="G6622" s="5"/>
      <c r="H6622" s="7" t="s">
        <v>6663</v>
      </c>
      <c r="I6622" s="9">
        <v>1662000</v>
      </c>
      <c r="J6622" s="10">
        <v>0.03700000000000001</v>
      </c>
    </row>
    <row r="6623" spans="1:10">
      <c r="A6623" s="7" t="s">
        <v>6657</v>
      </c>
      <c r="B6623" s="7" t="s">
        <v>8490</v>
      </c>
      <c r="C6623" s="8">
        <f>QS.CONTEXT.CREATE("market.6621",A6623,"USD","SOFR")</f>
        <v/>
      </c>
      <c r="D6623" s="8">
        <f>QS.CONTEXT.ADD.CURVE(C6623,"SOFR",$K$2:$K$7,$L$2:$L$7,,,"Actual360","LogLinear",TRUE)</f>
        <v/>
      </c>
      <c r="E6623" s="8">
        <f>QS.INSTRUMENT.SWAP("swap.6621",C6623,H6623,B6623,"USD","SOFR",I6623,J6623,0,"Actual360","Simple","Annual","Annual","Annual")</f>
        <v/>
      </c>
      <c r="F6623" s="8">
        <f>QS.TRADE.CREATE("trade.6621",C6623,E6623,A6623,"Receive")</f>
        <v/>
      </c>
      <c r="G6623" s="5"/>
      <c r="H6623" s="7" t="s">
        <v>6664</v>
      </c>
      <c r="I6623" s="9">
        <v>1662100</v>
      </c>
      <c r="J6623" s="10">
        <v>0.0371</v>
      </c>
    </row>
    <row r="6624" spans="1:10">
      <c r="A6624" s="7" t="s">
        <v>6658</v>
      </c>
      <c r="B6624" s="7" t="s">
        <v>8491</v>
      </c>
      <c r="C6624" s="8">
        <f>QS.CONTEXT.CREATE("market.6622",A6624,"USD","SOFR")</f>
        <v/>
      </c>
      <c r="D6624" s="8">
        <f>QS.CONTEXT.ADD.CURVE(C6624,"SOFR",$K$2:$K$7,$L$2:$L$7,,,"Actual360","LogLinear",TRUE)</f>
        <v/>
      </c>
      <c r="E6624" s="8">
        <f>QS.INSTRUMENT.SWAP("swap.6622",C6624,H6624,B6624,"USD","SOFR",I6624,J6624,0,"Actual360","Simple","Annual","Annual","Annual")</f>
        <v/>
      </c>
      <c r="F6624" s="8">
        <f>QS.TRADE.CREATE("trade.6622",C6624,E6624,A6624,"Receive")</f>
        <v/>
      </c>
      <c r="G6624" s="5"/>
      <c r="H6624" s="7" t="s">
        <v>6665</v>
      </c>
      <c r="I6624" s="9">
        <v>1662200</v>
      </c>
      <c r="J6624" s="10">
        <v>0.0372</v>
      </c>
    </row>
    <row r="6625" spans="1:10">
      <c r="A6625" s="7" t="s">
        <v>6659</v>
      </c>
      <c r="B6625" s="7" t="s">
        <v>8492</v>
      </c>
      <c r="C6625" s="8">
        <f>QS.CONTEXT.CREATE("market.6623",A6625,"USD","SOFR")</f>
        <v/>
      </c>
      <c r="D6625" s="8">
        <f>QS.CONTEXT.ADD.CURVE(C6625,"SOFR",$K$2:$K$7,$L$2:$L$7,,,"Actual360","LogLinear",TRUE)</f>
        <v/>
      </c>
      <c r="E6625" s="8">
        <f>QS.INSTRUMENT.SWAP("swap.6623",C6625,H6625,B6625,"USD","SOFR",I6625,J6625,0,"Actual360","Simple","Annual","Annual","Annual")</f>
        <v/>
      </c>
      <c r="F6625" s="8">
        <f>QS.TRADE.CREATE("trade.6623",C6625,E6625,A6625,"Receive")</f>
        <v/>
      </c>
      <c r="G6625" s="5"/>
      <c r="H6625" s="7" t="s">
        <v>6666</v>
      </c>
      <c r="I6625" s="9">
        <v>1662300</v>
      </c>
      <c r="J6625" s="10">
        <v>0.0373</v>
      </c>
    </row>
    <row r="6626" spans="1:10">
      <c r="A6626" s="7" t="s">
        <v>6660</v>
      </c>
      <c r="B6626" s="7" t="s">
        <v>8493</v>
      </c>
      <c r="C6626" s="8">
        <f>QS.CONTEXT.CREATE("market.6624",A6626,"USD","SOFR")</f>
        <v/>
      </c>
      <c r="D6626" s="8">
        <f>QS.CONTEXT.ADD.CURVE(C6626,"SOFR",$K$2:$K$7,$L$2:$L$7,,,"Actual360","LogLinear",TRUE)</f>
        <v/>
      </c>
      <c r="E6626" s="8">
        <f>QS.INSTRUMENT.SWAP("swap.6624",C6626,H6626,B6626,"USD","SOFR",I6626,J6626,0,"Actual360","Simple","Annual","Annual","Annual")</f>
        <v/>
      </c>
      <c r="F6626" s="8">
        <f>QS.TRADE.CREATE("trade.6624",C6626,E6626,A6626,"Receive")</f>
        <v/>
      </c>
      <c r="G6626" s="5"/>
      <c r="H6626" s="7" t="s">
        <v>6667</v>
      </c>
      <c r="I6626" s="9">
        <v>1662400</v>
      </c>
      <c r="J6626" s="10">
        <v>0.0374</v>
      </c>
    </row>
    <row r="6627" spans="1:10">
      <c r="A6627" s="7" t="s">
        <v>6661</v>
      </c>
      <c r="B6627" s="7" t="s">
        <v>8494</v>
      </c>
      <c r="C6627" s="8">
        <f>QS.CONTEXT.CREATE("market.6625",A6627,"USD","SOFR")</f>
        <v/>
      </c>
      <c r="D6627" s="8">
        <f>QS.CONTEXT.ADD.CURVE(C6627,"SOFR",$K$2:$K$7,$L$2:$L$7,,,"Actual360","LogLinear",TRUE)</f>
        <v/>
      </c>
      <c r="E6627" s="8">
        <f>QS.INSTRUMENT.SWAP("swap.6625",C6627,H6627,B6627,"USD","SOFR",I6627,J6627,0,"Actual360","Simple","Annual","Annual","Annual")</f>
        <v/>
      </c>
      <c r="F6627" s="8">
        <f>QS.TRADE.CREATE("trade.6625",C6627,E6627,A6627,"Receive")</f>
        <v/>
      </c>
      <c r="G6627" s="5"/>
      <c r="H6627" s="7" t="s">
        <v>6668</v>
      </c>
      <c r="I6627" s="9">
        <v>1662500</v>
      </c>
      <c r="J6627" s="10">
        <v>0.03750000000000001</v>
      </c>
    </row>
    <row r="6628" spans="1:10">
      <c r="A6628" s="7" t="s">
        <v>6662</v>
      </c>
      <c r="B6628" s="7" t="s">
        <v>8494</v>
      </c>
      <c r="C6628" s="8">
        <f>QS.CONTEXT.CREATE("market.6626",A6628,"USD","SOFR")</f>
        <v/>
      </c>
      <c r="D6628" s="8">
        <f>QS.CONTEXT.ADD.CURVE(C6628,"SOFR",$K$2:$K$7,$L$2:$L$7,,,"Actual360","LogLinear",TRUE)</f>
        <v/>
      </c>
      <c r="E6628" s="8">
        <f>QS.INSTRUMENT.SWAP("swap.6626",C6628,H6628,B6628,"USD","SOFR",I6628,J6628,0,"Actual360","Simple","Annual","Annual","Annual")</f>
        <v/>
      </c>
      <c r="F6628" s="8">
        <f>QS.TRADE.CREATE("trade.6626",C6628,E6628,A6628,"Receive")</f>
        <v/>
      </c>
      <c r="G6628" s="5"/>
      <c r="H6628" s="7" t="s">
        <v>8495</v>
      </c>
      <c r="I6628" s="9">
        <v>1662600</v>
      </c>
      <c r="J6628" s="10">
        <v>0.0376</v>
      </c>
    </row>
    <row r="6629" spans="1:10">
      <c r="A6629" s="7" t="s">
        <v>6663</v>
      </c>
      <c r="B6629" s="7" t="s">
        <v>8496</v>
      </c>
      <c r="C6629" s="8">
        <f>QS.CONTEXT.CREATE("market.6627",A6629,"USD","SOFR")</f>
        <v/>
      </c>
      <c r="D6629" s="8">
        <f>QS.CONTEXT.ADD.CURVE(C6629,"SOFR",$K$2:$K$7,$L$2:$L$7,,,"Actual360","LogLinear",TRUE)</f>
        <v/>
      </c>
      <c r="E6629" s="8">
        <f>QS.INSTRUMENT.SWAP("swap.6627",C6629,H6629,B6629,"USD","SOFR",I6629,J6629,0,"Actual360","Simple","Annual","Annual","Annual")</f>
        <v/>
      </c>
      <c r="F6629" s="8">
        <f>QS.TRADE.CREATE("trade.6627",C6629,E6629,A6629,"Receive")</f>
        <v/>
      </c>
      <c r="G6629" s="5"/>
      <c r="H6629" s="7" t="s">
        <v>6669</v>
      </c>
      <c r="I6629" s="9">
        <v>1662700</v>
      </c>
      <c r="J6629" s="10">
        <v>0.0377</v>
      </c>
    </row>
    <row r="6630" spans="1:10">
      <c r="A6630" s="7" t="s">
        <v>6664</v>
      </c>
      <c r="B6630" s="7" t="s">
        <v>8497</v>
      </c>
      <c r="C6630" s="8">
        <f>QS.CONTEXT.CREATE("market.6628",A6630,"USD","SOFR")</f>
        <v/>
      </c>
      <c r="D6630" s="8">
        <f>QS.CONTEXT.ADD.CURVE(C6630,"SOFR",$K$2:$K$7,$L$2:$L$7,,,"Actual360","LogLinear",TRUE)</f>
        <v/>
      </c>
      <c r="E6630" s="8">
        <f>QS.INSTRUMENT.SWAP("swap.6628",C6630,H6630,B6630,"USD","SOFR",I6630,J6630,0,"Actual360","Simple","Annual","Annual","Annual")</f>
        <v/>
      </c>
      <c r="F6630" s="8">
        <f>QS.TRADE.CREATE("trade.6628",C6630,E6630,A6630,"Receive")</f>
        <v/>
      </c>
      <c r="G6630" s="5"/>
      <c r="H6630" s="7" t="s">
        <v>6670</v>
      </c>
      <c r="I6630" s="9">
        <v>1662800</v>
      </c>
      <c r="J6630" s="10">
        <v>0.0378</v>
      </c>
    </row>
    <row r="6631" spans="1:10">
      <c r="A6631" s="7" t="s">
        <v>6665</v>
      </c>
      <c r="B6631" s="7" t="s">
        <v>8498</v>
      </c>
      <c r="C6631" s="8">
        <f>QS.CONTEXT.CREATE("market.6629",A6631,"USD","SOFR")</f>
        <v/>
      </c>
      <c r="D6631" s="8">
        <f>QS.CONTEXT.ADD.CURVE(C6631,"SOFR",$K$2:$K$7,$L$2:$L$7,,,"Actual360","LogLinear",TRUE)</f>
        <v/>
      </c>
      <c r="E6631" s="8">
        <f>QS.INSTRUMENT.SWAP("swap.6629",C6631,H6631,B6631,"USD","SOFR",I6631,J6631,0,"Actual360","Simple","Annual","Annual","Annual")</f>
        <v/>
      </c>
      <c r="F6631" s="8">
        <f>QS.TRADE.CREATE("trade.6629",C6631,E6631,A6631,"Receive")</f>
        <v/>
      </c>
      <c r="G6631" s="5"/>
      <c r="H6631" s="7" t="s">
        <v>6671</v>
      </c>
      <c r="I6631" s="9">
        <v>1662900</v>
      </c>
      <c r="J6631" s="10">
        <v>0.0379</v>
      </c>
    </row>
    <row r="6632" spans="1:10">
      <c r="A6632" s="7" t="s">
        <v>6666</v>
      </c>
      <c r="B6632" s="7" t="s">
        <v>8499</v>
      </c>
      <c r="C6632" s="8">
        <f>QS.CONTEXT.CREATE("market.6630",A6632,"USD","SOFR")</f>
        <v/>
      </c>
      <c r="D6632" s="8">
        <f>QS.CONTEXT.ADD.CURVE(C6632,"SOFR",$K$2:$K$7,$L$2:$L$7,,,"Actual360","LogLinear",TRUE)</f>
        <v/>
      </c>
      <c r="E6632" s="8">
        <f>QS.INSTRUMENT.SWAP("swap.6630",C6632,H6632,B6632,"USD","SOFR",I6632,J6632,0,"Actual360","Simple","Annual","Annual","Annual")</f>
        <v/>
      </c>
      <c r="F6632" s="8">
        <f>QS.TRADE.CREATE("trade.6630",C6632,E6632,A6632,"Receive")</f>
        <v/>
      </c>
      <c r="G6632" s="5"/>
      <c r="H6632" s="7" t="s">
        <v>6672</v>
      </c>
      <c r="I6632" s="9">
        <v>1663000</v>
      </c>
      <c r="J6632" s="10">
        <v>0.03800000000000001</v>
      </c>
    </row>
    <row r="6633" spans="1:10">
      <c r="A6633" s="7" t="s">
        <v>6667</v>
      </c>
      <c r="B6633" s="7" t="s">
        <v>8500</v>
      </c>
      <c r="C6633" s="8">
        <f>QS.CONTEXT.CREATE("market.6631",A6633,"USD","SOFR")</f>
        <v/>
      </c>
      <c r="D6633" s="8">
        <f>QS.CONTEXT.ADD.CURVE(C6633,"SOFR",$K$2:$K$7,$L$2:$L$7,,,"Actual360","LogLinear",TRUE)</f>
        <v/>
      </c>
      <c r="E6633" s="8">
        <f>QS.INSTRUMENT.SWAP("swap.6631",C6633,H6633,B6633,"USD","SOFR",I6633,J6633,0,"Actual360","Simple","Annual","Annual","Annual")</f>
        <v/>
      </c>
      <c r="F6633" s="8">
        <f>QS.TRADE.CREATE("trade.6631",C6633,E6633,A6633,"Receive")</f>
        <v/>
      </c>
      <c r="G6633" s="5"/>
      <c r="H6633" s="7" t="s">
        <v>6673</v>
      </c>
      <c r="I6633" s="9">
        <v>1663100</v>
      </c>
      <c r="J6633" s="10">
        <v>0.0381</v>
      </c>
    </row>
    <row r="6634" spans="1:10">
      <c r="A6634" s="7" t="s">
        <v>6668</v>
      </c>
      <c r="B6634" s="7" t="s">
        <v>8501</v>
      </c>
      <c r="C6634" s="8">
        <f>QS.CONTEXT.CREATE("market.6632",A6634,"USD","SOFR")</f>
        <v/>
      </c>
      <c r="D6634" s="8">
        <f>QS.CONTEXT.ADD.CURVE(C6634,"SOFR",$K$2:$K$7,$L$2:$L$7,,,"Actual360","LogLinear",TRUE)</f>
        <v/>
      </c>
      <c r="E6634" s="8">
        <f>QS.INSTRUMENT.SWAP("swap.6632",C6634,H6634,B6634,"USD","SOFR",I6634,J6634,0,"Actual360","Simple","Annual","Annual","Annual")</f>
        <v/>
      </c>
      <c r="F6634" s="8">
        <f>QS.TRADE.CREATE("trade.6632",C6634,E6634,A6634,"Receive")</f>
        <v/>
      </c>
      <c r="G6634" s="5"/>
      <c r="H6634" s="7" t="s">
        <v>6674</v>
      </c>
      <c r="I6634" s="9">
        <v>1663200</v>
      </c>
      <c r="J6634" s="10">
        <v>0.0382</v>
      </c>
    </row>
    <row r="6635" spans="1:10">
      <c r="A6635" s="7" t="s">
        <v>8495</v>
      </c>
      <c r="B6635" s="7" t="s">
        <v>8502</v>
      </c>
      <c r="C6635" s="8">
        <f>QS.CONTEXT.CREATE("market.6633",A6635,"USD","SOFR")</f>
        <v/>
      </c>
      <c r="D6635" s="8">
        <f>QS.CONTEXT.ADD.CURVE(C6635,"SOFR",$K$2:$K$7,$L$2:$L$7,,,"Actual360","LogLinear",TRUE)</f>
        <v/>
      </c>
      <c r="E6635" s="8">
        <f>QS.INSTRUMENT.SWAP("swap.6633",C6635,H6635,B6635,"USD","SOFR",I6635,J6635,0,"Actual360","Simple","Annual","Annual","Annual")</f>
        <v/>
      </c>
      <c r="F6635" s="8">
        <f>QS.TRADE.CREATE("trade.6633",C6635,E6635,A6635,"Receive")</f>
        <v/>
      </c>
      <c r="G6635" s="5"/>
      <c r="H6635" s="7" t="s">
        <v>6675</v>
      </c>
      <c r="I6635" s="9">
        <v>1663300</v>
      </c>
      <c r="J6635" s="10">
        <v>0.0383</v>
      </c>
    </row>
    <row r="6636" spans="1:10">
      <c r="A6636" s="7" t="s">
        <v>6669</v>
      </c>
      <c r="B6636" s="7" t="s">
        <v>8503</v>
      </c>
      <c r="C6636" s="8">
        <f>QS.CONTEXT.CREATE("market.6634",A6636,"USD","SOFR")</f>
        <v/>
      </c>
      <c r="D6636" s="8">
        <f>QS.CONTEXT.ADD.CURVE(C6636,"SOFR",$K$2:$K$7,$L$2:$L$7,,,"Actual360","LogLinear",TRUE)</f>
        <v/>
      </c>
      <c r="E6636" s="8">
        <f>QS.INSTRUMENT.SWAP("swap.6634",C6636,H6636,B6636,"USD","SOFR",I6636,J6636,0,"Actual360","Simple","Annual","Annual","Annual")</f>
        <v/>
      </c>
      <c r="F6636" s="8">
        <f>QS.TRADE.CREATE("trade.6634",C6636,E6636,A6636,"Receive")</f>
        <v/>
      </c>
      <c r="G6636" s="5"/>
      <c r="H6636" s="7" t="s">
        <v>6676</v>
      </c>
      <c r="I6636" s="9">
        <v>1663400</v>
      </c>
      <c r="J6636" s="10">
        <v>0.0384</v>
      </c>
    </row>
    <row r="6637" spans="1:10">
      <c r="A6637" s="7" t="s">
        <v>6670</v>
      </c>
      <c r="B6637" s="7" t="s">
        <v>8504</v>
      </c>
      <c r="C6637" s="8">
        <f>QS.CONTEXT.CREATE("market.6635",A6637,"USD","SOFR")</f>
        <v/>
      </c>
      <c r="D6637" s="8">
        <f>QS.CONTEXT.ADD.CURVE(C6637,"SOFR",$K$2:$K$7,$L$2:$L$7,,,"Actual360","LogLinear",TRUE)</f>
        <v/>
      </c>
      <c r="E6637" s="8">
        <f>QS.INSTRUMENT.SWAP("swap.6635",C6637,H6637,B6637,"USD","SOFR",I6637,J6637,0,"Actual360","Simple","Annual","Annual","Annual")</f>
        <v/>
      </c>
      <c r="F6637" s="8">
        <f>QS.TRADE.CREATE("trade.6635",C6637,E6637,A6637,"Receive")</f>
        <v/>
      </c>
      <c r="G6637" s="5"/>
      <c r="H6637" s="7" t="s">
        <v>6677</v>
      </c>
      <c r="I6637" s="9">
        <v>1663500</v>
      </c>
      <c r="J6637" s="10">
        <v>0.03850000000000001</v>
      </c>
    </row>
    <row r="6638" spans="1:10">
      <c r="A6638" s="7" t="s">
        <v>6671</v>
      </c>
      <c r="B6638" s="7" t="s">
        <v>8505</v>
      </c>
      <c r="C6638" s="8">
        <f>QS.CONTEXT.CREATE("market.6636",A6638,"USD","SOFR")</f>
        <v/>
      </c>
      <c r="D6638" s="8">
        <f>QS.CONTEXT.ADD.CURVE(C6638,"SOFR",$K$2:$K$7,$L$2:$L$7,,,"Actual360","LogLinear",TRUE)</f>
        <v/>
      </c>
      <c r="E6638" s="8">
        <f>QS.INSTRUMENT.SWAP("swap.6636",C6638,H6638,B6638,"USD","SOFR",I6638,J6638,0,"Actual360","Simple","Annual","Annual","Annual")</f>
        <v/>
      </c>
      <c r="F6638" s="8">
        <f>QS.TRADE.CREATE("trade.6636",C6638,E6638,A6638,"Receive")</f>
        <v/>
      </c>
      <c r="G6638" s="5"/>
      <c r="H6638" s="7" t="s">
        <v>6678</v>
      </c>
      <c r="I6638" s="9">
        <v>1663600</v>
      </c>
      <c r="J6638" s="10">
        <v>0.0386</v>
      </c>
    </row>
    <row r="6639" spans="1:10">
      <c r="A6639" s="7" t="s">
        <v>6672</v>
      </c>
      <c r="B6639" s="7" t="s">
        <v>8506</v>
      </c>
      <c r="C6639" s="8">
        <f>QS.CONTEXT.CREATE("market.6637",A6639,"USD","SOFR")</f>
        <v/>
      </c>
      <c r="D6639" s="8">
        <f>QS.CONTEXT.ADD.CURVE(C6639,"SOFR",$K$2:$K$7,$L$2:$L$7,,,"Actual360","LogLinear",TRUE)</f>
        <v/>
      </c>
      <c r="E6639" s="8">
        <f>QS.INSTRUMENT.SWAP("swap.6637",C6639,H6639,B6639,"USD","SOFR",I6639,J6639,0,"Actual360","Simple","Annual","Annual","Annual")</f>
        <v/>
      </c>
      <c r="F6639" s="8">
        <f>QS.TRADE.CREATE("trade.6637",C6639,E6639,A6639,"Receive")</f>
        <v/>
      </c>
      <c r="G6639" s="5"/>
      <c r="H6639" s="7" t="s">
        <v>6679</v>
      </c>
      <c r="I6639" s="9">
        <v>1663700</v>
      </c>
      <c r="J6639" s="10">
        <v>0.03870000000000001</v>
      </c>
    </row>
    <row r="6640" spans="1:10">
      <c r="A6640" s="7" t="s">
        <v>6673</v>
      </c>
      <c r="B6640" s="7" t="s">
        <v>8507</v>
      </c>
      <c r="C6640" s="8">
        <f>QS.CONTEXT.CREATE("market.6638",A6640,"USD","SOFR")</f>
        <v/>
      </c>
      <c r="D6640" s="8">
        <f>QS.CONTEXT.ADD.CURVE(C6640,"SOFR",$K$2:$K$7,$L$2:$L$7,,,"Actual360","LogLinear",TRUE)</f>
        <v/>
      </c>
      <c r="E6640" s="8">
        <f>QS.INSTRUMENT.SWAP("swap.6638",C6640,H6640,B6640,"USD","SOFR",I6640,J6640,0,"Actual360","Simple","Annual","Annual","Annual")</f>
        <v/>
      </c>
      <c r="F6640" s="8">
        <f>QS.TRADE.CREATE("trade.6638",C6640,E6640,A6640,"Receive")</f>
        <v/>
      </c>
      <c r="G6640" s="5"/>
      <c r="H6640" s="7" t="s">
        <v>6680</v>
      </c>
      <c r="I6640" s="9">
        <v>1663800</v>
      </c>
      <c r="J6640" s="10">
        <v>0.0388</v>
      </c>
    </row>
    <row r="6641" spans="1:10">
      <c r="A6641" s="7" t="s">
        <v>6674</v>
      </c>
      <c r="B6641" s="7" t="s">
        <v>8508</v>
      </c>
      <c r="C6641" s="8">
        <f>QS.CONTEXT.CREATE("market.6639",A6641,"USD","SOFR")</f>
        <v/>
      </c>
      <c r="D6641" s="8">
        <f>QS.CONTEXT.ADD.CURVE(C6641,"SOFR",$K$2:$K$7,$L$2:$L$7,,,"Actual360","LogLinear",TRUE)</f>
        <v/>
      </c>
      <c r="E6641" s="8">
        <f>QS.INSTRUMENT.SWAP("swap.6639",C6641,H6641,B6641,"USD","SOFR",I6641,J6641,0,"Actual360","Simple","Annual","Annual","Annual")</f>
        <v/>
      </c>
      <c r="F6641" s="8">
        <f>QS.TRADE.CREATE("trade.6639",C6641,E6641,A6641,"Receive")</f>
        <v/>
      </c>
      <c r="G6641" s="5"/>
      <c r="H6641" s="7" t="s">
        <v>6681</v>
      </c>
      <c r="I6641" s="9">
        <v>1663900</v>
      </c>
      <c r="J6641" s="10">
        <v>0.0389</v>
      </c>
    </row>
    <row r="6642" spans="1:10">
      <c r="A6642" s="7" t="s">
        <v>6675</v>
      </c>
      <c r="B6642" s="7" t="s">
        <v>8509</v>
      </c>
      <c r="C6642" s="8">
        <f>QS.CONTEXT.CREATE("market.6640",A6642,"USD","SOFR")</f>
        <v/>
      </c>
      <c r="D6642" s="8">
        <f>QS.CONTEXT.ADD.CURVE(C6642,"SOFR",$K$2:$K$7,$L$2:$L$7,,,"Actual360","LogLinear",TRUE)</f>
        <v/>
      </c>
      <c r="E6642" s="8">
        <f>QS.INSTRUMENT.SWAP("swap.6640",C6642,H6642,B6642,"USD","SOFR",I6642,J6642,0,"Actual360","Simple","Annual","Annual","Annual")</f>
        <v/>
      </c>
      <c r="F6642" s="8">
        <f>QS.TRADE.CREATE("trade.6640",C6642,E6642,A6642,"Receive")</f>
        <v/>
      </c>
      <c r="G6642" s="5"/>
      <c r="H6642" s="7" t="s">
        <v>6682</v>
      </c>
      <c r="I6642" s="9">
        <v>1664000</v>
      </c>
      <c r="J6642" s="10">
        <v>0.03900000000000001</v>
      </c>
    </row>
    <row r="6643" spans="1:10">
      <c r="A6643" s="7" t="s">
        <v>6676</v>
      </c>
      <c r="B6643" s="7" t="s">
        <v>8510</v>
      </c>
      <c r="C6643" s="8">
        <f>QS.CONTEXT.CREATE("market.6641",A6643,"USD","SOFR")</f>
        <v/>
      </c>
      <c r="D6643" s="8">
        <f>QS.CONTEXT.ADD.CURVE(C6643,"SOFR",$K$2:$K$7,$L$2:$L$7,,,"Actual360","LogLinear",TRUE)</f>
        <v/>
      </c>
      <c r="E6643" s="8">
        <f>QS.INSTRUMENT.SWAP("swap.6641",C6643,H6643,B6643,"USD","SOFR",I6643,J6643,0,"Actual360","Simple","Annual","Annual","Annual")</f>
        <v/>
      </c>
      <c r="F6643" s="8">
        <f>QS.TRADE.CREATE("trade.6641",C6643,E6643,A6643,"Receive")</f>
        <v/>
      </c>
      <c r="G6643" s="5"/>
      <c r="H6643" s="7" t="s">
        <v>6683</v>
      </c>
      <c r="I6643" s="9">
        <v>1664100</v>
      </c>
      <c r="J6643" s="10">
        <v>0.0391</v>
      </c>
    </row>
    <row r="6644" spans="1:10">
      <c r="A6644" s="7" t="s">
        <v>6677</v>
      </c>
      <c r="B6644" s="7" t="s">
        <v>8511</v>
      </c>
      <c r="C6644" s="8">
        <f>QS.CONTEXT.CREATE("market.6642",A6644,"USD","SOFR")</f>
        <v/>
      </c>
      <c r="D6644" s="8">
        <f>QS.CONTEXT.ADD.CURVE(C6644,"SOFR",$K$2:$K$7,$L$2:$L$7,,,"Actual360","LogLinear",TRUE)</f>
        <v/>
      </c>
      <c r="E6644" s="8">
        <f>QS.INSTRUMENT.SWAP("swap.6642",C6644,H6644,B6644,"USD","SOFR",I6644,J6644,0,"Actual360","Simple","Annual","Annual","Annual")</f>
        <v/>
      </c>
      <c r="F6644" s="8">
        <f>QS.TRADE.CREATE("trade.6642",C6644,E6644,A6644,"Receive")</f>
        <v/>
      </c>
      <c r="G6644" s="5"/>
      <c r="H6644" s="7" t="s">
        <v>6684</v>
      </c>
      <c r="I6644" s="9">
        <v>1664200</v>
      </c>
      <c r="J6644" s="10">
        <v>0.03920000000000001</v>
      </c>
    </row>
    <row r="6645" spans="1:10">
      <c r="A6645" s="7" t="s">
        <v>6678</v>
      </c>
      <c r="B6645" s="7" t="s">
        <v>8512</v>
      </c>
      <c r="C6645" s="8">
        <f>QS.CONTEXT.CREATE("market.6643",A6645,"USD","SOFR")</f>
        <v/>
      </c>
      <c r="D6645" s="8">
        <f>QS.CONTEXT.ADD.CURVE(C6645,"SOFR",$K$2:$K$7,$L$2:$L$7,,,"Actual360","LogLinear",TRUE)</f>
        <v/>
      </c>
      <c r="E6645" s="8">
        <f>QS.INSTRUMENT.SWAP("swap.6643",C6645,H6645,B6645,"USD","SOFR",I6645,J6645,0,"Actual360","Simple","Annual","Annual","Annual")</f>
        <v/>
      </c>
      <c r="F6645" s="8">
        <f>QS.TRADE.CREATE("trade.6643",C6645,E6645,A6645,"Receive")</f>
        <v/>
      </c>
      <c r="G6645" s="5"/>
      <c r="H6645" s="7" t="s">
        <v>6685</v>
      </c>
      <c r="I6645" s="9">
        <v>1664300</v>
      </c>
      <c r="J6645" s="10">
        <v>0.0393</v>
      </c>
    </row>
    <row r="6646" spans="1:10">
      <c r="A6646" s="7" t="s">
        <v>6679</v>
      </c>
      <c r="B6646" s="7" t="s">
        <v>8513</v>
      </c>
      <c r="C6646" s="8">
        <f>QS.CONTEXT.CREATE("market.6644",A6646,"USD","SOFR")</f>
        <v/>
      </c>
      <c r="D6646" s="8">
        <f>QS.CONTEXT.ADD.CURVE(C6646,"SOFR",$K$2:$K$7,$L$2:$L$7,,,"Actual360","LogLinear",TRUE)</f>
        <v/>
      </c>
      <c r="E6646" s="8">
        <f>QS.INSTRUMENT.SWAP("swap.6644",C6646,H6646,B6646,"USD","SOFR",I6646,J6646,0,"Actual360","Simple","Annual","Annual","Annual")</f>
        <v/>
      </c>
      <c r="F6646" s="8">
        <f>QS.TRADE.CREATE("trade.6644",C6646,E6646,A6646,"Receive")</f>
        <v/>
      </c>
      <c r="G6646" s="5"/>
      <c r="H6646" s="7" t="s">
        <v>6686</v>
      </c>
      <c r="I6646" s="9">
        <v>1664400</v>
      </c>
      <c r="J6646" s="10">
        <v>0.0394</v>
      </c>
    </row>
    <row r="6647" spans="1:10">
      <c r="A6647" s="7" t="s">
        <v>6680</v>
      </c>
      <c r="B6647" s="7" t="s">
        <v>8514</v>
      </c>
      <c r="C6647" s="8">
        <f>QS.CONTEXT.CREATE("market.6645",A6647,"USD","SOFR")</f>
        <v/>
      </c>
      <c r="D6647" s="8">
        <f>QS.CONTEXT.ADD.CURVE(C6647,"SOFR",$K$2:$K$7,$L$2:$L$7,,,"Actual360","LogLinear",TRUE)</f>
        <v/>
      </c>
      <c r="E6647" s="8">
        <f>QS.INSTRUMENT.SWAP("swap.6645",C6647,H6647,B6647,"USD","SOFR",I6647,J6647,0,"Actual360","Simple","Annual","Annual","Annual")</f>
        <v/>
      </c>
      <c r="F6647" s="8">
        <f>QS.TRADE.CREATE("trade.6645",C6647,E6647,A6647,"Receive")</f>
        <v/>
      </c>
      <c r="G6647" s="5"/>
      <c r="H6647" s="7" t="s">
        <v>6687</v>
      </c>
      <c r="I6647" s="9">
        <v>1664500</v>
      </c>
      <c r="J6647" s="10">
        <v>0.03950000000000001</v>
      </c>
    </row>
    <row r="6648" spans="1:10">
      <c r="A6648" s="7" t="s">
        <v>6681</v>
      </c>
      <c r="B6648" s="7" t="s">
        <v>8515</v>
      </c>
      <c r="C6648" s="8">
        <f>QS.CONTEXT.CREATE("market.6646",A6648,"USD","SOFR")</f>
        <v/>
      </c>
      <c r="D6648" s="8">
        <f>QS.CONTEXT.ADD.CURVE(C6648,"SOFR",$K$2:$K$7,$L$2:$L$7,,,"Actual360","LogLinear",TRUE)</f>
        <v/>
      </c>
      <c r="E6648" s="8">
        <f>QS.INSTRUMENT.SWAP("swap.6646",C6648,H6648,B6648,"USD","SOFR",I6648,J6648,0,"Actual360","Simple","Annual","Annual","Annual")</f>
        <v/>
      </c>
      <c r="F6648" s="8">
        <f>QS.TRADE.CREATE("trade.6646",C6648,E6648,A6648,"Receive")</f>
        <v/>
      </c>
      <c r="G6648" s="5"/>
      <c r="H6648" s="7" t="s">
        <v>6688</v>
      </c>
      <c r="I6648" s="9">
        <v>1664600</v>
      </c>
      <c r="J6648" s="10">
        <v>0.0396</v>
      </c>
    </row>
    <row r="6649" spans="1:10">
      <c r="A6649" s="7" t="s">
        <v>6682</v>
      </c>
      <c r="B6649" s="7" t="s">
        <v>8516</v>
      </c>
      <c r="C6649" s="8">
        <f>QS.CONTEXT.CREATE("market.6647",A6649,"USD","SOFR")</f>
        <v/>
      </c>
      <c r="D6649" s="8">
        <f>QS.CONTEXT.ADD.CURVE(C6649,"SOFR",$K$2:$K$7,$L$2:$L$7,,,"Actual360","LogLinear",TRUE)</f>
        <v/>
      </c>
      <c r="E6649" s="8">
        <f>QS.INSTRUMENT.SWAP("swap.6647",C6649,H6649,B6649,"USD","SOFR",I6649,J6649,0,"Actual360","Simple","Annual","Annual","Annual")</f>
        <v/>
      </c>
      <c r="F6649" s="8">
        <f>QS.TRADE.CREATE("trade.6647",C6649,E6649,A6649,"Receive")</f>
        <v/>
      </c>
      <c r="G6649" s="5"/>
      <c r="H6649" s="7" t="s">
        <v>6689</v>
      </c>
      <c r="I6649" s="9">
        <v>1664700</v>
      </c>
      <c r="J6649" s="10">
        <v>0.03970000000000001</v>
      </c>
    </row>
    <row r="6650" spans="1:10">
      <c r="A6650" s="7" t="s">
        <v>6683</v>
      </c>
      <c r="B6650" s="7" t="s">
        <v>8517</v>
      </c>
      <c r="C6650" s="8">
        <f>QS.CONTEXT.CREATE("market.6648",A6650,"USD","SOFR")</f>
        <v/>
      </c>
      <c r="D6650" s="8">
        <f>QS.CONTEXT.ADD.CURVE(C6650,"SOFR",$K$2:$K$7,$L$2:$L$7,,,"Actual360","LogLinear",TRUE)</f>
        <v/>
      </c>
      <c r="E6650" s="8">
        <f>QS.INSTRUMENT.SWAP("swap.6648",C6650,H6650,B6650,"USD","SOFR",I6650,J6650,0,"Actual360","Simple","Annual","Annual","Annual")</f>
        <v/>
      </c>
      <c r="F6650" s="8">
        <f>QS.TRADE.CREATE("trade.6648",C6650,E6650,A6650,"Receive")</f>
        <v/>
      </c>
      <c r="G6650" s="5"/>
      <c r="H6650" s="7" t="s">
        <v>6690</v>
      </c>
      <c r="I6650" s="9">
        <v>1664800</v>
      </c>
      <c r="J6650" s="10">
        <v>0.0398</v>
      </c>
    </row>
    <row r="6651" spans="1:10">
      <c r="A6651" s="7" t="s">
        <v>6684</v>
      </c>
      <c r="B6651" s="7" t="s">
        <v>8518</v>
      </c>
      <c r="C6651" s="8">
        <f>QS.CONTEXT.CREATE("market.6649",A6651,"USD","SOFR")</f>
        <v/>
      </c>
      <c r="D6651" s="8">
        <f>QS.CONTEXT.ADD.CURVE(C6651,"SOFR",$K$2:$K$7,$L$2:$L$7,,,"Actual360","LogLinear",TRUE)</f>
        <v/>
      </c>
      <c r="E6651" s="8">
        <f>QS.INSTRUMENT.SWAP("swap.6649",C6651,H6651,B6651,"USD","SOFR",I6651,J6651,0,"Actual360","Simple","Annual","Annual","Annual")</f>
        <v/>
      </c>
      <c r="F6651" s="8">
        <f>QS.TRADE.CREATE("trade.6649",C6651,E6651,A6651,"Receive")</f>
        <v/>
      </c>
      <c r="G6651" s="5"/>
      <c r="H6651" s="7" t="s">
        <v>6691</v>
      </c>
      <c r="I6651" s="9">
        <v>1664900</v>
      </c>
      <c r="J6651" s="10">
        <v>0.0399</v>
      </c>
    </row>
    <row r="6652" spans="1:10">
      <c r="A6652" s="7" t="s">
        <v>6685</v>
      </c>
      <c r="B6652" s="7" t="s">
        <v>8519</v>
      </c>
      <c r="C6652" s="8">
        <f>QS.CONTEXT.CREATE("market.6650",A6652,"USD","SOFR")</f>
        <v/>
      </c>
      <c r="D6652" s="8">
        <f>QS.CONTEXT.ADD.CURVE(C6652,"SOFR",$K$2:$K$7,$L$2:$L$7,,,"Actual360","LogLinear",TRUE)</f>
        <v/>
      </c>
      <c r="E6652" s="8">
        <f>QS.INSTRUMENT.SWAP("swap.6650",C6652,H6652,B6652,"USD","SOFR",I6652,J6652,0,"Actual360","Simple","Annual","Annual","Annual")</f>
        <v/>
      </c>
      <c r="F6652" s="8">
        <f>QS.TRADE.CREATE("trade.6650",C6652,E6652,A6652,"Receive")</f>
        <v/>
      </c>
      <c r="G6652" s="5"/>
      <c r="H6652" s="7" t="s">
        <v>6692</v>
      </c>
      <c r="I6652" s="9">
        <v>1665000</v>
      </c>
      <c r="J6652" s="10">
        <v>0.035</v>
      </c>
    </row>
    <row r="6653" spans="1:10">
      <c r="A6653" s="7" t="s">
        <v>6686</v>
      </c>
      <c r="B6653" s="7" t="s">
        <v>8520</v>
      </c>
      <c r="C6653" s="8">
        <f>QS.CONTEXT.CREATE("market.6651",A6653,"USD","SOFR")</f>
        <v/>
      </c>
      <c r="D6653" s="8">
        <f>QS.CONTEXT.ADD.CURVE(C6653,"SOFR",$K$2:$K$7,$L$2:$L$7,,,"Actual360","LogLinear",TRUE)</f>
        <v/>
      </c>
      <c r="E6653" s="8">
        <f>QS.INSTRUMENT.SWAP("swap.6651",C6653,H6653,B6653,"USD","SOFR",I6653,J6653,0,"Actual360","Simple","Annual","Annual","Annual")</f>
        <v/>
      </c>
      <c r="F6653" s="8">
        <f>QS.TRADE.CREATE("trade.6651",C6653,E6653,A6653,"Receive")</f>
        <v/>
      </c>
      <c r="G6653" s="5"/>
      <c r="H6653" s="7" t="s">
        <v>6693</v>
      </c>
      <c r="I6653" s="9">
        <v>1665100</v>
      </c>
      <c r="J6653" s="10">
        <v>0.03510000000000001</v>
      </c>
    </row>
    <row r="6654" spans="1:10">
      <c r="A6654" s="7" t="s">
        <v>6687</v>
      </c>
      <c r="B6654" s="7" t="s">
        <v>8521</v>
      </c>
      <c r="C6654" s="8">
        <f>QS.CONTEXT.CREATE("market.6652",A6654,"USD","SOFR")</f>
        <v/>
      </c>
      <c r="D6654" s="8">
        <f>QS.CONTEXT.ADD.CURVE(C6654,"SOFR",$K$2:$K$7,$L$2:$L$7,,,"Actual360","LogLinear",TRUE)</f>
        <v/>
      </c>
      <c r="E6654" s="8">
        <f>QS.INSTRUMENT.SWAP("swap.6652",C6654,H6654,B6654,"USD","SOFR",I6654,J6654,0,"Actual360","Simple","Annual","Annual","Annual")</f>
        <v/>
      </c>
      <c r="F6654" s="8">
        <f>QS.TRADE.CREATE("trade.6652",C6654,E6654,A6654,"Receive")</f>
        <v/>
      </c>
      <c r="G6654" s="5"/>
      <c r="H6654" s="7" t="s">
        <v>6694</v>
      </c>
      <c r="I6654" s="9">
        <v>1665200</v>
      </c>
      <c r="J6654" s="10">
        <v>0.0352</v>
      </c>
    </row>
    <row r="6655" spans="1:10">
      <c r="A6655" s="7" t="s">
        <v>6688</v>
      </c>
      <c r="B6655" s="7" t="s">
        <v>8522</v>
      </c>
      <c r="C6655" s="8">
        <f>QS.CONTEXT.CREATE("market.6653",A6655,"USD","SOFR")</f>
        <v/>
      </c>
      <c r="D6655" s="8">
        <f>QS.CONTEXT.ADD.CURVE(C6655,"SOFR",$K$2:$K$7,$L$2:$L$7,,,"Actual360","LogLinear",TRUE)</f>
        <v/>
      </c>
      <c r="E6655" s="8">
        <f>QS.INSTRUMENT.SWAP("swap.6653",C6655,H6655,B6655,"USD","SOFR",I6655,J6655,0,"Actual360","Simple","Annual","Annual","Annual")</f>
        <v/>
      </c>
      <c r="F6655" s="8">
        <f>QS.TRADE.CREATE("trade.6653",C6655,E6655,A6655,"Receive")</f>
        <v/>
      </c>
      <c r="G6655" s="5"/>
      <c r="H6655" s="7" t="s">
        <v>6695</v>
      </c>
      <c r="I6655" s="9">
        <v>1665300</v>
      </c>
      <c r="J6655" s="10">
        <v>0.0353</v>
      </c>
    </row>
    <row r="6656" spans="1:10">
      <c r="A6656" s="7" t="s">
        <v>6689</v>
      </c>
      <c r="B6656" s="7" t="s">
        <v>8523</v>
      </c>
      <c r="C6656" s="8">
        <f>QS.CONTEXT.CREATE("market.6654",A6656,"USD","SOFR")</f>
        <v/>
      </c>
      <c r="D6656" s="8">
        <f>QS.CONTEXT.ADD.CURVE(C6656,"SOFR",$K$2:$K$7,$L$2:$L$7,,,"Actual360","LogLinear",TRUE)</f>
        <v/>
      </c>
      <c r="E6656" s="8">
        <f>QS.INSTRUMENT.SWAP("swap.6654",C6656,H6656,B6656,"USD","SOFR",I6656,J6656,0,"Actual360","Simple","Annual","Annual","Annual")</f>
        <v/>
      </c>
      <c r="F6656" s="8">
        <f>QS.TRADE.CREATE("trade.6654",C6656,E6656,A6656,"Receive")</f>
        <v/>
      </c>
      <c r="G6656" s="5"/>
      <c r="H6656" s="7" t="s">
        <v>6696</v>
      </c>
      <c r="I6656" s="9">
        <v>1665400</v>
      </c>
      <c r="J6656" s="10">
        <v>0.0354</v>
      </c>
    </row>
    <row r="6657" spans="1:10">
      <c r="A6657" s="7" t="s">
        <v>6690</v>
      </c>
      <c r="B6657" s="7" t="s">
        <v>8524</v>
      </c>
      <c r="C6657" s="8">
        <f>QS.CONTEXT.CREATE("market.6655",A6657,"USD","SOFR")</f>
        <v/>
      </c>
      <c r="D6657" s="8">
        <f>QS.CONTEXT.ADD.CURVE(C6657,"SOFR",$K$2:$K$7,$L$2:$L$7,,,"Actual360","LogLinear",TRUE)</f>
        <v/>
      </c>
      <c r="E6657" s="8">
        <f>QS.INSTRUMENT.SWAP("swap.6655",C6657,H6657,B6657,"USD","SOFR",I6657,J6657,0,"Actual360","Simple","Annual","Annual","Annual")</f>
        <v/>
      </c>
      <c r="F6657" s="8">
        <f>QS.TRADE.CREATE("trade.6655",C6657,E6657,A6657,"Receive")</f>
        <v/>
      </c>
      <c r="G6657" s="5"/>
      <c r="H6657" s="7" t="s">
        <v>6697</v>
      </c>
      <c r="I6657" s="9">
        <v>1665500</v>
      </c>
      <c r="J6657" s="10">
        <v>0.0355</v>
      </c>
    </row>
    <row r="6658" spans="1:10">
      <c r="A6658" s="7" t="s">
        <v>6691</v>
      </c>
      <c r="B6658" s="7" t="s">
        <v>8525</v>
      </c>
      <c r="C6658" s="8">
        <f>QS.CONTEXT.CREATE("market.6656",A6658,"USD","SOFR")</f>
        <v/>
      </c>
      <c r="D6658" s="8">
        <f>QS.CONTEXT.ADD.CURVE(C6658,"SOFR",$K$2:$K$7,$L$2:$L$7,,,"Actual360","LogLinear",TRUE)</f>
        <v/>
      </c>
      <c r="E6658" s="8">
        <f>QS.INSTRUMENT.SWAP("swap.6656",C6658,H6658,B6658,"USD","SOFR",I6658,J6658,0,"Actual360","Simple","Annual","Annual","Annual")</f>
        <v/>
      </c>
      <c r="F6658" s="8">
        <f>QS.TRADE.CREATE("trade.6656",C6658,E6658,A6658,"Receive")</f>
        <v/>
      </c>
      <c r="G6658" s="5"/>
      <c r="H6658" s="7" t="s">
        <v>6698</v>
      </c>
      <c r="I6658" s="9">
        <v>1665600</v>
      </c>
      <c r="J6658" s="10">
        <v>0.03560000000000001</v>
      </c>
    </row>
    <row r="6659" spans="1:10">
      <c r="A6659" s="7" t="s">
        <v>6692</v>
      </c>
      <c r="B6659" s="7" t="s">
        <v>8526</v>
      </c>
      <c r="C6659" s="8">
        <f>QS.CONTEXT.CREATE("market.6657",A6659,"USD","SOFR")</f>
        <v/>
      </c>
      <c r="D6659" s="8">
        <f>QS.CONTEXT.ADD.CURVE(C6659,"SOFR",$K$2:$K$7,$L$2:$L$7,,,"Actual360","LogLinear",TRUE)</f>
        <v/>
      </c>
      <c r="E6659" s="8">
        <f>QS.INSTRUMENT.SWAP("swap.6657",C6659,H6659,B6659,"USD","SOFR",I6659,J6659,0,"Actual360","Simple","Annual","Annual","Annual")</f>
        <v/>
      </c>
      <c r="F6659" s="8">
        <f>QS.TRADE.CREATE("trade.6657",C6659,E6659,A6659,"Receive")</f>
        <v/>
      </c>
      <c r="G6659" s="5"/>
      <c r="H6659" s="7" t="s">
        <v>6699</v>
      </c>
      <c r="I6659" s="9">
        <v>1665700</v>
      </c>
      <c r="J6659" s="10">
        <v>0.0357</v>
      </c>
    </row>
    <row r="6660" spans="1:10">
      <c r="A6660" s="7" t="s">
        <v>6693</v>
      </c>
      <c r="B6660" s="7" t="s">
        <v>8527</v>
      </c>
      <c r="C6660" s="8">
        <f>QS.CONTEXT.CREATE("market.6658",A6660,"USD","SOFR")</f>
        <v/>
      </c>
      <c r="D6660" s="8">
        <f>QS.CONTEXT.ADD.CURVE(C6660,"SOFR",$K$2:$K$7,$L$2:$L$7,,,"Actual360","LogLinear",TRUE)</f>
        <v/>
      </c>
      <c r="E6660" s="8">
        <f>QS.INSTRUMENT.SWAP("swap.6658",C6660,H6660,B6660,"USD","SOFR",I6660,J6660,0,"Actual360","Simple","Annual","Annual","Annual")</f>
        <v/>
      </c>
      <c r="F6660" s="8">
        <f>QS.TRADE.CREATE("trade.6658",C6660,E6660,A6660,"Receive")</f>
        <v/>
      </c>
      <c r="G6660" s="5"/>
      <c r="H6660" s="7" t="s">
        <v>6700</v>
      </c>
      <c r="I6660" s="9">
        <v>1665800</v>
      </c>
      <c r="J6660" s="10">
        <v>0.03580000000000001</v>
      </c>
    </row>
    <row r="6661" spans="1:10">
      <c r="A6661" s="7" t="s">
        <v>6694</v>
      </c>
      <c r="B6661" s="7" t="s">
        <v>8528</v>
      </c>
      <c r="C6661" s="8">
        <f>QS.CONTEXT.CREATE("market.6659",A6661,"USD","SOFR")</f>
        <v/>
      </c>
      <c r="D6661" s="8">
        <f>QS.CONTEXT.ADD.CURVE(C6661,"SOFR",$K$2:$K$7,$L$2:$L$7,,,"Actual360","LogLinear",TRUE)</f>
        <v/>
      </c>
      <c r="E6661" s="8">
        <f>QS.INSTRUMENT.SWAP("swap.6659",C6661,H6661,B6661,"USD","SOFR",I6661,J6661,0,"Actual360","Simple","Annual","Annual","Annual")</f>
        <v/>
      </c>
      <c r="F6661" s="8">
        <f>QS.TRADE.CREATE("trade.6659",C6661,E6661,A6661,"Receive")</f>
        <v/>
      </c>
      <c r="G6661" s="5"/>
      <c r="H6661" s="7" t="s">
        <v>6701</v>
      </c>
      <c r="I6661" s="9">
        <v>1665900</v>
      </c>
      <c r="J6661" s="10">
        <v>0.0359</v>
      </c>
    </row>
    <row r="6662" spans="1:10">
      <c r="A6662" s="7" t="s">
        <v>6695</v>
      </c>
      <c r="B6662" s="7" t="s">
        <v>8529</v>
      </c>
      <c r="C6662" s="8">
        <f>QS.CONTEXT.CREATE("market.6660",A6662,"USD","SOFR")</f>
        <v/>
      </c>
      <c r="D6662" s="8">
        <f>QS.CONTEXT.ADD.CURVE(C6662,"SOFR",$K$2:$K$7,$L$2:$L$7,,,"Actual360","LogLinear",TRUE)</f>
        <v/>
      </c>
      <c r="E6662" s="8">
        <f>QS.INSTRUMENT.SWAP("swap.6660",C6662,H6662,B6662,"USD","SOFR",I6662,J6662,0,"Actual360","Simple","Annual","Annual","Annual")</f>
        <v/>
      </c>
      <c r="F6662" s="8">
        <f>QS.TRADE.CREATE("trade.6660",C6662,E6662,A6662,"Receive")</f>
        <v/>
      </c>
      <c r="G6662" s="5"/>
      <c r="H6662" s="7" t="s">
        <v>6702</v>
      </c>
      <c r="I6662" s="9">
        <v>1666000</v>
      </c>
      <c r="J6662" s="10">
        <v>0.036</v>
      </c>
    </row>
    <row r="6663" spans="1:10">
      <c r="A6663" s="7" t="s">
        <v>6696</v>
      </c>
      <c r="B6663" s="7" t="s">
        <v>8530</v>
      </c>
      <c r="C6663" s="8">
        <f>QS.CONTEXT.CREATE("market.6661",A6663,"USD","SOFR")</f>
        <v/>
      </c>
      <c r="D6663" s="8">
        <f>QS.CONTEXT.ADD.CURVE(C6663,"SOFR",$K$2:$K$7,$L$2:$L$7,,,"Actual360","LogLinear",TRUE)</f>
        <v/>
      </c>
      <c r="E6663" s="8">
        <f>QS.INSTRUMENT.SWAP("swap.6661",C6663,H6663,B6663,"USD","SOFR",I6663,J6663,0,"Actual360","Simple","Annual","Annual","Annual")</f>
        <v/>
      </c>
      <c r="F6663" s="8">
        <f>QS.TRADE.CREATE("trade.6661",C6663,E6663,A6663,"Receive")</f>
        <v/>
      </c>
      <c r="G6663" s="5"/>
      <c r="H6663" s="7" t="s">
        <v>6703</v>
      </c>
      <c r="I6663" s="9">
        <v>1666100</v>
      </c>
      <c r="J6663" s="10">
        <v>0.0361</v>
      </c>
    </row>
    <row r="6664" spans="1:10">
      <c r="A6664" s="7" t="s">
        <v>6697</v>
      </c>
      <c r="B6664" s="7" t="s">
        <v>8531</v>
      </c>
      <c r="C6664" s="8">
        <f>QS.CONTEXT.CREATE("market.6662",A6664,"USD","SOFR")</f>
        <v/>
      </c>
      <c r="D6664" s="8">
        <f>QS.CONTEXT.ADD.CURVE(C6664,"SOFR",$K$2:$K$7,$L$2:$L$7,,,"Actual360","LogLinear",TRUE)</f>
        <v/>
      </c>
      <c r="E6664" s="8">
        <f>QS.INSTRUMENT.SWAP("swap.6662",C6664,H6664,B6664,"USD","SOFR",I6664,J6664,0,"Actual360","Simple","Annual","Annual","Annual")</f>
        <v/>
      </c>
      <c r="F6664" s="8">
        <f>QS.TRADE.CREATE("trade.6662",C6664,E6664,A6664,"Receive")</f>
        <v/>
      </c>
      <c r="G6664" s="5"/>
      <c r="H6664" s="7" t="s">
        <v>6704</v>
      </c>
      <c r="I6664" s="9">
        <v>1666200</v>
      </c>
      <c r="J6664" s="10">
        <v>0.0362</v>
      </c>
    </row>
    <row r="6665" spans="1:10">
      <c r="A6665" s="7" t="s">
        <v>6698</v>
      </c>
      <c r="B6665" s="7" t="s">
        <v>8532</v>
      </c>
      <c r="C6665" s="8">
        <f>QS.CONTEXT.CREATE("market.6663",A6665,"USD","SOFR")</f>
        <v/>
      </c>
      <c r="D6665" s="8">
        <f>QS.CONTEXT.ADD.CURVE(C6665,"SOFR",$K$2:$K$7,$L$2:$L$7,,,"Actual360","LogLinear",TRUE)</f>
        <v/>
      </c>
      <c r="E6665" s="8">
        <f>QS.INSTRUMENT.SWAP("swap.6663",C6665,H6665,B6665,"USD","SOFR",I6665,J6665,0,"Actual360","Simple","Annual","Annual","Annual")</f>
        <v/>
      </c>
      <c r="F6665" s="8">
        <f>QS.TRADE.CREATE("trade.6663",C6665,E6665,A6665,"Receive")</f>
        <v/>
      </c>
      <c r="G6665" s="5"/>
      <c r="H6665" s="7" t="s">
        <v>6705</v>
      </c>
      <c r="I6665" s="9">
        <v>1666300</v>
      </c>
      <c r="J6665" s="10">
        <v>0.03630000000000001</v>
      </c>
    </row>
    <row r="6666" spans="1:10">
      <c r="A6666" s="7" t="s">
        <v>6699</v>
      </c>
      <c r="B6666" s="7" t="s">
        <v>8533</v>
      </c>
      <c r="C6666" s="8">
        <f>QS.CONTEXT.CREATE("market.6664",A6666,"USD","SOFR")</f>
        <v/>
      </c>
      <c r="D6666" s="8">
        <f>QS.CONTEXT.ADD.CURVE(C6666,"SOFR",$K$2:$K$7,$L$2:$L$7,,,"Actual360","LogLinear",TRUE)</f>
        <v/>
      </c>
      <c r="E6666" s="8">
        <f>QS.INSTRUMENT.SWAP("swap.6664",C6666,H6666,B6666,"USD","SOFR",I6666,J6666,0,"Actual360","Simple","Annual","Annual","Annual")</f>
        <v/>
      </c>
      <c r="F6666" s="8">
        <f>QS.TRADE.CREATE("trade.6664",C6666,E6666,A6666,"Receive")</f>
        <v/>
      </c>
      <c r="G6666" s="5"/>
      <c r="H6666" s="7" t="s">
        <v>6706</v>
      </c>
      <c r="I6666" s="9">
        <v>1666400</v>
      </c>
      <c r="J6666" s="10">
        <v>0.0364</v>
      </c>
    </row>
    <row r="6667" spans="1:10">
      <c r="A6667" s="7" t="s">
        <v>6700</v>
      </c>
      <c r="B6667" s="7" t="s">
        <v>8534</v>
      </c>
      <c r="C6667" s="8">
        <f>QS.CONTEXT.CREATE("market.6665",A6667,"USD","SOFR")</f>
        <v/>
      </c>
      <c r="D6667" s="8">
        <f>QS.CONTEXT.ADD.CURVE(C6667,"SOFR",$K$2:$K$7,$L$2:$L$7,,,"Actual360","LogLinear",TRUE)</f>
        <v/>
      </c>
      <c r="E6667" s="8">
        <f>QS.INSTRUMENT.SWAP("swap.6665",C6667,H6667,B6667,"USD","SOFR",I6667,J6667,0,"Actual360","Simple","Annual","Annual","Annual")</f>
        <v/>
      </c>
      <c r="F6667" s="8">
        <f>QS.TRADE.CREATE("trade.6665",C6667,E6667,A6667,"Receive")</f>
        <v/>
      </c>
      <c r="G6667" s="5"/>
      <c r="H6667" s="7" t="s">
        <v>6707</v>
      </c>
      <c r="I6667" s="9">
        <v>1666500</v>
      </c>
      <c r="J6667" s="10">
        <v>0.0365</v>
      </c>
    </row>
    <row r="6668" spans="1:10">
      <c r="A6668" s="7" t="s">
        <v>6701</v>
      </c>
      <c r="B6668" s="7" t="s">
        <v>8535</v>
      </c>
      <c r="C6668" s="8">
        <f>QS.CONTEXT.CREATE("market.6666",A6668,"USD","SOFR")</f>
        <v/>
      </c>
      <c r="D6668" s="8">
        <f>QS.CONTEXT.ADD.CURVE(C6668,"SOFR",$K$2:$K$7,$L$2:$L$7,,,"Actual360","LogLinear",TRUE)</f>
        <v/>
      </c>
      <c r="E6668" s="8">
        <f>QS.INSTRUMENT.SWAP("swap.6666",C6668,H6668,B6668,"USD","SOFR",I6668,J6668,0,"Actual360","Simple","Annual","Annual","Annual")</f>
        <v/>
      </c>
      <c r="F6668" s="8">
        <f>QS.TRADE.CREATE("trade.6666",C6668,E6668,A6668,"Receive")</f>
        <v/>
      </c>
      <c r="G6668" s="5"/>
      <c r="H6668" s="7" t="s">
        <v>6708</v>
      </c>
      <c r="I6668" s="9">
        <v>1666600</v>
      </c>
      <c r="J6668" s="10">
        <v>0.0366</v>
      </c>
    </row>
    <row r="6669" spans="1:10">
      <c r="A6669" s="7" t="s">
        <v>6702</v>
      </c>
      <c r="B6669" s="7" t="s">
        <v>8536</v>
      </c>
      <c r="C6669" s="8">
        <f>QS.CONTEXT.CREATE("market.6667",A6669,"USD","SOFR")</f>
        <v/>
      </c>
      <c r="D6669" s="8">
        <f>QS.CONTEXT.ADD.CURVE(C6669,"SOFR",$K$2:$K$7,$L$2:$L$7,,,"Actual360","LogLinear",TRUE)</f>
        <v/>
      </c>
      <c r="E6669" s="8">
        <f>QS.INSTRUMENT.SWAP("swap.6667",C6669,H6669,B6669,"USD","SOFR",I6669,J6669,0,"Actual360","Simple","Annual","Annual","Annual")</f>
        <v/>
      </c>
      <c r="F6669" s="8">
        <f>QS.TRADE.CREATE("trade.6667",C6669,E6669,A6669,"Receive")</f>
        <v/>
      </c>
      <c r="G6669" s="5"/>
      <c r="H6669" s="7" t="s">
        <v>6709</v>
      </c>
      <c r="I6669" s="9">
        <v>1666700</v>
      </c>
      <c r="J6669" s="10">
        <v>0.0367</v>
      </c>
    </row>
    <row r="6670" spans="1:10">
      <c r="A6670" s="7" t="s">
        <v>6703</v>
      </c>
      <c r="B6670" s="7" t="s">
        <v>8537</v>
      </c>
      <c r="C6670" s="8">
        <f>QS.CONTEXT.CREATE("market.6668",A6670,"USD","SOFR")</f>
        <v/>
      </c>
      <c r="D6670" s="8">
        <f>QS.CONTEXT.ADD.CURVE(C6670,"SOFR",$K$2:$K$7,$L$2:$L$7,,,"Actual360","LogLinear",TRUE)</f>
        <v/>
      </c>
      <c r="E6670" s="8">
        <f>QS.INSTRUMENT.SWAP("swap.6668",C6670,H6670,B6670,"USD","SOFR",I6670,J6670,0,"Actual360","Simple","Annual","Annual","Annual")</f>
        <v/>
      </c>
      <c r="F6670" s="8">
        <f>QS.TRADE.CREATE("trade.6668",C6670,E6670,A6670,"Receive")</f>
        <v/>
      </c>
      <c r="G6670" s="5"/>
      <c r="H6670" s="7" t="s">
        <v>6710</v>
      </c>
      <c r="I6670" s="9">
        <v>1666800</v>
      </c>
      <c r="J6670" s="10">
        <v>0.03680000000000001</v>
      </c>
    </row>
    <row r="6671" spans="1:10">
      <c r="A6671" s="7" t="s">
        <v>6704</v>
      </c>
      <c r="B6671" s="7" t="s">
        <v>8538</v>
      </c>
      <c r="C6671" s="8">
        <f>QS.CONTEXT.CREATE("market.6669",A6671,"USD","SOFR")</f>
        <v/>
      </c>
      <c r="D6671" s="8">
        <f>QS.CONTEXT.ADD.CURVE(C6671,"SOFR",$K$2:$K$7,$L$2:$L$7,,,"Actual360","LogLinear",TRUE)</f>
        <v/>
      </c>
      <c r="E6671" s="8">
        <f>QS.INSTRUMENT.SWAP("swap.6669",C6671,H6671,B6671,"USD","SOFR",I6671,J6671,0,"Actual360","Simple","Annual","Annual","Annual")</f>
        <v/>
      </c>
      <c r="F6671" s="8">
        <f>QS.TRADE.CREATE("trade.6669",C6671,E6671,A6671,"Receive")</f>
        <v/>
      </c>
      <c r="G6671" s="5"/>
      <c r="H6671" s="7" t="s">
        <v>6711</v>
      </c>
      <c r="I6671" s="9">
        <v>1666900</v>
      </c>
      <c r="J6671" s="10">
        <v>0.0369</v>
      </c>
    </row>
    <row r="6672" spans="1:10">
      <c r="A6672" s="7" t="s">
        <v>6705</v>
      </c>
      <c r="B6672" s="7" t="s">
        <v>8539</v>
      </c>
      <c r="C6672" s="8">
        <f>QS.CONTEXT.CREATE("market.6670",A6672,"USD","SOFR")</f>
        <v/>
      </c>
      <c r="D6672" s="8">
        <f>QS.CONTEXT.ADD.CURVE(C6672,"SOFR",$K$2:$K$7,$L$2:$L$7,,,"Actual360","LogLinear",TRUE)</f>
        <v/>
      </c>
      <c r="E6672" s="8">
        <f>QS.INSTRUMENT.SWAP("swap.6670",C6672,H6672,B6672,"USD","SOFR",I6672,J6672,0,"Actual360","Simple","Annual","Annual","Annual")</f>
        <v/>
      </c>
      <c r="F6672" s="8">
        <f>QS.TRADE.CREATE("trade.6670",C6672,E6672,A6672,"Receive")</f>
        <v/>
      </c>
      <c r="G6672" s="5"/>
      <c r="H6672" s="7" t="s">
        <v>6712</v>
      </c>
      <c r="I6672" s="9">
        <v>1667000</v>
      </c>
      <c r="J6672" s="10">
        <v>0.03700000000000001</v>
      </c>
    </row>
    <row r="6673" spans="1:10">
      <c r="A6673" s="7" t="s">
        <v>6706</v>
      </c>
      <c r="B6673" s="7" t="s">
        <v>8540</v>
      </c>
      <c r="C6673" s="8">
        <f>QS.CONTEXT.CREATE("market.6671",A6673,"USD","SOFR")</f>
        <v/>
      </c>
      <c r="D6673" s="8">
        <f>QS.CONTEXT.ADD.CURVE(C6673,"SOFR",$K$2:$K$7,$L$2:$L$7,,,"Actual360","LogLinear",TRUE)</f>
        <v/>
      </c>
      <c r="E6673" s="8">
        <f>QS.INSTRUMENT.SWAP("swap.6671",C6673,H6673,B6673,"USD","SOFR",I6673,J6673,0,"Actual360","Simple","Annual","Annual","Annual")</f>
        <v/>
      </c>
      <c r="F6673" s="8">
        <f>QS.TRADE.CREATE("trade.6671",C6673,E6673,A6673,"Receive")</f>
        <v/>
      </c>
      <c r="G6673" s="5"/>
      <c r="H6673" s="7" t="s">
        <v>6713</v>
      </c>
      <c r="I6673" s="9">
        <v>1667100</v>
      </c>
      <c r="J6673" s="10">
        <v>0.0371</v>
      </c>
    </row>
    <row r="6674" spans="1:10">
      <c r="A6674" s="7" t="s">
        <v>6707</v>
      </c>
      <c r="B6674" s="7" t="s">
        <v>8541</v>
      </c>
      <c r="C6674" s="8">
        <f>QS.CONTEXT.CREATE("market.6672",A6674,"USD","SOFR")</f>
        <v/>
      </c>
      <c r="D6674" s="8">
        <f>QS.CONTEXT.ADD.CURVE(C6674,"SOFR",$K$2:$K$7,$L$2:$L$7,,,"Actual360","LogLinear",TRUE)</f>
        <v/>
      </c>
      <c r="E6674" s="8">
        <f>QS.INSTRUMENT.SWAP("swap.6672",C6674,H6674,B6674,"USD","SOFR",I6674,J6674,0,"Actual360","Simple","Annual","Annual","Annual")</f>
        <v/>
      </c>
      <c r="F6674" s="8">
        <f>QS.TRADE.CREATE("trade.6672",C6674,E6674,A6674,"Receive")</f>
        <v/>
      </c>
      <c r="G6674" s="5"/>
      <c r="H6674" s="7" t="s">
        <v>6714</v>
      </c>
      <c r="I6674" s="9">
        <v>1667200</v>
      </c>
      <c r="J6674" s="10">
        <v>0.0372</v>
      </c>
    </row>
    <row r="6675" spans="1:10">
      <c r="A6675" s="7" t="s">
        <v>6708</v>
      </c>
      <c r="B6675" s="7" t="s">
        <v>8542</v>
      </c>
      <c r="C6675" s="8">
        <f>QS.CONTEXT.CREATE("market.6673",A6675,"USD","SOFR")</f>
        <v/>
      </c>
      <c r="D6675" s="8">
        <f>QS.CONTEXT.ADD.CURVE(C6675,"SOFR",$K$2:$K$7,$L$2:$L$7,,,"Actual360","LogLinear",TRUE)</f>
        <v/>
      </c>
      <c r="E6675" s="8">
        <f>QS.INSTRUMENT.SWAP("swap.6673",C6675,H6675,B6675,"USD","SOFR",I6675,J6675,0,"Actual360","Simple","Annual","Annual","Annual")</f>
        <v/>
      </c>
      <c r="F6675" s="8">
        <f>QS.TRADE.CREATE("trade.6673",C6675,E6675,A6675,"Receive")</f>
        <v/>
      </c>
      <c r="G6675" s="5"/>
      <c r="H6675" s="7" t="s">
        <v>6715</v>
      </c>
      <c r="I6675" s="9">
        <v>1667300</v>
      </c>
      <c r="J6675" s="10">
        <v>0.0373</v>
      </c>
    </row>
    <row r="6676" spans="1:10">
      <c r="A6676" s="7" t="s">
        <v>6709</v>
      </c>
      <c r="B6676" s="7" t="s">
        <v>8543</v>
      </c>
      <c r="C6676" s="8">
        <f>QS.CONTEXT.CREATE("market.6674",A6676,"USD","SOFR")</f>
        <v/>
      </c>
      <c r="D6676" s="8">
        <f>QS.CONTEXT.ADD.CURVE(C6676,"SOFR",$K$2:$K$7,$L$2:$L$7,,,"Actual360","LogLinear",TRUE)</f>
        <v/>
      </c>
      <c r="E6676" s="8">
        <f>QS.INSTRUMENT.SWAP("swap.6674",C6676,H6676,B6676,"USD","SOFR",I6676,J6676,0,"Actual360","Simple","Annual","Annual","Annual")</f>
        <v/>
      </c>
      <c r="F6676" s="8">
        <f>QS.TRADE.CREATE("trade.6674",C6676,E6676,A6676,"Receive")</f>
        <v/>
      </c>
      <c r="G6676" s="5"/>
      <c r="H6676" s="7" t="s">
        <v>6716</v>
      </c>
      <c r="I6676" s="9">
        <v>1667400</v>
      </c>
      <c r="J6676" s="10">
        <v>0.0374</v>
      </c>
    </row>
    <row r="6677" spans="1:10">
      <c r="A6677" s="7" t="s">
        <v>6710</v>
      </c>
      <c r="B6677" s="7" t="s">
        <v>8544</v>
      </c>
      <c r="C6677" s="8">
        <f>QS.CONTEXT.CREATE("market.6675",A6677,"USD","SOFR")</f>
        <v/>
      </c>
      <c r="D6677" s="8">
        <f>QS.CONTEXT.ADD.CURVE(C6677,"SOFR",$K$2:$K$7,$L$2:$L$7,,,"Actual360","LogLinear",TRUE)</f>
        <v/>
      </c>
      <c r="E6677" s="8">
        <f>QS.INSTRUMENT.SWAP("swap.6675",C6677,H6677,B6677,"USD","SOFR",I6677,J6677,0,"Actual360","Simple","Annual","Annual","Annual")</f>
        <v/>
      </c>
      <c r="F6677" s="8">
        <f>QS.TRADE.CREATE("trade.6675",C6677,E6677,A6677,"Receive")</f>
        <v/>
      </c>
      <c r="G6677" s="5"/>
      <c r="H6677" s="7" t="s">
        <v>6717</v>
      </c>
      <c r="I6677" s="9">
        <v>1667500</v>
      </c>
      <c r="J6677" s="10">
        <v>0.03750000000000001</v>
      </c>
    </row>
    <row r="6678" spans="1:10">
      <c r="A6678" s="7" t="s">
        <v>6711</v>
      </c>
      <c r="B6678" s="7" t="s">
        <v>8545</v>
      </c>
      <c r="C6678" s="8">
        <f>QS.CONTEXT.CREATE("market.6676",A6678,"USD","SOFR")</f>
        <v/>
      </c>
      <c r="D6678" s="8">
        <f>QS.CONTEXT.ADD.CURVE(C6678,"SOFR",$K$2:$K$7,$L$2:$L$7,,,"Actual360","LogLinear",TRUE)</f>
        <v/>
      </c>
      <c r="E6678" s="8">
        <f>QS.INSTRUMENT.SWAP("swap.6676",C6678,H6678,B6678,"USD","SOFR",I6678,J6678,0,"Actual360","Simple","Annual","Annual","Annual")</f>
        <v/>
      </c>
      <c r="F6678" s="8">
        <f>QS.TRADE.CREATE("trade.6676",C6678,E6678,A6678,"Receive")</f>
        <v/>
      </c>
      <c r="G6678" s="5"/>
      <c r="H6678" s="7" t="s">
        <v>6718</v>
      </c>
      <c r="I6678" s="9">
        <v>1667600</v>
      </c>
      <c r="J6678" s="10">
        <v>0.0376</v>
      </c>
    </row>
    <row r="6679" spans="1:10">
      <c r="A6679" s="7" t="s">
        <v>6712</v>
      </c>
      <c r="B6679" s="7" t="s">
        <v>8546</v>
      </c>
      <c r="C6679" s="8">
        <f>QS.CONTEXT.CREATE("market.6677",A6679,"USD","SOFR")</f>
        <v/>
      </c>
      <c r="D6679" s="8">
        <f>QS.CONTEXT.ADD.CURVE(C6679,"SOFR",$K$2:$K$7,$L$2:$L$7,,,"Actual360","LogLinear",TRUE)</f>
        <v/>
      </c>
      <c r="E6679" s="8">
        <f>QS.INSTRUMENT.SWAP("swap.6677",C6679,H6679,B6679,"USD","SOFR",I6679,J6679,0,"Actual360","Simple","Annual","Annual","Annual")</f>
        <v/>
      </c>
      <c r="F6679" s="8">
        <f>QS.TRADE.CREATE("trade.6677",C6679,E6679,A6679,"Receive")</f>
        <v/>
      </c>
      <c r="G6679" s="5"/>
      <c r="H6679" s="7" t="s">
        <v>6719</v>
      </c>
      <c r="I6679" s="9">
        <v>1667700</v>
      </c>
      <c r="J6679" s="10">
        <v>0.0377</v>
      </c>
    </row>
    <row r="6680" spans="1:10">
      <c r="A6680" s="7" t="s">
        <v>6713</v>
      </c>
      <c r="B6680" s="7" t="s">
        <v>8547</v>
      </c>
      <c r="C6680" s="8">
        <f>QS.CONTEXT.CREATE("market.6678",A6680,"USD","SOFR")</f>
        <v/>
      </c>
      <c r="D6680" s="8">
        <f>QS.CONTEXT.ADD.CURVE(C6680,"SOFR",$K$2:$K$7,$L$2:$L$7,,,"Actual360","LogLinear",TRUE)</f>
        <v/>
      </c>
      <c r="E6680" s="8">
        <f>QS.INSTRUMENT.SWAP("swap.6678",C6680,H6680,B6680,"USD","SOFR",I6680,J6680,0,"Actual360","Simple","Annual","Annual","Annual")</f>
        <v/>
      </c>
      <c r="F6680" s="8">
        <f>QS.TRADE.CREATE("trade.6678",C6680,E6680,A6680,"Receive")</f>
        <v/>
      </c>
      <c r="G6680" s="5"/>
      <c r="H6680" s="7" t="s">
        <v>6720</v>
      </c>
      <c r="I6680" s="9">
        <v>1667800</v>
      </c>
      <c r="J6680" s="10">
        <v>0.0378</v>
      </c>
    </row>
    <row r="6681" spans="1:10">
      <c r="A6681" s="7" t="s">
        <v>6714</v>
      </c>
      <c r="B6681" s="7" t="s">
        <v>8548</v>
      </c>
      <c r="C6681" s="8">
        <f>QS.CONTEXT.CREATE("market.6679",A6681,"USD","SOFR")</f>
        <v/>
      </c>
      <c r="D6681" s="8">
        <f>QS.CONTEXT.ADD.CURVE(C6681,"SOFR",$K$2:$K$7,$L$2:$L$7,,,"Actual360","LogLinear",TRUE)</f>
        <v/>
      </c>
      <c r="E6681" s="8">
        <f>QS.INSTRUMENT.SWAP("swap.6679",C6681,H6681,B6681,"USD","SOFR",I6681,J6681,0,"Actual360","Simple","Annual","Annual","Annual")</f>
        <v/>
      </c>
      <c r="F6681" s="8">
        <f>QS.TRADE.CREATE("trade.6679",C6681,E6681,A6681,"Receive")</f>
        <v/>
      </c>
      <c r="G6681" s="5"/>
      <c r="H6681" s="7" t="s">
        <v>6721</v>
      </c>
      <c r="I6681" s="9">
        <v>1667900</v>
      </c>
      <c r="J6681" s="10">
        <v>0.0379</v>
      </c>
    </row>
    <row r="6682" spans="1:10">
      <c r="A6682" s="7" t="s">
        <v>6715</v>
      </c>
      <c r="B6682" s="7" t="s">
        <v>8549</v>
      </c>
      <c r="C6682" s="8">
        <f>QS.CONTEXT.CREATE("market.6680",A6682,"USD","SOFR")</f>
        <v/>
      </c>
      <c r="D6682" s="8">
        <f>QS.CONTEXT.ADD.CURVE(C6682,"SOFR",$K$2:$K$7,$L$2:$L$7,,,"Actual360","LogLinear",TRUE)</f>
        <v/>
      </c>
      <c r="E6682" s="8">
        <f>QS.INSTRUMENT.SWAP("swap.6680",C6682,H6682,B6682,"USD","SOFR",I6682,J6682,0,"Actual360","Simple","Annual","Annual","Annual")</f>
        <v/>
      </c>
      <c r="F6682" s="8">
        <f>QS.TRADE.CREATE("trade.6680",C6682,E6682,A6682,"Receive")</f>
        <v/>
      </c>
      <c r="G6682" s="5"/>
      <c r="H6682" s="7" t="s">
        <v>6722</v>
      </c>
      <c r="I6682" s="9">
        <v>1668000</v>
      </c>
      <c r="J6682" s="10">
        <v>0.03800000000000001</v>
      </c>
    </row>
    <row r="6683" spans="1:10">
      <c r="A6683" s="7" t="s">
        <v>6716</v>
      </c>
      <c r="B6683" s="7" t="s">
        <v>8550</v>
      </c>
      <c r="C6683" s="8">
        <f>QS.CONTEXT.CREATE("market.6681",A6683,"USD","SOFR")</f>
        <v/>
      </c>
      <c r="D6683" s="8">
        <f>QS.CONTEXT.ADD.CURVE(C6683,"SOFR",$K$2:$K$7,$L$2:$L$7,,,"Actual360","LogLinear",TRUE)</f>
        <v/>
      </c>
      <c r="E6683" s="8">
        <f>QS.INSTRUMENT.SWAP("swap.6681",C6683,H6683,B6683,"USD","SOFR",I6683,J6683,0,"Actual360","Simple","Annual","Annual","Annual")</f>
        <v/>
      </c>
      <c r="F6683" s="8">
        <f>QS.TRADE.CREATE("trade.6681",C6683,E6683,A6683,"Receive")</f>
        <v/>
      </c>
      <c r="G6683" s="5"/>
      <c r="H6683" s="7" t="s">
        <v>6723</v>
      </c>
      <c r="I6683" s="9">
        <v>1668100</v>
      </c>
      <c r="J6683" s="10">
        <v>0.0381</v>
      </c>
    </row>
    <row r="6684" spans="1:10">
      <c r="A6684" s="7" t="s">
        <v>6717</v>
      </c>
      <c r="B6684" s="7" t="s">
        <v>8551</v>
      </c>
      <c r="C6684" s="8">
        <f>QS.CONTEXT.CREATE("market.6682",A6684,"USD","SOFR")</f>
        <v/>
      </c>
      <c r="D6684" s="8">
        <f>QS.CONTEXT.ADD.CURVE(C6684,"SOFR",$K$2:$K$7,$L$2:$L$7,,,"Actual360","LogLinear",TRUE)</f>
        <v/>
      </c>
      <c r="E6684" s="8">
        <f>QS.INSTRUMENT.SWAP("swap.6682",C6684,H6684,B6684,"USD","SOFR",I6684,J6684,0,"Actual360","Simple","Annual","Annual","Annual")</f>
        <v/>
      </c>
      <c r="F6684" s="8">
        <f>QS.TRADE.CREATE("trade.6682",C6684,E6684,A6684,"Receive")</f>
        <v/>
      </c>
      <c r="G6684" s="5"/>
      <c r="H6684" s="7" t="s">
        <v>6724</v>
      </c>
      <c r="I6684" s="9">
        <v>1668200</v>
      </c>
      <c r="J6684" s="10">
        <v>0.0382</v>
      </c>
    </row>
    <row r="6685" spans="1:10">
      <c r="A6685" s="7" t="s">
        <v>6718</v>
      </c>
      <c r="B6685" s="7" t="s">
        <v>8552</v>
      </c>
      <c r="C6685" s="8">
        <f>QS.CONTEXT.CREATE("market.6683",A6685,"USD","SOFR")</f>
        <v/>
      </c>
      <c r="D6685" s="8">
        <f>QS.CONTEXT.ADD.CURVE(C6685,"SOFR",$K$2:$K$7,$L$2:$L$7,,,"Actual360","LogLinear",TRUE)</f>
        <v/>
      </c>
      <c r="E6685" s="8">
        <f>QS.INSTRUMENT.SWAP("swap.6683",C6685,H6685,B6685,"USD","SOFR",I6685,J6685,0,"Actual360","Simple","Annual","Annual","Annual")</f>
        <v/>
      </c>
      <c r="F6685" s="8">
        <f>QS.TRADE.CREATE("trade.6683",C6685,E6685,A6685,"Receive")</f>
        <v/>
      </c>
      <c r="G6685" s="5"/>
      <c r="H6685" s="7" t="s">
        <v>6725</v>
      </c>
      <c r="I6685" s="9">
        <v>1668300</v>
      </c>
      <c r="J6685" s="10">
        <v>0.0383</v>
      </c>
    </row>
    <row r="6686" spans="1:10">
      <c r="A6686" s="7" t="s">
        <v>6719</v>
      </c>
      <c r="B6686" s="7" t="s">
        <v>8553</v>
      </c>
      <c r="C6686" s="8">
        <f>QS.CONTEXT.CREATE("market.6684",A6686,"USD","SOFR")</f>
        <v/>
      </c>
      <c r="D6686" s="8">
        <f>QS.CONTEXT.ADD.CURVE(C6686,"SOFR",$K$2:$K$7,$L$2:$L$7,,,"Actual360","LogLinear",TRUE)</f>
        <v/>
      </c>
      <c r="E6686" s="8">
        <f>QS.INSTRUMENT.SWAP("swap.6684",C6686,H6686,B6686,"USD","SOFR",I6686,J6686,0,"Actual360","Simple","Annual","Annual","Annual")</f>
        <v/>
      </c>
      <c r="F6686" s="8">
        <f>QS.TRADE.CREATE("trade.6684",C6686,E6686,A6686,"Receive")</f>
        <v/>
      </c>
      <c r="G6686" s="5"/>
      <c r="H6686" s="7" t="s">
        <v>6726</v>
      </c>
      <c r="I6686" s="9">
        <v>1668400</v>
      </c>
      <c r="J6686" s="10">
        <v>0.0384</v>
      </c>
    </row>
    <row r="6687" spans="1:10">
      <c r="A6687" s="7" t="s">
        <v>6720</v>
      </c>
      <c r="B6687" s="7" t="s">
        <v>8554</v>
      </c>
      <c r="C6687" s="8">
        <f>QS.CONTEXT.CREATE("market.6685",A6687,"USD","SOFR")</f>
        <v/>
      </c>
      <c r="D6687" s="8">
        <f>QS.CONTEXT.ADD.CURVE(C6687,"SOFR",$K$2:$K$7,$L$2:$L$7,,,"Actual360","LogLinear",TRUE)</f>
        <v/>
      </c>
      <c r="E6687" s="8">
        <f>QS.INSTRUMENT.SWAP("swap.6685",C6687,H6687,B6687,"USD","SOFR",I6687,J6687,0,"Actual360","Simple","Annual","Annual","Annual")</f>
        <v/>
      </c>
      <c r="F6687" s="8">
        <f>QS.TRADE.CREATE("trade.6685",C6687,E6687,A6687,"Receive")</f>
        <v/>
      </c>
      <c r="G6687" s="5"/>
      <c r="H6687" s="7" t="s">
        <v>6727</v>
      </c>
      <c r="I6687" s="9">
        <v>1668500</v>
      </c>
      <c r="J6687" s="10">
        <v>0.03850000000000001</v>
      </c>
    </row>
    <row r="6688" spans="1:10">
      <c r="A6688" s="7" t="s">
        <v>6721</v>
      </c>
      <c r="B6688" s="7" t="s">
        <v>8555</v>
      </c>
      <c r="C6688" s="8">
        <f>QS.CONTEXT.CREATE("market.6686",A6688,"USD","SOFR")</f>
        <v/>
      </c>
      <c r="D6688" s="8">
        <f>QS.CONTEXT.ADD.CURVE(C6688,"SOFR",$K$2:$K$7,$L$2:$L$7,,,"Actual360","LogLinear",TRUE)</f>
        <v/>
      </c>
      <c r="E6688" s="8">
        <f>QS.INSTRUMENT.SWAP("swap.6686",C6688,H6688,B6688,"USD","SOFR",I6688,J6688,0,"Actual360","Simple","Annual","Annual","Annual")</f>
        <v/>
      </c>
      <c r="F6688" s="8">
        <f>QS.TRADE.CREATE("trade.6686",C6688,E6688,A6688,"Receive")</f>
        <v/>
      </c>
      <c r="G6688" s="5"/>
      <c r="H6688" s="7" t="s">
        <v>6728</v>
      </c>
      <c r="I6688" s="9">
        <v>1668600</v>
      </c>
      <c r="J6688" s="10">
        <v>0.0386</v>
      </c>
    </row>
    <row r="6689" spans="1:10">
      <c r="A6689" s="7" t="s">
        <v>6722</v>
      </c>
      <c r="B6689" s="7" t="s">
        <v>8556</v>
      </c>
      <c r="C6689" s="8">
        <f>QS.CONTEXT.CREATE("market.6687",A6689,"USD","SOFR")</f>
        <v/>
      </c>
      <c r="D6689" s="8">
        <f>QS.CONTEXT.ADD.CURVE(C6689,"SOFR",$K$2:$K$7,$L$2:$L$7,,,"Actual360","LogLinear",TRUE)</f>
        <v/>
      </c>
      <c r="E6689" s="8">
        <f>QS.INSTRUMENT.SWAP("swap.6687",C6689,H6689,B6689,"USD","SOFR",I6689,J6689,0,"Actual360","Simple","Annual","Annual","Annual")</f>
        <v/>
      </c>
      <c r="F6689" s="8">
        <f>QS.TRADE.CREATE("trade.6687",C6689,E6689,A6689,"Receive")</f>
        <v/>
      </c>
      <c r="G6689" s="5"/>
      <c r="H6689" s="7" t="s">
        <v>6729</v>
      </c>
      <c r="I6689" s="9">
        <v>1668700</v>
      </c>
      <c r="J6689" s="10">
        <v>0.03870000000000001</v>
      </c>
    </row>
    <row r="6690" spans="1:10">
      <c r="A6690" s="7" t="s">
        <v>6723</v>
      </c>
      <c r="B6690" s="7" t="s">
        <v>8557</v>
      </c>
      <c r="C6690" s="8">
        <f>QS.CONTEXT.CREATE("market.6688",A6690,"USD","SOFR")</f>
        <v/>
      </c>
      <c r="D6690" s="8">
        <f>QS.CONTEXT.ADD.CURVE(C6690,"SOFR",$K$2:$K$7,$L$2:$L$7,,,"Actual360","LogLinear",TRUE)</f>
        <v/>
      </c>
      <c r="E6690" s="8">
        <f>QS.INSTRUMENT.SWAP("swap.6688",C6690,H6690,B6690,"USD","SOFR",I6690,J6690,0,"Actual360","Simple","Annual","Annual","Annual")</f>
        <v/>
      </c>
      <c r="F6690" s="8">
        <f>QS.TRADE.CREATE("trade.6688",C6690,E6690,A6690,"Receive")</f>
        <v/>
      </c>
      <c r="G6690" s="5"/>
      <c r="H6690" s="7" t="s">
        <v>6730</v>
      </c>
      <c r="I6690" s="9">
        <v>1668800</v>
      </c>
      <c r="J6690" s="10">
        <v>0.0388</v>
      </c>
    </row>
    <row r="6691" spans="1:10">
      <c r="A6691" s="7" t="s">
        <v>6724</v>
      </c>
      <c r="B6691" s="7" t="s">
        <v>8558</v>
      </c>
      <c r="C6691" s="8">
        <f>QS.CONTEXT.CREATE("market.6689",A6691,"USD","SOFR")</f>
        <v/>
      </c>
      <c r="D6691" s="8">
        <f>QS.CONTEXT.ADD.CURVE(C6691,"SOFR",$K$2:$K$7,$L$2:$L$7,,,"Actual360","LogLinear",TRUE)</f>
        <v/>
      </c>
      <c r="E6691" s="8">
        <f>QS.INSTRUMENT.SWAP("swap.6689",C6691,H6691,B6691,"USD","SOFR",I6691,J6691,0,"Actual360","Simple","Annual","Annual","Annual")</f>
        <v/>
      </c>
      <c r="F6691" s="8">
        <f>QS.TRADE.CREATE("trade.6689",C6691,E6691,A6691,"Receive")</f>
        <v/>
      </c>
      <c r="G6691" s="5"/>
      <c r="H6691" s="7" t="s">
        <v>6731</v>
      </c>
      <c r="I6691" s="9">
        <v>1668900</v>
      </c>
      <c r="J6691" s="10">
        <v>0.0389</v>
      </c>
    </row>
    <row r="6692" spans="1:10">
      <c r="A6692" s="7" t="s">
        <v>6725</v>
      </c>
      <c r="B6692" s="7" t="s">
        <v>8559</v>
      </c>
      <c r="C6692" s="8">
        <f>QS.CONTEXT.CREATE("market.6690",A6692,"USD","SOFR")</f>
        <v/>
      </c>
      <c r="D6692" s="8">
        <f>QS.CONTEXT.ADD.CURVE(C6692,"SOFR",$K$2:$K$7,$L$2:$L$7,,,"Actual360","LogLinear",TRUE)</f>
        <v/>
      </c>
      <c r="E6692" s="8">
        <f>QS.INSTRUMENT.SWAP("swap.6690",C6692,H6692,B6692,"USD","SOFR",I6692,J6692,0,"Actual360","Simple","Annual","Annual","Annual")</f>
        <v/>
      </c>
      <c r="F6692" s="8">
        <f>QS.TRADE.CREATE("trade.6690",C6692,E6692,A6692,"Receive")</f>
        <v/>
      </c>
      <c r="G6692" s="5"/>
      <c r="H6692" s="7" t="s">
        <v>6732</v>
      </c>
      <c r="I6692" s="9">
        <v>1669000</v>
      </c>
      <c r="J6692" s="10">
        <v>0.03900000000000001</v>
      </c>
    </row>
    <row r="6693" spans="1:10">
      <c r="A6693" s="7" t="s">
        <v>6726</v>
      </c>
      <c r="B6693" s="7" t="s">
        <v>8560</v>
      </c>
      <c r="C6693" s="8">
        <f>QS.CONTEXT.CREATE("market.6691",A6693,"USD","SOFR")</f>
        <v/>
      </c>
      <c r="D6693" s="8">
        <f>QS.CONTEXT.ADD.CURVE(C6693,"SOFR",$K$2:$K$7,$L$2:$L$7,,,"Actual360","LogLinear",TRUE)</f>
        <v/>
      </c>
      <c r="E6693" s="8">
        <f>QS.INSTRUMENT.SWAP("swap.6691",C6693,H6693,B6693,"USD","SOFR",I6693,J6693,0,"Actual360","Simple","Annual","Annual","Annual")</f>
        <v/>
      </c>
      <c r="F6693" s="8">
        <f>QS.TRADE.CREATE("trade.6691",C6693,E6693,A6693,"Receive")</f>
        <v/>
      </c>
      <c r="G6693" s="5"/>
      <c r="H6693" s="7" t="s">
        <v>6733</v>
      </c>
      <c r="I6693" s="9">
        <v>1669100</v>
      </c>
      <c r="J6693" s="10">
        <v>0.0391</v>
      </c>
    </row>
    <row r="6694" spans="1:10">
      <c r="A6694" s="7" t="s">
        <v>6727</v>
      </c>
      <c r="B6694" s="7" t="s">
        <v>8561</v>
      </c>
      <c r="C6694" s="8">
        <f>QS.CONTEXT.CREATE("market.6692",A6694,"USD","SOFR")</f>
        <v/>
      </c>
      <c r="D6694" s="8">
        <f>QS.CONTEXT.ADD.CURVE(C6694,"SOFR",$K$2:$K$7,$L$2:$L$7,,,"Actual360","LogLinear",TRUE)</f>
        <v/>
      </c>
      <c r="E6694" s="8">
        <f>QS.INSTRUMENT.SWAP("swap.6692",C6694,H6694,B6694,"USD","SOFR",I6694,J6694,0,"Actual360","Simple","Annual","Annual","Annual")</f>
        <v/>
      </c>
      <c r="F6694" s="8">
        <f>QS.TRADE.CREATE("trade.6692",C6694,E6694,A6694,"Receive")</f>
        <v/>
      </c>
      <c r="G6694" s="5"/>
      <c r="H6694" s="7" t="s">
        <v>6734</v>
      </c>
      <c r="I6694" s="9">
        <v>1669200</v>
      </c>
      <c r="J6694" s="10">
        <v>0.03920000000000001</v>
      </c>
    </row>
    <row r="6695" spans="1:10">
      <c r="A6695" s="7" t="s">
        <v>6728</v>
      </c>
      <c r="B6695" s="7" t="s">
        <v>8562</v>
      </c>
      <c r="C6695" s="8">
        <f>QS.CONTEXT.CREATE("market.6693",A6695,"USD","SOFR")</f>
        <v/>
      </c>
      <c r="D6695" s="8">
        <f>QS.CONTEXT.ADD.CURVE(C6695,"SOFR",$K$2:$K$7,$L$2:$L$7,,,"Actual360","LogLinear",TRUE)</f>
        <v/>
      </c>
      <c r="E6695" s="8">
        <f>QS.INSTRUMENT.SWAP("swap.6693",C6695,H6695,B6695,"USD","SOFR",I6695,J6695,0,"Actual360","Simple","Annual","Annual","Annual")</f>
        <v/>
      </c>
      <c r="F6695" s="8">
        <f>QS.TRADE.CREATE("trade.6693",C6695,E6695,A6695,"Receive")</f>
        <v/>
      </c>
      <c r="G6695" s="5"/>
      <c r="H6695" s="7" t="s">
        <v>6735</v>
      </c>
      <c r="I6695" s="9">
        <v>1669300</v>
      </c>
      <c r="J6695" s="10">
        <v>0.0393</v>
      </c>
    </row>
    <row r="6696" spans="1:10">
      <c r="A6696" s="7" t="s">
        <v>6729</v>
      </c>
      <c r="B6696" s="7" t="s">
        <v>8563</v>
      </c>
      <c r="C6696" s="8">
        <f>QS.CONTEXT.CREATE("market.6694",A6696,"USD","SOFR")</f>
        <v/>
      </c>
      <c r="D6696" s="8">
        <f>QS.CONTEXT.ADD.CURVE(C6696,"SOFR",$K$2:$K$7,$L$2:$L$7,,,"Actual360","LogLinear",TRUE)</f>
        <v/>
      </c>
      <c r="E6696" s="8">
        <f>QS.INSTRUMENT.SWAP("swap.6694",C6696,H6696,B6696,"USD","SOFR",I6696,J6696,0,"Actual360","Simple","Annual","Annual","Annual")</f>
        <v/>
      </c>
      <c r="F6696" s="8">
        <f>QS.TRADE.CREATE("trade.6694",C6696,E6696,A6696,"Receive")</f>
        <v/>
      </c>
      <c r="G6696" s="5"/>
      <c r="H6696" s="7" t="s">
        <v>6736</v>
      </c>
      <c r="I6696" s="9">
        <v>1669400</v>
      </c>
      <c r="J6696" s="10">
        <v>0.0394</v>
      </c>
    </row>
    <row r="6697" spans="1:10">
      <c r="A6697" s="7" t="s">
        <v>6730</v>
      </c>
      <c r="B6697" s="7" t="s">
        <v>8564</v>
      </c>
      <c r="C6697" s="8">
        <f>QS.CONTEXT.CREATE("market.6695",A6697,"USD","SOFR")</f>
        <v/>
      </c>
      <c r="D6697" s="8">
        <f>QS.CONTEXT.ADD.CURVE(C6697,"SOFR",$K$2:$K$7,$L$2:$L$7,,,"Actual360","LogLinear",TRUE)</f>
        <v/>
      </c>
      <c r="E6697" s="8">
        <f>QS.INSTRUMENT.SWAP("swap.6695",C6697,H6697,B6697,"USD","SOFR",I6697,J6697,0,"Actual360","Simple","Annual","Annual","Annual")</f>
        <v/>
      </c>
      <c r="F6697" s="8">
        <f>QS.TRADE.CREATE("trade.6695",C6697,E6697,A6697,"Receive")</f>
        <v/>
      </c>
      <c r="G6697" s="5"/>
      <c r="H6697" s="7" t="s">
        <v>6737</v>
      </c>
      <c r="I6697" s="9">
        <v>1669500</v>
      </c>
      <c r="J6697" s="10">
        <v>0.03950000000000001</v>
      </c>
    </row>
    <row r="6698" spans="1:10">
      <c r="A6698" s="7" t="s">
        <v>6731</v>
      </c>
      <c r="B6698" s="7" t="s">
        <v>8565</v>
      </c>
      <c r="C6698" s="8">
        <f>QS.CONTEXT.CREATE("market.6696",A6698,"USD","SOFR")</f>
        <v/>
      </c>
      <c r="D6698" s="8">
        <f>QS.CONTEXT.ADD.CURVE(C6698,"SOFR",$K$2:$K$7,$L$2:$L$7,,,"Actual360","LogLinear",TRUE)</f>
        <v/>
      </c>
      <c r="E6698" s="8">
        <f>QS.INSTRUMENT.SWAP("swap.6696",C6698,H6698,B6698,"USD","SOFR",I6698,J6698,0,"Actual360","Simple","Annual","Annual","Annual")</f>
        <v/>
      </c>
      <c r="F6698" s="8">
        <f>QS.TRADE.CREATE("trade.6696",C6698,E6698,A6698,"Receive")</f>
        <v/>
      </c>
      <c r="G6698" s="5"/>
      <c r="H6698" s="7" t="s">
        <v>6738</v>
      </c>
      <c r="I6698" s="9">
        <v>1669600</v>
      </c>
      <c r="J6698" s="10">
        <v>0.0396</v>
      </c>
    </row>
    <row r="6699" spans="1:10">
      <c r="A6699" s="7" t="s">
        <v>6732</v>
      </c>
      <c r="B6699" s="7" t="s">
        <v>8566</v>
      </c>
      <c r="C6699" s="8">
        <f>QS.CONTEXT.CREATE("market.6697",A6699,"USD","SOFR")</f>
        <v/>
      </c>
      <c r="D6699" s="8">
        <f>QS.CONTEXT.ADD.CURVE(C6699,"SOFR",$K$2:$K$7,$L$2:$L$7,,,"Actual360","LogLinear",TRUE)</f>
        <v/>
      </c>
      <c r="E6699" s="8">
        <f>QS.INSTRUMENT.SWAP("swap.6697",C6699,H6699,B6699,"USD","SOFR",I6699,J6699,0,"Actual360","Simple","Annual","Annual","Annual")</f>
        <v/>
      </c>
      <c r="F6699" s="8">
        <f>QS.TRADE.CREATE("trade.6697",C6699,E6699,A6699,"Receive")</f>
        <v/>
      </c>
      <c r="G6699" s="5"/>
      <c r="H6699" s="7" t="s">
        <v>6739</v>
      </c>
      <c r="I6699" s="9">
        <v>1669700</v>
      </c>
      <c r="J6699" s="10">
        <v>0.03970000000000001</v>
      </c>
    </row>
    <row r="6700" spans="1:10">
      <c r="A6700" s="7" t="s">
        <v>6733</v>
      </c>
      <c r="B6700" s="7" t="s">
        <v>8567</v>
      </c>
      <c r="C6700" s="8">
        <f>QS.CONTEXT.CREATE("market.6698",A6700,"USD","SOFR")</f>
        <v/>
      </c>
      <c r="D6700" s="8">
        <f>QS.CONTEXT.ADD.CURVE(C6700,"SOFR",$K$2:$K$7,$L$2:$L$7,,,"Actual360","LogLinear",TRUE)</f>
        <v/>
      </c>
      <c r="E6700" s="8">
        <f>QS.INSTRUMENT.SWAP("swap.6698",C6700,H6700,B6700,"USD","SOFR",I6700,J6700,0,"Actual360","Simple","Annual","Annual","Annual")</f>
        <v/>
      </c>
      <c r="F6700" s="8">
        <f>QS.TRADE.CREATE("trade.6698",C6700,E6700,A6700,"Receive")</f>
        <v/>
      </c>
      <c r="G6700" s="5"/>
      <c r="H6700" s="7" t="s">
        <v>6740</v>
      </c>
      <c r="I6700" s="9">
        <v>1669800</v>
      </c>
      <c r="J6700" s="10">
        <v>0.0398</v>
      </c>
    </row>
    <row r="6701" spans="1:10">
      <c r="A6701" s="7" t="s">
        <v>6734</v>
      </c>
      <c r="B6701" s="7" t="s">
        <v>8568</v>
      </c>
      <c r="C6701" s="8">
        <f>QS.CONTEXT.CREATE("market.6699",A6701,"USD","SOFR")</f>
        <v/>
      </c>
      <c r="D6701" s="8">
        <f>QS.CONTEXT.ADD.CURVE(C6701,"SOFR",$K$2:$K$7,$L$2:$L$7,,,"Actual360","LogLinear",TRUE)</f>
        <v/>
      </c>
      <c r="E6701" s="8">
        <f>QS.INSTRUMENT.SWAP("swap.6699",C6701,H6701,B6701,"USD","SOFR",I6701,J6701,0,"Actual360","Simple","Annual","Annual","Annual")</f>
        <v/>
      </c>
      <c r="F6701" s="8">
        <f>QS.TRADE.CREATE("trade.6699",C6701,E6701,A6701,"Receive")</f>
        <v/>
      </c>
      <c r="G6701" s="5"/>
      <c r="H6701" s="7" t="s">
        <v>6741</v>
      </c>
      <c r="I6701" s="9">
        <v>1669900</v>
      </c>
      <c r="J6701" s="10">
        <v>0.0399</v>
      </c>
    </row>
    <row r="6702" spans="1:10">
      <c r="A6702" s="7" t="s">
        <v>6735</v>
      </c>
      <c r="B6702" s="7" t="s">
        <v>8569</v>
      </c>
      <c r="C6702" s="8">
        <f>QS.CONTEXT.CREATE("market.6700",A6702,"USD","SOFR")</f>
        <v/>
      </c>
      <c r="D6702" s="8">
        <f>QS.CONTEXT.ADD.CURVE(C6702,"SOFR",$K$2:$K$7,$L$2:$L$7,,,"Actual360","LogLinear",TRUE)</f>
        <v/>
      </c>
      <c r="E6702" s="8">
        <f>QS.INSTRUMENT.SWAP("swap.6700",C6702,H6702,B6702,"USD","SOFR",I6702,J6702,0,"Actual360","Simple","Annual","Annual","Annual")</f>
        <v/>
      </c>
      <c r="F6702" s="8">
        <f>QS.TRADE.CREATE("trade.6700",C6702,E6702,A6702,"Receive")</f>
        <v/>
      </c>
      <c r="G6702" s="5"/>
      <c r="H6702" s="7" t="s">
        <v>6742</v>
      </c>
      <c r="I6702" s="9">
        <v>1670000</v>
      </c>
      <c r="J6702" s="10">
        <v>0.035</v>
      </c>
    </row>
    <row r="6703" spans="1:10">
      <c r="A6703" s="7" t="s">
        <v>6736</v>
      </c>
      <c r="B6703" s="7" t="s">
        <v>8570</v>
      </c>
      <c r="C6703" s="8">
        <f>QS.CONTEXT.CREATE("market.6701",A6703,"USD","SOFR")</f>
        <v/>
      </c>
      <c r="D6703" s="8">
        <f>QS.CONTEXT.ADD.CURVE(C6703,"SOFR",$K$2:$K$7,$L$2:$L$7,,,"Actual360","LogLinear",TRUE)</f>
        <v/>
      </c>
      <c r="E6703" s="8">
        <f>QS.INSTRUMENT.SWAP("swap.6701",C6703,H6703,B6703,"USD","SOFR",I6703,J6703,0,"Actual360","Simple","Annual","Annual","Annual")</f>
        <v/>
      </c>
      <c r="F6703" s="8">
        <f>QS.TRADE.CREATE("trade.6701",C6703,E6703,A6703,"Receive")</f>
        <v/>
      </c>
      <c r="G6703" s="5"/>
      <c r="H6703" s="7" t="s">
        <v>6743</v>
      </c>
      <c r="I6703" s="9">
        <v>1670100</v>
      </c>
      <c r="J6703" s="10">
        <v>0.03510000000000001</v>
      </c>
    </row>
    <row r="6704" spans="1:10">
      <c r="A6704" s="7" t="s">
        <v>6737</v>
      </c>
      <c r="B6704" s="7" t="s">
        <v>8571</v>
      </c>
      <c r="C6704" s="8">
        <f>QS.CONTEXT.CREATE("market.6702",A6704,"USD","SOFR")</f>
        <v/>
      </c>
      <c r="D6704" s="8">
        <f>QS.CONTEXT.ADD.CURVE(C6704,"SOFR",$K$2:$K$7,$L$2:$L$7,,,"Actual360","LogLinear",TRUE)</f>
        <v/>
      </c>
      <c r="E6704" s="8">
        <f>QS.INSTRUMENT.SWAP("swap.6702",C6704,H6704,B6704,"USD","SOFR",I6704,J6704,0,"Actual360","Simple","Annual","Annual","Annual")</f>
        <v/>
      </c>
      <c r="F6704" s="8">
        <f>QS.TRADE.CREATE("trade.6702",C6704,E6704,A6704,"Receive")</f>
        <v/>
      </c>
      <c r="G6704" s="5"/>
      <c r="H6704" s="7" t="s">
        <v>6744</v>
      </c>
      <c r="I6704" s="9">
        <v>1670200</v>
      </c>
      <c r="J6704" s="10">
        <v>0.0352</v>
      </c>
    </row>
    <row r="6705" spans="1:10">
      <c r="A6705" s="7" t="s">
        <v>6738</v>
      </c>
      <c r="B6705" s="7" t="s">
        <v>8572</v>
      </c>
      <c r="C6705" s="8">
        <f>QS.CONTEXT.CREATE("market.6703",A6705,"USD","SOFR")</f>
        <v/>
      </c>
      <c r="D6705" s="8">
        <f>QS.CONTEXT.ADD.CURVE(C6705,"SOFR",$K$2:$K$7,$L$2:$L$7,,,"Actual360","LogLinear",TRUE)</f>
        <v/>
      </c>
      <c r="E6705" s="8">
        <f>QS.INSTRUMENT.SWAP("swap.6703",C6705,H6705,B6705,"USD","SOFR",I6705,J6705,0,"Actual360","Simple","Annual","Annual","Annual")</f>
        <v/>
      </c>
      <c r="F6705" s="8">
        <f>QS.TRADE.CREATE("trade.6703",C6705,E6705,A6705,"Receive")</f>
        <v/>
      </c>
      <c r="G6705" s="5"/>
      <c r="H6705" s="7" t="s">
        <v>6745</v>
      </c>
      <c r="I6705" s="9">
        <v>1670300</v>
      </c>
      <c r="J6705" s="10">
        <v>0.0353</v>
      </c>
    </row>
    <row r="6706" spans="1:10">
      <c r="A6706" s="7" t="s">
        <v>6739</v>
      </c>
      <c r="B6706" s="7" t="s">
        <v>8573</v>
      </c>
      <c r="C6706" s="8">
        <f>QS.CONTEXT.CREATE("market.6704",A6706,"USD","SOFR")</f>
        <v/>
      </c>
      <c r="D6706" s="8">
        <f>QS.CONTEXT.ADD.CURVE(C6706,"SOFR",$K$2:$K$7,$L$2:$L$7,,,"Actual360","LogLinear",TRUE)</f>
        <v/>
      </c>
      <c r="E6706" s="8">
        <f>QS.INSTRUMENT.SWAP("swap.6704",C6706,H6706,B6706,"USD","SOFR",I6706,J6706,0,"Actual360","Simple","Annual","Annual","Annual")</f>
        <v/>
      </c>
      <c r="F6706" s="8">
        <f>QS.TRADE.CREATE("trade.6704",C6706,E6706,A6706,"Receive")</f>
        <v/>
      </c>
      <c r="G6706" s="5"/>
      <c r="H6706" s="7" t="s">
        <v>6746</v>
      </c>
      <c r="I6706" s="9">
        <v>1670400</v>
      </c>
      <c r="J6706" s="10">
        <v>0.0354</v>
      </c>
    </row>
    <row r="6707" spans="1:10">
      <c r="A6707" s="7" t="s">
        <v>6740</v>
      </c>
      <c r="B6707" s="7" t="s">
        <v>8574</v>
      </c>
      <c r="C6707" s="8">
        <f>QS.CONTEXT.CREATE("market.6705",A6707,"USD","SOFR")</f>
        <v/>
      </c>
      <c r="D6707" s="8">
        <f>QS.CONTEXT.ADD.CURVE(C6707,"SOFR",$K$2:$K$7,$L$2:$L$7,,,"Actual360","LogLinear",TRUE)</f>
        <v/>
      </c>
      <c r="E6707" s="8">
        <f>QS.INSTRUMENT.SWAP("swap.6705",C6707,H6707,B6707,"USD","SOFR",I6707,J6707,0,"Actual360","Simple","Annual","Annual","Annual")</f>
        <v/>
      </c>
      <c r="F6707" s="8">
        <f>QS.TRADE.CREATE("trade.6705",C6707,E6707,A6707,"Receive")</f>
        <v/>
      </c>
      <c r="G6707" s="5"/>
      <c r="H6707" s="7" t="s">
        <v>6747</v>
      </c>
      <c r="I6707" s="9">
        <v>1670500</v>
      </c>
      <c r="J6707" s="10">
        <v>0.0355</v>
      </c>
    </row>
    <row r="6708" spans="1:10">
      <c r="A6708" s="7" t="s">
        <v>6741</v>
      </c>
      <c r="B6708" s="7" t="s">
        <v>8575</v>
      </c>
      <c r="C6708" s="8">
        <f>QS.CONTEXT.CREATE("market.6706",A6708,"USD","SOFR")</f>
        <v/>
      </c>
      <c r="D6708" s="8">
        <f>QS.CONTEXT.ADD.CURVE(C6708,"SOFR",$K$2:$K$7,$L$2:$L$7,,,"Actual360","LogLinear",TRUE)</f>
        <v/>
      </c>
      <c r="E6708" s="8">
        <f>QS.INSTRUMENT.SWAP("swap.6706",C6708,H6708,B6708,"USD","SOFR",I6708,J6708,0,"Actual360","Simple","Annual","Annual","Annual")</f>
        <v/>
      </c>
      <c r="F6708" s="8">
        <f>QS.TRADE.CREATE("trade.6706",C6708,E6708,A6708,"Receive")</f>
        <v/>
      </c>
      <c r="G6708" s="5"/>
      <c r="H6708" s="7" t="s">
        <v>6748</v>
      </c>
      <c r="I6708" s="9">
        <v>1670600</v>
      </c>
      <c r="J6708" s="10">
        <v>0.03560000000000001</v>
      </c>
    </row>
    <row r="6709" spans="1:10">
      <c r="A6709" s="7" t="s">
        <v>6742</v>
      </c>
      <c r="B6709" s="7" t="s">
        <v>8576</v>
      </c>
      <c r="C6709" s="8">
        <f>QS.CONTEXT.CREATE("market.6707",A6709,"USD","SOFR")</f>
        <v/>
      </c>
      <c r="D6709" s="8">
        <f>QS.CONTEXT.ADD.CURVE(C6709,"SOFR",$K$2:$K$7,$L$2:$L$7,,,"Actual360","LogLinear",TRUE)</f>
        <v/>
      </c>
      <c r="E6709" s="8">
        <f>QS.INSTRUMENT.SWAP("swap.6707",C6709,H6709,B6709,"USD","SOFR",I6709,J6709,0,"Actual360","Simple","Annual","Annual","Annual")</f>
        <v/>
      </c>
      <c r="F6709" s="8">
        <f>QS.TRADE.CREATE("trade.6707",C6709,E6709,A6709,"Receive")</f>
        <v/>
      </c>
      <c r="G6709" s="5"/>
      <c r="H6709" s="7" t="s">
        <v>6749</v>
      </c>
      <c r="I6709" s="9">
        <v>1670700</v>
      </c>
      <c r="J6709" s="10">
        <v>0.0357</v>
      </c>
    </row>
    <row r="6710" spans="1:10">
      <c r="A6710" s="7" t="s">
        <v>6743</v>
      </c>
      <c r="B6710" s="7" t="s">
        <v>8577</v>
      </c>
      <c r="C6710" s="8">
        <f>QS.CONTEXT.CREATE("market.6708",A6710,"USD","SOFR")</f>
        <v/>
      </c>
      <c r="D6710" s="8">
        <f>QS.CONTEXT.ADD.CURVE(C6710,"SOFR",$K$2:$K$7,$L$2:$L$7,,,"Actual360","LogLinear",TRUE)</f>
        <v/>
      </c>
      <c r="E6710" s="8">
        <f>QS.INSTRUMENT.SWAP("swap.6708",C6710,H6710,B6710,"USD","SOFR",I6710,J6710,0,"Actual360","Simple","Annual","Annual","Annual")</f>
        <v/>
      </c>
      <c r="F6710" s="8">
        <f>QS.TRADE.CREATE("trade.6708",C6710,E6710,A6710,"Receive")</f>
        <v/>
      </c>
      <c r="G6710" s="5"/>
      <c r="H6710" s="7" t="s">
        <v>6750</v>
      </c>
      <c r="I6710" s="9">
        <v>1670800</v>
      </c>
      <c r="J6710" s="10">
        <v>0.03580000000000001</v>
      </c>
    </row>
    <row r="6711" spans="1:10">
      <c r="A6711" s="7" t="s">
        <v>6744</v>
      </c>
      <c r="B6711" s="7" t="s">
        <v>8578</v>
      </c>
      <c r="C6711" s="8">
        <f>QS.CONTEXT.CREATE("market.6709",A6711,"USD","SOFR")</f>
        <v/>
      </c>
      <c r="D6711" s="8">
        <f>QS.CONTEXT.ADD.CURVE(C6711,"SOFR",$K$2:$K$7,$L$2:$L$7,,,"Actual360","LogLinear",TRUE)</f>
        <v/>
      </c>
      <c r="E6711" s="8">
        <f>QS.INSTRUMENT.SWAP("swap.6709",C6711,H6711,B6711,"USD","SOFR",I6711,J6711,0,"Actual360","Simple","Annual","Annual","Annual")</f>
        <v/>
      </c>
      <c r="F6711" s="8">
        <f>QS.TRADE.CREATE("trade.6709",C6711,E6711,A6711,"Receive")</f>
        <v/>
      </c>
      <c r="G6711" s="5"/>
      <c r="H6711" s="7" t="s">
        <v>6751</v>
      </c>
      <c r="I6711" s="9">
        <v>1670900</v>
      </c>
      <c r="J6711" s="10">
        <v>0.0359</v>
      </c>
    </row>
    <row r="6712" spans="1:10">
      <c r="A6712" s="7" t="s">
        <v>6745</v>
      </c>
      <c r="B6712" s="7" t="s">
        <v>8579</v>
      </c>
      <c r="C6712" s="8">
        <f>QS.CONTEXT.CREATE("market.6710",A6712,"USD","SOFR")</f>
        <v/>
      </c>
      <c r="D6712" s="8">
        <f>QS.CONTEXT.ADD.CURVE(C6712,"SOFR",$K$2:$K$7,$L$2:$L$7,,,"Actual360","LogLinear",TRUE)</f>
        <v/>
      </c>
      <c r="E6712" s="8">
        <f>QS.INSTRUMENT.SWAP("swap.6710",C6712,H6712,B6712,"USD","SOFR",I6712,J6712,0,"Actual360","Simple","Annual","Annual","Annual")</f>
        <v/>
      </c>
      <c r="F6712" s="8">
        <f>QS.TRADE.CREATE("trade.6710",C6712,E6712,A6712,"Receive")</f>
        <v/>
      </c>
      <c r="G6712" s="5"/>
      <c r="H6712" s="7" t="s">
        <v>6752</v>
      </c>
      <c r="I6712" s="9">
        <v>1671000</v>
      </c>
      <c r="J6712" s="10">
        <v>0.036</v>
      </c>
    </row>
    <row r="6713" spans="1:10">
      <c r="A6713" s="7" t="s">
        <v>6746</v>
      </c>
      <c r="B6713" s="7" t="s">
        <v>8580</v>
      </c>
      <c r="C6713" s="8">
        <f>QS.CONTEXT.CREATE("market.6711",A6713,"USD","SOFR")</f>
        <v/>
      </c>
      <c r="D6713" s="8">
        <f>QS.CONTEXT.ADD.CURVE(C6713,"SOFR",$K$2:$K$7,$L$2:$L$7,,,"Actual360","LogLinear",TRUE)</f>
        <v/>
      </c>
      <c r="E6713" s="8">
        <f>QS.INSTRUMENT.SWAP("swap.6711",C6713,H6713,B6713,"USD","SOFR",I6713,J6713,0,"Actual360","Simple","Annual","Annual","Annual")</f>
        <v/>
      </c>
      <c r="F6713" s="8">
        <f>QS.TRADE.CREATE("trade.6711",C6713,E6713,A6713,"Receive")</f>
        <v/>
      </c>
      <c r="G6713" s="5"/>
      <c r="H6713" s="7" t="s">
        <v>6753</v>
      </c>
      <c r="I6713" s="9">
        <v>1671100</v>
      </c>
      <c r="J6713" s="10">
        <v>0.0361</v>
      </c>
    </row>
    <row r="6714" spans="1:10">
      <c r="A6714" s="7" t="s">
        <v>6747</v>
      </c>
      <c r="B6714" s="7" t="s">
        <v>8581</v>
      </c>
      <c r="C6714" s="8">
        <f>QS.CONTEXT.CREATE("market.6712",A6714,"USD","SOFR")</f>
        <v/>
      </c>
      <c r="D6714" s="8">
        <f>QS.CONTEXT.ADD.CURVE(C6714,"SOFR",$K$2:$K$7,$L$2:$L$7,,,"Actual360","LogLinear",TRUE)</f>
        <v/>
      </c>
      <c r="E6714" s="8">
        <f>QS.INSTRUMENT.SWAP("swap.6712",C6714,H6714,B6714,"USD","SOFR",I6714,J6714,0,"Actual360","Simple","Annual","Annual","Annual")</f>
        <v/>
      </c>
      <c r="F6714" s="8">
        <f>QS.TRADE.CREATE("trade.6712",C6714,E6714,A6714,"Receive")</f>
        <v/>
      </c>
      <c r="G6714" s="5"/>
      <c r="H6714" s="7" t="s">
        <v>6754</v>
      </c>
      <c r="I6714" s="9">
        <v>1671200</v>
      </c>
      <c r="J6714" s="10">
        <v>0.0362</v>
      </c>
    </row>
    <row r="6715" spans="1:10">
      <c r="A6715" s="7" t="s">
        <v>6748</v>
      </c>
      <c r="B6715" s="7" t="s">
        <v>8582</v>
      </c>
      <c r="C6715" s="8">
        <f>QS.CONTEXT.CREATE("market.6713",A6715,"USD","SOFR")</f>
        <v/>
      </c>
      <c r="D6715" s="8">
        <f>QS.CONTEXT.ADD.CURVE(C6715,"SOFR",$K$2:$K$7,$L$2:$L$7,,,"Actual360","LogLinear",TRUE)</f>
        <v/>
      </c>
      <c r="E6715" s="8">
        <f>QS.INSTRUMENT.SWAP("swap.6713",C6715,H6715,B6715,"USD","SOFR",I6715,J6715,0,"Actual360","Simple","Annual","Annual","Annual")</f>
        <v/>
      </c>
      <c r="F6715" s="8">
        <f>QS.TRADE.CREATE("trade.6713",C6715,E6715,A6715,"Receive")</f>
        <v/>
      </c>
      <c r="G6715" s="5"/>
      <c r="H6715" s="7" t="s">
        <v>6755</v>
      </c>
      <c r="I6715" s="9">
        <v>1671300</v>
      </c>
      <c r="J6715" s="10">
        <v>0.03630000000000001</v>
      </c>
    </row>
    <row r="6716" spans="1:10">
      <c r="A6716" s="7" t="s">
        <v>6749</v>
      </c>
      <c r="B6716" s="7" t="s">
        <v>8583</v>
      </c>
      <c r="C6716" s="8">
        <f>QS.CONTEXT.CREATE("market.6714",A6716,"USD","SOFR")</f>
        <v/>
      </c>
      <c r="D6716" s="8">
        <f>QS.CONTEXT.ADD.CURVE(C6716,"SOFR",$K$2:$K$7,$L$2:$L$7,,,"Actual360","LogLinear",TRUE)</f>
        <v/>
      </c>
      <c r="E6716" s="8">
        <f>QS.INSTRUMENT.SWAP("swap.6714",C6716,H6716,B6716,"USD","SOFR",I6716,J6716,0,"Actual360","Simple","Annual","Annual","Annual")</f>
        <v/>
      </c>
      <c r="F6716" s="8">
        <f>QS.TRADE.CREATE("trade.6714",C6716,E6716,A6716,"Receive")</f>
        <v/>
      </c>
      <c r="G6716" s="5"/>
      <c r="H6716" s="7" t="s">
        <v>6756</v>
      </c>
      <c r="I6716" s="9">
        <v>1671400</v>
      </c>
      <c r="J6716" s="10">
        <v>0.0364</v>
      </c>
    </row>
    <row r="6717" spans="1:10">
      <c r="A6717" s="7" t="s">
        <v>6750</v>
      </c>
      <c r="B6717" s="7" t="s">
        <v>8584</v>
      </c>
      <c r="C6717" s="8">
        <f>QS.CONTEXT.CREATE("market.6715",A6717,"USD","SOFR")</f>
        <v/>
      </c>
      <c r="D6717" s="8">
        <f>QS.CONTEXT.ADD.CURVE(C6717,"SOFR",$K$2:$K$7,$L$2:$L$7,,,"Actual360","LogLinear",TRUE)</f>
        <v/>
      </c>
      <c r="E6717" s="8">
        <f>QS.INSTRUMENT.SWAP("swap.6715",C6717,H6717,B6717,"USD","SOFR",I6717,J6717,0,"Actual360","Simple","Annual","Annual","Annual")</f>
        <v/>
      </c>
      <c r="F6717" s="8">
        <f>QS.TRADE.CREATE("trade.6715",C6717,E6717,A6717,"Receive")</f>
        <v/>
      </c>
      <c r="G6717" s="5"/>
      <c r="H6717" s="7" t="s">
        <v>6757</v>
      </c>
      <c r="I6717" s="9">
        <v>1671500</v>
      </c>
      <c r="J6717" s="10">
        <v>0.0365</v>
      </c>
    </row>
    <row r="6718" spans="1:10">
      <c r="A6718" s="7" t="s">
        <v>6751</v>
      </c>
      <c r="B6718" s="7" t="s">
        <v>8585</v>
      </c>
      <c r="C6718" s="8">
        <f>QS.CONTEXT.CREATE("market.6716",A6718,"USD","SOFR")</f>
        <v/>
      </c>
      <c r="D6718" s="8">
        <f>QS.CONTEXT.ADD.CURVE(C6718,"SOFR",$K$2:$K$7,$L$2:$L$7,,,"Actual360","LogLinear",TRUE)</f>
        <v/>
      </c>
      <c r="E6718" s="8">
        <f>QS.INSTRUMENT.SWAP("swap.6716",C6718,H6718,B6718,"USD","SOFR",I6718,J6718,0,"Actual360","Simple","Annual","Annual","Annual")</f>
        <v/>
      </c>
      <c r="F6718" s="8">
        <f>QS.TRADE.CREATE("trade.6716",C6718,E6718,A6718,"Receive")</f>
        <v/>
      </c>
      <c r="G6718" s="5"/>
      <c r="H6718" s="7" t="s">
        <v>6758</v>
      </c>
      <c r="I6718" s="9">
        <v>1671600</v>
      </c>
      <c r="J6718" s="10">
        <v>0.0366</v>
      </c>
    </row>
    <row r="6719" spans="1:10">
      <c r="A6719" s="7" t="s">
        <v>6752</v>
      </c>
      <c r="B6719" s="7" t="s">
        <v>8586</v>
      </c>
      <c r="C6719" s="8">
        <f>QS.CONTEXT.CREATE("market.6717",A6719,"USD","SOFR")</f>
        <v/>
      </c>
      <c r="D6719" s="8">
        <f>QS.CONTEXT.ADD.CURVE(C6719,"SOFR",$K$2:$K$7,$L$2:$L$7,,,"Actual360","LogLinear",TRUE)</f>
        <v/>
      </c>
      <c r="E6719" s="8">
        <f>QS.INSTRUMENT.SWAP("swap.6717",C6719,H6719,B6719,"USD","SOFR",I6719,J6719,0,"Actual360","Simple","Annual","Annual","Annual")</f>
        <v/>
      </c>
      <c r="F6719" s="8">
        <f>QS.TRADE.CREATE("trade.6717",C6719,E6719,A6719,"Receive")</f>
        <v/>
      </c>
      <c r="G6719" s="5"/>
      <c r="H6719" s="7" t="s">
        <v>6759</v>
      </c>
      <c r="I6719" s="9">
        <v>1671700</v>
      </c>
      <c r="J6719" s="10">
        <v>0.0367</v>
      </c>
    </row>
    <row r="6720" spans="1:10">
      <c r="A6720" s="7" t="s">
        <v>6753</v>
      </c>
      <c r="B6720" s="7" t="s">
        <v>8587</v>
      </c>
      <c r="C6720" s="8">
        <f>QS.CONTEXT.CREATE("market.6718",A6720,"USD","SOFR")</f>
        <v/>
      </c>
      <c r="D6720" s="8">
        <f>QS.CONTEXT.ADD.CURVE(C6720,"SOFR",$K$2:$K$7,$L$2:$L$7,,,"Actual360","LogLinear",TRUE)</f>
        <v/>
      </c>
      <c r="E6720" s="8">
        <f>QS.INSTRUMENT.SWAP("swap.6718",C6720,H6720,B6720,"USD","SOFR",I6720,J6720,0,"Actual360","Simple","Annual","Annual","Annual")</f>
        <v/>
      </c>
      <c r="F6720" s="8">
        <f>QS.TRADE.CREATE("trade.6718",C6720,E6720,A6720,"Receive")</f>
        <v/>
      </c>
      <c r="G6720" s="5"/>
      <c r="H6720" s="7" t="s">
        <v>6760</v>
      </c>
      <c r="I6720" s="9">
        <v>1671800</v>
      </c>
      <c r="J6720" s="10">
        <v>0.03680000000000001</v>
      </c>
    </row>
    <row r="6721" spans="1:10">
      <c r="A6721" s="7" t="s">
        <v>6754</v>
      </c>
      <c r="B6721" s="7" t="s">
        <v>8588</v>
      </c>
      <c r="C6721" s="8">
        <f>QS.CONTEXT.CREATE("market.6719",A6721,"USD","SOFR")</f>
        <v/>
      </c>
      <c r="D6721" s="8">
        <f>QS.CONTEXT.ADD.CURVE(C6721,"SOFR",$K$2:$K$7,$L$2:$L$7,,,"Actual360","LogLinear",TRUE)</f>
        <v/>
      </c>
      <c r="E6721" s="8">
        <f>QS.INSTRUMENT.SWAP("swap.6719",C6721,H6721,B6721,"USD","SOFR",I6721,J6721,0,"Actual360","Simple","Annual","Annual","Annual")</f>
        <v/>
      </c>
      <c r="F6721" s="8">
        <f>QS.TRADE.CREATE("trade.6719",C6721,E6721,A6721,"Receive")</f>
        <v/>
      </c>
      <c r="G6721" s="5"/>
      <c r="H6721" s="7" t="s">
        <v>6761</v>
      </c>
      <c r="I6721" s="9">
        <v>1671900</v>
      </c>
      <c r="J6721" s="10">
        <v>0.0369</v>
      </c>
    </row>
    <row r="6722" spans="1:10">
      <c r="A6722" s="7" t="s">
        <v>6755</v>
      </c>
      <c r="B6722" s="7" t="s">
        <v>8589</v>
      </c>
      <c r="C6722" s="8">
        <f>QS.CONTEXT.CREATE("market.6720",A6722,"USD","SOFR")</f>
        <v/>
      </c>
      <c r="D6722" s="8">
        <f>QS.CONTEXT.ADD.CURVE(C6722,"SOFR",$K$2:$K$7,$L$2:$L$7,,,"Actual360","LogLinear",TRUE)</f>
        <v/>
      </c>
      <c r="E6722" s="8">
        <f>QS.INSTRUMENT.SWAP("swap.6720",C6722,H6722,B6722,"USD","SOFR",I6722,J6722,0,"Actual360","Simple","Annual","Annual","Annual")</f>
        <v/>
      </c>
      <c r="F6722" s="8">
        <f>QS.TRADE.CREATE("trade.6720",C6722,E6722,A6722,"Receive")</f>
        <v/>
      </c>
      <c r="G6722" s="5"/>
      <c r="H6722" s="7" t="s">
        <v>6762</v>
      </c>
      <c r="I6722" s="9">
        <v>1672000</v>
      </c>
      <c r="J6722" s="10">
        <v>0.03700000000000001</v>
      </c>
    </row>
    <row r="6723" spans="1:10">
      <c r="A6723" s="7" t="s">
        <v>6756</v>
      </c>
      <c r="B6723" s="7" t="s">
        <v>8590</v>
      </c>
      <c r="C6723" s="8">
        <f>QS.CONTEXT.CREATE("market.6721",A6723,"USD","SOFR")</f>
        <v/>
      </c>
      <c r="D6723" s="8">
        <f>QS.CONTEXT.ADD.CURVE(C6723,"SOFR",$K$2:$K$7,$L$2:$L$7,,,"Actual360","LogLinear",TRUE)</f>
        <v/>
      </c>
      <c r="E6723" s="8">
        <f>QS.INSTRUMENT.SWAP("swap.6721",C6723,H6723,B6723,"USD","SOFR",I6723,J6723,0,"Actual360","Simple","Annual","Annual","Annual")</f>
        <v/>
      </c>
      <c r="F6723" s="8">
        <f>QS.TRADE.CREATE("trade.6721",C6723,E6723,A6723,"Receive")</f>
        <v/>
      </c>
      <c r="G6723" s="5"/>
      <c r="H6723" s="7" t="s">
        <v>6763</v>
      </c>
      <c r="I6723" s="9">
        <v>1672100</v>
      </c>
      <c r="J6723" s="10">
        <v>0.0371</v>
      </c>
    </row>
    <row r="6724" spans="1:10">
      <c r="A6724" s="7" t="s">
        <v>6757</v>
      </c>
      <c r="B6724" s="7" t="s">
        <v>8591</v>
      </c>
      <c r="C6724" s="8">
        <f>QS.CONTEXT.CREATE("market.6722",A6724,"USD","SOFR")</f>
        <v/>
      </c>
      <c r="D6724" s="8">
        <f>QS.CONTEXT.ADD.CURVE(C6724,"SOFR",$K$2:$K$7,$L$2:$L$7,,,"Actual360","LogLinear",TRUE)</f>
        <v/>
      </c>
      <c r="E6724" s="8">
        <f>QS.INSTRUMENT.SWAP("swap.6722",C6724,H6724,B6724,"USD","SOFR",I6724,J6724,0,"Actual360","Simple","Annual","Annual","Annual")</f>
        <v/>
      </c>
      <c r="F6724" s="8">
        <f>QS.TRADE.CREATE("trade.6722",C6724,E6724,A6724,"Receive")</f>
        <v/>
      </c>
      <c r="G6724" s="5"/>
      <c r="H6724" s="7" t="s">
        <v>6764</v>
      </c>
      <c r="I6724" s="9">
        <v>1672200</v>
      </c>
      <c r="J6724" s="10">
        <v>0.0372</v>
      </c>
    </row>
    <row r="6725" spans="1:10">
      <c r="A6725" s="7" t="s">
        <v>6758</v>
      </c>
      <c r="B6725" s="7" t="s">
        <v>8592</v>
      </c>
      <c r="C6725" s="8">
        <f>QS.CONTEXT.CREATE("market.6723",A6725,"USD","SOFR")</f>
        <v/>
      </c>
      <c r="D6725" s="8">
        <f>QS.CONTEXT.ADD.CURVE(C6725,"SOFR",$K$2:$K$7,$L$2:$L$7,,,"Actual360","LogLinear",TRUE)</f>
        <v/>
      </c>
      <c r="E6725" s="8">
        <f>QS.INSTRUMENT.SWAP("swap.6723",C6725,H6725,B6725,"USD","SOFR",I6725,J6725,0,"Actual360","Simple","Annual","Annual","Annual")</f>
        <v/>
      </c>
      <c r="F6725" s="8">
        <f>QS.TRADE.CREATE("trade.6723",C6725,E6725,A6725,"Receive")</f>
        <v/>
      </c>
      <c r="G6725" s="5"/>
      <c r="H6725" s="7" t="s">
        <v>6765</v>
      </c>
      <c r="I6725" s="9">
        <v>1672300</v>
      </c>
      <c r="J6725" s="10">
        <v>0.0373</v>
      </c>
    </row>
    <row r="6726" spans="1:10">
      <c r="A6726" s="7" t="s">
        <v>6759</v>
      </c>
      <c r="B6726" s="7" t="s">
        <v>8593</v>
      </c>
      <c r="C6726" s="8">
        <f>QS.CONTEXT.CREATE("market.6724",A6726,"USD","SOFR")</f>
        <v/>
      </c>
      <c r="D6726" s="8">
        <f>QS.CONTEXT.ADD.CURVE(C6726,"SOFR",$K$2:$K$7,$L$2:$L$7,,,"Actual360","LogLinear",TRUE)</f>
        <v/>
      </c>
      <c r="E6726" s="8">
        <f>QS.INSTRUMENT.SWAP("swap.6724",C6726,H6726,B6726,"USD","SOFR",I6726,J6726,0,"Actual360","Simple","Annual","Annual","Annual")</f>
        <v/>
      </c>
      <c r="F6726" s="8">
        <f>QS.TRADE.CREATE("trade.6724",C6726,E6726,A6726,"Receive")</f>
        <v/>
      </c>
      <c r="G6726" s="5"/>
      <c r="H6726" s="7" t="s">
        <v>6766</v>
      </c>
      <c r="I6726" s="9">
        <v>1672400</v>
      </c>
      <c r="J6726" s="10">
        <v>0.0374</v>
      </c>
    </row>
    <row r="6727" spans="1:10">
      <c r="A6727" s="7" t="s">
        <v>6760</v>
      </c>
      <c r="B6727" s="7" t="s">
        <v>8594</v>
      </c>
      <c r="C6727" s="8">
        <f>QS.CONTEXT.CREATE("market.6725",A6727,"USD","SOFR")</f>
        <v/>
      </c>
      <c r="D6727" s="8">
        <f>QS.CONTEXT.ADD.CURVE(C6727,"SOFR",$K$2:$K$7,$L$2:$L$7,,,"Actual360","LogLinear",TRUE)</f>
        <v/>
      </c>
      <c r="E6727" s="8">
        <f>QS.INSTRUMENT.SWAP("swap.6725",C6727,H6727,B6727,"USD","SOFR",I6727,J6727,0,"Actual360","Simple","Annual","Annual","Annual")</f>
        <v/>
      </c>
      <c r="F6727" s="8">
        <f>QS.TRADE.CREATE("trade.6725",C6727,E6727,A6727,"Receive")</f>
        <v/>
      </c>
      <c r="G6727" s="5"/>
      <c r="H6727" s="7" t="s">
        <v>6767</v>
      </c>
      <c r="I6727" s="9">
        <v>1672500</v>
      </c>
      <c r="J6727" s="10">
        <v>0.03750000000000001</v>
      </c>
    </row>
    <row r="6728" spans="1:10">
      <c r="A6728" s="7" t="s">
        <v>6761</v>
      </c>
      <c r="B6728" s="7" t="s">
        <v>8595</v>
      </c>
      <c r="C6728" s="8">
        <f>QS.CONTEXT.CREATE("market.6726",A6728,"USD","SOFR")</f>
        <v/>
      </c>
      <c r="D6728" s="8">
        <f>QS.CONTEXT.ADD.CURVE(C6728,"SOFR",$K$2:$K$7,$L$2:$L$7,,,"Actual360","LogLinear",TRUE)</f>
        <v/>
      </c>
      <c r="E6728" s="8">
        <f>QS.INSTRUMENT.SWAP("swap.6726",C6728,H6728,B6728,"USD","SOFR",I6728,J6728,0,"Actual360","Simple","Annual","Annual","Annual")</f>
        <v/>
      </c>
      <c r="F6728" s="8">
        <f>QS.TRADE.CREATE("trade.6726",C6728,E6728,A6728,"Receive")</f>
        <v/>
      </c>
      <c r="G6728" s="5"/>
      <c r="H6728" s="7" t="s">
        <v>6768</v>
      </c>
      <c r="I6728" s="9">
        <v>1672600</v>
      </c>
      <c r="J6728" s="10">
        <v>0.0376</v>
      </c>
    </row>
    <row r="6729" spans="1:10">
      <c r="A6729" s="7" t="s">
        <v>6762</v>
      </c>
      <c r="B6729" s="7" t="s">
        <v>8596</v>
      </c>
      <c r="C6729" s="8">
        <f>QS.CONTEXT.CREATE("market.6727",A6729,"USD","SOFR")</f>
        <v/>
      </c>
      <c r="D6729" s="8">
        <f>QS.CONTEXT.ADD.CURVE(C6729,"SOFR",$K$2:$K$7,$L$2:$L$7,,,"Actual360","LogLinear",TRUE)</f>
        <v/>
      </c>
      <c r="E6729" s="8">
        <f>QS.INSTRUMENT.SWAP("swap.6727",C6729,H6729,B6729,"USD","SOFR",I6729,J6729,0,"Actual360","Simple","Annual","Annual","Annual")</f>
        <v/>
      </c>
      <c r="F6729" s="8">
        <f>QS.TRADE.CREATE("trade.6727",C6729,E6729,A6729,"Receive")</f>
        <v/>
      </c>
      <c r="G6729" s="5"/>
      <c r="H6729" s="7" t="s">
        <v>6769</v>
      </c>
      <c r="I6729" s="9">
        <v>1672700</v>
      </c>
      <c r="J6729" s="10">
        <v>0.0377</v>
      </c>
    </row>
    <row r="6730" spans="1:10">
      <c r="A6730" s="7" t="s">
        <v>6763</v>
      </c>
      <c r="B6730" s="7" t="s">
        <v>8597</v>
      </c>
      <c r="C6730" s="8">
        <f>QS.CONTEXT.CREATE("market.6728",A6730,"USD","SOFR")</f>
        <v/>
      </c>
      <c r="D6730" s="8">
        <f>QS.CONTEXT.ADD.CURVE(C6730,"SOFR",$K$2:$K$7,$L$2:$L$7,,,"Actual360","LogLinear",TRUE)</f>
        <v/>
      </c>
      <c r="E6730" s="8">
        <f>QS.INSTRUMENT.SWAP("swap.6728",C6730,H6730,B6730,"USD","SOFR",I6730,J6730,0,"Actual360","Simple","Annual","Annual","Annual")</f>
        <v/>
      </c>
      <c r="F6730" s="8">
        <f>QS.TRADE.CREATE("trade.6728",C6730,E6730,A6730,"Receive")</f>
        <v/>
      </c>
      <c r="G6730" s="5"/>
      <c r="H6730" s="7" t="s">
        <v>6770</v>
      </c>
      <c r="I6730" s="9">
        <v>1672800</v>
      </c>
      <c r="J6730" s="10">
        <v>0.0378</v>
      </c>
    </row>
    <row r="6731" spans="1:10">
      <c r="A6731" s="7" t="s">
        <v>6764</v>
      </c>
      <c r="B6731" s="7" t="s">
        <v>8598</v>
      </c>
      <c r="C6731" s="8">
        <f>QS.CONTEXT.CREATE("market.6729",A6731,"USD","SOFR")</f>
        <v/>
      </c>
      <c r="D6731" s="8">
        <f>QS.CONTEXT.ADD.CURVE(C6731,"SOFR",$K$2:$K$7,$L$2:$L$7,,,"Actual360","LogLinear",TRUE)</f>
        <v/>
      </c>
      <c r="E6731" s="8">
        <f>QS.INSTRUMENT.SWAP("swap.6729",C6731,H6731,B6731,"USD","SOFR",I6731,J6731,0,"Actual360","Simple","Annual","Annual","Annual")</f>
        <v/>
      </c>
      <c r="F6731" s="8">
        <f>QS.TRADE.CREATE("trade.6729",C6731,E6731,A6731,"Receive")</f>
        <v/>
      </c>
      <c r="G6731" s="5"/>
      <c r="H6731" s="7" t="s">
        <v>6771</v>
      </c>
      <c r="I6731" s="9">
        <v>1672900</v>
      </c>
      <c r="J6731" s="10">
        <v>0.0379</v>
      </c>
    </row>
    <row r="6732" spans="1:10">
      <c r="A6732" s="7" t="s">
        <v>6765</v>
      </c>
      <c r="B6732" s="7" t="s">
        <v>8599</v>
      </c>
      <c r="C6732" s="8">
        <f>QS.CONTEXT.CREATE("market.6730",A6732,"USD","SOFR")</f>
        <v/>
      </c>
      <c r="D6732" s="8">
        <f>QS.CONTEXT.ADD.CURVE(C6732,"SOFR",$K$2:$K$7,$L$2:$L$7,,,"Actual360","LogLinear",TRUE)</f>
        <v/>
      </c>
      <c r="E6732" s="8">
        <f>QS.INSTRUMENT.SWAP("swap.6730",C6732,H6732,B6732,"USD","SOFR",I6732,J6732,0,"Actual360","Simple","Annual","Annual","Annual")</f>
        <v/>
      </c>
      <c r="F6732" s="8">
        <f>QS.TRADE.CREATE("trade.6730",C6732,E6732,A6732,"Receive")</f>
        <v/>
      </c>
      <c r="G6732" s="5"/>
      <c r="H6732" s="7" t="s">
        <v>6772</v>
      </c>
      <c r="I6732" s="9">
        <v>1673000</v>
      </c>
      <c r="J6732" s="10">
        <v>0.03800000000000001</v>
      </c>
    </row>
    <row r="6733" spans="1:10">
      <c r="A6733" s="7" t="s">
        <v>6766</v>
      </c>
      <c r="B6733" s="7" t="s">
        <v>8600</v>
      </c>
      <c r="C6733" s="8">
        <f>QS.CONTEXT.CREATE("market.6731",A6733,"USD","SOFR")</f>
        <v/>
      </c>
      <c r="D6733" s="8">
        <f>QS.CONTEXT.ADD.CURVE(C6733,"SOFR",$K$2:$K$7,$L$2:$L$7,,,"Actual360","LogLinear",TRUE)</f>
        <v/>
      </c>
      <c r="E6733" s="8">
        <f>QS.INSTRUMENT.SWAP("swap.6731",C6733,H6733,B6733,"USD","SOFR",I6733,J6733,0,"Actual360","Simple","Annual","Annual","Annual")</f>
        <v/>
      </c>
      <c r="F6733" s="8">
        <f>QS.TRADE.CREATE("trade.6731",C6733,E6733,A6733,"Receive")</f>
        <v/>
      </c>
      <c r="G6733" s="5"/>
      <c r="H6733" s="7" t="s">
        <v>6773</v>
      </c>
      <c r="I6733" s="9">
        <v>1673100</v>
      </c>
      <c r="J6733" s="10">
        <v>0.0381</v>
      </c>
    </row>
    <row r="6734" spans="1:10">
      <c r="A6734" s="7" t="s">
        <v>6767</v>
      </c>
      <c r="B6734" s="7" t="s">
        <v>8601</v>
      </c>
      <c r="C6734" s="8">
        <f>QS.CONTEXT.CREATE("market.6732",A6734,"USD","SOFR")</f>
        <v/>
      </c>
      <c r="D6734" s="8">
        <f>QS.CONTEXT.ADD.CURVE(C6734,"SOFR",$K$2:$K$7,$L$2:$L$7,,,"Actual360","LogLinear",TRUE)</f>
        <v/>
      </c>
      <c r="E6734" s="8">
        <f>QS.INSTRUMENT.SWAP("swap.6732",C6734,H6734,B6734,"USD","SOFR",I6734,J6734,0,"Actual360","Simple","Annual","Annual","Annual")</f>
        <v/>
      </c>
      <c r="F6734" s="8">
        <f>QS.TRADE.CREATE("trade.6732",C6734,E6734,A6734,"Receive")</f>
        <v/>
      </c>
      <c r="G6734" s="5"/>
      <c r="H6734" s="7" t="s">
        <v>6774</v>
      </c>
      <c r="I6734" s="9">
        <v>1673200</v>
      </c>
      <c r="J6734" s="10">
        <v>0.0382</v>
      </c>
    </row>
    <row r="6735" spans="1:10">
      <c r="A6735" s="7" t="s">
        <v>6768</v>
      </c>
      <c r="B6735" s="7" t="s">
        <v>8602</v>
      </c>
      <c r="C6735" s="8">
        <f>QS.CONTEXT.CREATE("market.6733",A6735,"USD","SOFR")</f>
        <v/>
      </c>
      <c r="D6735" s="8">
        <f>QS.CONTEXT.ADD.CURVE(C6735,"SOFR",$K$2:$K$7,$L$2:$L$7,,,"Actual360","LogLinear",TRUE)</f>
        <v/>
      </c>
      <c r="E6735" s="8">
        <f>QS.INSTRUMENT.SWAP("swap.6733",C6735,H6735,B6735,"USD","SOFR",I6735,J6735,0,"Actual360","Simple","Annual","Annual","Annual")</f>
        <v/>
      </c>
      <c r="F6735" s="8">
        <f>QS.TRADE.CREATE("trade.6733",C6735,E6735,A6735,"Receive")</f>
        <v/>
      </c>
      <c r="G6735" s="5"/>
      <c r="H6735" s="7" t="s">
        <v>6775</v>
      </c>
      <c r="I6735" s="9">
        <v>1673300</v>
      </c>
      <c r="J6735" s="10">
        <v>0.0383</v>
      </c>
    </row>
    <row r="6736" spans="1:10">
      <c r="A6736" s="7" t="s">
        <v>6769</v>
      </c>
      <c r="B6736" s="7" t="s">
        <v>8603</v>
      </c>
      <c r="C6736" s="8">
        <f>QS.CONTEXT.CREATE("market.6734",A6736,"USD","SOFR")</f>
        <v/>
      </c>
      <c r="D6736" s="8">
        <f>QS.CONTEXT.ADD.CURVE(C6736,"SOFR",$K$2:$K$7,$L$2:$L$7,,,"Actual360","LogLinear",TRUE)</f>
        <v/>
      </c>
      <c r="E6736" s="8">
        <f>QS.INSTRUMENT.SWAP("swap.6734",C6736,H6736,B6736,"USD","SOFR",I6736,J6736,0,"Actual360","Simple","Annual","Annual","Annual")</f>
        <v/>
      </c>
      <c r="F6736" s="8">
        <f>QS.TRADE.CREATE("trade.6734",C6736,E6736,A6736,"Receive")</f>
        <v/>
      </c>
      <c r="G6736" s="5"/>
      <c r="H6736" s="7" t="s">
        <v>6776</v>
      </c>
      <c r="I6736" s="9">
        <v>1673400</v>
      </c>
      <c r="J6736" s="10">
        <v>0.0384</v>
      </c>
    </row>
    <row r="6737" spans="1:10">
      <c r="A6737" s="7" t="s">
        <v>6770</v>
      </c>
      <c r="B6737" s="7" t="s">
        <v>8604</v>
      </c>
      <c r="C6737" s="8">
        <f>QS.CONTEXT.CREATE("market.6735",A6737,"USD","SOFR")</f>
        <v/>
      </c>
      <c r="D6737" s="8">
        <f>QS.CONTEXT.ADD.CURVE(C6737,"SOFR",$K$2:$K$7,$L$2:$L$7,,,"Actual360","LogLinear",TRUE)</f>
        <v/>
      </c>
      <c r="E6737" s="8">
        <f>QS.INSTRUMENT.SWAP("swap.6735",C6737,H6737,B6737,"USD","SOFR",I6737,J6737,0,"Actual360","Simple","Annual","Annual","Annual")</f>
        <v/>
      </c>
      <c r="F6737" s="8">
        <f>QS.TRADE.CREATE("trade.6735",C6737,E6737,A6737,"Receive")</f>
        <v/>
      </c>
      <c r="G6737" s="5"/>
      <c r="H6737" s="7" t="s">
        <v>6777</v>
      </c>
      <c r="I6737" s="9">
        <v>1673500</v>
      </c>
      <c r="J6737" s="10">
        <v>0.03850000000000001</v>
      </c>
    </row>
    <row r="6738" spans="1:10">
      <c r="A6738" s="7" t="s">
        <v>6771</v>
      </c>
      <c r="B6738" s="7" t="s">
        <v>8605</v>
      </c>
      <c r="C6738" s="8">
        <f>QS.CONTEXT.CREATE("market.6736",A6738,"USD","SOFR")</f>
        <v/>
      </c>
      <c r="D6738" s="8">
        <f>QS.CONTEXT.ADD.CURVE(C6738,"SOFR",$K$2:$K$7,$L$2:$L$7,,,"Actual360","LogLinear",TRUE)</f>
        <v/>
      </c>
      <c r="E6738" s="8">
        <f>QS.INSTRUMENT.SWAP("swap.6736",C6738,H6738,B6738,"USD","SOFR",I6738,J6738,0,"Actual360","Simple","Annual","Annual","Annual")</f>
        <v/>
      </c>
      <c r="F6738" s="8">
        <f>QS.TRADE.CREATE("trade.6736",C6738,E6738,A6738,"Receive")</f>
        <v/>
      </c>
      <c r="G6738" s="5"/>
      <c r="H6738" s="7" t="s">
        <v>6778</v>
      </c>
      <c r="I6738" s="9">
        <v>1673600</v>
      </c>
      <c r="J6738" s="10">
        <v>0.0386</v>
      </c>
    </row>
    <row r="6739" spans="1:10">
      <c r="A6739" s="7" t="s">
        <v>6772</v>
      </c>
      <c r="B6739" s="7" t="s">
        <v>8606</v>
      </c>
      <c r="C6739" s="8">
        <f>QS.CONTEXT.CREATE("market.6737",A6739,"USD","SOFR")</f>
        <v/>
      </c>
      <c r="D6739" s="8">
        <f>QS.CONTEXT.ADD.CURVE(C6739,"SOFR",$K$2:$K$7,$L$2:$L$7,,,"Actual360","LogLinear",TRUE)</f>
        <v/>
      </c>
      <c r="E6739" s="8">
        <f>QS.INSTRUMENT.SWAP("swap.6737",C6739,H6739,B6739,"USD","SOFR",I6739,J6739,0,"Actual360","Simple","Annual","Annual","Annual")</f>
        <v/>
      </c>
      <c r="F6739" s="8">
        <f>QS.TRADE.CREATE("trade.6737",C6739,E6739,A6739,"Receive")</f>
        <v/>
      </c>
      <c r="G6739" s="5"/>
      <c r="H6739" s="7" t="s">
        <v>6779</v>
      </c>
      <c r="I6739" s="9">
        <v>1673700</v>
      </c>
      <c r="J6739" s="10">
        <v>0.03870000000000001</v>
      </c>
    </row>
    <row r="6740" spans="1:10">
      <c r="A6740" s="7" t="s">
        <v>6773</v>
      </c>
      <c r="B6740" s="7" t="s">
        <v>8607</v>
      </c>
      <c r="C6740" s="8">
        <f>QS.CONTEXT.CREATE("market.6738",A6740,"USD","SOFR")</f>
        <v/>
      </c>
      <c r="D6740" s="8">
        <f>QS.CONTEXT.ADD.CURVE(C6740,"SOFR",$K$2:$K$7,$L$2:$L$7,,,"Actual360","LogLinear",TRUE)</f>
        <v/>
      </c>
      <c r="E6740" s="8">
        <f>QS.INSTRUMENT.SWAP("swap.6738",C6740,H6740,B6740,"USD","SOFR",I6740,J6740,0,"Actual360","Simple","Annual","Annual","Annual")</f>
        <v/>
      </c>
      <c r="F6740" s="8">
        <f>QS.TRADE.CREATE("trade.6738",C6740,E6740,A6740,"Receive")</f>
        <v/>
      </c>
      <c r="G6740" s="5"/>
      <c r="H6740" s="7" t="s">
        <v>6780</v>
      </c>
      <c r="I6740" s="9">
        <v>1673800</v>
      </c>
      <c r="J6740" s="10">
        <v>0.0388</v>
      </c>
    </row>
    <row r="6741" spans="1:10">
      <c r="A6741" s="7" t="s">
        <v>6774</v>
      </c>
      <c r="B6741" s="7" t="s">
        <v>8608</v>
      </c>
      <c r="C6741" s="8">
        <f>QS.CONTEXT.CREATE("market.6739",A6741,"USD","SOFR")</f>
        <v/>
      </c>
      <c r="D6741" s="8">
        <f>QS.CONTEXT.ADD.CURVE(C6741,"SOFR",$K$2:$K$7,$L$2:$L$7,,,"Actual360","LogLinear",TRUE)</f>
        <v/>
      </c>
      <c r="E6741" s="8">
        <f>QS.INSTRUMENT.SWAP("swap.6739",C6741,H6741,B6741,"USD","SOFR",I6741,J6741,0,"Actual360","Simple","Annual","Annual","Annual")</f>
        <v/>
      </c>
      <c r="F6741" s="8">
        <f>QS.TRADE.CREATE("trade.6739",C6741,E6741,A6741,"Receive")</f>
        <v/>
      </c>
      <c r="G6741" s="5"/>
      <c r="H6741" s="7" t="s">
        <v>6781</v>
      </c>
      <c r="I6741" s="9">
        <v>1673900</v>
      </c>
      <c r="J6741" s="10">
        <v>0.0389</v>
      </c>
    </row>
    <row r="6742" spans="1:10">
      <c r="A6742" s="7" t="s">
        <v>6775</v>
      </c>
      <c r="B6742" s="7" t="s">
        <v>8609</v>
      </c>
      <c r="C6742" s="8">
        <f>QS.CONTEXT.CREATE("market.6740",A6742,"USD","SOFR")</f>
        <v/>
      </c>
      <c r="D6742" s="8">
        <f>QS.CONTEXT.ADD.CURVE(C6742,"SOFR",$K$2:$K$7,$L$2:$L$7,,,"Actual360","LogLinear",TRUE)</f>
        <v/>
      </c>
      <c r="E6742" s="8">
        <f>QS.INSTRUMENT.SWAP("swap.6740",C6742,H6742,B6742,"USD","SOFR",I6742,J6742,0,"Actual360","Simple","Annual","Annual","Annual")</f>
        <v/>
      </c>
      <c r="F6742" s="8">
        <f>QS.TRADE.CREATE("trade.6740",C6742,E6742,A6742,"Receive")</f>
        <v/>
      </c>
      <c r="G6742" s="5"/>
      <c r="H6742" s="7" t="s">
        <v>6782</v>
      </c>
      <c r="I6742" s="9">
        <v>1674000</v>
      </c>
      <c r="J6742" s="10">
        <v>0.03900000000000001</v>
      </c>
    </row>
    <row r="6743" spans="1:10">
      <c r="A6743" s="7" t="s">
        <v>6776</v>
      </c>
      <c r="B6743" s="7" t="s">
        <v>8610</v>
      </c>
      <c r="C6743" s="8">
        <f>QS.CONTEXT.CREATE("market.6741",A6743,"USD","SOFR")</f>
        <v/>
      </c>
      <c r="D6743" s="8">
        <f>QS.CONTEXT.ADD.CURVE(C6743,"SOFR",$K$2:$K$7,$L$2:$L$7,,,"Actual360","LogLinear",TRUE)</f>
        <v/>
      </c>
      <c r="E6743" s="8">
        <f>QS.INSTRUMENT.SWAP("swap.6741",C6743,H6743,B6743,"USD","SOFR",I6743,J6743,0,"Actual360","Simple","Annual","Annual","Annual")</f>
        <v/>
      </c>
      <c r="F6743" s="8">
        <f>QS.TRADE.CREATE("trade.6741",C6743,E6743,A6743,"Receive")</f>
        <v/>
      </c>
      <c r="G6743" s="5"/>
      <c r="H6743" s="7" t="s">
        <v>6783</v>
      </c>
      <c r="I6743" s="9">
        <v>1674100</v>
      </c>
      <c r="J6743" s="10">
        <v>0.0391</v>
      </c>
    </row>
    <row r="6744" spans="1:10">
      <c r="A6744" s="7" t="s">
        <v>6777</v>
      </c>
      <c r="B6744" s="7" t="s">
        <v>8611</v>
      </c>
      <c r="C6744" s="8">
        <f>QS.CONTEXT.CREATE("market.6742",A6744,"USD","SOFR")</f>
        <v/>
      </c>
      <c r="D6744" s="8">
        <f>QS.CONTEXT.ADD.CURVE(C6744,"SOFR",$K$2:$K$7,$L$2:$L$7,,,"Actual360","LogLinear",TRUE)</f>
        <v/>
      </c>
      <c r="E6744" s="8">
        <f>QS.INSTRUMENT.SWAP("swap.6742",C6744,H6744,B6744,"USD","SOFR",I6744,J6744,0,"Actual360","Simple","Annual","Annual","Annual")</f>
        <v/>
      </c>
      <c r="F6744" s="8">
        <f>QS.TRADE.CREATE("trade.6742",C6744,E6744,A6744,"Receive")</f>
        <v/>
      </c>
      <c r="G6744" s="5"/>
      <c r="H6744" s="7" t="s">
        <v>6784</v>
      </c>
      <c r="I6744" s="9">
        <v>1674200</v>
      </c>
      <c r="J6744" s="10">
        <v>0.03920000000000001</v>
      </c>
    </row>
    <row r="6745" spans="1:10">
      <c r="A6745" s="7" t="s">
        <v>6778</v>
      </c>
      <c r="B6745" s="7" t="s">
        <v>8612</v>
      </c>
      <c r="C6745" s="8">
        <f>QS.CONTEXT.CREATE("market.6743",A6745,"USD","SOFR")</f>
        <v/>
      </c>
      <c r="D6745" s="8">
        <f>QS.CONTEXT.ADD.CURVE(C6745,"SOFR",$K$2:$K$7,$L$2:$L$7,,,"Actual360","LogLinear",TRUE)</f>
        <v/>
      </c>
      <c r="E6745" s="8">
        <f>QS.INSTRUMENT.SWAP("swap.6743",C6745,H6745,B6745,"USD","SOFR",I6745,J6745,0,"Actual360","Simple","Annual","Annual","Annual")</f>
        <v/>
      </c>
      <c r="F6745" s="8">
        <f>QS.TRADE.CREATE("trade.6743",C6745,E6745,A6745,"Receive")</f>
        <v/>
      </c>
      <c r="G6745" s="5"/>
      <c r="H6745" s="7" t="s">
        <v>6785</v>
      </c>
      <c r="I6745" s="9">
        <v>1674300</v>
      </c>
      <c r="J6745" s="10">
        <v>0.0393</v>
      </c>
    </row>
    <row r="6746" spans="1:10">
      <c r="A6746" s="7" t="s">
        <v>6779</v>
      </c>
      <c r="B6746" s="7" t="s">
        <v>8613</v>
      </c>
      <c r="C6746" s="8">
        <f>QS.CONTEXT.CREATE("market.6744",A6746,"USD","SOFR")</f>
        <v/>
      </c>
      <c r="D6746" s="8">
        <f>QS.CONTEXT.ADD.CURVE(C6746,"SOFR",$K$2:$K$7,$L$2:$L$7,,,"Actual360","LogLinear",TRUE)</f>
        <v/>
      </c>
      <c r="E6746" s="8">
        <f>QS.INSTRUMENT.SWAP("swap.6744",C6746,H6746,B6746,"USD","SOFR",I6746,J6746,0,"Actual360","Simple","Annual","Annual","Annual")</f>
        <v/>
      </c>
      <c r="F6746" s="8">
        <f>QS.TRADE.CREATE("trade.6744",C6746,E6746,A6746,"Receive")</f>
        <v/>
      </c>
      <c r="G6746" s="5"/>
      <c r="H6746" s="7" t="s">
        <v>6786</v>
      </c>
      <c r="I6746" s="9">
        <v>1674400</v>
      </c>
      <c r="J6746" s="10">
        <v>0.0394</v>
      </c>
    </row>
    <row r="6747" spans="1:10">
      <c r="A6747" s="7" t="s">
        <v>6780</v>
      </c>
      <c r="B6747" s="7" t="s">
        <v>8614</v>
      </c>
      <c r="C6747" s="8">
        <f>QS.CONTEXT.CREATE("market.6745",A6747,"USD","SOFR")</f>
        <v/>
      </c>
      <c r="D6747" s="8">
        <f>QS.CONTEXT.ADD.CURVE(C6747,"SOFR",$K$2:$K$7,$L$2:$L$7,,,"Actual360","LogLinear",TRUE)</f>
        <v/>
      </c>
      <c r="E6747" s="8">
        <f>QS.INSTRUMENT.SWAP("swap.6745",C6747,H6747,B6747,"USD","SOFR",I6747,J6747,0,"Actual360","Simple","Annual","Annual","Annual")</f>
        <v/>
      </c>
      <c r="F6747" s="8">
        <f>QS.TRADE.CREATE("trade.6745",C6747,E6747,A6747,"Receive")</f>
        <v/>
      </c>
      <c r="G6747" s="5"/>
      <c r="H6747" s="7" t="s">
        <v>6787</v>
      </c>
      <c r="I6747" s="9">
        <v>1674500</v>
      </c>
      <c r="J6747" s="10">
        <v>0.03950000000000001</v>
      </c>
    </row>
    <row r="6748" spans="1:10">
      <c r="A6748" s="7" t="s">
        <v>6781</v>
      </c>
      <c r="B6748" s="7" t="s">
        <v>8615</v>
      </c>
      <c r="C6748" s="8">
        <f>QS.CONTEXT.CREATE("market.6746",A6748,"USD","SOFR")</f>
        <v/>
      </c>
      <c r="D6748" s="8">
        <f>QS.CONTEXT.ADD.CURVE(C6748,"SOFR",$K$2:$K$7,$L$2:$L$7,,,"Actual360","LogLinear",TRUE)</f>
        <v/>
      </c>
      <c r="E6748" s="8">
        <f>QS.INSTRUMENT.SWAP("swap.6746",C6748,H6748,B6748,"USD","SOFR",I6748,J6748,0,"Actual360","Simple","Annual","Annual","Annual")</f>
        <v/>
      </c>
      <c r="F6748" s="8">
        <f>QS.TRADE.CREATE("trade.6746",C6748,E6748,A6748,"Receive")</f>
        <v/>
      </c>
      <c r="G6748" s="5"/>
      <c r="H6748" s="7" t="s">
        <v>6788</v>
      </c>
      <c r="I6748" s="9">
        <v>1674600</v>
      </c>
      <c r="J6748" s="10">
        <v>0.0396</v>
      </c>
    </row>
    <row r="6749" spans="1:10">
      <c r="A6749" s="7" t="s">
        <v>6782</v>
      </c>
      <c r="B6749" s="7" t="s">
        <v>8616</v>
      </c>
      <c r="C6749" s="8">
        <f>QS.CONTEXT.CREATE("market.6747",A6749,"USD","SOFR")</f>
        <v/>
      </c>
      <c r="D6749" s="8">
        <f>QS.CONTEXT.ADD.CURVE(C6749,"SOFR",$K$2:$K$7,$L$2:$L$7,,,"Actual360","LogLinear",TRUE)</f>
        <v/>
      </c>
      <c r="E6749" s="8">
        <f>QS.INSTRUMENT.SWAP("swap.6747",C6749,H6749,B6749,"USD","SOFR",I6749,J6749,0,"Actual360","Simple","Annual","Annual","Annual")</f>
        <v/>
      </c>
      <c r="F6749" s="8">
        <f>QS.TRADE.CREATE("trade.6747",C6749,E6749,A6749,"Receive")</f>
        <v/>
      </c>
      <c r="G6749" s="5"/>
      <c r="H6749" s="7" t="s">
        <v>6789</v>
      </c>
      <c r="I6749" s="9">
        <v>1674700</v>
      </c>
      <c r="J6749" s="10">
        <v>0.03970000000000001</v>
      </c>
    </row>
    <row r="6750" spans="1:10">
      <c r="A6750" s="7" t="s">
        <v>6783</v>
      </c>
      <c r="B6750" s="7" t="s">
        <v>8617</v>
      </c>
      <c r="C6750" s="8">
        <f>QS.CONTEXT.CREATE("market.6748",A6750,"USD","SOFR")</f>
        <v/>
      </c>
      <c r="D6750" s="8">
        <f>QS.CONTEXT.ADD.CURVE(C6750,"SOFR",$K$2:$K$7,$L$2:$L$7,,,"Actual360","LogLinear",TRUE)</f>
        <v/>
      </c>
      <c r="E6750" s="8">
        <f>QS.INSTRUMENT.SWAP("swap.6748",C6750,H6750,B6750,"USD","SOFR",I6750,J6750,0,"Actual360","Simple","Annual","Annual","Annual")</f>
        <v/>
      </c>
      <c r="F6750" s="8">
        <f>QS.TRADE.CREATE("trade.6748",C6750,E6750,A6750,"Receive")</f>
        <v/>
      </c>
      <c r="G6750" s="5"/>
      <c r="H6750" s="7" t="s">
        <v>6790</v>
      </c>
      <c r="I6750" s="9">
        <v>1674800</v>
      </c>
      <c r="J6750" s="10">
        <v>0.0398</v>
      </c>
    </row>
    <row r="6751" spans="1:10">
      <c r="A6751" s="7" t="s">
        <v>6784</v>
      </c>
      <c r="B6751" s="7" t="s">
        <v>8618</v>
      </c>
      <c r="C6751" s="8">
        <f>QS.CONTEXT.CREATE("market.6749",A6751,"USD","SOFR")</f>
        <v/>
      </c>
      <c r="D6751" s="8">
        <f>QS.CONTEXT.ADD.CURVE(C6751,"SOFR",$K$2:$K$7,$L$2:$L$7,,,"Actual360","LogLinear",TRUE)</f>
        <v/>
      </c>
      <c r="E6751" s="8">
        <f>QS.INSTRUMENT.SWAP("swap.6749",C6751,H6751,B6751,"USD","SOFR",I6751,J6751,0,"Actual360","Simple","Annual","Annual","Annual")</f>
        <v/>
      </c>
      <c r="F6751" s="8">
        <f>QS.TRADE.CREATE("trade.6749",C6751,E6751,A6751,"Receive")</f>
        <v/>
      </c>
      <c r="G6751" s="5"/>
      <c r="H6751" s="7" t="s">
        <v>6791</v>
      </c>
      <c r="I6751" s="9">
        <v>1674900</v>
      </c>
      <c r="J6751" s="10">
        <v>0.0399</v>
      </c>
    </row>
    <row r="6752" spans="1:10">
      <c r="A6752" s="7" t="s">
        <v>6785</v>
      </c>
      <c r="B6752" s="7" t="s">
        <v>8619</v>
      </c>
      <c r="C6752" s="8">
        <f>QS.CONTEXT.CREATE("market.6750",A6752,"USD","SOFR")</f>
        <v/>
      </c>
      <c r="D6752" s="8">
        <f>QS.CONTEXT.ADD.CURVE(C6752,"SOFR",$K$2:$K$7,$L$2:$L$7,,,"Actual360","LogLinear",TRUE)</f>
        <v/>
      </c>
      <c r="E6752" s="8">
        <f>QS.INSTRUMENT.SWAP("swap.6750",C6752,H6752,B6752,"USD","SOFR",I6752,J6752,0,"Actual360","Simple","Annual","Annual","Annual")</f>
        <v/>
      </c>
      <c r="F6752" s="8">
        <f>QS.TRADE.CREATE("trade.6750",C6752,E6752,A6752,"Receive")</f>
        <v/>
      </c>
      <c r="G6752" s="5"/>
      <c r="H6752" s="7" t="s">
        <v>6792</v>
      </c>
      <c r="I6752" s="9">
        <v>1675000</v>
      </c>
      <c r="J6752" s="10">
        <v>0.035</v>
      </c>
    </row>
    <row r="6753" spans="1:10">
      <c r="A6753" s="7" t="s">
        <v>6786</v>
      </c>
      <c r="B6753" s="7" t="s">
        <v>8620</v>
      </c>
      <c r="C6753" s="8">
        <f>QS.CONTEXT.CREATE("market.6751",A6753,"USD","SOFR")</f>
        <v/>
      </c>
      <c r="D6753" s="8">
        <f>QS.CONTEXT.ADD.CURVE(C6753,"SOFR",$K$2:$K$7,$L$2:$L$7,,,"Actual360","LogLinear",TRUE)</f>
        <v/>
      </c>
      <c r="E6753" s="8">
        <f>QS.INSTRUMENT.SWAP("swap.6751",C6753,H6753,B6753,"USD","SOFR",I6753,J6753,0,"Actual360","Simple","Annual","Annual","Annual")</f>
        <v/>
      </c>
      <c r="F6753" s="8">
        <f>QS.TRADE.CREATE("trade.6751",C6753,E6753,A6753,"Receive")</f>
        <v/>
      </c>
      <c r="G6753" s="5"/>
      <c r="H6753" s="7" t="s">
        <v>6793</v>
      </c>
      <c r="I6753" s="9">
        <v>1675100</v>
      </c>
      <c r="J6753" s="10">
        <v>0.03510000000000001</v>
      </c>
    </row>
    <row r="6754" spans="1:10">
      <c r="A6754" s="7" t="s">
        <v>6787</v>
      </c>
      <c r="B6754" s="7" t="s">
        <v>8621</v>
      </c>
      <c r="C6754" s="8">
        <f>QS.CONTEXT.CREATE("market.6752",A6754,"USD","SOFR")</f>
        <v/>
      </c>
      <c r="D6754" s="8">
        <f>QS.CONTEXT.ADD.CURVE(C6754,"SOFR",$K$2:$K$7,$L$2:$L$7,,,"Actual360","LogLinear",TRUE)</f>
        <v/>
      </c>
      <c r="E6754" s="8">
        <f>QS.INSTRUMENT.SWAP("swap.6752",C6754,H6754,B6754,"USD","SOFR",I6754,J6754,0,"Actual360","Simple","Annual","Annual","Annual")</f>
        <v/>
      </c>
      <c r="F6754" s="8">
        <f>QS.TRADE.CREATE("trade.6752",C6754,E6754,A6754,"Receive")</f>
        <v/>
      </c>
      <c r="G6754" s="5"/>
      <c r="H6754" s="7" t="s">
        <v>6794</v>
      </c>
      <c r="I6754" s="9">
        <v>1675200</v>
      </c>
      <c r="J6754" s="10">
        <v>0.0352</v>
      </c>
    </row>
    <row r="6755" spans="1:10">
      <c r="A6755" s="7" t="s">
        <v>6788</v>
      </c>
      <c r="B6755" s="7" t="s">
        <v>8622</v>
      </c>
      <c r="C6755" s="8">
        <f>QS.CONTEXT.CREATE("market.6753",A6755,"USD","SOFR")</f>
        <v/>
      </c>
      <c r="D6755" s="8">
        <f>QS.CONTEXT.ADD.CURVE(C6755,"SOFR",$K$2:$K$7,$L$2:$L$7,,,"Actual360","LogLinear",TRUE)</f>
        <v/>
      </c>
      <c r="E6755" s="8">
        <f>QS.INSTRUMENT.SWAP("swap.6753",C6755,H6755,B6755,"USD","SOFR",I6755,J6755,0,"Actual360","Simple","Annual","Annual","Annual")</f>
        <v/>
      </c>
      <c r="F6755" s="8">
        <f>QS.TRADE.CREATE("trade.6753",C6755,E6755,A6755,"Receive")</f>
        <v/>
      </c>
      <c r="G6755" s="5"/>
      <c r="H6755" s="7" t="s">
        <v>6795</v>
      </c>
      <c r="I6755" s="9">
        <v>1675300</v>
      </c>
      <c r="J6755" s="10">
        <v>0.0353</v>
      </c>
    </row>
    <row r="6756" spans="1:10">
      <c r="A6756" s="7" t="s">
        <v>6789</v>
      </c>
      <c r="B6756" s="7" t="s">
        <v>8623</v>
      </c>
      <c r="C6756" s="8">
        <f>QS.CONTEXT.CREATE("market.6754",A6756,"USD","SOFR")</f>
        <v/>
      </c>
      <c r="D6756" s="8">
        <f>QS.CONTEXT.ADD.CURVE(C6756,"SOFR",$K$2:$K$7,$L$2:$L$7,,,"Actual360","LogLinear",TRUE)</f>
        <v/>
      </c>
      <c r="E6756" s="8">
        <f>QS.INSTRUMENT.SWAP("swap.6754",C6756,H6756,B6756,"USD","SOFR",I6756,J6756,0,"Actual360","Simple","Annual","Annual","Annual")</f>
        <v/>
      </c>
      <c r="F6756" s="8">
        <f>QS.TRADE.CREATE("trade.6754",C6756,E6756,A6756,"Receive")</f>
        <v/>
      </c>
      <c r="G6756" s="5"/>
      <c r="H6756" s="7" t="s">
        <v>6796</v>
      </c>
      <c r="I6756" s="9">
        <v>1675400</v>
      </c>
      <c r="J6756" s="10">
        <v>0.0354</v>
      </c>
    </row>
    <row r="6757" spans="1:10">
      <c r="A6757" s="7" t="s">
        <v>6790</v>
      </c>
      <c r="B6757" s="7" t="s">
        <v>8624</v>
      </c>
      <c r="C6757" s="8">
        <f>QS.CONTEXT.CREATE("market.6755",A6757,"USD","SOFR")</f>
        <v/>
      </c>
      <c r="D6757" s="8">
        <f>QS.CONTEXT.ADD.CURVE(C6757,"SOFR",$K$2:$K$7,$L$2:$L$7,,,"Actual360","LogLinear",TRUE)</f>
        <v/>
      </c>
      <c r="E6757" s="8">
        <f>QS.INSTRUMENT.SWAP("swap.6755",C6757,H6757,B6757,"USD","SOFR",I6757,J6757,0,"Actual360","Simple","Annual","Annual","Annual")</f>
        <v/>
      </c>
      <c r="F6757" s="8">
        <f>QS.TRADE.CREATE("trade.6755",C6757,E6757,A6757,"Receive")</f>
        <v/>
      </c>
      <c r="G6757" s="5"/>
      <c r="H6757" s="7" t="s">
        <v>6797</v>
      </c>
      <c r="I6757" s="9">
        <v>1675500</v>
      </c>
      <c r="J6757" s="10">
        <v>0.0355</v>
      </c>
    </row>
    <row r="6758" spans="1:10">
      <c r="A6758" s="7" t="s">
        <v>6791</v>
      </c>
      <c r="B6758" s="7" t="s">
        <v>8625</v>
      </c>
      <c r="C6758" s="8">
        <f>QS.CONTEXT.CREATE("market.6756",A6758,"USD","SOFR")</f>
        <v/>
      </c>
      <c r="D6758" s="8">
        <f>QS.CONTEXT.ADD.CURVE(C6758,"SOFR",$K$2:$K$7,$L$2:$L$7,,,"Actual360","LogLinear",TRUE)</f>
        <v/>
      </c>
      <c r="E6758" s="8">
        <f>QS.INSTRUMENT.SWAP("swap.6756",C6758,H6758,B6758,"USD","SOFR",I6758,J6758,0,"Actual360","Simple","Annual","Annual","Annual")</f>
        <v/>
      </c>
      <c r="F6758" s="8">
        <f>QS.TRADE.CREATE("trade.6756",C6758,E6758,A6758,"Receive")</f>
        <v/>
      </c>
      <c r="G6758" s="5"/>
      <c r="H6758" s="7" t="s">
        <v>6798</v>
      </c>
      <c r="I6758" s="9">
        <v>1675600</v>
      </c>
      <c r="J6758" s="10">
        <v>0.03560000000000001</v>
      </c>
    </row>
    <row r="6759" spans="1:10">
      <c r="A6759" s="7" t="s">
        <v>6792</v>
      </c>
      <c r="B6759" s="7" t="s">
        <v>8626</v>
      </c>
      <c r="C6759" s="8">
        <f>QS.CONTEXT.CREATE("market.6757",A6759,"USD","SOFR")</f>
        <v/>
      </c>
      <c r="D6759" s="8">
        <f>QS.CONTEXT.ADD.CURVE(C6759,"SOFR",$K$2:$K$7,$L$2:$L$7,,,"Actual360","LogLinear",TRUE)</f>
        <v/>
      </c>
      <c r="E6759" s="8">
        <f>QS.INSTRUMENT.SWAP("swap.6757",C6759,H6759,B6759,"USD","SOFR",I6759,J6759,0,"Actual360","Simple","Annual","Annual","Annual")</f>
        <v/>
      </c>
      <c r="F6759" s="8">
        <f>QS.TRADE.CREATE("trade.6757",C6759,E6759,A6759,"Receive")</f>
        <v/>
      </c>
      <c r="G6759" s="5"/>
      <c r="H6759" s="7" t="s">
        <v>6799</v>
      </c>
      <c r="I6759" s="9">
        <v>1675700</v>
      </c>
      <c r="J6759" s="10">
        <v>0.0357</v>
      </c>
    </row>
    <row r="6760" spans="1:10">
      <c r="A6760" s="7" t="s">
        <v>6793</v>
      </c>
      <c r="B6760" s="7" t="s">
        <v>8627</v>
      </c>
      <c r="C6760" s="8">
        <f>QS.CONTEXT.CREATE("market.6758",A6760,"USD","SOFR")</f>
        <v/>
      </c>
      <c r="D6760" s="8">
        <f>QS.CONTEXT.ADD.CURVE(C6760,"SOFR",$K$2:$K$7,$L$2:$L$7,,,"Actual360","LogLinear",TRUE)</f>
        <v/>
      </c>
      <c r="E6760" s="8">
        <f>QS.INSTRUMENT.SWAP("swap.6758",C6760,H6760,B6760,"USD","SOFR",I6760,J6760,0,"Actual360","Simple","Annual","Annual","Annual")</f>
        <v/>
      </c>
      <c r="F6760" s="8">
        <f>QS.TRADE.CREATE("trade.6758",C6760,E6760,A6760,"Receive")</f>
        <v/>
      </c>
      <c r="G6760" s="5"/>
      <c r="H6760" s="7" t="s">
        <v>6800</v>
      </c>
      <c r="I6760" s="9">
        <v>1675800</v>
      </c>
      <c r="J6760" s="10">
        <v>0.03580000000000001</v>
      </c>
    </row>
    <row r="6761" spans="1:10">
      <c r="A6761" s="7" t="s">
        <v>6794</v>
      </c>
      <c r="B6761" s="7" t="s">
        <v>8628</v>
      </c>
      <c r="C6761" s="8">
        <f>QS.CONTEXT.CREATE("market.6759",A6761,"USD","SOFR")</f>
        <v/>
      </c>
      <c r="D6761" s="8">
        <f>QS.CONTEXT.ADD.CURVE(C6761,"SOFR",$K$2:$K$7,$L$2:$L$7,,,"Actual360","LogLinear",TRUE)</f>
        <v/>
      </c>
      <c r="E6761" s="8">
        <f>QS.INSTRUMENT.SWAP("swap.6759",C6761,H6761,B6761,"USD","SOFR",I6761,J6761,0,"Actual360","Simple","Annual","Annual","Annual")</f>
        <v/>
      </c>
      <c r="F6761" s="8">
        <f>QS.TRADE.CREATE("trade.6759",C6761,E6761,A6761,"Receive")</f>
        <v/>
      </c>
      <c r="G6761" s="5"/>
      <c r="H6761" s="7" t="s">
        <v>6801</v>
      </c>
      <c r="I6761" s="9">
        <v>1675900</v>
      </c>
      <c r="J6761" s="10">
        <v>0.0359</v>
      </c>
    </row>
    <row r="6762" spans="1:10">
      <c r="A6762" s="7" t="s">
        <v>6795</v>
      </c>
      <c r="B6762" s="7" t="s">
        <v>8629</v>
      </c>
      <c r="C6762" s="8">
        <f>QS.CONTEXT.CREATE("market.6760",A6762,"USD","SOFR")</f>
        <v/>
      </c>
      <c r="D6762" s="8">
        <f>QS.CONTEXT.ADD.CURVE(C6762,"SOFR",$K$2:$K$7,$L$2:$L$7,,,"Actual360","LogLinear",TRUE)</f>
        <v/>
      </c>
      <c r="E6762" s="8">
        <f>QS.INSTRUMENT.SWAP("swap.6760",C6762,H6762,B6762,"USD","SOFR",I6762,J6762,0,"Actual360","Simple","Annual","Annual","Annual")</f>
        <v/>
      </c>
      <c r="F6762" s="8">
        <f>QS.TRADE.CREATE("trade.6760",C6762,E6762,A6762,"Receive")</f>
        <v/>
      </c>
      <c r="G6762" s="5"/>
      <c r="H6762" s="7" t="s">
        <v>6802</v>
      </c>
      <c r="I6762" s="9">
        <v>1676000</v>
      </c>
      <c r="J6762" s="10">
        <v>0.036</v>
      </c>
    </row>
    <row r="6763" spans="1:10">
      <c r="A6763" s="7" t="s">
        <v>6796</v>
      </c>
      <c r="B6763" s="7" t="s">
        <v>8630</v>
      </c>
      <c r="C6763" s="8">
        <f>QS.CONTEXT.CREATE("market.6761",A6763,"USD","SOFR")</f>
        <v/>
      </c>
      <c r="D6763" s="8">
        <f>QS.CONTEXT.ADD.CURVE(C6763,"SOFR",$K$2:$K$7,$L$2:$L$7,,,"Actual360","LogLinear",TRUE)</f>
        <v/>
      </c>
      <c r="E6763" s="8">
        <f>QS.INSTRUMENT.SWAP("swap.6761",C6763,H6763,B6763,"USD","SOFR",I6763,J6763,0,"Actual360","Simple","Annual","Annual","Annual")</f>
        <v/>
      </c>
      <c r="F6763" s="8">
        <f>QS.TRADE.CREATE("trade.6761",C6763,E6763,A6763,"Receive")</f>
        <v/>
      </c>
      <c r="G6763" s="5"/>
      <c r="H6763" s="7" t="s">
        <v>6803</v>
      </c>
      <c r="I6763" s="9">
        <v>1676100</v>
      </c>
      <c r="J6763" s="10">
        <v>0.0361</v>
      </c>
    </row>
    <row r="6764" spans="1:10">
      <c r="A6764" s="7" t="s">
        <v>6797</v>
      </c>
      <c r="B6764" s="7" t="s">
        <v>8631</v>
      </c>
      <c r="C6764" s="8">
        <f>QS.CONTEXT.CREATE("market.6762",A6764,"USD","SOFR")</f>
        <v/>
      </c>
      <c r="D6764" s="8">
        <f>QS.CONTEXT.ADD.CURVE(C6764,"SOFR",$K$2:$K$7,$L$2:$L$7,,,"Actual360","LogLinear",TRUE)</f>
        <v/>
      </c>
      <c r="E6764" s="8">
        <f>QS.INSTRUMENT.SWAP("swap.6762",C6764,H6764,B6764,"USD","SOFR",I6764,J6764,0,"Actual360","Simple","Annual","Annual","Annual")</f>
        <v/>
      </c>
      <c r="F6764" s="8">
        <f>QS.TRADE.CREATE("trade.6762",C6764,E6764,A6764,"Receive")</f>
        <v/>
      </c>
      <c r="G6764" s="5"/>
      <c r="H6764" s="7" t="s">
        <v>6804</v>
      </c>
      <c r="I6764" s="9">
        <v>1676200</v>
      </c>
      <c r="J6764" s="10">
        <v>0.0362</v>
      </c>
    </row>
    <row r="6765" spans="1:10">
      <c r="A6765" s="7" t="s">
        <v>6798</v>
      </c>
      <c r="B6765" s="7" t="s">
        <v>8632</v>
      </c>
      <c r="C6765" s="8">
        <f>QS.CONTEXT.CREATE("market.6763",A6765,"USD","SOFR")</f>
        <v/>
      </c>
      <c r="D6765" s="8">
        <f>QS.CONTEXT.ADD.CURVE(C6765,"SOFR",$K$2:$K$7,$L$2:$L$7,,,"Actual360","LogLinear",TRUE)</f>
        <v/>
      </c>
      <c r="E6765" s="8">
        <f>QS.INSTRUMENT.SWAP("swap.6763",C6765,H6765,B6765,"USD","SOFR",I6765,J6765,0,"Actual360","Simple","Annual","Annual","Annual")</f>
        <v/>
      </c>
      <c r="F6765" s="8">
        <f>QS.TRADE.CREATE("trade.6763",C6765,E6765,A6765,"Receive")</f>
        <v/>
      </c>
      <c r="G6765" s="5"/>
      <c r="H6765" s="7" t="s">
        <v>6805</v>
      </c>
      <c r="I6765" s="9">
        <v>1676300</v>
      </c>
      <c r="J6765" s="10">
        <v>0.03630000000000001</v>
      </c>
    </row>
    <row r="6766" spans="1:10">
      <c r="A6766" s="7" t="s">
        <v>6799</v>
      </c>
      <c r="B6766" s="7" t="s">
        <v>8633</v>
      </c>
      <c r="C6766" s="8">
        <f>QS.CONTEXT.CREATE("market.6764",A6766,"USD","SOFR")</f>
        <v/>
      </c>
      <c r="D6766" s="8">
        <f>QS.CONTEXT.ADD.CURVE(C6766,"SOFR",$K$2:$K$7,$L$2:$L$7,,,"Actual360","LogLinear",TRUE)</f>
        <v/>
      </c>
      <c r="E6766" s="8">
        <f>QS.INSTRUMENT.SWAP("swap.6764",C6766,H6766,B6766,"USD","SOFR",I6766,J6766,0,"Actual360","Simple","Annual","Annual","Annual")</f>
        <v/>
      </c>
      <c r="F6766" s="8">
        <f>QS.TRADE.CREATE("trade.6764",C6766,E6766,A6766,"Receive")</f>
        <v/>
      </c>
      <c r="G6766" s="5"/>
      <c r="H6766" s="7" t="s">
        <v>6806</v>
      </c>
      <c r="I6766" s="9">
        <v>1676400</v>
      </c>
      <c r="J6766" s="10">
        <v>0.0364</v>
      </c>
    </row>
    <row r="6767" spans="1:10">
      <c r="A6767" s="7" t="s">
        <v>6800</v>
      </c>
      <c r="B6767" s="7" t="s">
        <v>8634</v>
      </c>
      <c r="C6767" s="8">
        <f>QS.CONTEXT.CREATE("market.6765",A6767,"USD","SOFR")</f>
        <v/>
      </c>
      <c r="D6767" s="8">
        <f>QS.CONTEXT.ADD.CURVE(C6767,"SOFR",$K$2:$K$7,$L$2:$L$7,,,"Actual360","LogLinear",TRUE)</f>
        <v/>
      </c>
      <c r="E6767" s="8">
        <f>QS.INSTRUMENT.SWAP("swap.6765",C6767,H6767,B6767,"USD","SOFR",I6767,J6767,0,"Actual360","Simple","Annual","Annual","Annual")</f>
        <v/>
      </c>
      <c r="F6767" s="8">
        <f>QS.TRADE.CREATE("trade.6765",C6767,E6767,A6767,"Receive")</f>
        <v/>
      </c>
      <c r="G6767" s="5"/>
      <c r="H6767" s="7" t="s">
        <v>6807</v>
      </c>
      <c r="I6767" s="9">
        <v>1676500</v>
      </c>
      <c r="J6767" s="10">
        <v>0.0365</v>
      </c>
    </row>
    <row r="6768" spans="1:10">
      <c r="A6768" s="7" t="s">
        <v>6801</v>
      </c>
      <c r="B6768" s="7" t="s">
        <v>8635</v>
      </c>
      <c r="C6768" s="8">
        <f>QS.CONTEXT.CREATE("market.6766",A6768,"USD","SOFR")</f>
        <v/>
      </c>
      <c r="D6768" s="8">
        <f>QS.CONTEXT.ADD.CURVE(C6768,"SOFR",$K$2:$K$7,$L$2:$L$7,,,"Actual360","LogLinear",TRUE)</f>
        <v/>
      </c>
      <c r="E6768" s="8">
        <f>QS.INSTRUMENT.SWAP("swap.6766",C6768,H6768,B6768,"USD","SOFR",I6768,J6768,0,"Actual360","Simple","Annual","Annual","Annual")</f>
        <v/>
      </c>
      <c r="F6768" s="8">
        <f>QS.TRADE.CREATE("trade.6766",C6768,E6768,A6768,"Receive")</f>
        <v/>
      </c>
      <c r="G6768" s="5"/>
      <c r="H6768" s="7" t="s">
        <v>6808</v>
      </c>
      <c r="I6768" s="9">
        <v>1676600</v>
      </c>
      <c r="J6768" s="10">
        <v>0.0366</v>
      </c>
    </row>
    <row r="6769" spans="1:10">
      <c r="A6769" s="7" t="s">
        <v>6802</v>
      </c>
      <c r="B6769" s="7" t="s">
        <v>8636</v>
      </c>
      <c r="C6769" s="8">
        <f>QS.CONTEXT.CREATE("market.6767",A6769,"USD","SOFR")</f>
        <v/>
      </c>
      <c r="D6769" s="8">
        <f>QS.CONTEXT.ADD.CURVE(C6769,"SOFR",$K$2:$K$7,$L$2:$L$7,,,"Actual360","LogLinear",TRUE)</f>
        <v/>
      </c>
      <c r="E6769" s="8">
        <f>QS.INSTRUMENT.SWAP("swap.6767",C6769,H6769,B6769,"USD","SOFR",I6769,J6769,0,"Actual360","Simple","Annual","Annual","Annual")</f>
        <v/>
      </c>
      <c r="F6769" s="8">
        <f>QS.TRADE.CREATE("trade.6767",C6769,E6769,A6769,"Receive")</f>
        <v/>
      </c>
      <c r="G6769" s="5"/>
      <c r="H6769" s="7" t="s">
        <v>6809</v>
      </c>
      <c r="I6769" s="9">
        <v>1676700</v>
      </c>
      <c r="J6769" s="10">
        <v>0.0367</v>
      </c>
    </row>
    <row r="6770" spans="1:10">
      <c r="A6770" s="7" t="s">
        <v>6803</v>
      </c>
      <c r="B6770" s="7" t="s">
        <v>8637</v>
      </c>
      <c r="C6770" s="8">
        <f>QS.CONTEXT.CREATE("market.6768",A6770,"USD","SOFR")</f>
        <v/>
      </c>
      <c r="D6770" s="8">
        <f>QS.CONTEXT.ADD.CURVE(C6770,"SOFR",$K$2:$K$7,$L$2:$L$7,,,"Actual360","LogLinear",TRUE)</f>
        <v/>
      </c>
      <c r="E6770" s="8">
        <f>QS.INSTRUMENT.SWAP("swap.6768",C6770,H6770,B6770,"USD","SOFR",I6770,J6770,0,"Actual360","Simple","Annual","Annual","Annual")</f>
        <v/>
      </c>
      <c r="F6770" s="8">
        <f>QS.TRADE.CREATE("trade.6768",C6770,E6770,A6770,"Receive")</f>
        <v/>
      </c>
      <c r="G6770" s="5"/>
      <c r="H6770" s="7" t="s">
        <v>6810</v>
      </c>
      <c r="I6770" s="9">
        <v>1676800</v>
      </c>
      <c r="J6770" s="10">
        <v>0.03680000000000001</v>
      </c>
    </row>
    <row r="6771" spans="1:10">
      <c r="A6771" s="7" t="s">
        <v>6804</v>
      </c>
      <c r="B6771" s="7" t="s">
        <v>8638</v>
      </c>
      <c r="C6771" s="8">
        <f>QS.CONTEXT.CREATE("market.6769",A6771,"USD","SOFR")</f>
        <v/>
      </c>
      <c r="D6771" s="8">
        <f>QS.CONTEXT.ADD.CURVE(C6771,"SOFR",$K$2:$K$7,$L$2:$L$7,,,"Actual360","LogLinear",TRUE)</f>
        <v/>
      </c>
      <c r="E6771" s="8">
        <f>QS.INSTRUMENT.SWAP("swap.6769",C6771,H6771,B6771,"USD","SOFR",I6771,J6771,0,"Actual360","Simple","Annual","Annual","Annual")</f>
        <v/>
      </c>
      <c r="F6771" s="8">
        <f>QS.TRADE.CREATE("trade.6769",C6771,E6771,A6771,"Receive")</f>
        <v/>
      </c>
      <c r="G6771" s="5"/>
      <c r="H6771" s="7" t="s">
        <v>6811</v>
      </c>
      <c r="I6771" s="9">
        <v>1676900</v>
      </c>
      <c r="J6771" s="10">
        <v>0.0369</v>
      </c>
    </row>
    <row r="6772" spans="1:10">
      <c r="A6772" s="7" t="s">
        <v>6805</v>
      </c>
      <c r="B6772" s="7" t="s">
        <v>8639</v>
      </c>
      <c r="C6772" s="8">
        <f>QS.CONTEXT.CREATE("market.6770",A6772,"USD","SOFR")</f>
        <v/>
      </c>
      <c r="D6772" s="8">
        <f>QS.CONTEXT.ADD.CURVE(C6772,"SOFR",$K$2:$K$7,$L$2:$L$7,,,"Actual360","LogLinear",TRUE)</f>
        <v/>
      </c>
      <c r="E6772" s="8">
        <f>QS.INSTRUMENT.SWAP("swap.6770",C6772,H6772,B6772,"USD","SOFR",I6772,J6772,0,"Actual360","Simple","Annual","Annual","Annual")</f>
        <v/>
      </c>
      <c r="F6772" s="8">
        <f>QS.TRADE.CREATE("trade.6770",C6772,E6772,A6772,"Receive")</f>
        <v/>
      </c>
      <c r="G6772" s="5"/>
      <c r="H6772" s="7" t="s">
        <v>6812</v>
      </c>
      <c r="I6772" s="9">
        <v>1677000</v>
      </c>
      <c r="J6772" s="10">
        <v>0.03700000000000001</v>
      </c>
    </row>
    <row r="6773" spans="1:10">
      <c r="A6773" s="7" t="s">
        <v>6806</v>
      </c>
      <c r="B6773" s="7" t="s">
        <v>8640</v>
      </c>
      <c r="C6773" s="8">
        <f>QS.CONTEXT.CREATE("market.6771",A6773,"USD","SOFR")</f>
        <v/>
      </c>
      <c r="D6773" s="8">
        <f>QS.CONTEXT.ADD.CURVE(C6773,"SOFR",$K$2:$K$7,$L$2:$L$7,,,"Actual360","LogLinear",TRUE)</f>
        <v/>
      </c>
      <c r="E6773" s="8">
        <f>QS.INSTRUMENT.SWAP("swap.6771",C6773,H6773,B6773,"USD","SOFR",I6773,J6773,0,"Actual360","Simple","Annual","Annual","Annual")</f>
        <v/>
      </c>
      <c r="F6773" s="8">
        <f>QS.TRADE.CREATE("trade.6771",C6773,E6773,A6773,"Receive")</f>
        <v/>
      </c>
      <c r="G6773" s="5"/>
      <c r="H6773" s="7" t="s">
        <v>6813</v>
      </c>
      <c r="I6773" s="9">
        <v>1677100</v>
      </c>
      <c r="J6773" s="10">
        <v>0.0371</v>
      </c>
    </row>
    <row r="6774" spans="1:10">
      <c r="A6774" s="7" t="s">
        <v>6807</v>
      </c>
      <c r="B6774" s="7" t="s">
        <v>8641</v>
      </c>
      <c r="C6774" s="8">
        <f>QS.CONTEXT.CREATE("market.6772",A6774,"USD","SOFR")</f>
        <v/>
      </c>
      <c r="D6774" s="8">
        <f>QS.CONTEXT.ADD.CURVE(C6774,"SOFR",$K$2:$K$7,$L$2:$L$7,,,"Actual360","LogLinear",TRUE)</f>
        <v/>
      </c>
      <c r="E6774" s="8">
        <f>QS.INSTRUMENT.SWAP("swap.6772",C6774,H6774,B6774,"USD","SOFR",I6774,J6774,0,"Actual360","Simple","Annual","Annual","Annual")</f>
        <v/>
      </c>
      <c r="F6774" s="8">
        <f>QS.TRADE.CREATE("trade.6772",C6774,E6774,A6774,"Receive")</f>
        <v/>
      </c>
      <c r="G6774" s="5"/>
      <c r="H6774" s="7" t="s">
        <v>6814</v>
      </c>
      <c r="I6774" s="9">
        <v>1677200</v>
      </c>
      <c r="J6774" s="10">
        <v>0.0372</v>
      </c>
    </row>
    <row r="6775" spans="1:10">
      <c r="A6775" s="7" t="s">
        <v>6808</v>
      </c>
      <c r="B6775" s="7" t="s">
        <v>8642</v>
      </c>
      <c r="C6775" s="8">
        <f>QS.CONTEXT.CREATE("market.6773",A6775,"USD","SOFR")</f>
        <v/>
      </c>
      <c r="D6775" s="8">
        <f>QS.CONTEXT.ADD.CURVE(C6775,"SOFR",$K$2:$K$7,$L$2:$L$7,,,"Actual360","LogLinear",TRUE)</f>
        <v/>
      </c>
      <c r="E6775" s="8">
        <f>QS.INSTRUMENT.SWAP("swap.6773",C6775,H6775,B6775,"USD","SOFR",I6775,J6775,0,"Actual360","Simple","Annual","Annual","Annual")</f>
        <v/>
      </c>
      <c r="F6775" s="8">
        <f>QS.TRADE.CREATE("trade.6773",C6775,E6775,A6775,"Receive")</f>
        <v/>
      </c>
      <c r="G6775" s="5"/>
      <c r="H6775" s="7" t="s">
        <v>6815</v>
      </c>
      <c r="I6775" s="9">
        <v>1677300</v>
      </c>
      <c r="J6775" s="10">
        <v>0.0373</v>
      </c>
    </row>
    <row r="6776" spans="1:10">
      <c r="A6776" s="7" t="s">
        <v>6809</v>
      </c>
      <c r="B6776" s="7" t="s">
        <v>8643</v>
      </c>
      <c r="C6776" s="8">
        <f>QS.CONTEXT.CREATE("market.6774",A6776,"USD","SOFR")</f>
        <v/>
      </c>
      <c r="D6776" s="8">
        <f>QS.CONTEXT.ADD.CURVE(C6776,"SOFR",$K$2:$K$7,$L$2:$L$7,,,"Actual360","LogLinear",TRUE)</f>
        <v/>
      </c>
      <c r="E6776" s="8">
        <f>QS.INSTRUMENT.SWAP("swap.6774",C6776,H6776,B6776,"USD","SOFR",I6776,J6776,0,"Actual360","Simple","Annual","Annual","Annual")</f>
        <v/>
      </c>
      <c r="F6776" s="8">
        <f>QS.TRADE.CREATE("trade.6774",C6776,E6776,A6776,"Receive")</f>
        <v/>
      </c>
      <c r="G6776" s="5"/>
      <c r="H6776" s="7" t="s">
        <v>6816</v>
      </c>
      <c r="I6776" s="9">
        <v>1677400</v>
      </c>
      <c r="J6776" s="10">
        <v>0.0374</v>
      </c>
    </row>
    <row r="6777" spans="1:10">
      <c r="A6777" s="7" t="s">
        <v>6810</v>
      </c>
      <c r="B6777" s="7" t="s">
        <v>8644</v>
      </c>
      <c r="C6777" s="8">
        <f>QS.CONTEXT.CREATE("market.6775",A6777,"USD","SOFR")</f>
        <v/>
      </c>
      <c r="D6777" s="8">
        <f>QS.CONTEXT.ADD.CURVE(C6777,"SOFR",$K$2:$K$7,$L$2:$L$7,,,"Actual360","LogLinear",TRUE)</f>
        <v/>
      </c>
      <c r="E6777" s="8">
        <f>QS.INSTRUMENT.SWAP("swap.6775",C6777,H6777,B6777,"USD","SOFR",I6777,J6777,0,"Actual360","Simple","Annual","Annual","Annual")</f>
        <v/>
      </c>
      <c r="F6777" s="8">
        <f>QS.TRADE.CREATE("trade.6775",C6777,E6777,A6777,"Receive")</f>
        <v/>
      </c>
      <c r="G6777" s="5"/>
      <c r="H6777" s="7" t="s">
        <v>6817</v>
      </c>
      <c r="I6777" s="9">
        <v>1677500</v>
      </c>
      <c r="J6777" s="10">
        <v>0.03750000000000001</v>
      </c>
    </row>
    <row r="6778" spans="1:10">
      <c r="A6778" s="7" t="s">
        <v>6811</v>
      </c>
      <c r="B6778" s="7" t="s">
        <v>8645</v>
      </c>
      <c r="C6778" s="8">
        <f>QS.CONTEXT.CREATE("market.6776",A6778,"USD","SOFR")</f>
        <v/>
      </c>
      <c r="D6778" s="8">
        <f>QS.CONTEXT.ADD.CURVE(C6778,"SOFR",$K$2:$K$7,$L$2:$L$7,,,"Actual360","LogLinear",TRUE)</f>
        <v/>
      </c>
      <c r="E6778" s="8">
        <f>QS.INSTRUMENT.SWAP("swap.6776",C6778,H6778,B6778,"USD","SOFR",I6778,J6778,0,"Actual360","Simple","Annual","Annual","Annual")</f>
        <v/>
      </c>
      <c r="F6778" s="8">
        <f>QS.TRADE.CREATE("trade.6776",C6778,E6778,A6778,"Receive")</f>
        <v/>
      </c>
      <c r="G6778" s="5"/>
      <c r="H6778" s="7" t="s">
        <v>6818</v>
      </c>
      <c r="I6778" s="9">
        <v>1677600</v>
      </c>
      <c r="J6778" s="10">
        <v>0.0376</v>
      </c>
    </row>
    <row r="6779" spans="1:10">
      <c r="A6779" s="7" t="s">
        <v>6812</v>
      </c>
      <c r="B6779" s="7" t="s">
        <v>8646</v>
      </c>
      <c r="C6779" s="8">
        <f>QS.CONTEXT.CREATE("market.6777",A6779,"USD","SOFR")</f>
        <v/>
      </c>
      <c r="D6779" s="8">
        <f>QS.CONTEXT.ADD.CURVE(C6779,"SOFR",$K$2:$K$7,$L$2:$L$7,,,"Actual360","LogLinear",TRUE)</f>
        <v/>
      </c>
      <c r="E6779" s="8">
        <f>QS.INSTRUMENT.SWAP("swap.6777",C6779,H6779,B6779,"USD","SOFR",I6779,J6779,0,"Actual360","Simple","Annual","Annual","Annual")</f>
        <v/>
      </c>
      <c r="F6779" s="8">
        <f>QS.TRADE.CREATE("trade.6777",C6779,E6779,A6779,"Receive")</f>
        <v/>
      </c>
      <c r="G6779" s="5"/>
      <c r="H6779" s="7" t="s">
        <v>6819</v>
      </c>
      <c r="I6779" s="9">
        <v>1677700</v>
      </c>
      <c r="J6779" s="10">
        <v>0.0377</v>
      </c>
    </row>
    <row r="6780" spans="1:10">
      <c r="A6780" s="7" t="s">
        <v>6813</v>
      </c>
      <c r="B6780" s="7" t="s">
        <v>8647</v>
      </c>
      <c r="C6780" s="8">
        <f>QS.CONTEXT.CREATE("market.6778",A6780,"USD","SOFR")</f>
        <v/>
      </c>
      <c r="D6780" s="8">
        <f>QS.CONTEXT.ADD.CURVE(C6780,"SOFR",$K$2:$K$7,$L$2:$L$7,,,"Actual360","LogLinear",TRUE)</f>
        <v/>
      </c>
      <c r="E6780" s="8">
        <f>QS.INSTRUMENT.SWAP("swap.6778",C6780,H6780,B6780,"USD","SOFR",I6780,J6780,0,"Actual360","Simple","Annual","Annual","Annual")</f>
        <v/>
      </c>
      <c r="F6780" s="8">
        <f>QS.TRADE.CREATE("trade.6778",C6780,E6780,A6780,"Receive")</f>
        <v/>
      </c>
      <c r="G6780" s="5"/>
      <c r="H6780" s="7" t="s">
        <v>6820</v>
      </c>
      <c r="I6780" s="9">
        <v>1677800</v>
      </c>
      <c r="J6780" s="10">
        <v>0.0378</v>
      </c>
    </row>
    <row r="6781" spans="1:10">
      <c r="A6781" s="7" t="s">
        <v>6814</v>
      </c>
      <c r="B6781" s="7" t="s">
        <v>8648</v>
      </c>
      <c r="C6781" s="8">
        <f>QS.CONTEXT.CREATE("market.6779",A6781,"USD","SOFR")</f>
        <v/>
      </c>
      <c r="D6781" s="8">
        <f>QS.CONTEXT.ADD.CURVE(C6781,"SOFR",$K$2:$K$7,$L$2:$L$7,,,"Actual360","LogLinear",TRUE)</f>
        <v/>
      </c>
      <c r="E6781" s="8">
        <f>QS.INSTRUMENT.SWAP("swap.6779",C6781,H6781,B6781,"USD","SOFR",I6781,J6781,0,"Actual360","Simple","Annual","Annual","Annual")</f>
        <v/>
      </c>
      <c r="F6781" s="8">
        <f>QS.TRADE.CREATE("trade.6779",C6781,E6781,A6781,"Receive")</f>
        <v/>
      </c>
      <c r="G6781" s="5"/>
      <c r="H6781" s="7" t="s">
        <v>6821</v>
      </c>
      <c r="I6781" s="9">
        <v>1677900</v>
      </c>
      <c r="J6781" s="10">
        <v>0.0379</v>
      </c>
    </row>
    <row r="6782" spans="1:10">
      <c r="A6782" s="7" t="s">
        <v>6815</v>
      </c>
      <c r="B6782" s="7" t="s">
        <v>8649</v>
      </c>
      <c r="C6782" s="8">
        <f>QS.CONTEXT.CREATE("market.6780",A6782,"USD","SOFR")</f>
        <v/>
      </c>
      <c r="D6782" s="8">
        <f>QS.CONTEXT.ADD.CURVE(C6782,"SOFR",$K$2:$K$7,$L$2:$L$7,,,"Actual360","LogLinear",TRUE)</f>
        <v/>
      </c>
      <c r="E6782" s="8">
        <f>QS.INSTRUMENT.SWAP("swap.6780",C6782,H6782,B6782,"USD","SOFR",I6782,J6782,0,"Actual360","Simple","Annual","Annual","Annual")</f>
        <v/>
      </c>
      <c r="F6782" s="8">
        <f>QS.TRADE.CREATE("trade.6780",C6782,E6782,A6782,"Receive")</f>
        <v/>
      </c>
      <c r="G6782" s="5"/>
      <c r="H6782" s="7" t="s">
        <v>6822</v>
      </c>
      <c r="I6782" s="9">
        <v>1678000</v>
      </c>
      <c r="J6782" s="10">
        <v>0.03800000000000001</v>
      </c>
    </row>
    <row r="6783" spans="1:10">
      <c r="A6783" s="7" t="s">
        <v>6816</v>
      </c>
      <c r="B6783" s="7" t="s">
        <v>8650</v>
      </c>
      <c r="C6783" s="8">
        <f>QS.CONTEXT.CREATE("market.6781",A6783,"USD","SOFR")</f>
        <v/>
      </c>
      <c r="D6783" s="8">
        <f>QS.CONTEXT.ADD.CURVE(C6783,"SOFR",$K$2:$K$7,$L$2:$L$7,,,"Actual360","LogLinear",TRUE)</f>
        <v/>
      </c>
      <c r="E6783" s="8">
        <f>QS.INSTRUMENT.SWAP("swap.6781",C6783,H6783,B6783,"USD","SOFR",I6783,J6783,0,"Actual360","Simple","Annual","Annual","Annual")</f>
        <v/>
      </c>
      <c r="F6783" s="8">
        <f>QS.TRADE.CREATE("trade.6781",C6783,E6783,A6783,"Receive")</f>
        <v/>
      </c>
      <c r="G6783" s="5"/>
      <c r="H6783" s="7" t="s">
        <v>6823</v>
      </c>
      <c r="I6783" s="9">
        <v>1678100</v>
      </c>
      <c r="J6783" s="10">
        <v>0.0381</v>
      </c>
    </row>
    <row r="6784" spans="1:10">
      <c r="A6784" s="7" t="s">
        <v>6817</v>
      </c>
      <c r="B6784" s="7" t="s">
        <v>8651</v>
      </c>
      <c r="C6784" s="8">
        <f>QS.CONTEXT.CREATE("market.6782",A6784,"USD","SOFR")</f>
        <v/>
      </c>
      <c r="D6784" s="8">
        <f>QS.CONTEXT.ADD.CURVE(C6784,"SOFR",$K$2:$K$7,$L$2:$L$7,,,"Actual360","LogLinear",TRUE)</f>
        <v/>
      </c>
      <c r="E6784" s="8">
        <f>QS.INSTRUMENT.SWAP("swap.6782",C6784,H6784,B6784,"USD","SOFR",I6784,J6784,0,"Actual360","Simple","Annual","Annual","Annual")</f>
        <v/>
      </c>
      <c r="F6784" s="8">
        <f>QS.TRADE.CREATE("trade.6782",C6784,E6784,A6784,"Receive")</f>
        <v/>
      </c>
      <c r="G6784" s="5"/>
      <c r="H6784" s="7" t="s">
        <v>6824</v>
      </c>
      <c r="I6784" s="9">
        <v>1678200</v>
      </c>
      <c r="J6784" s="10">
        <v>0.0382</v>
      </c>
    </row>
    <row r="6785" spans="1:10">
      <c r="A6785" s="7" t="s">
        <v>6818</v>
      </c>
      <c r="B6785" s="7" t="s">
        <v>8652</v>
      </c>
      <c r="C6785" s="8">
        <f>QS.CONTEXT.CREATE("market.6783",A6785,"USD","SOFR")</f>
        <v/>
      </c>
      <c r="D6785" s="8">
        <f>QS.CONTEXT.ADD.CURVE(C6785,"SOFR",$K$2:$K$7,$L$2:$L$7,,,"Actual360","LogLinear",TRUE)</f>
        <v/>
      </c>
      <c r="E6785" s="8">
        <f>QS.INSTRUMENT.SWAP("swap.6783",C6785,H6785,B6785,"USD","SOFR",I6785,J6785,0,"Actual360","Simple","Annual","Annual","Annual")</f>
        <v/>
      </c>
      <c r="F6785" s="8">
        <f>QS.TRADE.CREATE("trade.6783",C6785,E6785,A6785,"Receive")</f>
        <v/>
      </c>
      <c r="G6785" s="5"/>
      <c r="H6785" s="7" t="s">
        <v>6825</v>
      </c>
      <c r="I6785" s="9">
        <v>1678300</v>
      </c>
      <c r="J6785" s="10">
        <v>0.0383</v>
      </c>
    </row>
    <row r="6786" spans="1:10">
      <c r="A6786" s="7" t="s">
        <v>6819</v>
      </c>
      <c r="B6786" s="7" t="s">
        <v>8653</v>
      </c>
      <c r="C6786" s="8">
        <f>QS.CONTEXT.CREATE("market.6784",A6786,"USD","SOFR")</f>
        <v/>
      </c>
      <c r="D6786" s="8">
        <f>QS.CONTEXT.ADD.CURVE(C6786,"SOFR",$K$2:$K$7,$L$2:$L$7,,,"Actual360","LogLinear",TRUE)</f>
        <v/>
      </c>
      <c r="E6786" s="8">
        <f>QS.INSTRUMENT.SWAP("swap.6784",C6786,H6786,B6786,"USD","SOFR",I6786,J6786,0,"Actual360","Simple","Annual","Annual","Annual")</f>
        <v/>
      </c>
      <c r="F6786" s="8">
        <f>QS.TRADE.CREATE("trade.6784",C6786,E6786,A6786,"Receive")</f>
        <v/>
      </c>
      <c r="G6786" s="5"/>
      <c r="H6786" s="7" t="s">
        <v>6826</v>
      </c>
      <c r="I6786" s="9">
        <v>1678400</v>
      </c>
      <c r="J6786" s="10">
        <v>0.0384</v>
      </c>
    </row>
    <row r="6787" spans="1:10">
      <c r="A6787" s="7" t="s">
        <v>6820</v>
      </c>
      <c r="B6787" s="7" t="s">
        <v>8654</v>
      </c>
      <c r="C6787" s="8">
        <f>QS.CONTEXT.CREATE("market.6785",A6787,"USD","SOFR")</f>
        <v/>
      </c>
      <c r="D6787" s="8">
        <f>QS.CONTEXT.ADD.CURVE(C6787,"SOFR",$K$2:$K$7,$L$2:$L$7,,,"Actual360","LogLinear",TRUE)</f>
        <v/>
      </c>
      <c r="E6787" s="8">
        <f>QS.INSTRUMENT.SWAP("swap.6785",C6787,H6787,B6787,"USD","SOFR",I6787,J6787,0,"Actual360","Simple","Annual","Annual","Annual")</f>
        <v/>
      </c>
      <c r="F6787" s="8">
        <f>QS.TRADE.CREATE("trade.6785",C6787,E6787,A6787,"Receive")</f>
        <v/>
      </c>
      <c r="G6787" s="5"/>
      <c r="H6787" s="7" t="s">
        <v>6827</v>
      </c>
      <c r="I6787" s="9">
        <v>1678500</v>
      </c>
      <c r="J6787" s="10">
        <v>0.03850000000000001</v>
      </c>
    </row>
    <row r="6788" spans="1:10">
      <c r="A6788" s="7" t="s">
        <v>6821</v>
      </c>
      <c r="B6788" s="7" t="s">
        <v>8655</v>
      </c>
      <c r="C6788" s="8">
        <f>QS.CONTEXT.CREATE("market.6786",A6788,"USD","SOFR")</f>
        <v/>
      </c>
      <c r="D6788" s="8">
        <f>QS.CONTEXT.ADD.CURVE(C6788,"SOFR",$K$2:$K$7,$L$2:$L$7,,,"Actual360","LogLinear",TRUE)</f>
        <v/>
      </c>
      <c r="E6788" s="8">
        <f>QS.INSTRUMENT.SWAP("swap.6786",C6788,H6788,B6788,"USD","SOFR",I6788,J6788,0,"Actual360","Simple","Annual","Annual","Annual")</f>
        <v/>
      </c>
      <c r="F6788" s="8">
        <f>QS.TRADE.CREATE("trade.6786",C6788,E6788,A6788,"Receive")</f>
        <v/>
      </c>
      <c r="G6788" s="5"/>
      <c r="H6788" s="7" t="s">
        <v>6828</v>
      </c>
      <c r="I6788" s="9">
        <v>1678600</v>
      </c>
      <c r="J6788" s="10">
        <v>0.0386</v>
      </c>
    </row>
    <row r="6789" spans="1:10">
      <c r="A6789" s="7" t="s">
        <v>6822</v>
      </c>
      <c r="B6789" s="7" t="s">
        <v>8656</v>
      </c>
      <c r="C6789" s="8">
        <f>QS.CONTEXT.CREATE("market.6787",A6789,"USD","SOFR")</f>
        <v/>
      </c>
      <c r="D6789" s="8">
        <f>QS.CONTEXT.ADD.CURVE(C6789,"SOFR",$K$2:$K$7,$L$2:$L$7,,,"Actual360","LogLinear",TRUE)</f>
        <v/>
      </c>
      <c r="E6789" s="8">
        <f>QS.INSTRUMENT.SWAP("swap.6787",C6789,H6789,B6789,"USD","SOFR",I6789,J6789,0,"Actual360","Simple","Annual","Annual","Annual")</f>
        <v/>
      </c>
      <c r="F6789" s="8">
        <f>QS.TRADE.CREATE("trade.6787",C6789,E6789,A6789,"Receive")</f>
        <v/>
      </c>
      <c r="G6789" s="5"/>
      <c r="H6789" s="7" t="s">
        <v>6829</v>
      </c>
      <c r="I6789" s="9">
        <v>1678700</v>
      </c>
      <c r="J6789" s="10">
        <v>0.03870000000000001</v>
      </c>
    </row>
    <row r="6790" spans="1:10">
      <c r="A6790" s="7" t="s">
        <v>6823</v>
      </c>
      <c r="B6790" s="7" t="s">
        <v>8657</v>
      </c>
      <c r="C6790" s="8">
        <f>QS.CONTEXT.CREATE("market.6788",A6790,"USD","SOFR")</f>
        <v/>
      </c>
      <c r="D6790" s="8">
        <f>QS.CONTEXT.ADD.CURVE(C6790,"SOFR",$K$2:$K$7,$L$2:$L$7,,,"Actual360","LogLinear",TRUE)</f>
        <v/>
      </c>
      <c r="E6790" s="8">
        <f>QS.INSTRUMENT.SWAP("swap.6788",C6790,H6790,B6790,"USD","SOFR",I6790,J6790,0,"Actual360","Simple","Annual","Annual","Annual")</f>
        <v/>
      </c>
      <c r="F6790" s="8">
        <f>QS.TRADE.CREATE("trade.6788",C6790,E6790,A6790,"Receive")</f>
        <v/>
      </c>
      <c r="G6790" s="5"/>
      <c r="H6790" s="7" t="s">
        <v>6830</v>
      </c>
      <c r="I6790" s="9">
        <v>1678800</v>
      </c>
      <c r="J6790" s="10">
        <v>0.0388</v>
      </c>
    </row>
    <row r="6791" spans="1:10">
      <c r="A6791" s="7" t="s">
        <v>6824</v>
      </c>
      <c r="B6791" s="7" t="s">
        <v>8658</v>
      </c>
      <c r="C6791" s="8">
        <f>QS.CONTEXT.CREATE("market.6789",A6791,"USD","SOFR")</f>
        <v/>
      </c>
      <c r="D6791" s="8">
        <f>QS.CONTEXT.ADD.CURVE(C6791,"SOFR",$K$2:$K$7,$L$2:$L$7,,,"Actual360","LogLinear",TRUE)</f>
        <v/>
      </c>
      <c r="E6791" s="8">
        <f>QS.INSTRUMENT.SWAP("swap.6789",C6791,H6791,B6791,"USD","SOFR",I6791,J6791,0,"Actual360","Simple","Annual","Annual","Annual")</f>
        <v/>
      </c>
      <c r="F6791" s="8">
        <f>QS.TRADE.CREATE("trade.6789",C6791,E6791,A6791,"Receive")</f>
        <v/>
      </c>
      <c r="G6791" s="5"/>
      <c r="H6791" s="7" t="s">
        <v>6831</v>
      </c>
      <c r="I6791" s="9">
        <v>1678900</v>
      </c>
      <c r="J6791" s="10">
        <v>0.0389</v>
      </c>
    </row>
    <row r="6792" spans="1:10">
      <c r="A6792" s="7" t="s">
        <v>6825</v>
      </c>
      <c r="B6792" s="7" t="s">
        <v>8659</v>
      </c>
      <c r="C6792" s="8">
        <f>QS.CONTEXT.CREATE("market.6790",A6792,"USD","SOFR")</f>
        <v/>
      </c>
      <c r="D6792" s="8">
        <f>QS.CONTEXT.ADD.CURVE(C6792,"SOFR",$K$2:$K$7,$L$2:$L$7,,,"Actual360","LogLinear",TRUE)</f>
        <v/>
      </c>
      <c r="E6792" s="8">
        <f>QS.INSTRUMENT.SWAP("swap.6790",C6792,H6792,B6792,"USD","SOFR",I6792,J6792,0,"Actual360","Simple","Annual","Annual","Annual")</f>
        <v/>
      </c>
      <c r="F6792" s="8">
        <f>QS.TRADE.CREATE("trade.6790",C6792,E6792,A6792,"Receive")</f>
        <v/>
      </c>
      <c r="G6792" s="5"/>
      <c r="H6792" s="7" t="s">
        <v>6832</v>
      </c>
      <c r="I6792" s="9">
        <v>1679000</v>
      </c>
      <c r="J6792" s="10">
        <v>0.03900000000000001</v>
      </c>
    </row>
    <row r="6793" spans="1:10">
      <c r="A6793" s="7" t="s">
        <v>6826</v>
      </c>
      <c r="B6793" s="7" t="s">
        <v>8660</v>
      </c>
      <c r="C6793" s="8">
        <f>QS.CONTEXT.CREATE("market.6791",A6793,"USD","SOFR")</f>
        <v/>
      </c>
      <c r="D6793" s="8">
        <f>QS.CONTEXT.ADD.CURVE(C6793,"SOFR",$K$2:$K$7,$L$2:$L$7,,,"Actual360","LogLinear",TRUE)</f>
        <v/>
      </c>
      <c r="E6793" s="8">
        <f>QS.INSTRUMENT.SWAP("swap.6791",C6793,H6793,B6793,"USD","SOFR",I6793,J6793,0,"Actual360","Simple","Annual","Annual","Annual")</f>
        <v/>
      </c>
      <c r="F6793" s="8">
        <f>QS.TRADE.CREATE("trade.6791",C6793,E6793,A6793,"Receive")</f>
        <v/>
      </c>
      <c r="G6793" s="5"/>
      <c r="H6793" s="7" t="s">
        <v>6833</v>
      </c>
      <c r="I6793" s="9">
        <v>1679100</v>
      </c>
      <c r="J6793" s="10">
        <v>0.0391</v>
      </c>
    </row>
    <row r="6794" spans="1:10">
      <c r="A6794" s="7" t="s">
        <v>6827</v>
      </c>
      <c r="B6794" s="7" t="s">
        <v>8661</v>
      </c>
      <c r="C6794" s="8">
        <f>QS.CONTEXT.CREATE("market.6792",A6794,"USD","SOFR")</f>
        <v/>
      </c>
      <c r="D6794" s="8">
        <f>QS.CONTEXT.ADD.CURVE(C6794,"SOFR",$K$2:$K$7,$L$2:$L$7,,,"Actual360","LogLinear",TRUE)</f>
        <v/>
      </c>
      <c r="E6794" s="8">
        <f>QS.INSTRUMENT.SWAP("swap.6792",C6794,H6794,B6794,"USD","SOFR",I6794,J6794,0,"Actual360","Simple","Annual","Annual","Annual")</f>
        <v/>
      </c>
      <c r="F6794" s="8">
        <f>QS.TRADE.CREATE("trade.6792",C6794,E6794,A6794,"Receive")</f>
        <v/>
      </c>
      <c r="G6794" s="5"/>
      <c r="H6794" s="7" t="s">
        <v>6834</v>
      </c>
      <c r="I6794" s="9">
        <v>1679200</v>
      </c>
      <c r="J6794" s="10">
        <v>0.03920000000000001</v>
      </c>
    </row>
    <row r="6795" spans="1:10">
      <c r="A6795" s="7" t="s">
        <v>6828</v>
      </c>
      <c r="B6795" s="7" t="s">
        <v>8662</v>
      </c>
      <c r="C6795" s="8">
        <f>QS.CONTEXT.CREATE("market.6793",A6795,"USD","SOFR")</f>
        <v/>
      </c>
      <c r="D6795" s="8">
        <f>QS.CONTEXT.ADD.CURVE(C6795,"SOFR",$K$2:$K$7,$L$2:$L$7,,,"Actual360","LogLinear",TRUE)</f>
        <v/>
      </c>
      <c r="E6795" s="8">
        <f>QS.INSTRUMENT.SWAP("swap.6793",C6795,H6795,B6795,"USD","SOFR",I6795,J6795,0,"Actual360","Simple","Annual","Annual","Annual")</f>
        <v/>
      </c>
      <c r="F6795" s="8">
        <f>QS.TRADE.CREATE("trade.6793",C6795,E6795,A6795,"Receive")</f>
        <v/>
      </c>
      <c r="G6795" s="5"/>
      <c r="H6795" s="7" t="s">
        <v>6835</v>
      </c>
      <c r="I6795" s="9">
        <v>1679300</v>
      </c>
      <c r="J6795" s="10">
        <v>0.0393</v>
      </c>
    </row>
    <row r="6796" spans="1:10">
      <c r="A6796" s="7" t="s">
        <v>6829</v>
      </c>
      <c r="B6796" s="7" t="s">
        <v>8663</v>
      </c>
      <c r="C6796" s="8">
        <f>QS.CONTEXT.CREATE("market.6794",A6796,"USD","SOFR")</f>
        <v/>
      </c>
      <c r="D6796" s="8">
        <f>QS.CONTEXT.ADD.CURVE(C6796,"SOFR",$K$2:$K$7,$L$2:$L$7,,,"Actual360","LogLinear",TRUE)</f>
        <v/>
      </c>
      <c r="E6796" s="8">
        <f>QS.INSTRUMENT.SWAP("swap.6794",C6796,H6796,B6796,"USD","SOFR",I6796,J6796,0,"Actual360","Simple","Annual","Annual","Annual")</f>
        <v/>
      </c>
      <c r="F6796" s="8">
        <f>QS.TRADE.CREATE("trade.6794",C6796,E6796,A6796,"Receive")</f>
        <v/>
      </c>
      <c r="G6796" s="5"/>
      <c r="H6796" s="7" t="s">
        <v>6836</v>
      </c>
      <c r="I6796" s="9">
        <v>1679400</v>
      </c>
      <c r="J6796" s="10">
        <v>0.0394</v>
      </c>
    </row>
    <row r="6797" spans="1:10">
      <c r="A6797" s="7" t="s">
        <v>6830</v>
      </c>
      <c r="B6797" s="7" t="s">
        <v>8664</v>
      </c>
      <c r="C6797" s="8">
        <f>QS.CONTEXT.CREATE("market.6795",A6797,"USD","SOFR")</f>
        <v/>
      </c>
      <c r="D6797" s="8">
        <f>QS.CONTEXT.ADD.CURVE(C6797,"SOFR",$K$2:$K$7,$L$2:$L$7,,,"Actual360","LogLinear",TRUE)</f>
        <v/>
      </c>
      <c r="E6797" s="8">
        <f>QS.INSTRUMENT.SWAP("swap.6795",C6797,H6797,B6797,"USD","SOFR",I6797,J6797,0,"Actual360","Simple","Annual","Annual","Annual")</f>
        <v/>
      </c>
      <c r="F6797" s="8">
        <f>QS.TRADE.CREATE("trade.6795",C6797,E6797,A6797,"Receive")</f>
        <v/>
      </c>
      <c r="G6797" s="5"/>
      <c r="H6797" s="7" t="s">
        <v>6837</v>
      </c>
      <c r="I6797" s="9">
        <v>1679500</v>
      </c>
      <c r="J6797" s="10">
        <v>0.03950000000000001</v>
      </c>
    </row>
    <row r="6798" spans="1:10">
      <c r="A6798" s="7" t="s">
        <v>6831</v>
      </c>
      <c r="B6798" s="7" t="s">
        <v>8665</v>
      </c>
      <c r="C6798" s="8">
        <f>QS.CONTEXT.CREATE("market.6796",A6798,"USD","SOFR")</f>
        <v/>
      </c>
      <c r="D6798" s="8">
        <f>QS.CONTEXT.ADD.CURVE(C6798,"SOFR",$K$2:$K$7,$L$2:$L$7,,,"Actual360","LogLinear",TRUE)</f>
        <v/>
      </c>
      <c r="E6798" s="8">
        <f>QS.INSTRUMENT.SWAP("swap.6796",C6798,H6798,B6798,"USD","SOFR",I6798,J6798,0,"Actual360","Simple","Annual","Annual","Annual")</f>
        <v/>
      </c>
      <c r="F6798" s="8">
        <f>QS.TRADE.CREATE("trade.6796",C6798,E6798,A6798,"Receive")</f>
        <v/>
      </c>
      <c r="G6798" s="5"/>
      <c r="H6798" s="7" t="s">
        <v>6838</v>
      </c>
      <c r="I6798" s="9">
        <v>1679600</v>
      </c>
      <c r="J6798" s="10">
        <v>0.0396</v>
      </c>
    </row>
    <row r="6799" spans="1:10">
      <c r="A6799" s="7" t="s">
        <v>6832</v>
      </c>
      <c r="B6799" s="7" t="s">
        <v>8666</v>
      </c>
      <c r="C6799" s="8">
        <f>QS.CONTEXT.CREATE("market.6797",A6799,"USD","SOFR")</f>
        <v/>
      </c>
      <c r="D6799" s="8">
        <f>QS.CONTEXT.ADD.CURVE(C6799,"SOFR",$K$2:$K$7,$L$2:$L$7,,,"Actual360","LogLinear",TRUE)</f>
        <v/>
      </c>
      <c r="E6799" s="8">
        <f>QS.INSTRUMENT.SWAP("swap.6797",C6799,H6799,B6799,"USD","SOFR",I6799,J6799,0,"Actual360","Simple","Annual","Annual","Annual")</f>
        <v/>
      </c>
      <c r="F6799" s="8">
        <f>QS.TRADE.CREATE("trade.6797",C6799,E6799,A6799,"Receive")</f>
        <v/>
      </c>
      <c r="G6799" s="5"/>
      <c r="H6799" s="7" t="s">
        <v>6839</v>
      </c>
      <c r="I6799" s="9">
        <v>1679700</v>
      </c>
      <c r="J6799" s="10">
        <v>0.03970000000000001</v>
      </c>
    </row>
    <row r="6800" spans="1:10">
      <c r="A6800" s="7" t="s">
        <v>6833</v>
      </c>
      <c r="B6800" s="7" t="s">
        <v>8667</v>
      </c>
      <c r="C6800" s="8">
        <f>QS.CONTEXT.CREATE("market.6798",A6800,"USD","SOFR")</f>
        <v/>
      </c>
      <c r="D6800" s="8">
        <f>QS.CONTEXT.ADD.CURVE(C6800,"SOFR",$K$2:$K$7,$L$2:$L$7,,,"Actual360","LogLinear",TRUE)</f>
        <v/>
      </c>
      <c r="E6800" s="8">
        <f>QS.INSTRUMENT.SWAP("swap.6798",C6800,H6800,B6800,"USD","SOFR",I6800,J6800,0,"Actual360","Simple","Annual","Annual","Annual")</f>
        <v/>
      </c>
      <c r="F6800" s="8">
        <f>QS.TRADE.CREATE("trade.6798",C6800,E6800,A6800,"Receive")</f>
        <v/>
      </c>
      <c r="G6800" s="5"/>
      <c r="H6800" s="7" t="s">
        <v>6840</v>
      </c>
      <c r="I6800" s="9">
        <v>1679800</v>
      </c>
      <c r="J6800" s="10">
        <v>0.0398</v>
      </c>
    </row>
    <row r="6801" spans="1:10">
      <c r="A6801" s="7" t="s">
        <v>6834</v>
      </c>
      <c r="B6801" s="7" t="s">
        <v>8668</v>
      </c>
      <c r="C6801" s="8">
        <f>QS.CONTEXT.CREATE("market.6799",A6801,"USD","SOFR")</f>
        <v/>
      </c>
      <c r="D6801" s="8">
        <f>QS.CONTEXT.ADD.CURVE(C6801,"SOFR",$K$2:$K$7,$L$2:$L$7,,,"Actual360","LogLinear",TRUE)</f>
        <v/>
      </c>
      <c r="E6801" s="8">
        <f>QS.INSTRUMENT.SWAP("swap.6799",C6801,H6801,B6801,"USD","SOFR",I6801,J6801,0,"Actual360","Simple","Annual","Annual","Annual")</f>
        <v/>
      </c>
      <c r="F6801" s="8">
        <f>QS.TRADE.CREATE("trade.6799",C6801,E6801,A6801,"Receive")</f>
        <v/>
      </c>
      <c r="G6801" s="5"/>
      <c r="H6801" s="7" t="s">
        <v>6841</v>
      </c>
      <c r="I6801" s="9">
        <v>1679900</v>
      </c>
      <c r="J6801" s="10">
        <v>0.0399</v>
      </c>
    </row>
    <row r="6802" spans="1:10">
      <c r="A6802" s="7" t="s">
        <v>6835</v>
      </c>
      <c r="B6802" s="7" t="s">
        <v>8669</v>
      </c>
      <c r="C6802" s="8">
        <f>QS.CONTEXT.CREATE("market.6800",A6802,"USD","SOFR")</f>
        <v/>
      </c>
      <c r="D6802" s="8">
        <f>QS.CONTEXT.ADD.CURVE(C6802,"SOFR",$K$2:$K$7,$L$2:$L$7,,,"Actual360","LogLinear",TRUE)</f>
        <v/>
      </c>
      <c r="E6802" s="8">
        <f>QS.INSTRUMENT.SWAP("swap.6800",C6802,H6802,B6802,"USD","SOFR",I6802,J6802,0,"Actual360","Simple","Annual","Annual","Annual")</f>
        <v/>
      </c>
      <c r="F6802" s="8">
        <f>QS.TRADE.CREATE("trade.6800",C6802,E6802,A6802,"Receive")</f>
        <v/>
      </c>
      <c r="G6802" s="5"/>
      <c r="H6802" s="7" t="s">
        <v>6842</v>
      </c>
      <c r="I6802" s="9">
        <v>1680000</v>
      </c>
      <c r="J6802" s="10">
        <v>0.035</v>
      </c>
    </row>
    <row r="6803" spans="1:10">
      <c r="A6803" s="7" t="s">
        <v>6836</v>
      </c>
      <c r="B6803" s="7" t="s">
        <v>8670</v>
      </c>
      <c r="C6803" s="8">
        <f>QS.CONTEXT.CREATE("market.6801",A6803,"USD","SOFR")</f>
        <v/>
      </c>
      <c r="D6803" s="8">
        <f>QS.CONTEXT.ADD.CURVE(C6803,"SOFR",$K$2:$K$7,$L$2:$L$7,,,"Actual360","LogLinear",TRUE)</f>
        <v/>
      </c>
      <c r="E6803" s="8">
        <f>QS.INSTRUMENT.SWAP("swap.6801",C6803,H6803,B6803,"USD","SOFR",I6803,J6803,0,"Actual360","Simple","Annual","Annual","Annual")</f>
        <v/>
      </c>
      <c r="F6803" s="8">
        <f>QS.TRADE.CREATE("trade.6801",C6803,E6803,A6803,"Receive")</f>
        <v/>
      </c>
      <c r="G6803" s="5"/>
      <c r="H6803" s="7" t="s">
        <v>6843</v>
      </c>
      <c r="I6803" s="9">
        <v>1680100</v>
      </c>
      <c r="J6803" s="10">
        <v>0.03510000000000001</v>
      </c>
    </row>
    <row r="6804" spans="1:10">
      <c r="A6804" s="7" t="s">
        <v>6837</v>
      </c>
      <c r="B6804" s="7" t="s">
        <v>8671</v>
      </c>
      <c r="C6804" s="8">
        <f>QS.CONTEXT.CREATE("market.6802",A6804,"USD","SOFR")</f>
        <v/>
      </c>
      <c r="D6804" s="8">
        <f>QS.CONTEXT.ADD.CURVE(C6804,"SOFR",$K$2:$K$7,$L$2:$L$7,,,"Actual360","LogLinear",TRUE)</f>
        <v/>
      </c>
      <c r="E6804" s="8">
        <f>QS.INSTRUMENT.SWAP("swap.6802",C6804,H6804,B6804,"USD","SOFR",I6804,J6804,0,"Actual360","Simple","Annual","Annual","Annual")</f>
        <v/>
      </c>
      <c r="F6804" s="8">
        <f>QS.TRADE.CREATE("trade.6802",C6804,E6804,A6804,"Receive")</f>
        <v/>
      </c>
      <c r="G6804" s="5"/>
      <c r="H6804" s="7" t="s">
        <v>6844</v>
      </c>
      <c r="I6804" s="9">
        <v>1680200</v>
      </c>
      <c r="J6804" s="10">
        <v>0.0352</v>
      </c>
    </row>
    <row r="6805" spans="1:10">
      <c r="A6805" s="7" t="s">
        <v>6838</v>
      </c>
      <c r="B6805" s="7" t="s">
        <v>8672</v>
      </c>
      <c r="C6805" s="8">
        <f>QS.CONTEXT.CREATE("market.6803",A6805,"USD","SOFR")</f>
        <v/>
      </c>
      <c r="D6805" s="8">
        <f>QS.CONTEXT.ADD.CURVE(C6805,"SOFR",$K$2:$K$7,$L$2:$L$7,,,"Actual360","LogLinear",TRUE)</f>
        <v/>
      </c>
      <c r="E6805" s="8">
        <f>QS.INSTRUMENT.SWAP("swap.6803",C6805,H6805,B6805,"USD","SOFR",I6805,J6805,0,"Actual360","Simple","Annual","Annual","Annual")</f>
        <v/>
      </c>
      <c r="F6805" s="8">
        <f>QS.TRADE.CREATE("trade.6803",C6805,E6805,A6805,"Receive")</f>
        <v/>
      </c>
      <c r="G6805" s="5"/>
      <c r="H6805" s="7" t="s">
        <v>6845</v>
      </c>
      <c r="I6805" s="9">
        <v>1680300</v>
      </c>
      <c r="J6805" s="10">
        <v>0.0353</v>
      </c>
    </row>
    <row r="6806" spans="1:10">
      <c r="A6806" s="7" t="s">
        <v>6839</v>
      </c>
      <c r="B6806" s="7" t="s">
        <v>8673</v>
      </c>
      <c r="C6806" s="8">
        <f>QS.CONTEXT.CREATE("market.6804",A6806,"USD","SOFR")</f>
        <v/>
      </c>
      <c r="D6806" s="8">
        <f>QS.CONTEXT.ADD.CURVE(C6806,"SOFR",$K$2:$K$7,$L$2:$L$7,,,"Actual360","LogLinear",TRUE)</f>
        <v/>
      </c>
      <c r="E6806" s="8">
        <f>QS.INSTRUMENT.SWAP("swap.6804",C6806,H6806,B6806,"USD","SOFR",I6806,J6806,0,"Actual360","Simple","Annual","Annual","Annual")</f>
        <v/>
      </c>
      <c r="F6806" s="8">
        <f>QS.TRADE.CREATE("trade.6804",C6806,E6806,A6806,"Receive")</f>
        <v/>
      </c>
      <c r="G6806" s="5"/>
      <c r="H6806" s="7" t="s">
        <v>6846</v>
      </c>
      <c r="I6806" s="9">
        <v>1680400</v>
      </c>
      <c r="J6806" s="10">
        <v>0.0354</v>
      </c>
    </row>
    <row r="6807" spans="1:10">
      <c r="A6807" s="7" t="s">
        <v>6840</v>
      </c>
      <c r="B6807" s="7" t="s">
        <v>8674</v>
      </c>
      <c r="C6807" s="8">
        <f>QS.CONTEXT.CREATE("market.6805",A6807,"USD","SOFR")</f>
        <v/>
      </c>
      <c r="D6807" s="8">
        <f>QS.CONTEXT.ADD.CURVE(C6807,"SOFR",$K$2:$K$7,$L$2:$L$7,,,"Actual360","LogLinear",TRUE)</f>
        <v/>
      </c>
      <c r="E6807" s="8">
        <f>QS.INSTRUMENT.SWAP("swap.6805",C6807,H6807,B6807,"USD","SOFR",I6807,J6807,0,"Actual360","Simple","Annual","Annual","Annual")</f>
        <v/>
      </c>
      <c r="F6807" s="8">
        <f>QS.TRADE.CREATE("trade.6805",C6807,E6807,A6807,"Receive")</f>
        <v/>
      </c>
      <c r="G6807" s="5"/>
      <c r="H6807" s="7" t="s">
        <v>6847</v>
      </c>
      <c r="I6807" s="9">
        <v>1680500</v>
      </c>
      <c r="J6807" s="10">
        <v>0.0355</v>
      </c>
    </row>
    <row r="6808" spans="1:10">
      <c r="A6808" s="7" t="s">
        <v>6841</v>
      </c>
      <c r="B6808" s="7" t="s">
        <v>8675</v>
      </c>
      <c r="C6808" s="8">
        <f>QS.CONTEXT.CREATE("market.6806",A6808,"USD","SOFR")</f>
        <v/>
      </c>
      <c r="D6808" s="8">
        <f>QS.CONTEXT.ADD.CURVE(C6808,"SOFR",$K$2:$K$7,$L$2:$L$7,,,"Actual360","LogLinear",TRUE)</f>
        <v/>
      </c>
      <c r="E6808" s="8">
        <f>QS.INSTRUMENT.SWAP("swap.6806",C6808,H6808,B6808,"USD","SOFR",I6808,J6808,0,"Actual360","Simple","Annual","Annual","Annual")</f>
        <v/>
      </c>
      <c r="F6808" s="8">
        <f>QS.TRADE.CREATE("trade.6806",C6808,E6808,A6808,"Receive")</f>
        <v/>
      </c>
      <c r="G6808" s="5"/>
      <c r="H6808" s="7" t="s">
        <v>6848</v>
      </c>
      <c r="I6808" s="9">
        <v>1680600</v>
      </c>
      <c r="J6808" s="10">
        <v>0.03560000000000001</v>
      </c>
    </row>
    <row r="6809" spans="1:10">
      <c r="A6809" s="7" t="s">
        <v>6842</v>
      </c>
      <c r="B6809" s="7" t="s">
        <v>8676</v>
      </c>
      <c r="C6809" s="8">
        <f>QS.CONTEXT.CREATE("market.6807",A6809,"USD","SOFR")</f>
        <v/>
      </c>
      <c r="D6809" s="8">
        <f>QS.CONTEXT.ADD.CURVE(C6809,"SOFR",$K$2:$K$7,$L$2:$L$7,,,"Actual360","LogLinear",TRUE)</f>
        <v/>
      </c>
      <c r="E6809" s="8">
        <f>QS.INSTRUMENT.SWAP("swap.6807",C6809,H6809,B6809,"USD","SOFR",I6809,J6809,0,"Actual360","Simple","Annual","Annual","Annual")</f>
        <v/>
      </c>
      <c r="F6809" s="8">
        <f>QS.TRADE.CREATE("trade.6807",C6809,E6809,A6809,"Receive")</f>
        <v/>
      </c>
      <c r="G6809" s="5"/>
      <c r="H6809" s="7" t="s">
        <v>6849</v>
      </c>
      <c r="I6809" s="9">
        <v>1680700</v>
      </c>
      <c r="J6809" s="10">
        <v>0.0357</v>
      </c>
    </row>
    <row r="6810" spans="1:10">
      <c r="A6810" s="7" t="s">
        <v>6843</v>
      </c>
      <c r="B6810" s="7" t="s">
        <v>8677</v>
      </c>
      <c r="C6810" s="8">
        <f>QS.CONTEXT.CREATE("market.6808",A6810,"USD","SOFR")</f>
        <v/>
      </c>
      <c r="D6810" s="8">
        <f>QS.CONTEXT.ADD.CURVE(C6810,"SOFR",$K$2:$K$7,$L$2:$L$7,,,"Actual360","LogLinear",TRUE)</f>
        <v/>
      </c>
      <c r="E6810" s="8">
        <f>QS.INSTRUMENT.SWAP("swap.6808",C6810,H6810,B6810,"USD","SOFR",I6810,J6810,0,"Actual360","Simple","Annual","Annual","Annual")</f>
        <v/>
      </c>
      <c r="F6810" s="8">
        <f>QS.TRADE.CREATE("trade.6808",C6810,E6810,A6810,"Receive")</f>
        <v/>
      </c>
      <c r="G6810" s="5"/>
      <c r="H6810" s="7" t="s">
        <v>6850</v>
      </c>
      <c r="I6810" s="9">
        <v>1680800</v>
      </c>
      <c r="J6810" s="10">
        <v>0.03580000000000001</v>
      </c>
    </row>
    <row r="6811" spans="1:10">
      <c r="A6811" s="7" t="s">
        <v>6844</v>
      </c>
      <c r="B6811" s="7" t="s">
        <v>8678</v>
      </c>
      <c r="C6811" s="8">
        <f>QS.CONTEXT.CREATE("market.6809",A6811,"USD","SOFR")</f>
        <v/>
      </c>
      <c r="D6811" s="8">
        <f>QS.CONTEXT.ADD.CURVE(C6811,"SOFR",$K$2:$K$7,$L$2:$L$7,,,"Actual360","LogLinear",TRUE)</f>
        <v/>
      </c>
      <c r="E6811" s="8">
        <f>QS.INSTRUMENT.SWAP("swap.6809",C6811,H6811,B6811,"USD","SOFR",I6811,J6811,0,"Actual360","Simple","Annual","Annual","Annual")</f>
        <v/>
      </c>
      <c r="F6811" s="8">
        <f>QS.TRADE.CREATE("trade.6809",C6811,E6811,A6811,"Receive")</f>
        <v/>
      </c>
      <c r="G6811" s="5"/>
      <c r="H6811" s="7" t="s">
        <v>6851</v>
      </c>
      <c r="I6811" s="9">
        <v>1680900</v>
      </c>
      <c r="J6811" s="10">
        <v>0.0359</v>
      </c>
    </row>
    <row r="6812" spans="1:10">
      <c r="A6812" s="7" t="s">
        <v>6845</v>
      </c>
      <c r="B6812" s="7" t="s">
        <v>8679</v>
      </c>
      <c r="C6812" s="8">
        <f>QS.CONTEXT.CREATE("market.6810",A6812,"USD","SOFR")</f>
        <v/>
      </c>
      <c r="D6812" s="8">
        <f>QS.CONTEXT.ADD.CURVE(C6812,"SOFR",$K$2:$K$7,$L$2:$L$7,,,"Actual360","LogLinear",TRUE)</f>
        <v/>
      </c>
      <c r="E6812" s="8">
        <f>QS.INSTRUMENT.SWAP("swap.6810",C6812,H6812,B6812,"USD","SOFR",I6812,J6812,0,"Actual360","Simple","Annual","Annual","Annual")</f>
        <v/>
      </c>
      <c r="F6812" s="8">
        <f>QS.TRADE.CREATE("trade.6810",C6812,E6812,A6812,"Receive")</f>
        <v/>
      </c>
      <c r="G6812" s="5"/>
      <c r="H6812" s="7" t="s">
        <v>6852</v>
      </c>
      <c r="I6812" s="9">
        <v>1681000</v>
      </c>
      <c r="J6812" s="10">
        <v>0.036</v>
      </c>
    </row>
    <row r="6813" spans="1:10">
      <c r="A6813" s="7" t="s">
        <v>6846</v>
      </c>
      <c r="B6813" s="7" t="s">
        <v>8680</v>
      </c>
      <c r="C6813" s="8">
        <f>QS.CONTEXT.CREATE("market.6811",A6813,"USD","SOFR")</f>
        <v/>
      </c>
      <c r="D6813" s="8">
        <f>QS.CONTEXT.ADD.CURVE(C6813,"SOFR",$K$2:$K$7,$L$2:$L$7,,,"Actual360","LogLinear",TRUE)</f>
        <v/>
      </c>
      <c r="E6813" s="8">
        <f>QS.INSTRUMENT.SWAP("swap.6811",C6813,H6813,B6813,"USD","SOFR",I6813,J6813,0,"Actual360","Simple","Annual","Annual","Annual")</f>
        <v/>
      </c>
      <c r="F6813" s="8">
        <f>QS.TRADE.CREATE("trade.6811",C6813,E6813,A6813,"Receive")</f>
        <v/>
      </c>
      <c r="G6813" s="5"/>
      <c r="H6813" s="7" t="s">
        <v>6853</v>
      </c>
      <c r="I6813" s="9">
        <v>1681100</v>
      </c>
      <c r="J6813" s="10">
        <v>0.0361</v>
      </c>
    </row>
    <row r="6814" spans="1:10">
      <c r="A6814" s="7" t="s">
        <v>6847</v>
      </c>
      <c r="B6814" s="7" t="s">
        <v>8681</v>
      </c>
      <c r="C6814" s="8">
        <f>QS.CONTEXT.CREATE("market.6812",A6814,"USD","SOFR")</f>
        <v/>
      </c>
      <c r="D6814" s="8">
        <f>QS.CONTEXT.ADD.CURVE(C6814,"SOFR",$K$2:$K$7,$L$2:$L$7,,,"Actual360","LogLinear",TRUE)</f>
        <v/>
      </c>
      <c r="E6814" s="8">
        <f>QS.INSTRUMENT.SWAP("swap.6812",C6814,H6814,B6814,"USD","SOFR",I6814,J6814,0,"Actual360","Simple","Annual","Annual","Annual")</f>
        <v/>
      </c>
      <c r="F6814" s="8">
        <f>QS.TRADE.CREATE("trade.6812",C6814,E6814,A6814,"Receive")</f>
        <v/>
      </c>
      <c r="G6814" s="5"/>
      <c r="H6814" s="7" t="s">
        <v>6854</v>
      </c>
      <c r="I6814" s="9">
        <v>1681200</v>
      </c>
      <c r="J6814" s="10">
        <v>0.0362</v>
      </c>
    </row>
    <row r="6815" spans="1:10">
      <c r="A6815" s="7" t="s">
        <v>6848</v>
      </c>
      <c r="B6815" s="7" t="s">
        <v>8682</v>
      </c>
      <c r="C6815" s="8">
        <f>QS.CONTEXT.CREATE("market.6813",A6815,"USD","SOFR")</f>
        <v/>
      </c>
      <c r="D6815" s="8">
        <f>QS.CONTEXT.ADD.CURVE(C6815,"SOFR",$K$2:$K$7,$L$2:$L$7,,,"Actual360","LogLinear",TRUE)</f>
        <v/>
      </c>
      <c r="E6815" s="8">
        <f>QS.INSTRUMENT.SWAP("swap.6813",C6815,H6815,B6815,"USD","SOFR",I6815,J6815,0,"Actual360","Simple","Annual","Annual","Annual")</f>
        <v/>
      </c>
      <c r="F6815" s="8">
        <f>QS.TRADE.CREATE("trade.6813",C6815,E6815,A6815,"Receive")</f>
        <v/>
      </c>
      <c r="G6815" s="5"/>
      <c r="H6815" s="7" t="s">
        <v>6855</v>
      </c>
      <c r="I6815" s="9">
        <v>1681300</v>
      </c>
      <c r="J6815" s="10">
        <v>0.03630000000000001</v>
      </c>
    </row>
    <row r="6816" spans="1:10">
      <c r="A6816" s="7" t="s">
        <v>6849</v>
      </c>
      <c r="B6816" s="7" t="s">
        <v>8683</v>
      </c>
      <c r="C6816" s="8">
        <f>QS.CONTEXT.CREATE("market.6814",A6816,"USD","SOFR")</f>
        <v/>
      </c>
      <c r="D6816" s="8">
        <f>QS.CONTEXT.ADD.CURVE(C6816,"SOFR",$K$2:$K$7,$L$2:$L$7,,,"Actual360","LogLinear",TRUE)</f>
        <v/>
      </c>
      <c r="E6816" s="8">
        <f>QS.INSTRUMENT.SWAP("swap.6814",C6816,H6816,B6816,"USD","SOFR",I6816,J6816,0,"Actual360","Simple","Annual","Annual","Annual")</f>
        <v/>
      </c>
      <c r="F6816" s="8">
        <f>QS.TRADE.CREATE("trade.6814",C6816,E6816,A6816,"Receive")</f>
        <v/>
      </c>
      <c r="G6816" s="5"/>
      <c r="H6816" s="7" t="s">
        <v>6856</v>
      </c>
      <c r="I6816" s="9">
        <v>1681400</v>
      </c>
      <c r="J6816" s="10">
        <v>0.0364</v>
      </c>
    </row>
    <row r="6817" spans="1:10">
      <c r="A6817" s="7" t="s">
        <v>6850</v>
      </c>
      <c r="B6817" s="7" t="s">
        <v>8684</v>
      </c>
      <c r="C6817" s="8">
        <f>QS.CONTEXT.CREATE("market.6815",A6817,"USD","SOFR")</f>
        <v/>
      </c>
      <c r="D6817" s="8">
        <f>QS.CONTEXT.ADD.CURVE(C6817,"SOFR",$K$2:$K$7,$L$2:$L$7,,,"Actual360","LogLinear",TRUE)</f>
        <v/>
      </c>
      <c r="E6817" s="8">
        <f>QS.INSTRUMENT.SWAP("swap.6815",C6817,H6817,B6817,"USD","SOFR",I6817,J6817,0,"Actual360","Simple","Annual","Annual","Annual")</f>
        <v/>
      </c>
      <c r="F6817" s="8">
        <f>QS.TRADE.CREATE("trade.6815",C6817,E6817,A6817,"Receive")</f>
        <v/>
      </c>
      <c r="G6817" s="5"/>
      <c r="H6817" s="7" t="s">
        <v>6857</v>
      </c>
      <c r="I6817" s="9">
        <v>1681500</v>
      </c>
      <c r="J6817" s="10">
        <v>0.0365</v>
      </c>
    </row>
    <row r="6818" spans="1:10">
      <c r="A6818" s="7" t="s">
        <v>6851</v>
      </c>
      <c r="B6818" s="7" t="s">
        <v>8685</v>
      </c>
      <c r="C6818" s="8">
        <f>QS.CONTEXT.CREATE("market.6816",A6818,"USD","SOFR")</f>
        <v/>
      </c>
      <c r="D6818" s="8">
        <f>QS.CONTEXT.ADD.CURVE(C6818,"SOFR",$K$2:$K$7,$L$2:$L$7,,,"Actual360","LogLinear",TRUE)</f>
        <v/>
      </c>
      <c r="E6818" s="8">
        <f>QS.INSTRUMENT.SWAP("swap.6816",C6818,H6818,B6818,"USD","SOFR",I6818,J6818,0,"Actual360","Simple","Annual","Annual","Annual")</f>
        <v/>
      </c>
      <c r="F6818" s="8">
        <f>QS.TRADE.CREATE("trade.6816",C6818,E6818,A6818,"Receive")</f>
        <v/>
      </c>
      <c r="G6818" s="5"/>
      <c r="H6818" s="7" t="s">
        <v>6858</v>
      </c>
      <c r="I6818" s="9">
        <v>1681600</v>
      </c>
      <c r="J6818" s="10">
        <v>0.0366</v>
      </c>
    </row>
    <row r="6819" spans="1:10">
      <c r="A6819" s="7" t="s">
        <v>6852</v>
      </c>
      <c r="B6819" s="7" t="s">
        <v>8686</v>
      </c>
      <c r="C6819" s="8">
        <f>QS.CONTEXT.CREATE("market.6817",A6819,"USD","SOFR")</f>
        <v/>
      </c>
      <c r="D6819" s="8">
        <f>QS.CONTEXT.ADD.CURVE(C6819,"SOFR",$K$2:$K$7,$L$2:$L$7,,,"Actual360","LogLinear",TRUE)</f>
        <v/>
      </c>
      <c r="E6819" s="8">
        <f>QS.INSTRUMENT.SWAP("swap.6817",C6819,H6819,B6819,"USD","SOFR",I6819,J6819,0,"Actual360","Simple","Annual","Annual","Annual")</f>
        <v/>
      </c>
      <c r="F6819" s="8">
        <f>QS.TRADE.CREATE("trade.6817",C6819,E6819,A6819,"Receive")</f>
        <v/>
      </c>
      <c r="G6819" s="5"/>
      <c r="H6819" s="7" t="s">
        <v>6859</v>
      </c>
      <c r="I6819" s="9">
        <v>1681700</v>
      </c>
      <c r="J6819" s="10">
        <v>0.0367</v>
      </c>
    </row>
    <row r="6820" spans="1:10">
      <c r="A6820" s="7" t="s">
        <v>6853</v>
      </c>
      <c r="B6820" s="7" t="s">
        <v>8687</v>
      </c>
      <c r="C6820" s="8">
        <f>QS.CONTEXT.CREATE("market.6818",A6820,"USD","SOFR")</f>
        <v/>
      </c>
      <c r="D6820" s="8">
        <f>QS.CONTEXT.ADD.CURVE(C6820,"SOFR",$K$2:$K$7,$L$2:$L$7,,,"Actual360","LogLinear",TRUE)</f>
        <v/>
      </c>
      <c r="E6820" s="8">
        <f>QS.INSTRUMENT.SWAP("swap.6818",C6820,H6820,B6820,"USD","SOFR",I6820,J6820,0,"Actual360","Simple","Annual","Annual","Annual")</f>
        <v/>
      </c>
      <c r="F6820" s="8">
        <f>QS.TRADE.CREATE("trade.6818",C6820,E6820,A6820,"Receive")</f>
        <v/>
      </c>
      <c r="G6820" s="5"/>
      <c r="H6820" s="7" t="s">
        <v>6860</v>
      </c>
      <c r="I6820" s="9">
        <v>1681800</v>
      </c>
      <c r="J6820" s="10">
        <v>0.03680000000000001</v>
      </c>
    </row>
    <row r="6821" spans="1:10">
      <c r="A6821" s="7" t="s">
        <v>6854</v>
      </c>
      <c r="B6821" s="7" t="s">
        <v>8688</v>
      </c>
      <c r="C6821" s="8">
        <f>QS.CONTEXT.CREATE("market.6819",A6821,"USD","SOFR")</f>
        <v/>
      </c>
      <c r="D6821" s="8">
        <f>QS.CONTEXT.ADD.CURVE(C6821,"SOFR",$K$2:$K$7,$L$2:$L$7,,,"Actual360","LogLinear",TRUE)</f>
        <v/>
      </c>
      <c r="E6821" s="8">
        <f>QS.INSTRUMENT.SWAP("swap.6819",C6821,H6821,B6821,"USD","SOFR",I6821,J6821,0,"Actual360","Simple","Annual","Annual","Annual")</f>
        <v/>
      </c>
      <c r="F6821" s="8">
        <f>QS.TRADE.CREATE("trade.6819",C6821,E6821,A6821,"Receive")</f>
        <v/>
      </c>
      <c r="G6821" s="5"/>
      <c r="H6821" s="7" t="s">
        <v>6861</v>
      </c>
      <c r="I6821" s="9">
        <v>1681900</v>
      </c>
      <c r="J6821" s="10">
        <v>0.0369</v>
      </c>
    </row>
    <row r="6822" spans="1:10">
      <c r="A6822" s="7" t="s">
        <v>6855</v>
      </c>
      <c r="B6822" s="7" t="s">
        <v>8689</v>
      </c>
      <c r="C6822" s="8">
        <f>QS.CONTEXT.CREATE("market.6820",A6822,"USD","SOFR")</f>
        <v/>
      </c>
      <c r="D6822" s="8">
        <f>QS.CONTEXT.ADD.CURVE(C6822,"SOFR",$K$2:$K$7,$L$2:$L$7,,,"Actual360","LogLinear",TRUE)</f>
        <v/>
      </c>
      <c r="E6822" s="8">
        <f>QS.INSTRUMENT.SWAP("swap.6820",C6822,H6822,B6822,"USD","SOFR",I6822,J6822,0,"Actual360","Simple","Annual","Annual","Annual")</f>
        <v/>
      </c>
      <c r="F6822" s="8">
        <f>QS.TRADE.CREATE("trade.6820",C6822,E6822,A6822,"Receive")</f>
        <v/>
      </c>
      <c r="G6822" s="5"/>
      <c r="H6822" s="7" t="s">
        <v>6862</v>
      </c>
      <c r="I6822" s="9">
        <v>1682000</v>
      </c>
      <c r="J6822" s="10">
        <v>0.03700000000000001</v>
      </c>
    </row>
    <row r="6823" spans="1:10">
      <c r="A6823" s="7" t="s">
        <v>6856</v>
      </c>
      <c r="B6823" s="7" t="s">
        <v>8690</v>
      </c>
      <c r="C6823" s="8">
        <f>QS.CONTEXT.CREATE("market.6821",A6823,"USD","SOFR")</f>
        <v/>
      </c>
      <c r="D6823" s="8">
        <f>QS.CONTEXT.ADD.CURVE(C6823,"SOFR",$K$2:$K$7,$L$2:$L$7,,,"Actual360","LogLinear",TRUE)</f>
        <v/>
      </c>
      <c r="E6823" s="8">
        <f>QS.INSTRUMENT.SWAP("swap.6821",C6823,H6823,B6823,"USD","SOFR",I6823,J6823,0,"Actual360","Simple","Annual","Annual","Annual")</f>
        <v/>
      </c>
      <c r="F6823" s="8">
        <f>QS.TRADE.CREATE("trade.6821",C6823,E6823,A6823,"Receive")</f>
        <v/>
      </c>
      <c r="G6823" s="5"/>
      <c r="H6823" s="7" t="s">
        <v>6863</v>
      </c>
      <c r="I6823" s="9">
        <v>1682100</v>
      </c>
      <c r="J6823" s="10">
        <v>0.0371</v>
      </c>
    </row>
    <row r="6824" spans="1:10">
      <c r="A6824" s="7" t="s">
        <v>6857</v>
      </c>
      <c r="B6824" s="7" t="s">
        <v>8691</v>
      </c>
      <c r="C6824" s="8">
        <f>QS.CONTEXT.CREATE("market.6822",A6824,"USD","SOFR")</f>
        <v/>
      </c>
      <c r="D6824" s="8">
        <f>QS.CONTEXT.ADD.CURVE(C6824,"SOFR",$K$2:$K$7,$L$2:$L$7,,,"Actual360","LogLinear",TRUE)</f>
        <v/>
      </c>
      <c r="E6824" s="8">
        <f>QS.INSTRUMENT.SWAP("swap.6822",C6824,H6824,B6824,"USD","SOFR",I6824,J6824,0,"Actual360","Simple","Annual","Annual","Annual")</f>
        <v/>
      </c>
      <c r="F6824" s="8">
        <f>QS.TRADE.CREATE("trade.6822",C6824,E6824,A6824,"Receive")</f>
        <v/>
      </c>
      <c r="G6824" s="5"/>
      <c r="H6824" s="7" t="s">
        <v>6864</v>
      </c>
      <c r="I6824" s="9">
        <v>1682200</v>
      </c>
      <c r="J6824" s="10">
        <v>0.0372</v>
      </c>
    </row>
    <row r="6825" spans="1:10">
      <c r="A6825" s="7" t="s">
        <v>6858</v>
      </c>
      <c r="B6825" s="7" t="s">
        <v>8692</v>
      </c>
      <c r="C6825" s="8">
        <f>QS.CONTEXT.CREATE("market.6823",A6825,"USD","SOFR")</f>
        <v/>
      </c>
      <c r="D6825" s="8">
        <f>QS.CONTEXT.ADD.CURVE(C6825,"SOFR",$K$2:$K$7,$L$2:$L$7,,,"Actual360","LogLinear",TRUE)</f>
        <v/>
      </c>
      <c r="E6825" s="8">
        <f>QS.INSTRUMENT.SWAP("swap.6823",C6825,H6825,B6825,"USD","SOFR",I6825,J6825,0,"Actual360","Simple","Annual","Annual","Annual")</f>
        <v/>
      </c>
      <c r="F6825" s="8">
        <f>QS.TRADE.CREATE("trade.6823",C6825,E6825,A6825,"Receive")</f>
        <v/>
      </c>
      <c r="G6825" s="5"/>
      <c r="H6825" s="7" t="s">
        <v>6865</v>
      </c>
      <c r="I6825" s="9">
        <v>1682300</v>
      </c>
      <c r="J6825" s="10">
        <v>0.0373</v>
      </c>
    </row>
    <row r="6826" spans="1:10">
      <c r="A6826" s="7" t="s">
        <v>6859</v>
      </c>
      <c r="B6826" s="7" t="s">
        <v>8693</v>
      </c>
      <c r="C6826" s="8">
        <f>QS.CONTEXT.CREATE("market.6824",A6826,"USD","SOFR")</f>
        <v/>
      </c>
      <c r="D6826" s="8">
        <f>QS.CONTEXT.ADD.CURVE(C6826,"SOFR",$K$2:$K$7,$L$2:$L$7,,,"Actual360","LogLinear",TRUE)</f>
        <v/>
      </c>
      <c r="E6826" s="8">
        <f>QS.INSTRUMENT.SWAP("swap.6824",C6826,H6826,B6826,"USD","SOFR",I6826,J6826,0,"Actual360","Simple","Annual","Annual","Annual")</f>
        <v/>
      </c>
      <c r="F6826" s="8">
        <f>QS.TRADE.CREATE("trade.6824",C6826,E6826,A6826,"Receive")</f>
        <v/>
      </c>
      <c r="G6826" s="5"/>
      <c r="H6826" s="7" t="s">
        <v>6866</v>
      </c>
      <c r="I6826" s="9">
        <v>1682400</v>
      </c>
      <c r="J6826" s="10">
        <v>0.0374</v>
      </c>
    </row>
    <row r="6827" spans="1:10">
      <c r="A6827" s="7" t="s">
        <v>6860</v>
      </c>
      <c r="B6827" s="7" t="s">
        <v>8694</v>
      </c>
      <c r="C6827" s="8">
        <f>QS.CONTEXT.CREATE("market.6825",A6827,"USD","SOFR")</f>
        <v/>
      </c>
      <c r="D6827" s="8">
        <f>QS.CONTEXT.ADD.CURVE(C6827,"SOFR",$K$2:$K$7,$L$2:$L$7,,,"Actual360","LogLinear",TRUE)</f>
        <v/>
      </c>
      <c r="E6827" s="8">
        <f>QS.INSTRUMENT.SWAP("swap.6825",C6827,H6827,B6827,"USD","SOFR",I6827,J6827,0,"Actual360","Simple","Annual","Annual","Annual")</f>
        <v/>
      </c>
      <c r="F6827" s="8">
        <f>QS.TRADE.CREATE("trade.6825",C6827,E6827,A6827,"Receive")</f>
        <v/>
      </c>
      <c r="G6827" s="5"/>
      <c r="H6827" s="7" t="s">
        <v>6867</v>
      </c>
      <c r="I6827" s="9">
        <v>1682500</v>
      </c>
      <c r="J6827" s="10">
        <v>0.03750000000000001</v>
      </c>
    </row>
    <row r="6828" spans="1:10">
      <c r="A6828" s="7" t="s">
        <v>6861</v>
      </c>
      <c r="B6828" s="7" t="s">
        <v>8695</v>
      </c>
      <c r="C6828" s="8">
        <f>QS.CONTEXT.CREATE("market.6826",A6828,"USD","SOFR")</f>
        <v/>
      </c>
      <c r="D6828" s="8">
        <f>QS.CONTEXT.ADD.CURVE(C6828,"SOFR",$K$2:$K$7,$L$2:$L$7,,,"Actual360","LogLinear",TRUE)</f>
        <v/>
      </c>
      <c r="E6828" s="8">
        <f>QS.INSTRUMENT.SWAP("swap.6826",C6828,H6828,B6828,"USD","SOFR",I6828,J6828,0,"Actual360","Simple","Annual","Annual","Annual")</f>
        <v/>
      </c>
      <c r="F6828" s="8">
        <f>QS.TRADE.CREATE("trade.6826",C6828,E6828,A6828,"Receive")</f>
        <v/>
      </c>
      <c r="G6828" s="5"/>
      <c r="H6828" s="7" t="s">
        <v>6868</v>
      </c>
      <c r="I6828" s="9">
        <v>1682600</v>
      </c>
      <c r="J6828" s="10">
        <v>0.0376</v>
      </c>
    </row>
    <row r="6829" spans="1:10">
      <c r="A6829" s="7" t="s">
        <v>6862</v>
      </c>
      <c r="B6829" s="7" t="s">
        <v>8696</v>
      </c>
      <c r="C6829" s="8">
        <f>QS.CONTEXT.CREATE("market.6827",A6829,"USD","SOFR")</f>
        <v/>
      </c>
      <c r="D6829" s="8">
        <f>QS.CONTEXT.ADD.CURVE(C6829,"SOFR",$K$2:$K$7,$L$2:$L$7,,,"Actual360","LogLinear",TRUE)</f>
        <v/>
      </c>
      <c r="E6829" s="8">
        <f>QS.INSTRUMENT.SWAP("swap.6827",C6829,H6829,B6829,"USD","SOFR",I6829,J6829,0,"Actual360","Simple","Annual","Annual","Annual")</f>
        <v/>
      </c>
      <c r="F6829" s="8">
        <f>QS.TRADE.CREATE("trade.6827",C6829,E6829,A6829,"Receive")</f>
        <v/>
      </c>
      <c r="G6829" s="5"/>
      <c r="H6829" s="7" t="s">
        <v>6869</v>
      </c>
      <c r="I6829" s="9">
        <v>1682700</v>
      </c>
      <c r="J6829" s="10">
        <v>0.0377</v>
      </c>
    </row>
    <row r="6830" spans="1:10">
      <c r="A6830" s="7" t="s">
        <v>6863</v>
      </c>
      <c r="B6830" s="7" t="s">
        <v>8697</v>
      </c>
      <c r="C6830" s="8">
        <f>QS.CONTEXT.CREATE("market.6828",A6830,"USD","SOFR")</f>
        <v/>
      </c>
      <c r="D6830" s="8">
        <f>QS.CONTEXT.ADD.CURVE(C6830,"SOFR",$K$2:$K$7,$L$2:$L$7,,,"Actual360","LogLinear",TRUE)</f>
        <v/>
      </c>
      <c r="E6830" s="8">
        <f>QS.INSTRUMENT.SWAP("swap.6828",C6830,H6830,B6830,"USD","SOFR",I6830,J6830,0,"Actual360","Simple","Annual","Annual","Annual")</f>
        <v/>
      </c>
      <c r="F6830" s="8">
        <f>QS.TRADE.CREATE("trade.6828",C6830,E6830,A6830,"Receive")</f>
        <v/>
      </c>
      <c r="G6830" s="5"/>
      <c r="H6830" s="7" t="s">
        <v>6870</v>
      </c>
      <c r="I6830" s="9">
        <v>1682800</v>
      </c>
      <c r="J6830" s="10">
        <v>0.0378</v>
      </c>
    </row>
    <row r="6831" spans="1:10">
      <c r="A6831" s="7" t="s">
        <v>6864</v>
      </c>
      <c r="B6831" s="7" t="s">
        <v>8698</v>
      </c>
      <c r="C6831" s="8">
        <f>QS.CONTEXT.CREATE("market.6829",A6831,"USD","SOFR")</f>
        <v/>
      </c>
      <c r="D6831" s="8">
        <f>QS.CONTEXT.ADD.CURVE(C6831,"SOFR",$K$2:$K$7,$L$2:$L$7,,,"Actual360","LogLinear",TRUE)</f>
        <v/>
      </c>
      <c r="E6831" s="8">
        <f>QS.INSTRUMENT.SWAP("swap.6829",C6831,H6831,B6831,"USD","SOFR",I6831,J6831,0,"Actual360","Simple","Annual","Annual","Annual")</f>
        <v/>
      </c>
      <c r="F6831" s="8">
        <f>QS.TRADE.CREATE("trade.6829",C6831,E6831,A6831,"Receive")</f>
        <v/>
      </c>
      <c r="G6831" s="5"/>
      <c r="H6831" s="7" t="s">
        <v>6871</v>
      </c>
      <c r="I6831" s="9">
        <v>1682900</v>
      </c>
      <c r="J6831" s="10">
        <v>0.0379</v>
      </c>
    </row>
    <row r="6832" spans="1:10">
      <c r="A6832" s="7" t="s">
        <v>6865</v>
      </c>
      <c r="B6832" s="7" t="s">
        <v>8699</v>
      </c>
      <c r="C6832" s="8">
        <f>QS.CONTEXT.CREATE("market.6830",A6832,"USD","SOFR")</f>
        <v/>
      </c>
      <c r="D6832" s="8">
        <f>QS.CONTEXT.ADD.CURVE(C6832,"SOFR",$K$2:$K$7,$L$2:$L$7,,,"Actual360","LogLinear",TRUE)</f>
        <v/>
      </c>
      <c r="E6832" s="8">
        <f>QS.INSTRUMENT.SWAP("swap.6830",C6832,H6832,B6832,"USD","SOFR",I6832,J6832,0,"Actual360","Simple","Annual","Annual","Annual")</f>
        <v/>
      </c>
      <c r="F6832" s="8">
        <f>QS.TRADE.CREATE("trade.6830",C6832,E6832,A6832,"Receive")</f>
        <v/>
      </c>
      <c r="G6832" s="5"/>
      <c r="H6832" s="7" t="s">
        <v>6872</v>
      </c>
      <c r="I6832" s="9">
        <v>1683000</v>
      </c>
      <c r="J6832" s="10">
        <v>0.03800000000000001</v>
      </c>
    </row>
    <row r="6833" spans="1:10">
      <c r="A6833" s="7" t="s">
        <v>6866</v>
      </c>
      <c r="B6833" s="7" t="s">
        <v>8700</v>
      </c>
      <c r="C6833" s="8">
        <f>QS.CONTEXT.CREATE("market.6831",A6833,"USD","SOFR")</f>
        <v/>
      </c>
      <c r="D6833" s="8">
        <f>QS.CONTEXT.ADD.CURVE(C6833,"SOFR",$K$2:$K$7,$L$2:$L$7,,,"Actual360","LogLinear",TRUE)</f>
        <v/>
      </c>
      <c r="E6833" s="8">
        <f>QS.INSTRUMENT.SWAP("swap.6831",C6833,H6833,B6833,"USD","SOFR",I6833,J6833,0,"Actual360","Simple","Annual","Annual","Annual")</f>
        <v/>
      </c>
      <c r="F6833" s="8">
        <f>QS.TRADE.CREATE("trade.6831",C6833,E6833,A6833,"Receive")</f>
        <v/>
      </c>
      <c r="G6833" s="5"/>
      <c r="H6833" s="7" t="s">
        <v>6873</v>
      </c>
      <c r="I6833" s="9">
        <v>1683100</v>
      </c>
      <c r="J6833" s="10">
        <v>0.0381</v>
      </c>
    </row>
    <row r="6834" spans="1:10">
      <c r="A6834" s="7" t="s">
        <v>6867</v>
      </c>
      <c r="B6834" s="7" t="s">
        <v>8701</v>
      </c>
      <c r="C6834" s="8">
        <f>QS.CONTEXT.CREATE("market.6832",A6834,"USD","SOFR")</f>
        <v/>
      </c>
      <c r="D6834" s="8">
        <f>QS.CONTEXT.ADD.CURVE(C6834,"SOFR",$K$2:$K$7,$L$2:$L$7,,,"Actual360","LogLinear",TRUE)</f>
        <v/>
      </c>
      <c r="E6834" s="8">
        <f>QS.INSTRUMENT.SWAP("swap.6832",C6834,H6834,B6834,"USD","SOFR",I6834,J6834,0,"Actual360","Simple","Annual","Annual","Annual")</f>
        <v/>
      </c>
      <c r="F6834" s="8">
        <f>QS.TRADE.CREATE("trade.6832",C6834,E6834,A6834,"Receive")</f>
        <v/>
      </c>
      <c r="G6834" s="5"/>
      <c r="H6834" s="7" t="s">
        <v>6874</v>
      </c>
      <c r="I6834" s="9">
        <v>1683200</v>
      </c>
      <c r="J6834" s="10">
        <v>0.0382</v>
      </c>
    </row>
    <row r="6835" spans="1:10">
      <c r="A6835" s="7" t="s">
        <v>6868</v>
      </c>
      <c r="B6835" s="7" t="s">
        <v>8702</v>
      </c>
      <c r="C6835" s="8">
        <f>QS.CONTEXT.CREATE("market.6833",A6835,"USD","SOFR")</f>
        <v/>
      </c>
      <c r="D6835" s="8">
        <f>QS.CONTEXT.ADD.CURVE(C6835,"SOFR",$K$2:$K$7,$L$2:$L$7,,,"Actual360","LogLinear",TRUE)</f>
        <v/>
      </c>
      <c r="E6835" s="8">
        <f>QS.INSTRUMENT.SWAP("swap.6833",C6835,H6835,B6835,"USD","SOFR",I6835,J6835,0,"Actual360","Simple","Annual","Annual","Annual")</f>
        <v/>
      </c>
      <c r="F6835" s="8">
        <f>QS.TRADE.CREATE("trade.6833",C6835,E6835,A6835,"Receive")</f>
        <v/>
      </c>
      <c r="G6835" s="5"/>
      <c r="H6835" s="7" t="s">
        <v>6875</v>
      </c>
      <c r="I6835" s="9">
        <v>1683300</v>
      </c>
      <c r="J6835" s="10">
        <v>0.0383</v>
      </c>
    </row>
    <row r="6836" spans="1:10">
      <c r="A6836" s="7" t="s">
        <v>6869</v>
      </c>
      <c r="B6836" s="7" t="s">
        <v>8703</v>
      </c>
      <c r="C6836" s="8">
        <f>QS.CONTEXT.CREATE("market.6834",A6836,"USD","SOFR")</f>
        <v/>
      </c>
      <c r="D6836" s="8">
        <f>QS.CONTEXT.ADD.CURVE(C6836,"SOFR",$K$2:$K$7,$L$2:$L$7,,,"Actual360","LogLinear",TRUE)</f>
        <v/>
      </c>
      <c r="E6836" s="8">
        <f>QS.INSTRUMENT.SWAP("swap.6834",C6836,H6836,B6836,"USD","SOFR",I6836,J6836,0,"Actual360","Simple","Annual","Annual","Annual")</f>
        <v/>
      </c>
      <c r="F6836" s="8">
        <f>QS.TRADE.CREATE("trade.6834",C6836,E6836,A6836,"Receive")</f>
        <v/>
      </c>
      <c r="G6836" s="5"/>
      <c r="H6836" s="7" t="s">
        <v>6876</v>
      </c>
      <c r="I6836" s="9">
        <v>1683400</v>
      </c>
      <c r="J6836" s="10">
        <v>0.0384</v>
      </c>
    </row>
    <row r="6837" spans="1:10">
      <c r="A6837" s="7" t="s">
        <v>6870</v>
      </c>
      <c r="B6837" s="7" t="s">
        <v>8704</v>
      </c>
      <c r="C6837" s="8">
        <f>QS.CONTEXT.CREATE("market.6835",A6837,"USD","SOFR")</f>
        <v/>
      </c>
      <c r="D6837" s="8">
        <f>QS.CONTEXT.ADD.CURVE(C6837,"SOFR",$K$2:$K$7,$L$2:$L$7,,,"Actual360","LogLinear",TRUE)</f>
        <v/>
      </c>
      <c r="E6837" s="8">
        <f>QS.INSTRUMENT.SWAP("swap.6835",C6837,H6837,B6837,"USD","SOFR",I6837,J6837,0,"Actual360","Simple","Annual","Annual","Annual")</f>
        <v/>
      </c>
      <c r="F6837" s="8">
        <f>QS.TRADE.CREATE("trade.6835",C6837,E6837,A6837,"Receive")</f>
        <v/>
      </c>
      <c r="G6837" s="5"/>
      <c r="H6837" s="7" t="s">
        <v>6877</v>
      </c>
      <c r="I6837" s="9">
        <v>1683500</v>
      </c>
      <c r="J6837" s="10">
        <v>0.03850000000000001</v>
      </c>
    </row>
    <row r="6838" spans="1:10">
      <c r="A6838" s="7" t="s">
        <v>6871</v>
      </c>
      <c r="B6838" s="7" t="s">
        <v>8705</v>
      </c>
      <c r="C6838" s="8">
        <f>QS.CONTEXT.CREATE("market.6836",A6838,"USD","SOFR")</f>
        <v/>
      </c>
      <c r="D6838" s="8">
        <f>QS.CONTEXT.ADD.CURVE(C6838,"SOFR",$K$2:$K$7,$L$2:$L$7,,,"Actual360","LogLinear",TRUE)</f>
        <v/>
      </c>
      <c r="E6838" s="8">
        <f>QS.INSTRUMENT.SWAP("swap.6836",C6838,H6838,B6838,"USD","SOFR",I6838,J6838,0,"Actual360","Simple","Annual","Annual","Annual")</f>
        <v/>
      </c>
      <c r="F6838" s="8">
        <f>QS.TRADE.CREATE("trade.6836",C6838,E6838,A6838,"Receive")</f>
        <v/>
      </c>
      <c r="G6838" s="5"/>
      <c r="H6838" s="7" t="s">
        <v>6878</v>
      </c>
      <c r="I6838" s="9">
        <v>1683600</v>
      </c>
      <c r="J6838" s="10">
        <v>0.0386</v>
      </c>
    </row>
    <row r="6839" spans="1:10">
      <c r="A6839" s="7" t="s">
        <v>6872</v>
      </c>
      <c r="B6839" s="7" t="s">
        <v>8706</v>
      </c>
      <c r="C6839" s="8">
        <f>QS.CONTEXT.CREATE("market.6837",A6839,"USD","SOFR")</f>
        <v/>
      </c>
      <c r="D6839" s="8">
        <f>QS.CONTEXT.ADD.CURVE(C6839,"SOFR",$K$2:$K$7,$L$2:$L$7,,,"Actual360","LogLinear",TRUE)</f>
        <v/>
      </c>
      <c r="E6839" s="8">
        <f>QS.INSTRUMENT.SWAP("swap.6837",C6839,H6839,B6839,"USD","SOFR",I6839,J6839,0,"Actual360","Simple","Annual","Annual","Annual")</f>
        <v/>
      </c>
      <c r="F6839" s="8">
        <f>QS.TRADE.CREATE("trade.6837",C6839,E6839,A6839,"Receive")</f>
        <v/>
      </c>
      <c r="G6839" s="5"/>
      <c r="H6839" s="7" t="s">
        <v>6879</v>
      </c>
      <c r="I6839" s="9">
        <v>1683700</v>
      </c>
      <c r="J6839" s="10">
        <v>0.03870000000000001</v>
      </c>
    </row>
    <row r="6840" spans="1:10">
      <c r="A6840" s="7" t="s">
        <v>6873</v>
      </c>
      <c r="B6840" s="7" t="s">
        <v>8707</v>
      </c>
      <c r="C6840" s="8">
        <f>QS.CONTEXT.CREATE("market.6838",A6840,"USD","SOFR")</f>
        <v/>
      </c>
      <c r="D6840" s="8">
        <f>QS.CONTEXT.ADD.CURVE(C6840,"SOFR",$K$2:$K$7,$L$2:$L$7,,,"Actual360","LogLinear",TRUE)</f>
        <v/>
      </c>
      <c r="E6840" s="8">
        <f>QS.INSTRUMENT.SWAP("swap.6838",C6840,H6840,B6840,"USD","SOFR",I6840,J6840,0,"Actual360","Simple","Annual","Annual","Annual")</f>
        <v/>
      </c>
      <c r="F6840" s="8">
        <f>QS.TRADE.CREATE("trade.6838",C6840,E6840,A6840,"Receive")</f>
        <v/>
      </c>
      <c r="G6840" s="5"/>
      <c r="H6840" s="7" t="s">
        <v>6880</v>
      </c>
      <c r="I6840" s="9">
        <v>1683800</v>
      </c>
      <c r="J6840" s="10">
        <v>0.0388</v>
      </c>
    </row>
    <row r="6841" spans="1:10">
      <c r="A6841" s="7" t="s">
        <v>6874</v>
      </c>
      <c r="B6841" s="7" t="s">
        <v>8708</v>
      </c>
      <c r="C6841" s="8">
        <f>QS.CONTEXT.CREATE("market.6839",A6841,"USD","SOFR")</f>
        <v/>
      </c>
      <c r="D6841" s="8">
        <f>QS.CONTEXT.ADD.CURVE(C6841,"SOFR",$K$2:$K$7,$L$2:$L$7,,,"Actual360","LogLinear",TRUE)</f>
        <v/>
      </c>
      <c r="E6841" s="8">
        <f>QS.INSTRUMENT.SWAP("swap.6839",C6841,H6841,B6841,"USD","SOFR",I6841,J6841,0,"Actual360","Simple","Annual","Annual","Annual")</f>
        <v/>
      </c>
      <c r="F6841" s="8">
        <f>QS.TRADE.CREATE("trade.6839",C6841,E6841,A6841,"Receive")</f>
        <v/>
      </c>
      <c r="G6841" s="5"/>
      <c r="H6841" s="7" t="s">
        <v>6881</v>
      </c>
      <c r="I6841" s="9">
        <v>1683900</v>
      </c>
      <c r="J6841" s="10">
        <v>0.0389</v>
      </c>
    </row>
    <row r="6842" spans="1:10">
      <c r="A6842" s="7" t="s">
        <v>6875</v>
      </c>
      <c r="B6842" s="7" t="s">
        <v>8709</v>
      </c>
      <c r="C6842" s="8">
        <f>QS.CONTEXT.CREATE("market.6840",A6842,"USD","SOFR")</f>
        <v/>
      </c>
      <c r="D6842" s="8">
        <f>QS.CONTEXT.ADD.CURVE(C6842,"SOFR",$K$2:$K$7,$L$2:$L$7,,,"Actual360","LogLinear",TRUE)</f>
        <v/>
      </c>
      <c r="E6842" s="8">
        <f>QS.INSTRUMENT.SWAP("swap.6840",C6842,H6842,B6842,"USD","SOFR",I6842,J6842,0,"Actual360","Simple","Annual","Annual","Annual")</f>
        <v/>
      </c>
      <c r="F6842" s="8">
        <f>QS.TRADE.CREATE("trade.6840",C6842,E6842,A6842,"Receive")</f>
        <v/>
      </c>
      <c r="G6842" s="5"/>
      <c r="H6842" s="7" t="s">
        <v>6882</v>
      </c>
      <c r="I6842" s="9">
        <v>1684000</v>
      </c>
      <c r="J6842" s="10">
        <v>0.03900000000000001</v>
      </c>
    </row>
    <row r="6843" spans="1:10">
      <c r="A6843" s="7" t="s">
        <v>6876</v>
      </c>
      <c r="B6843" s="7" t="s">
        <v>8710</v>
      </c>
      <c r="C6843" s="8">
        <f>QS.CONTEXT.CREATE("market.6841",A6843,"USD","SOFR")</f>
        <v/>
      </c>
      <c r="D6843" s="8">
        <f>QS.CONTEXT.ADD.CURVE(C6843,"SOFR",$K$2:$K$7,$L$2:$L$7,,,"Actual360","LogLinear",TRUE)</f>
        <v/>
      </c>
      <c r="E6843" s="8">
        <f>QS.INSTRUMENT.SWAP("swap.6841",C6843,H6843,B6843,"USD","SOFR",I6843,J6843,0,"Actual360","Simple","Annual","Annual","Annual")</f>
        <v/>
      </c>
      <c r="F6843" s="8">
        <f>QS.TRADE.CREATE("trade.6841",C6843,E6843,A6843,"Receive")</f>
        <v/>
      </c>
      <c r="G6843" s="5"/>
      <c r="H6843" s="7" t="s">
        <v>6883</v>
      </c>
      <c r="I6843" s="9">
        <v>1684100</v>
      </c>
      <c r="J6843" s="10">
        <v>0.0391</v>
      </c>
    </row>
    <row r="6844" spans="1:10">
      <c r="A6844" s="7" t="s">
        <v>6877</v>
      </c>
      <c r="B6844" s="7" t="s">
        <v>8711</v>
      </c>
      <c r="C6844" s="8">
        <f>QS.CONTEXT.CREATE("market.6842",A6844,"USD","SOFR")</f>
        <v/>
      </c>
      <c r="D6844" s="8">
        <f>QS.CONTEXT.ADD.CURVE(C6844,"SOFR",$K$2:$K$7,$L$2:$L$7,,,"Actual360","LogLinear",TRUE)</f>
        <v/>
      </c>
      <c r="E6844" s="8">
        <f>QS.INSTRUMENT.SWAP("swap.6842",C6844,H6844,B6844,"USD","SOFR",I6844,J6844,0,"Actual360","Simple","Annual","Annual","Annual")</f>
        <v/>
      </c>
      <c r="F6844" s="8">
        <f>QS.TRADE.CREATE("trade.6842",C6844,E6844,A6844,"Receive")</f>
        <v/>
      </c>
      <c r="G6844" s="5"/>
      <c r="H6844" s="7" t="s">
        <v>6884</v>
      </c>
      <c r="I6844" s="9">
        <v>1684200</v>
      </c>
      <c r="J6844" s="10">
        <v>0.03920000000000001</v>
      </c>
    </row>
    <row r="6845" spans="1:10">
      <c r="A6845" s="7" t="s">
        <v>6878</v>
      </c>
      <c r="B6845" s="7" t="s">
        <v>8712</v>
      </c>
      <c r="C6845" s="8">
        <f>QS.CONTEXT.CREATE("market.6843",A6845,"USD","SOFR")</f>
        <v/>
      </c>
      <c r="D6845" s="8">
        <f>QS.CONTEXT.ADD.CURVE(C6845,"SOFR",$K$2:$K$7,$L$2:$L$7,,,"Actual360","LogLinear",TRUE)</f>
        <v/>
      </c>
      <c r="E6845" s="8">
        <f>QS.INSTRUMENT.SWAP("swap.6843",C6845,H6845,B6845,"USD","SOFR",I6845,J6845,0,"Actual360","Simple","Annual","Annual","Annual")</f>
        <v/>
      </c>
      <c r="F6845" s="8">
        <f>QS.TRADE.CREATE("trade.6843",C6845,E6845,A6845,"Receive")</f>
        <v/>
      </c>
      <c r="G6845" s="5"/>
      <c r="H6845" s="7" t="s">
        <v>6885</v>
      </c>
      <c r="I6845" s="9">
        <v>1684300</v>
      </c>
      <c r="J6845" s="10">
        <v>0.0393</v>
      </c>
    </row>
    <row r="6846" spans="1:10">
      <c r="A6846" s="7" t="s">
        <v>6879</v>
      </c>
      <c r="B6846" s="7" t="s">
        <v>8713</v>
      </c>
      <c r="C6846" s="8">
        <f>QS.CONTEXT.CREATE("market.6844",A6846,"USD","SOFR")</f>
        <v/>
      </c>
      <c r="D6846" s="8">
        <f>QS.CONTEXT.ADD.CURVE(C6846,"SOFR",$K$2:$K$7,$L$2:$L$7,,,"Actual360","LogLinear",TRUE)</f>
        <v/>
      </c>
      <c r="E6846" s="8">
        <f>QS.INSTRUMENT.SWAP("swap.6844",C6846,H6846,B6846,"USD","SOFR",I6846,J6846,0,"Actual360","Simple","Annual","Annual","Annual")</f>
        <v/>
      </c>
      <c r="F6846" s="8">
        <f>QS.TRADE.CREATE("trade.6844",C6846,E6846,A6846,"Receive")</f>
        <v/>
      </c>
      <c r="G6846" s="5"/>
      <c r="H6846" s="7" t="s">
        <v>6886</v>
      </c>
      <c r="I6846" s="9">
        <v>1684400</v>
      </c>
      <c r="J6846" s="10">
        <v>0.0394</v>
      </c>
    </row>
    <row r="6847" spans="1:10">
      <c r="A6847" s="7" t="s">
        <v>6880</v>
      </c>
      <c r="B6847" s="7" t="s">
        <v>8714</v>
      </c>
      <c r="C6847" s="8">
        <f>QS.CONTEXT.CREATE("market.6845",A6847,"USD","SOFR")</f>
        <v/>
      </c>
      <c r="D6847" s="8">
        <f>QS.CONTEXT.ADD.CURVE(C6847,"SOFR",$K$2:$K$7,$L$2:$L$7,,,"Actual360","LogLinear",TRUE)</f>
        <v/>
      </c>
      <c r="E6847" s="8">
        <f>QS.INSTRUMENT.SWAP("swap.6845",C6847,H6847,B6847,"USD","SOFR",I6847,J6847,0,"Actual360","Simple","Annual","Annual","Annual")</f>
        <v/>
      </c>
      <c r="F6847" s="8">
        <f>QS.TRADE.CREATE("trade.6845",C6847,E6847,A6847,"Receive")</f>
        <v/>
      </c>
      <c r="G6847" s="5"/>
      <c r="H6847" s="7" t="s">
        <v>6887</v>
      </c>
      <c r="I6847" s="9">
        <v>1684500</v>
      </c>
      <c r="J6847" s="10">
        <v>0.03950000000000001</v>
      </c>
    </row>
    <row r="6848" spans="1:10">
      <c r="A6848" s="7" t="s">
        <v>6881</v>
      </c>
      <c r="B6848" s="7" t="s">
        <v>8715</v>
      </c>
      <c r="C6848" s="8">
        <f>QS.CONTEXT.CREATE("market.6846",A6848,"USD","SOFR")</f>
        <v/>
      </c>
      <c r="D6848" s="8">
        <f>QS.CONTEXT.ADD.CURVE(C6848,"SOFR",$K$2:$K$7,$L$2:$L$7,,,"Actual360","LogLinear",TRUE)</f>
        <v/>
      </c>
      <c r="E6848" s="8">
        <f>QS.INSTRUMENT.SWAP("swap.6846",C6848,H6848,B6848,"USD","SOFR",I6848,J6848,0,"Actual360","Simple","Annual","Annual","Annual")</f>
        <v/>
      </c>
      <c r="F6848" s="8">
        <f>QS.TRADE.CREATE("trade.6846",C6848,E6848,A6848,"Receive")</f>
        <v/>
      </c>
      <c r="G6848" s="5"/>
      <c r="H6848" s="7" t="s">
        <v>6888</v>
      </c>
      <c r="I6848" s="9">
        <v>1684600</v>
      </c>
      <c r="J6848" s="10">
        <v>0.0396</v>
      </c>
    </row>
    <row r="6849" spans="1:10">
      <c r="A6849" s="7" t="s">
        <v>6882</v>
      </c>
      <c r="B6849" s="7" t="s">
        <v>8716</v>
      </c>
      <c r="C6849" s="8">
        <f>QS.CONTEXT.CREATE("market.6847",A6849,"USD","SOFR")</f>
        <v/>
      </c>
      <c r="D6849" s="8">
        <f>QS.CONTEXT.ADD.CURVE(C6849,"SOFR",$K$2:$K$7,$L$2:$L$7,,,"Actual360","LogLinear",TRUE)</f>
        <v/>
      </c>
      <c r="E6849" s="8">
        <f>QS.INSTRUMENT.SWAP("swap.6847",C6849,H6849,B6849,"USD","SOFR",I6849,J6849,0,"Actual360","Simple","Annual","Annual","Annual")</f>
        <v/>
      </c>
      <c r="F6849" s="8">
        <f>QS.TRADE.CREATE("trade.6847",C6849,E6849,A6849,"Receive")</f>
        <v/>
      </c>
      <c r="G6849" s="5"/>
      <c r="H6849" s="7" t="s">
        <v>6889</v>
      </c>
      <c r="I6849" s="9">
        <v>1684700</v>
      </c>
      <c r="J6849" s="10">
        <v>0.03970000000000001</v>
      </c>
    </row>
    <row r="6850" spans="1:10">
      <c r="A6850" s="7" t="s">
        <v>6883</v>
      </c>
      <c r="B6850" s="7" t="s">
        <v>8717</v>
      </c>
      <c r="C6850" s="8">
        <f>QS.CONTEXT.CREATE("market.6848",A6850,"USD","SOFR")</f>
        <v/>
      </c>
      <c r="D6850" s="8">
        <f>QS.CONTEXT.ADD.CURVE(C6850,"SOFR",$K$2:$K$7,$L$2:$L$7,,,"Actual360","LogLinear",TRUE)</f>
        <v/>
      </c>
      <c r="E6850" s="8">
        <f>QS.INSTRUMENT.SWAP("swap.6848",C6850,H6850,B6850,"USD","SOFR",I6850,J6850,0,"Actual360","Simple","Annual","Annual","Annual")</f>
        <v/>
      </c>
      <c r="F6850" s="8">
        <f>QS.TRADE.CREATE("trade.6848",C6850,E6850,A6850,"Receive")</f>
        <v/>
      </c>
      <c r="G6850" s="5"/>
      <c r="H6850" s="7" t="s">
        <v>6890</v>
      </c>
      <c r="I6850" s="9">
        <v>1684800</v>
      </c>
      <c r="J6850" s="10">
        <v>0.0398</v>
      </c>
    </row>
    <row r="6851" spans="1:10">
      <c r="A6851" s="7" t="s">
        <v>6884</v>
      </c>
      <c r="B6851" s="7" t="s">
        <v>8718</v>
      </c>
      <c r="C6851" s="8">
        <f>QS.CONTEXT.CREATE("market.6849",A6851,"USD","SOFR")</f>
        <v/>
      </c>
      <c r="D6851" s="8">
        <f>QS.CONTEXT.ADD.CURVE(C6851,"SOFR",$K$2:$K$7,$L$2:$L$7,,,"Actual360","LogLinear",TRUE)</f>
        <v/>
      </c>
      <c r="E6851" s="8">
        <f>QS.INSTRUMENT.SWAP("swap.6849",C6851,H6851,B6851,"USD","SOFR",I6851,J6851,0,"Actual360","Simple","Annual","Annual","Annual")</f>
        <v/>
      </c>
      <c r="F6851" s="8">
        <f>QS.TRADE.CREATE("trade.6849",C6851,E6851,A6851,"Receive")</f>
        <v/>
      </c>
      <c r="G6851" s="5"/>
      <c r="H6851" s="7" t="s">
        <v>6891</v>
      </c>
      <c r="I6851" s="9">
        <v>1684900</v>
      </c>
      <c r="J6851" s="10">
        <v>0.0399</v>
      </c>
    </row>
    <row r="6852" spans="1:10">
      <c r="A6852" s="7" t="s">
        <v>6885</v>
      </c>
      <c r="B6852" s="7" t="s">
        <v>8719</v>
      </c>
      <c r="C6852" s="8">
        <f>QS.CONTEXT.CREATE("market.6850",A6852,"USD","SOFR")</f>
        <v/>
      </c>
      <c r="D6852" s="8">
        <f>QS.CONTEXT.ADD.CURVE(C6852,"SOFR",$K$2:$K$7,$L$2:$L$7,,,"Actual360","LogLinear",TRUE)</f>
        <v/>
      </c>
      <c r="E6852" s="8">
        <f>QS.INSTRUMENT.SWAP("swap.6850",C6852,H6852,B6852,"USD","SOFR",I6852,J6852,0,"Actual360","Simple","Annual","Annual","Annual")</f>
        <v/>
      </c>
      <c r="F6852" s="8">
        <f>QS.TRADE.CREATE("trade.6850",C6852,E6852,A6852,"Receive")</f>
        <v/>
      </c>
      <c r="G6852" s="5"/>
      <c r="H6852" s="7" t="s">
        <v>6892</v>
      </c>
      <c r="I6852" s="9">
        <v>1685000</v>
      </c>
      <c r="J6852" s="10">
        <v>0.035</v>
      </c>
    </row>
    <row r="6853" spans="1:10">
      <c r="A6853" s="7" t="s">
        <v>6886</v>
      </c>
      <c r="B6853" s="7" t="s">
        <v>8720</v>
      </c>
      <c r="C6853" s="8">
        <f>QS.CONTEXT.CREATE("market.6851",A6853,"USD","SOFR")</f>
        <v/>
      </c>
      <c r="D6853" s="8">
        <f>QS.CONTEXT.ADD.CURVE(C6853,"SOFR",$K$2:$K$7,$L$2:$L$7,,,"Actual360","LogLinear",TRUE)</f>
        <v/>
      </c>
      <c r="E6853" s="8">
        <f>QS.INSTRUMENT.SWAP("swap.6851",C6853,H6853,B6853,"USD","SOFR",I6853,J6853,0,"Actual360","Simple","Annual","Annual","Annual")</f>
        <v/>
      </c>
      <c r="F6853" s="8">
        <f>QS.TRADE.CREATE("trade.6851",C6853,E6853,A6853,"Receive")</f>
        <v/>
      </c>
      <c r="G6853" s="5"/>
      <c r="H6853" s="7" t="s">
        <v>6893</v>
      </c>
      <c r="I6853" s="9">
        <v>1685100</v>
      </c>
      <c r="J6853" s="10">
        <v>0.03510000000000001</v>
      </c>
    </row>
    <row r="6854" spans="1:10">
      <c r="A6854" s="7" t="s">
        <v>6887</v>
      </c>
      <c r="B6854" s="7" t="s">
        <v>8721</v>
      </c>
      <c r="C6854" s="8">
        <f>QS.CONTEXT.CREATE("market.6852",A6854,"USD","SOFR")</f>
        <v/>
      </c>
      <c r="D6854" s="8">
        <f>QS.CONTEXT.ADD.CURVE(C6854,"SOFR",$K$2:$K$7,$L$2:$L$7,,,"Actual360","LogLinear",TRUE)</f>
        <v/>
      </c>
      <c r="E6854" s="8">
        <f>QS.INSTRUMENT.SWAP("swap.6852",C6854,H6854,B6854,"USD","SOFR",I6854,J6854,0,"Actual360","Simple","Annual","Annual","Annual")</f>
        <v/>
      </c>
      <c r="F6854" s="8">
        <f>QS.TRADE.CREATE("trade.6852",C6854,E6854,A6854,"Receive")</f>
        <v/>
      </c>
      <c r="G6854" s="5"/>
      <c r="H6854" s="7" t="s">
        <v>6894</v>
      </c>
      <c r="I6854" s="9">
        <v>1685200</v>
      </c>
      <c r="J6854" s="10">
        <v>0.0352</v>
      </c>
    </row>
    <row r="6855" spans="1:10">
      <c r="A6855" s="7" t="s">
        <v>6888</v>
      </c>
      <c r="B6855" s="7" t="s">
        <v>8722</v>
      </c>
      <c r="C6855" s="8">
        <f>QS.CONTEXT.CREATE("market.6853",A6855,"USD","SOFR")</f>
        <v/>
      </c>
      <c r="D6855" s="8">
        <f>QS.CONTEXT.ADD.CURVE(C6855,"SOFR",$K$2:$K$7,$L$2:$L$7,,,"Actual360","LogLinear",TRUE)</f>
        <v/>
      </c>
      <c r="E6855" s="8">
        <f>QS.INSTRUMENT.SWAP("swap.6853",C6855,H6855,B6855,"USD","SOFR",I6855,J6855,0,"Actual360","Simple","Annual","Annual","Annual")</f>
        <v/>
      </c>
      <c r="F6855" s="8">
        <f>QS.TRADE.CREATE("trade.6853",C6855,E6855,A6855,"Receive")</f>
        <v/>
      </c>
      <c r="G6855" s="5"/>
      <c r="H6855" s="7" t="s">
        <v>6895</v>
      </c>
      <c r="I6855" s="9">
        <v>1685300</v>
      </c>
      <c r="J6855" s="10">
        <v>0.0353</v>
      </c>
    </row>
    <row r="6856" spans="1:10">
      <c r="A6856" s="7" t="s">
        <v>6889</v>
      </c>
      <c r="B6856" s="7" t="s">
        <v>8723</v>
      </c>
      <c r="C6856" s="8">
        <f>QS.CONTEXT.CREATE("market.6854",A6856,"USD","SOFR")</f>
        <v/>
      </c>
      <c r="D6856" s="8">
        <f>QS.CONTEXT.ADD.CURVE(C6856,"SOFR",$K$2:$K$7,$L$2:$L$7,,,"Actual360","LogLinear",TRUE)</f>
        <v/>
      </c>
      <c r="E6856" s="8">
        <f>QS.INSTRUMENT.SWAP("swap.6854",C6856,H6856,B6856,"USD","SOFR",I6856,J6856,0,"Actual360","Simple","Annual","Annual","Annual")</f>
        <v/>
      </c>
      <c r="F6856" s="8">
        <f>QS.TRADE.CREATE("trade.6854",C6856,E6856,A6856,"Receive")</f>
        <v/>
      </c>
      <c r="G6856" s="5"/>
      <c r="H6856" s="7" t="s">
        <v>6896</v>
      </c>
      <c r="I6856" s="9">
        <v>1685400</v>
      </c>
      <c r="J6856" s="10">
        <v>0.0354</v>
      </c>
    </row>
    <row r="6857" spans="1:10">
      <c r="A6857" s="7" t="s">
        <v>6890</v>
      </c>
      <c r="B6857" s="7" t="s">
        <v>8724</v>
      </c>
      <c r="C6857" s="8">
        <f>QS.CONTEXT.CREATE("market.6855",A6857,"USD","SOFR")</f>
        <v/>
      </c>
      <c r="D6857" s="8">
        <f>QS.CONTEXT.ADD.CURVE(C6857,"SOFR",$K$2:$K$7,$L$2:$L$7,,,"Actual360","LogLinear",TRUE)</f>
        <v/>
      </c>
      <c r="E6857" s="8">
        <f>QS.INSTRUMENT.SWAP("swap.6855",C6857,H6857,B6857,"USD","SOFR",I6857,J6857,0,"Actual360","Simple","Annual","Annual","Annual")</f>
        <v/>
      </c>
      <c r="F6857" s="8">
        <f>QS.TRADE.CREATE("trade.6855",C6857,E6857,A6857,"Receive")</f>
        <v/>
      </c>
      <c r="G6857" s="5"/>
      <c r="H6857" s="7" t="s">
        <v>6897</v>
      </c>
      <c r="I6857" s="9">
        <v>1685500</v>
      </c>
      <c r="J6857" s="10">
        <v>0.0355</v>
      </c>
    </row>
    <row r="6858" spans="1:10">
      <c r="A6858" s="7" t="s">
        <v>6891</v>
      </c>
      <c r="B6858" s="7" t="s">
        <v>8725</v>
      </c>
      <c r="C6858" s="8">
        <f>QS.CONTEXT.CREATE("market.6856",A6858,"USD","SOFR")</f>
        <v/>
      </c>
      <c r="D6858" s="8">
        <f>QS.CONTEXT.ADD.CURVE(C6858,"SOFR",$K$2:$K$7,$L$2:$L$7,,,"Actual360","LogLinear",TRUE)</f>
        <v/>
      </c>
      <c r="E6858" s="8">
        <f>QS.INSTRUMENT.SWAP("swap.6856",C6858,H6858,B6858,"USD","SOFR",I6858,J6858,0,"Actual360","Simple","Annual","Annual","Annual")</f>
        <v/>
      </c>
      <c r="F6858" s="8">
        <f>QS.TRADE.CREATE("trade.6856",C6858,E6858,A6858,"Receive")</f>
        <v/>
      </c>
      <c r="G6858" s="5"/>
      <c r="H6858" s="7" t="s">
        <v>6898</v>
      </c>
      <c r="I6858" s="9">
        <v>1685600</v>
      </c>
      <c r="J6858" s="10">
        <v>0.03560000000000001</v>
      </c>
    </row>
    <row r="6859" spans="1:10">
      <c r="A6859" s="7" t="s">
        <v>6892</v>
      </c>
      <c r="B6859" s="7" t="s">
        <v>8726</v>
      </c>
      <c r="C6859" s="8">
        <f>QS.CONTEXT.CREATE("market.6857",A6859,"USD","SOFR")</f>
        <v/>
      </c>
      <c r="D6859" s="8">
        <f>QS.CONTEXT.ADD.CURVE(C6859,"SOFR",$K$2:$K$7,$L$2:$L$7,,,"Actual360","LogLinear",TRUE)</f>
        <v/>
      </c>
      <c r="E6859" s="8">
        <f>QS.INSTRUMENT.SWAP("swap.6857",C6859,H6859,B6859,"USD","SOFR",I6859,J6859,0,"Actual360","Simple","Annual","Annual","Annual")</f>
        <v/>
      </c>
      <c r="F6859" s="8">
        <f>QS.TRADE.CREATE("trade.6857",C6859,E6859,A6859,"Receive")</f>
        <v/>
      </c>
      <c r="G6859" s="5"/>
      <c r="H6859" s="7" t="s">
        <v>6899</v>
      </c>
      <c r="I6859" s="9">
        <v>1685700</v>
      </c>
      <c r="J6859" s="10">
        <v>0.0357</v>
      </c>
    </row>
    <row r="6860" spans="1:10">
      <c r="A6860" s="7" t="s">
        <v>6893</v>
      </c>
      <c r="B6860" s="7" t="s">
        <v>8727</v>
      </c>
      <c r="C6860" s="8">
        <f>QS.CONTEXT.CREATE("market.6858",A6860,"USD","SOFR")</f>
        <v/>
      </c>
      <c r="D6860" s="8">
        <f>QS.CONTEXT.ADD.CURVE(C6860,"SOFR",$K$2:$K$7,$L$2:$L$7,,,"Actual360","LogLinear",TRUE)</f>
        <v/>
      </c>
      <c r="E6860" s="8">
        <f>QS.INSTRUMENT.SWAP("swap.6858",C6860,H6860,B6860,"USD","SOFR",I6860,J6860,0,"Actual360","Simple","Annual","Annual","Annual")</f>
        <v/>
      </c>
      <c r="F6860" s="8">
        <f>QS.TRADE.CREATE("trade.6858",C6860,E6860,A6860,"Receive")</f>
        <v/>
      </c>
      <c r="G6860" s="5"/>
      <c r="H6860" s="7" t="s">
        <v>6900</v>
      </c>
      <c r="I6860" s="9">
        <v>1685800</v>
      </c>
      <c r="J6860" s="10">
        <v>0.03580000000000001</v>
      </c>
    </row>
    <row r="6861" spans="1:10">
      <c r="A6861" s="7" t="s">
        <v>6894</v>
      </c>
      <c r="B6861" s="7" t="s">
        <v>8728</v>
      </c>
      <c r="C6861" s="8">
        <f>QS.CONTEXT.CREATE("market.6859",A6861,"USD","SOFR")</f>
        <v/>
      </c>
      <c r="D6861" s="8">
        <f>QS.CONTEXT.ADD.CURVE(C6861,"SOFR",$K$2:$K$7,$L$2:$L$7,,,"Actual360","LogLinear",TRUE)</f>
        <v/>
      </c>
      <c r="E6861" s="8">
        <f>QS.INSTRUMENT.SWAP("swap.6859",C6861,H6861,B6861,"USD","SOFR",I6861,J6861,0,"Actual360","Simple","Annual","Annual","Annual")</f>
        <v/>
      </c>
      <c r="F6861" s="8">
        <f>QS.TRADE.CREATE("trade.6859",C6861,E6861,A6861,"Receive")</f>
        <v/>
      </c>
      <c r="G6861" s="5"/>
      <c r="H6861" s="7" t="s">
        <v>6901</v>
      </c>
      <c r="I6861" s="9">
        <v>1685900</v>
      </c>
      <c r="J6861" s="10">
        <v>0.0359</v>
      </c>
    </row>
    <row r="6862" spans="1:10">
      <c r="A6862" s="7" t="s">
        <v>6895</v>
      </c>
      <c r="B6862" s="7" t="s">
        <v>8729</v>
      </c>
      <c r="C6862" s="8">
        <f>QS.CONTEXT.CREATE("market.6860",A6862,"USD","SOFR")</f>
        <v/>
      </c>
      <c r="D6862" s="8">
        <f>QS.CONTEXT.ADD.CURVE(C6862,"SOFR",$K$2:$K$7,$L$2:$L$7,,,"Actual360","LogLinear",TRUE)</f>
        <v/>
      </c>
      <c r="E6862" s="8">
        <f>QS.INSTRUMENT.SWAP("swap.6860",C6862,H6862,B6862,"USD","SOFR",I6862,J6862,0,"Actual360","Simple","Annual","Annual","Annual")</f>
        <v/>
      </c>
      <c r="F6862" s="8">
        <f>QS.TRADE.CREATE("trade.6860",C6862,E6862,A6862,"Receive")</f>
        <v/>
      </c>
      <c r="G6862" s="5"/>
      <c r="H6862" s="7" t="s">
        <v>6902</v>
      </c>
      <c r="I6862" s="9">
        <v>1686000</v>
      </c>
      <c r="J6862" s="10">
        <v>0.036</v>
      </c>
    </row>
    <row r="6863" spans="1:10">
      <c r="A6863" s="7" t="s">
        <v>6896</v>
      </c>
      <c r="B6863" s="7" t="s">
        <v>8730</v>
      </c>
      <c r="C6863" s="8">
        <f>QS.CONTEXT.CREATE("market.6861",A6863,"USD","SOFR")</f>
        <v/>
      </c>
      <c r="D6863" s="8">
        <f>QS.CONTEXT.ADD.CURVE(C6863,"SOFR",$K$2:$K$7,$L$2:$L$7,,,"Actual360","LogLinear",TRUE)</f>
        <v/>
      </c>
      <c r="E6863" s="8">
        <f>QS.INSTRUMENT.SWAP("swap.6861",C6863,H6863,B6863,"USD","SOFR",I6863,J6863,0,"Actual360","Simple","Annual","Annual","Annual")</f>
        <v/>
      </c>
      <c r="F6863" s="8">
        <f>QS.TRADE.CREATE("trade.6861",C6863,E6863,A6863,"Receive")</f>
        <v/>
      </c>
      <c r="G6863" s="5"/>
      <c r="H6863" s="7" t="s">
        <v>6903</v>
      </c>
      <c r="I6863" s="9">
        <v>1686100</v>
      </c>
      <c r="J6863" s="10">
        <v>0.0361</v>
      </c>
    </row>
    <row r="6864" spans="1:10">
      <c r="A6864" s="7" t="s">
        <v>6897</v>
      </c>
      <c r="B6864" s="7" t="s">
        <v>8731</v>
      </c>
      <c r="C6864" s="8">
        <f>QS.CONTEXT.CREATE("market.6862",A6864,"USD","SOFR")</f>
        <v/>
      </c>
      <c r="D6864" s="8">
        <f>QS.CONTEXT.ADD.CURVE(C6864,"SOFR",$K$2:$K$7,$L$2:$L$7,,,"Actual360","LogLinear",TRUE)</f>
        <v/>
      </c>
      <c r="E6864" s="8">
        <f>QS.INSTRUMENT.SWAP("swap.6862",C6864,H6864,B6864,"USD","SOFR",I6864,J6864,0,"Actual360","Simple","Annual","Annual","Annual")</f>
        <v/>
      </c>
      <c r="F6864" s="8">
        <f>QS.TRADE.CREATE("trade.6862",C6864,E6864,A6864,"Receive")</f>
        <v/>
      </c>
      <c r="G6864" s="5"/>
      <c r="H6864" s="7" t="s">
        <v>6904</v>
      </c>
      <c r="I6864" s="9">
        <v>1686200</v>
      </c>
      <c r="J6864" s="10">
        <v>0.0362</v>
      </c>
    </row>
    <row r="6865" spans="1:10">
      <c r="A6865" s="7" t="s">
        <v>6898</v>
      </c>
      <c r="B6865" s="7" t="s">
        <v>8732</v>
      </c>
      <c r="C6865" s="8">
        <f>QS.CONTEXT.CREATE("market.6863",A6865,"USD","SOFR")</f>
        <v/>
      </c>
      <c r="D6865" s="8">
        <f>QS.CONTEXT.ADD.CURVE(C6865,"SOFR",$K$2:$K$7,$L$2:$L$7,,,"Actual360","LogLinear",TRUE)</f>
        <v/>
      </c>
      <c r="E6865" s="8">
        <f>QS.INSTRUMENT.SWAP("swap.6863",C6865,H6865,B6865,"USD","SOFR",I6865,J6865,0,"Actual360","Simple","Annual","Annual","Annual")</f>
        <v/>
      </c>
      <c r="F6865" s="8">
        <f>QS.TRADE.CREATE("trade.6863",C6865,E6865,A6865,"Receive")</f>
        <v/>
      </c>
      <c r="G6865" s="5"/>
      <c r="H6865" s="7" t="s">
        <v>6905</v>
      </c>
      <c r="I6865" s="9">
        <v>1686300</v>
      </c>
      <c r="J6865" s="10">
        <v>0.03630000000000001</v>
      </c>
    </row>
    <row r="6866" spans="1:10">
      <c r="A6866" s="7" t="s">
        <v>6899</v>
      </c>
      <c r="B6866" s="7" t="s">
        <v>8733</v>
      </c>
      <c r="C6866" s="8">
        <f>QS.CONTEXT.CREATE("market.6864",A6866,"USD","SOFR")</f>
        <v/>
      </c>
      <c r="D6866" s="8">
        <f>QS.CONTEXT.ADD.CURVE(C6866,"SOFR",$K$2:$K$7,$L$2:$L$7,,,"Actual360","LogLinear",TRUE)</f>
        <v/>
      </c>
      <c r="E6866" s="8">
        <f>QS.INSTRUMENT.SWAP("swap.6864",C6866,H6866,B6866,"USD","SOFR",I6866,J6866,0,"Actual360","Simple","Annual","Annual","Annual")</f>
        <v/>
      </c>
      <c r="F6866" s="8">
        <f>QS.TRADE.CREATE("trade.6864",C6866,E6866,A6866,"Receive")</f>
        <v/>
      </c>
      <c r="G6866" s="5"/>
      <c r="H6866" s="7" t="s">
        <v>6906</v>
      </c>
      <c r="I6866" s="9">
        <v>1686400</v>
      </c>
      <c r="J6866" s="10">
        <v>0.0364</v>
      </c>
    </row>
    <row r="6867" spans="1:10">
      <c r="A6867" s="7" t="s">
        <v>6900</v>
      </c>
      <c r="B6867" s="7" t="s">
        <v>8734</v>
      </c>
      <c r="C6867" s="8">
        <f>QS.CONTEXT.CREATE("market.6865",A6867,"USD","SOFR")</f>
        <v/>
      </c>
      <c r="D6867" s="8">
        <f>QS.CONTEXT.ADD.CURVE(C6867,"SOFR",$K$2:$K$7,$L$2:$L$7,,,"Actual360","LogLinear",TRUE)</f>
        <v/>
      </c>
      <c r="E6867" s="8">
        <f>QS.INSTRUMENT.SWAP("swap.6865",C6867,H6867,B6867,"USD","SOFR",I6867,J6867,0,"Actual360","Simple","Annual","Annual","Annual")</f>
        <v/>
      </c>
      <c r="F6867" s="8">
        <f>QS.TRADE.CREATE("trade.6865",C6867,E6867,A6867,"Receive")</f>
        <v/>
      </c>
      <c r="G6867" s="5"/>
      <c r="H6867" s="7" t="s">
        <v>6907</v>
      </c>
      <c r="I6867" s="9">
        <v>1686500</v>
      </c>
      <c r="J6867" s="10">
        <v>0.0365</v>
      </c>
    </row>
    <row r="6868" spans="1:10">
      <c r="A6868" s="7" t="s">
        <v>6901</v>
      </c>
      <c r="B6868" s="7" t="s">
        <v>8735</v>
      </c>
      <c r="C6868" s="8">
        <f>QS.CONTEXT.CREATE("market.6866",A6868,"USD","SOFR")</f>
        <v/>
      </c>
      <c r="D6868" s="8">
        <f>QS.CONTEXT.ADD.CURVE(C6868,"SOFR",$K$2:$K$7,$L$2:$L$7,,,"Actual360","LogLinear",TRUE)</f>
        <v/>
      </c>
      <c r="E6868" s="8">
        <f>QS.INSTRUMENT.SWAP("swap.6866",C6868,H6868,B6868,"USD","SOFR",I6868,J6868,0,"Actual360","Simple","Annual","Annual","Annual")</f>
        <v/>
      </c>
      <c r="F6868" s="8">
        <f>QS.TRADE.CREATE("trade.6866",C6868,E6868,A6868,"Receive")</f>
        <v/>
      </c>
      <c r="G6868" s="5"/>
      <c r="H6868" s="7" t="s">
        <v>6908</v>
      </c>
      <c r="I6868" s="9">
        <v>1686600</v>
      </c>
      <c r="J6868" s="10">
        <v>0.0366</v>
      </c>
    </row>
    <row r="6869" spans="1:10">
      <c r="A6869" s="7" t="s">
        <v>6902</v>
      </c>
      <c r="B6869" s="7" t="s">
        <v>8736</v>
      </c>
      <c r="C6869" s="8">
        <f>QS.CONTEXT.CREATE("market.6867",A6869,"USD","SOFR")</f>
        <v/>
      </c>
      <c r="D6869" s="8">
        <f>QS.CONTEXT.ADD.CURVE(C6869,"SOFR",$K$2:$K$7,$L$2:$L$7,,,"Actual360","LogLinear",TRUE)</f>
        <v/>
      </c>
      <c r="E6869" s="8">
        <f>QS.INSTRUMENT.SWAP("swap.6867",C6869,H6869,B6869,"USD","SOFR",I6869,J6869,0,"Actual360","Simple","Annual","Annual","Annual")</f>
        <v/>
      </c>
      <c r="F6869" s="8">
        <f>QS.TRADE.CREATE("trade.6867",C6869,E6869,A6869,"Receive")</f>
        <v/>
      </c>
      <c r="G6869" s="5"/>
      <c r="H6869" s="7" t="s">
        <v>6909</v>
      </c>
      <c r="I6869" s="9">
        <v>1686700</v>
      </c>
      <c r="J6869" s="10">
        <v>0.0367</v>
      </c>
    </row>
    <row r="6870" spans="1:10">
      <c r="A6870" s="7" t="s">
        <v>6903</v>
      </c>
      <c r="B6870" s="7" t="s">
        <v>8737</v>
      </c>
      <c r="C6870" s="8">
        <f>QS.CONTEXT.CREATE("market.6868",A6870,"USD","SOFR")</f>
        <v/>
      </c>
      <c r="D6870" s="8">
        <f>QS.CONTEXT.ADD.CURVE(C6870,"SOFR",$K$2:$K$7,$L$2:$L$7,,,"Actual360","LogLinear",TRUE)</f>
        <v/>
      </c>
      <c r="E6870" s="8">
        <f>QS.INSTRUMENT.SWAP("swap.6868",C6870,H6870,B6870,"USD","SOFR",I6870,J6870,0,"Actual360","Simple","Annual","Annual","Annual")</f>
        <v/>
      </c>
      <c r="F6870" s="8">
        <f>QS.TRADE.CREATE("trade.6868",C6870,E6870,A6870,"Receive")</f>
        <v/>
      </c>
      <c r="G6870" s="5"/>
      <c r="H6870" s="7" t="s">
        <v>6910</v>
      </c>
      <c r="I6870" s="9">
        <v>1686800</v>
      </c>
      <c r="J6870" s="10">
        <v>0.03680000000000001</v>
      </c>
    </row>
    <row r="6871" spans="1:10">
      <c r="A6871" s="7" t="s">
        <v>6904</v>
      </c>
      <c r="B6871" s="7" t="s">
        <v>8738</v>
      </c>
      <c r="C6871" s="8">
        <f>QS.CONTEXT.CREATE("market.6869",A6871,"USD","SOFR")</f>
        <v/>
      </c>
      <c r="D6871" s="8">
        <f>QS.CONTEXT.ADD.CURVE(C6871,"SOFR",$K$2:$K$7,$L$2:$L$7,,,"Actual360","LogLinear",TRUE)</f>
        <v/>
      </c>
      <c r="E6871" s="8">
        <f>QS.INSTRUMENT.SWAP("swap.6869",C6871,H6871,B6871,"USD","SOFR",I6871,J6871,0,"Actual360","Simple","Annual","Annual","Annual")</f>
        <v/>
      </c>
      <c r="F6871" s="8">
        <f>QS.TRADE.CREATE("trade.6869",C6871,E6871,A6871,"Receive")</f>
        <v/>
      </c>
      <c r="G6871" s="5"/>
      <c r="H6871" s="7" t="s">
        <v>6911</v>
      </c>
      <c r="I6871" s="9">
        <v>1686900</v>
      </c>
      <c r="J6871" s="10">
        <v>0.0369</v>
      </c>
    </row>
    <row r="6872" spans="1:10">
      <c r="A6872" s="7" t="s">
        <v>6905</v>
      </c>
      <c r="B6872" s="7" t="s">
        <v>8739</v>
      </c>
      <c r="C6872" s="8">
        <f>QS.CONTEXT.CREATE("market.6870",A6872,"USD","SOFR")</f>
        <v/>
      </c>
      <c r="D6872" s="8">
        <f>QS.CONTEXT.ADD.CURVE(C6872,"SOFR",$K$2:$K$7,$L$2:$L$7,,,"Actual360","LogLinear",TRUE)</f>
        <v/>
      </c>
      <c r="E6872" s="8">
        <f>QS.INSTRUMENT.SWAP("swap.6870",C6872,H6872,B6872,"USD","SOFR",I6872,J6872,0,"Actual360","Simple","Annual","Annual","Annual")</f>
        <v/>
      </c>
      <c r="F6872" s="8">
        <f>QS.TRADE.CREATE("trade.6870",C6872,E6872,A6872,"Receive")</f>
        <v/>
      </c>
      <c r="G6872" s="5"/>
      <c r="H6872" s="7" t="s">
        <v>6912</v>
      </c>
      <c r="I6872" s="9">
        <v>1687000</v>
      </c>
      <c r="J6872" s="10">
        <v>0.03700000000000001</v>
      </c>
    </row>
    <row r="6873" spans="1:10">
      <c r="A6873" s="7" t="s">
        <v>6906</v>
      </c>
      <c r="B6873" s="7" t="s">
        <v>8740</v>
      </c>
      <c r="C6873" s="8">
        <f>QS.CONTEXT.CREATE("market.6871",A6873,"USD","SOFR")</f>
        <v/>
      </c>
      <c r="D6873" s="8">
        <f>QS.CONTEXT.ADD.CURVE(C6873,"SOFR",$K$2:$K$7,$L$2:$L$7,,,"Actual360","LogLinear",TRUE)</f>
        <v/>
      </c>
      <c r="E6873" s="8">
        <f>QS.INSTRUMENT.SWAP("swap.6871",C6873,H6873,B6873,"USD","SOFR",I6873,J6873,0,"Actual360","Simple","Annual","Annual","Annual")</f>
        <v/>
      </c>
      <c r="F6873" s="8">
        <f>QS.TRADE.CREATE("trade.6871",C6873,E6873,A6873,"Receive")</f>
        <v/>
      </c>
      <c r="G6873" s="5"/>
      <c r="H6873" s="7" t="s">
        <v>6913</v>
      </c>
      <c r="I6873" s="9">
        <v>1687100</v>
      </c>
      <c r="J6873" s="10">
        <v>0.0371</v>
      </c>
    </row>
    <row r="6874" spans="1:10">
      <c r="A6874" s="7" t="s">
        <v>6907</v>
      </c>
      <c r="B6874" s="7" t="s">
        <v>8741</v>
      </c>
      <c r="C6874" s="8">
        <f>QS.CONTEXT.CREATE("market.6872",A6874,"USD","SOFR")</f>
        <v/>
      </c>
      <c r="D6874" s="8">
        <f>QS.CONTEXT.ADD.CURVE(C6874,"SOFR",$K$2:$K$7,$L$2:$L$7,,,"Actual360","LogLinear",TRUE)</f>
        <v/>
      </c>
      <c r="E6874" s="8">
        <f>QS.INSTRUMENT.SWAP("swap.6872",C6874,H6874,B6874,"USD","SOFR",I6874,J6874,0,"Actual360","Simple","Annual","Annual","Annual")</f>
        <v/>
      </c>
      <c r="F6874" s="8">
        <f>QS.TRADE.CREATE("trade.6872",C6874,E6874,A6874,"Receive")</f>
        <v/>
      </c>
      <c r="G6874" s="5"/>
      <c r="H6874" s="7" t="s">
        <v>6914</v>
      </c>
      <c r="I6874" s="9">
        <v>1687200</v>
      </c>
      <c r="J6874" s="10">
        <v>0.0372</v>
      </c>
    </row>
    <row r="6875" spans="1:10">
      <c r="A6875" s="7" t="s">
        <v>6908</v>
      </c>
      <c r="B6875" s="7" t="s">
        <v>8742</v>
      </c>
      <c r="C6875" s="8">
        <f>QS.CONTEXT.CREATE("market.6873",A6875,"USD","SOFR")</f>
        <v/>
      </c>
      <c r="D6875" s="8">
        <f>QS.CONTEXT.ADD.CURVE(C6875,"SOFR",$K$2:$K$7,$L$2:$L$7,,,"Actual360","LogLinear",TRUE)</f>
        <v/>
      </c>
      <c r="E6875" s="8">
        <f>QS.INSTRUMENT.SWAP("swap.6873",C6875,H6875,B6875,"USD","SOFR",I6875,J6875,0,"Actual360","Simple","Annual","Annual","Annual")</f>
        <v/>
      </c>
      <c r="F6875" s="8">
        <f>QS.TRADE.CREATE("trade.6873",C6875,E6875,A6875,"Receive")</f>
        <v/>
      </c>
      <c r="G6875" s="5"/>
      <c r="H6875" s="7" t="s">
        <v>6915</v>
      </c>
      <c r="I6875" s="9">
        <v>1687300</v>
      </c>
      <c r="J6875" s="10">
        <v>0.0373</v>
      </c>
    </row>
    <row r="6876" spans="1:10">
      <c r="A6876" s="7" t="s">
        <v>6909</v>
      </c>
      <c r="B6876" s="7" t="s">
        <v>8743</v>
      </c>
      <c r="C6876" s="8">
        <f>QS.CONTEXT.CREATE("market.6874",A6876,"USD","SOFR")</f>
        <v/>
      </c>
      <c r="D6876" s="8">
        <f>QS.CONTEXT.ADD.CURVE(C6876,"SOFR",$K$2:$K$7,$L$2:$L$7,,,"Actual360","LogLinear",TRUE)</f>
        <v/>
      </c>
      <c r="E6876" s="8">
        <f>QS.INSTRUMENT.SWAP("swap.6874",C6876,H6876,B6876,"USD","SOFR",I6876,J6876,0,"Actual360","Simple","Annual","Annual","Annual")</f>
        <v/>
      </c>
      <c r="F6876" s="8">
        <f>QS.TRADE.CREATE("trade.6874",C6876,E6876,A6876,"Receive")</f>
        <v/>
      </c>
      <c r="G6876" s="5"/>
      <c r="H6876" s="7" t="s">
        <v>6916</v>
      </c>
      <c r="I6876" s="9">
        <v>1687400</v>
      </c>
      <c r="J6876" s="10">
        <v>0.0374</v>
      </c>
    </row>
    <row r="6877" spans="1:10">
      <c r="A6877" s="7" t="s">
        <v>6910</v>
      </c>
      <c r="B6877" s="7" t="s">
        <v>8744</v>
      </c>
      <c r="C6877" s="8">
        <f>QS.CONTEXT.CREATE("market.6875",A6877,"USD","SOFR")</f>
        <v/>
      </c>
      <c r="D6877" s="8">
        <f>QS.CONTEXT.ADD.CURVE(C6877,"SOFR",$K$2:$K$7,$L$2:$L$7,,,"Actual360","LogLinear",TRUE)</f>
        <v/>
      </c>
      <c r="E6877" s="8">
        <f>QS.INSTRUMENT.SWAP("swap.6875",C6877,H6877,B6877,"USD","SOFR",I6877,J6877,0,"Actual360","Simple","Annual","Annual","Annual")</f>
        <v/>
      </c>
      <c r="F6877" s="8">
        <f>QS.TRADE.CREATE("trade.6875",C6877,E6877,A6877,"Receive")</f>
        <v/>
      </c>
      <c r="G6877" s="5"/>
      <c r="H6877" s="7" t="s">
        <v>6917</v>
      </c>
      <c r="I6877" s="9">
        <v>1687500</v>
      </c>
      <c r="J6877" s="10">
        <v>0.03750000000000001</v>
      </c>
    </row>
    <row r="6878" spans="1:10">
      <c r="A6878" s="7" t="s">
        <v>6911</v>
      </c>
      <c r="B6878" s="7" t="s">
        <v>8745</v>
      </c>
      <c r="C6878" s="8">
        <f>QS.CONTEXT.CREATE("market.6876",A6878,"USD","SOFR")</f>
        <v/>
      </c>
      <c r="D6878" s="8">
        <f>QS.CONTEXT.ADD.CURVE(C6878,"SOFR",$K$2:$K$7,$L$2:$L$7,,,"Actual360","LogLinear",TRUE)</f>
        <v/>
      </c>
      <c r="E6878" s="8">
        <f>QS.INSTRUMENT.SWAP("swap.6876",C6878,H6878,B6878,"USD","SOFR",I6878,J6878,0,"Actual360","Simple","Annual","Annual","Annual")</f>
        <v/>
      </c>
      <c r="F6878" s="8">
        <f>QS.TRADE.CREATE("trade.6876",C6878,E6878,A6878,"Receive")</f>
        <v/>
      </c>
      <c r="G6878" s="5"/>
      <c r="H6878" s="7" t="s">
        <v>6918</v>
      </c>
      <c r="I6878" s="9">
        <v>1687600</v>
      </c>
      <c r="J6878" s="10">
        <v>0.0376</v>
      </c>
    </row>
    <row r="6879" spans="1:10">
      <c r="A6879" s="7" t="s">
        <v>6912</v>
      </c>
      <c r="B6879" s="7" t="s">
        <v>8746</v>
      </c>
      <c r="C6879" s="8">
        <f>QS.CONTEXT.CREATE("market.6877",A6879,"USD","SOFR")</f>
        <v/>
      </c>
      <c r="D6879" s="8">
        <f>QS.CONTEXT.ADD.CURVE(C6879,"SOFR",$K$2:$K$7,$L$2:$L$7,,,"Actual360","LogLinear",TRUE)</f>
        <v/>
      </c>
      <c r="E6879" s="8">
        <f>QS.INSTRUMENT.SWAP("swap.6877",C6879,H6879,B6879,"USD","SOFR",I6879,J6879,0,"Actual360","Simple","Annual","Annual","Annual")</f>
        <v/>
      </c>
      <c r="F6879" s="8">
        <f>QS.TRADE.CREATE("trade.6877",C6879,E6879,A6879,"Receive")</f>
        <v/>
      </c>
      <c r="G6879" s="5"/>
      <c r="H6879" s="7" t="s">
        <v>6919</v>
      </c>
      <c r="I6879" s="9">
        <v>1687700</v>
      </c>
      <c r="J6879" s="10">
        <v>0.0377</v>
      </c>
    </row>
    <row r="6880" spans="1:10">
      <c r="A6880" s="7" t="s">
        <v>6913</v>
      </c>
      <c r="B6880" s="7" t="s">
        <v>8747</v>
      </c>
      <c r="C6880" s="8">
        <f>QS.CONTEXT.CREATE("market.6878",A6880,"USD","SOFR")</f>
        <v/>
      </c>
      <c r="D6880" s="8">
        <f>QS.CONTEXT.ADD.CURVE(C6880,"SOFR",$K$2:$K$7,$L$2:$L$7,,,"Actual360","LogLinear",TRUE)</f>
        <v/>
      </c>
      <c r="E6880" s="8">
        <f>QS.INSTRUMENT.SWAP("swap.6878",C6880,H6880,B6880,"USD","SOFR",I6880,J6880,0,"Actual360","Simple","Annual","Annual","Annual")</f>
        <v/>
      </c>
      <c r="F6880" s="8">
        <f>QS.TRADE.CREATE("trade.6878",C6880,E6880,A6880,"Receive")</f>
        <v/>
      </c>
      <c r="G6880" s="5"/>
      <c r="H6880" s="7" t="s">
        <v>6920</v>
      </c>
      <c r="I6880" s="9">
        <v>1687800</v>
      </c>
      <c r="J6880" s="10">
        <v>0.0378</v>
      </c>
    </row>
    <row r="6881" spans="1:10">
      <c r="A6881" s="7" t="s">
        <v>6914</v>
      </c>
      <c r="B6881" s="7" t="s">
        <v>8748</v>
      </c>
      <c r="C6881" s="8">
        <f>QS.CONTEXT.CREATE("market.6879",A6881,"USD","SOFR")</f>
        <v/>
      </c>
      <c r="D6881" s="8">
        <f>QS.CONTEXT.ADD.CURVE(C6881,"SOFR",$K$2:$K$7,$L$2:$L$7,,,"Actual360","LogLinear",TRUE)</f>
        <v/>
      </c>
      <c r="E6881" s="8">
        <f>QS.INSTRUMENT.SWAP("swap.6879",C6881,H6881,B6881,"USD","SOFR",I6881,J6881,0,"Actual360","Simple","Annual","Annual","Annual")</f>
        <v/>
      </c>
      <c r="F6881" s="8">
        <f>QS.TRADE.CREATE("trade.6879",C6881,E6881,A6881,"Receive")</f>
        <v/>
      </c>
      <c r="G6881" s="5"/>
      <c r="H6881" s="7" t="s">
        <v>6921</v>
      </c>
      <c r="I6881" s="9">
        <v>1687900</v>
      </c>
      <c r="J6881" s="10">
        <v>0.0379</v>
      </c>
    </row>
    <row r="6882" spans="1:10">
      <c r="A6882" s="7" t="s">
        <v>6915</v>
      </c>
      <c r="B6882" s="7" t="s">
        <v>8749</v>
      </c>
      <c r="C6882" s="8">
        <f>QS.CONTEXT.CREATE("market.6880",A6882,"USD","SOFR")</f>
        <v/>
      </c>
      <c r="D6882" s="8">
        <f>QS.CONTEXT.ADD.CURVE(C6882,"SOFR",$K$2:$K$7,$L$2:$L$7,,,"Actual360","LogLinear",TRUE)</f>
        <v/>
      </c>
      <c r="E6882" s="8">
        <f>QS.INSTRUMENT.SWAP("swap.6880",C6882,H6882,B6882,"USD","SOFR",I6882,J6882,0,"Actual360","Simple","Annual","Annual","Annual")</f>
        <v/>
      </c>
      <c r="F6882" s="8">
        <f>QS.TRADE.CREATE("trade.6880",C6882,E6882,A6882,"Receive")</f>
        <v/>
      </c>
      <c r="G6882" s="5"/>
      <c r="H6882" s="7" t="s">
        <v>6922</v>
      </c>
      <c r="I6882" s="9">
        <v>1688000</v>
      </c>
      <c r="J6882" s="10">
        <v>0.03800000000000001</v>
      </c>
    </row>
    <row r="6883" spans="1:10">
      <c r="A6883" s="7" t="s">
        <v>6916</v>
      </c>
      <c r="B6883" s="7" t="s">
        <v>8750</v>
      </c>
      <c r="C6883" s="8">
        <f>QS.CONTEXT.CREATE("market.6881",A6883,"USD","SOFR")</f>
        <v/>
      </c>
      <c r="D6883" s="8">
        <f>QS.CONTEXT.ADD.CURVE(C6883,"SOFR",$K$2:$K$7,$L$2:$L$7,,,"Actual360","LogLinear",TRUE)</f>
        <v/>
      </c>
      <c r="E6883" s="8">
        <f>QS.INSTRUMENT.SWAP("swap.6881",C6883,H6883,B6883,"USD","SOFR",I6883,J6883,0,"Actual360","Simple","Annual","Annual","Annual")</f>
        <v/>
      </c>
      <c r="F6883" s="8">
        <f>QS.TRADE.CREATE("trade.6881",C6883,E6883,A6883,"Receive")</f>
        <v/>
      </c>
      <c r="G6883" s="5"/>
      <c r="H6883" s="7" t="s">
        <v>6923</v>
      </c>
      <c r="I6883" s="9">
        <v>1688100</v>
      </c>
      <c r="J6883" s="10">
        <v>0.0381</v>
      </c>
    </row>
    <row r="6884" spans="1:10">
      <c r="A6884" s="7" t="s">
        <v>6917</v>
      </c>
      <c r="B6884" s="7" t="s">
        <v>8751</v>
      </c>
      <c r="C6884" s="8">
        <f>QS.CONTEXT.CREATE("market.6882",A6884,"USD","SOFR")</f>
        <v/>
      </c>
      <c r="D6884" s="8">
        <f>QS.CONTEXT.ADD.CURVE(C6884,"SOFR",$K$2:$K$7,$L$2:$L$7,,,"Actual360","LogLinear",TRUE)</f>
        <v/>
      </c>
      <c r="E6884" s="8">
        <f>QS.INSTRUMENT.SWAP("swap.6882",C6884,H6884,B6884,"USD","SOFR",I6884,J6884,0,"Actual360","Simple","Annual","Annual","Annual")</f>
        <v/>
      </c>
      <c r="F6884" s="8">
        <f>QS.TRADE.CREATE("trade.6882",C6884,E6884,A6884,"Receive")</f>
        <v/>
      </c>
      <c r="G6884" s="5"/>
      <c r="H6884" s="7" t="s">
        <v>6924</v>
      </c>
      <c r="I6884" s="9">
        <v>1688200</v>
      </c>
      <c r="J6884" s="10">
        <v>0.0382</v>
      </c>
    </row>
    <row r="6885" spans="1:10">
      <c r="A6885" s="7" t="s">
        <v>6918</v>
      </c>
      <c r="B6885" s="7" t="s">
        <v>8752</v>
      </c>
      <c r="C6885" s="8">
        <f>QS.CONTEXT.CREATE("market.6883",A6885,"USD","SOFR")</f>
        <v/>
      </c>
      <c r="D6885" s="8">
        <f>QS.CONTEXT.ADD.CURVE(C6885,"SOFR",$K$2:$K$7,$L$2:$L$7,,,"Actual360","LogLinear",TRUE)</f>
        <v/>
      </c>
      <c r="E6885" s="8">
        <f>QS.INSTRUMENT.SWAP("swap.6883",C6885,H6885,B6885,"USD","SOFR",I6885,J6885,0,"Actual360","Simple","Annual","Annual","Annual")</f>
        <v/>
      </c>
      <c r="F6885" s="8">
        <f>QS.TRADE.CREATE("trade.6883",C6885,E6885,A6885,"Receive")</f>
        <v/>
      </c>
      <c r="G6885" s="5"/>
      <c r="H6885" s="7" t="s">
        <v>6925</v>
      </c>
      <c r="I6885" s="9">
        <v>1688300</v>
      </c>
      <c r="J6885" s="10">
        <v>0.0383</v>
      </c>
    </row>
    <row r="6886" spans="1:10">
      <c r="A6886" s="7" t="s">
        <v>6919</v>
      </c>
      <c r="B6886" s="7" t="s">
        <v>8753</v>
      </c>
      <c r="C6886" s="8">
        <f>QS.CONTEXT.CREATE("market.6884",A6886,"USD","SOFR")</f>
        <v/>
      </c>
      <c r="D6886" s="8">
        <f>QS.CONTEXT.ADD.CURVE(C6886,"SOFR",$K$2:$K$7,$L$2:$L$7,,,"Actual360","LogLinear",TRUE)</f>
        <v/>
      </c>
      <c r="E6886" s="8">
        <f>QS.INSTRUMENT.SWAP("swap.6884",C6886,H6886,B6886,"USD","SOFR",I6886,J6886,0,"Actual360","Simple","Annual","Annual","Annual")</f>
        <v/>
      </c>
      <c r="F6886" s="8">
        <f>QS.TRADE.CREATE("trade.6884",C6886,E6886,A6886,"Receive")</f>
        <v/>
      </c>
      <c r="G6886" s="5"/>
      <c r="H6886" s="7" t="s">
        <v>6926</v>
      </c>
      <c r="I6886" s="9">
        <v>1688400</v>
      </c>
      <c r="J6886" s="10">
        <v>0.0384</v>
      </c>
    </row>
    <row r="6887" spans="1:10">
      <c r="A6887" s="7" t="s">
        <v>6920</v>
      </c>
      <c r="B6887" s="7" t="s">
        <v>8754</v>
      </c>
      <c r="C6887" s="8">
        <f>QS.CONTEXT.CREATE("market.6885",A6887,"USD","SOFR")</f>
        <v/>
      </c>
      <c r="D6887" s="8">
        <f>QS.CONTEXT.ADD.CURVE(C6887,"SOFR",$K$2:$K$7,$L$2:$L$7,,,"Actual360","LogLinear",TRUE)</f>
        <v/>
      </c>
      <c r="E6887" s="8">
        <f>QS.INSTRUMENT.SWAP("swap.6885",C6887,H6887,B6887,"USD","SOFR",I6887,J6887,0,"Actual360","Simple","Annual","Annual","Annual")</f>
        <v/>
      </c>
      <c r="F6887" s="8">
        <f>QS.TRADE.CREATE("trade.6885",C6887,E6887,A6887,"Receive")</f>
        <v/>
      </c>
      <c r="G6887" s="5"/>
      <c r="H6887" s="7" t="s">
        <v>6927</v>
      </c>
      <c r="I6887" s="9">
        <v>1688500</v>
      </c>
      <c r="J6887" s="10">
        <v>0.03850000000000001</v>
      </c>
    </row>
    <row r="6888" spans="1:10">
      <c r="A6888" s="7" t="s">
        <v>6921</v>
      </c>
      <c r="B6888" s="7" t="s">
        <v>8755</v>
      </c>
      <c r="C6888" s="8">
        <f>QS.CONTEXT.CREATE("market.6886",A6888,"USD","SOFR")</f>
        <v/>
      </c>
      <c r="D6888" s="8">
        <f>QS.CONTEXT.ADD.CURVE(C6888,"SOFR",$K$2:$K$7,$L$2:$L$7,,,"Actual360","LogLinear",TRUE)</f>
        <v/>
      </c>
      <c r="E6888" s="8">
        <f>QS.INSTRUMENT.SWAP("swap.6886",C6888,H6888,B6888,"USD","SOFR",I6888,J6888,0,"Actual360","Simple","Annual","Annual","Annual")</f>
        <v/>
      </c>
      <c r="F6888" s="8">
        <f>QS.TRADE.CREATE("trade.6886",C6888,E6888,A6888,"Receive")</f>
        <v/>
      </c>
      <c r="G6888" s="5"/>
      <c r="H6888" s="7" t="s">
        <v>6928</v>
      </c>
      <c r="I6888" s="9">
        <v>1688600</v>
      </c>
      <c r="J6888" s="10">
        <v>0.0386</v>
      </c>
    </row>
    <row r="6889" spans="1:10">
      <c r="A6889" s="7" t="s">
        <v>6922</v>
      </c>
      <c r="B6889" s="7" t="s">
        <v>8756</v>
      </c>
      <c r="C6889" s="8">
        <f>QS.CONTEXT.CREATE("market.6887",A6889,"USD","SOFR")</f>
        <v/>
      </c>
      <c r="D6889" s="8">
        <f>QS.CONTEXT.ADD.CURVE(C6889,"SOFR",$K$2:$K$7,$L$2:$L$7,,,"Actual360","LogLinear",TRUE)</f>
        <v/>
      </c>
      <c r="E6889" s="8">
        <f>QS.INSTRUMENT.SWAP("swap.6887",C6889,H6889,B6889,"USD","SOFR",I6889,J6889,0,"Actual360","Simple","Annual","Annual","Annual")</f>
        <v/>
      </c>
      <c r="F6889" s="8">
        <f>QS.TRADE.CREATE("trade.6887",C6889,E6889,A6889,"Receive")</f>
        <v/>
      </c>
      <c r="G6889" s="5"/>
      <c r="H6889" s="7" t="s">
        <v>6929</v>
      </c>
      <c r="I6889" s="9">
        <v>1688700</v>
      </c>
      <c r="J6889" s="10">
        <v>0.03870000000000001</v>
      </c>
    </row>
    <row r="6890" spans="1:10">
      <c r="A6890" s="7" t="s">
        <v>6923</v>
      </c>
      <c r="B6890" s="7" t="s">
        <v>8757</v>
      </c>
      <c r="C6890" s="8">
        <f>QS.CONTEXT.CREATE("market.6888",A6890,"USD","SOFR")</f>
        <v/>
      </c>
      <c r="D6890" s="8">
        <f>QS.CONTEXT.ADD.CURVE(C6890,"SOFR",$K$2:$K$7,$L$2:$L$7,,,"Actual360","LogLinear",TRUE)</f>
        <v/>
      </c>
      <c r="E6890" s="8">
        <f>QS.INSTRUMENT.SWAP("swap.6888",C6890,H6890,B6890,"USD","SOFR",I6890,J6890,0,"Actual360","Simple","Annual","Annual","Annual")</f>
        <v/>
      </c>
      <c r="F6890" s="8">
        <f>QS.TRADE.CREATE("trade.6888",C6890,E6890,A6890,"Receive")</f>
        <v/>
      </c>
      <c r="G6890" s="5"/>
      <c r="H6890" s="7" t="s">
        <v>6930</v>
      </c>
      <c r="I6890" s="9">
        <v>1688800</v>
      </c>
      <c r="J6890" s="10">
        <v>0.0388</v>
      </c>
    </row>
    <row r="6891" spans="1:10">
      <c r="A6891" s="7" t="s">
        <v>6924</v>
      </c>
      <c r="B6891" s="7" t="s">
        <v>8758</v>
      </c>
      <c r="C6891" s="8">
        <f>QS.CONTEXT.CREATE("market.6889",A6891,"USD","SOFR")</f>
        <v/>
      </c>
      <c r="D6891" s="8">
        <f>QS.CONTEXT.ADD.CURVE(C6891,"SOFR",$K$2:$K$7,$L$2:$L$7,,,"Actual360","LogLinear",TRUE)</f>
        <v/>
      </c>
      <c r="E6891" s="8">
        <f>QS.INSTRUMENT.SWAP("swap.6889",C6891,H6891,B6891,"USD","SOFR",I6891,J6891,0,"Actual360","Simple","Annual","Annual","Annual")</f>
        <v/>
      </c>
      <c r="F6891" s="8">
        <f>QS.TRADE.CREATE("trade.6889",C6891,E6891,A6891,"Receive")</f>
        <v/>
      </c>
      <c r="G6891" s="5"/>
      <c r="H6891" s="7" t="s">
        <v>6931</v>
      </c>
      <c r="I6891" s="9">
        <v>1688900</v>
      </c>
      <c r="J6891" s="10">
        <v>0.0389</v>
      </c>
    </row>
    <row r="6892" spans="1:10">
      <c r="A6892" s="7" t="s">
        <v>6925</v>
      </c>
      <c r="B6892" s="7" t="s">
        <v>8759</v>
      </c>
      <c r="C6892" s="8">
        <f>QS.CONTEXT.CREATE("market.6890",A6892,"USD","SOFR")</f>
        <v/>
      </c>
      <c r="D6892" s="8">
        <f>QS.CONTEXT.ADD.CURVE(C6892,"SOFR",$K$2:$K$7,$L$2:$L$7,,,"Actual360","LogLinear",TRUE)</f>
        <v/>
      </c>
      <c r="E6892" s="8">
        <f>QS.INSTRUMENT.SWAP("swap.6890",C6892,H6892,B6892,"USD","SOFR",I6892,J6892,0,"Actual360","Simple","Annual","Annual","Annual")</f>
        <v/>
      </c>
      <c r="F6892" s="8">
        <f>QS.TRADE.CREATE("trade.6890",C6892,E6892,A6892,"Receive")</f>
        <v/>
      </c>
      <c r="G6892" s="5"/>
      <c r="H6892" s="7" t="s">
        <v>6932</v>
      </c>
      <c r="I6892" s="9">
        <v>1689000</v>
      </c>
      <c r="J6892" s="10">
        <v>0.03900000000000001</v>
      </c>
    </row>
    <row r="6893" spans="1:10">
      <c r="A6893" s="7" t="s">
        <v>6926</v>
      </c>
      <c r="B6893" s="7" t="s">
        <v>8760</v>
      </c>
      <c r="C6893" s="8">
        <f>QS.CONTEXT.CREATE("market.6891",A6893,"USD","SOFR")</f>
        <v/>
      </c>
      <c r="D6893" s="8">
        <f>QS.CONTEXT.ADD.CURVE(C6893,"SOFR",$K$2:$K$7,$L$2:$L$7,,,"Actual360","LogLinear",TRUE)</f>
        <v/>
      </c>
      <c r="E6893" s="8">
        <f>QS.INSTRUMENT.SWAP("swap.6891",C6893,H6893,B6893,"USD","SOFR",I6893,J6893,0,"Actual360","Simple","Annual","Annual","Annual")</f>
        <v/>
      </c>
      <c r="F6893" s="8">
        <f>QS.TRADE.CREATE("trade.6891",C6893,E6893,A6893,"Receive")</f>
        <v/>
      </c>
      <c r="G6893" s="5"/>
      <c r="H6893" s="7" t="s">
        <v>6933</v>
      </c>
      <c r="I6893" s="9">
        <v>1689100</v>
      </c>
      <c r="J6893" s="10">
        <v>0.0391</v>
      </c>
    </row>
    <row r="6894" spans="1:10">
      <c r="A6894" s="7" t="s">
        <v>6927</v>
      </c>
      <c r="B6894" s="7" t="s">
        <v>8761</v>
      </c>
      <c r="C6894" s="8">
        <f>QS.CONTEXT.CREATE("market.6892",A6894,"USD","SOFR")</f>
        <v/>
      </c>
      <c r="D6894" s="8">
        <f>QS.CONTEXT.ADD.CURVE(C6894,"SOFR",$K$2:$K$7,$L$2:$L$7,,,"Actual360","LogLinear",TRUE)</f>
        <v/>
      </c>
      <c r="E6894" s="8">
        <f>QS.INSTRUMENT.SWAP("swap.6892",C6894,H6894,B6894,"USD","SOFR",I6894,J6894,0,"Actual360","Simple","Annual","Annual","Annual")</f>
        <v/>
      </c>
      <c r="F6894" s="8">
        <f>QS.TRADE.CREATE("trade.6892",C6894,E6894,A6894,"Receive")</f>
        <v/>
      </c>
      <c r="G6894" s="5"/>
      <c r="H6894" s="7" t="s">
        <v>6934</v>
      </c>
      <c r="I6894" s="9">
        <v>1689200</v>
      </c>
      <c r="J6894" s="10">
        <v>0.03920000000000001</v>
      </c>
    </row>
    <row r="6895" spans="1:10">
      <c r="A6895" s="7" t="s">
        <v>6928</v>
      </c>
      <c r="B6895" s="7" t="s">
        <v>8762</v>
      </c>
      <c r="C6895" s="8">
        <f>QS.CONTEXT.CREATE("market.6893",A6895,"USD","SOFR")</f>
        <v/>
      </c>
      <c r="D6895" s="8">
        <f>QS.CONTEXT.ADD.CURVE(C6895,"SOFR",$K$2:$K$7,$L$2:$L$7,,,"Actual360","LogLinear",TRUE)</f>
        <v/>
      </c>
      <c r="E6895" s="8">
        <f>QS.INSTRUMENT.SWAP("swap.6893",C6895,H6895,B6895,"USD","SOFR",I6895,J6895,0,"Actual360","Simple","Annual","Annual","Annual")</f>
        <v/>
      </c>
      <c r="F6895" s="8">
        <f>QS.TRADE.CREATE("trade.6893",C6895,E6895,A6895,"Receive")</f>
        <v/>
      </c>
      <c r="G6895" s="5"/>
      <c r="H6895" s="7" t="s">
        <v>6935</v>
      </c>
      <c r="I6895" s="9">
        <v>1689300</v>
      </c>
      <c r="J6895" s="10">
        <v>0.0393</v>
      </c>
    </row>
    <row r="6896" spans="1:10">
      <c r="A6896" s="7" t="s">
        <v>6929</v>
      </c>
      <c r="B6896" s="7" t="s">
        <v>8763</v>
      </c>
      <c r="C6896" s="8">
        <f>QS.CONTEXT.CREATE("market.6894",A6896,"USD","SOFR")</f>
        <v/>
      </c>
      <c r="D6896" s="8">
        <f>QS.CONTEXT.ADD.CURVE(C6896,"SOFR",$K$2:$K$7,$L$2:$L$7,,,"Actual360","LogLinear",TRUE)</f>
        <v/>
      </c>
      <c r="E6896" s="8">
        <f>QS.INSTRUMENT.SWAP("swap.6894",C6896,H6896,B6896,"USD","SOFR",I6896,J6896,0,"Actual360","Simple","Annual","Annual","Annual")</f>
        <v/>
      </c>
      <c r="F6896" s="8">
        <f>QS.TRADE.CREATE("trade.6894",C6896,E6896,A6896,"Receive")</f>
        <v/>
      </c>
      <c r="G6896" s="5"/>
      <c r="H6896" s="7" t="s">
        <v>6936</v>
      </c>
      <c r="I6896" s="9">
        <v>1689400</v>
      </c>
      <c r="J6896" s="10">
        <v>0.0394</v>
      </c>
    </row>
    <row r="6897" spans="1:10">
      <c r="A6897" s="7" t="s">
        <v>6930</v>
      </c>
      <c r="B6897" s="7" t="s">
        <v>8764</v>
      </c>
      <c r="C6897" s="8">
        <f>QS.CONTEXT.CREATE("market.6895",A6897,"USD","SOFR")</f>
        <v/>
      </c>
      <c r="D6897" s="8">
        <f>QS.CONTEXT.ADD.CURVE(C6897,"SOFR",$K$2:$K$7,$L$2:$L$7,,,"Actual360","LogLinear",TRUE)</f>
        <v/>
      </c>
      <c r="E6897" s="8">
        <f>QS.INSTRUMENT.SWAP("swap.6895",C6897,H6897,B6897,"USD","SOFR",I6897,J6897,0,"Actual360","Simple","Annual","Annual","Annual")</f>
        <v/>
      </c>
      <c r="F6897" s="8">
        <f>QS.TRADE.CREATE("trade.6895",C6897,E6897,A6897,"Receive")</f>
        <v/>
      </c>
      <c r="G6897" s="5"/>
      <c r="H6897" s="7" t="s">
        <v>6937</v>
      </c>
      <c r="I6897" s="9">
        <v>1689500</v>
      </c>
      <c r="J6897" s="10">
        <v>0.03950000000000001</v>
      </c>
    </row>
    <row r="6898" spans="1:10">
      <c r="A6898" s="7" t="s">
        <v>6931</v>
      </c>
      <c r="B6898" s="7" t="s">
        <v>8765</v>
      </c>
      <c r="C6898" s="8">
        <f>QS.CONTEXT.CREATE("market.6896",A6898,"USD","SOFR")</f>
        <v/>
      </c>
      <c r="D6898" s="8">
        <f>QS.CONTEXT.ADD.CURVE(C6898,"SOFR",$K$2:$K$7,$L$2:$L$7,,,"Actual360","LogLinear",TRUE)</f>
        <v/>
      </c>
      <c r="E6898" s="8">
        <f>QS.INSTRUMENT.SWAP("swap.6896",C6898,H6898,B6898,"USD","SOFR",I6898,J6898,0,"Actual360","Simple","Annual","Annual","Annual")</f>
        <v/>
      </c>
      <c r="F6898" s="8">
        <f>QS.TRADE.CREATE("trade.6896",C6898,E6898,A6898,"Receive")</f>
        <v/>
      </c>
      <c r="G6898" s="5"/>
      <c r="H6898" s="7" t="s">
        <v>6938</v>
      </c>
      <c r="I6898" s="9">
        <v>1689600</v>
      </c>
      <c r="J6898" s="10">
        <v>0.0396</v>
      </c>
    </row>
    <row r="6899" spans="1:10">
      <c r="A6899" s="7" t="s">
        <v>6932</v>
      </c>
      <c r="B6899" s="7" t="s">
        <v>8766</v>
      </c>
      <c r="C6899" s="8">
        <f>QS.CONTEXT.CREATE("market.6897",A6899,"USD","SOFR")</f>
        <v/>
      </c>
      <c r="D6899" s="8">
        <f>QS.CONTEXT.ADD.CURVE(C6899,"SOFR",$K$2:$K$7,$L$2:$L$7,,,"Actual360","LogLinear",TRUE)</f>
        <v/>
      </c>
      <c r="E6899" s="8">
        <f>QS.INSTRUMENT.SWAP("swap.6897",C6899,H6899,B6899,"USD","SOFR",I6899,J6899,0,"Actual360","Simple","Annual","Annual","Annual")</f>
        <v/>
      </c>
      <c r="F6899" s="8">
        <f>QS.TRADE.CREATE("trade.6897",C6899,E6899,A6899,"Receive")</f>
        <v/>
      </c>
      <c r="G6899" s="5"/>
      <c r="H6899" s="7" t="s">
        <v>6939</v>
      </c>
      <c r="I6899" s="9">
        <v>1689700</v>
      </c>
      <c r="J6899" s="10">
        <v>0.03970000000000001</v>
      </c>
    </row>
    <row r="6900" spans="1:10">
      <c r="A6900" s="7" t="s">
        <v>6933</v>
      </c>
      <c r="B6900" s="7" t="s">
        <v>8767</v>
      </c>
      <c r="C6900" s="8">
        <f>QS.CONTEXT.CREATE("market.6898",A6900,"USD","SOFR")</f>
        <v/>
      </c>
      <c r="D6900" s="8">
        <f>QS.CONTEXT.ADD.CURVE(C6900,"SOFR",$K$2:$K$7,$L$2:$L$7,,,"Actual360","LogLinear",TRUE)</f>
        <v/>
      </c>
      <c r="E6900" s="8">
        <f>QS.INSTRUMENT.SWAP("swap.6898",C6900,H6900,B6900,"USD","SOFR",I6900,J6900,0,"Actual360","Simple","Annual","Annual","Annual")</f>
        <v/>
      </c>
      <c r="F6900" s="8">
        <f>QS.TRADE.CREATE("trade.6898",C6900,E6900,A6900,"Receive")</f>
        <v/>
      </c>
      <c r="G6900" s="5"/>
      <c r="H6900" s="7" t="s">
        <v>6940</v>
      </c>
      <c r="I6900" s="9">
        <v>1689800</v>
      </c>
      <c r="J6900" s="10">
        <v>0.0398</v>
      </c>
    </row>
    <row r="6901" spans="1:10">
      <c r="A6901" s="7" t="s">
        <v>6934</v>
      </c>
      <c r="B6901" s="7" t="s">
        <v>8768</v>
      </c>
      <c r="C6901" s="8">
        <f>QS.CONTEXT.CREATE("market.6899",A6901,"USD","SOFR")</f>
        <v/>
      </c>
      <c r="D6901" s="8">
        <f>QS.CONTEXT.ADD.CURVE(C6901,"SOFR",$K$2:$K$7,$L$2:$L$7,,,"Actual360","LogLinear",TRUE)</f>
        <v/>
      </c>
      <c r="E6901" s="8">
        <f>QS.INSTRUMENT.SWAP("swap.6899",C6901,H6901,B6901,"USD","SOFR",I6901,J6901,0,"Actual360","Simple","Annual","Annual","Annual")</f>
        <v/>
      </c>
      <c r="F6901" s="8">
        <f>QS.TRADE.CREATE("trade.6899",C6901,E6901,A6901,"Receive")</f>
        <v/>
      </c>
      <c r="G6901" s="5"/>
      <c r="H6901" s="7" t="s">
        <v>6941</v>
      </c>
      <c r="I6901" s="9">
        <v>1689900</v>
      </c>
      <c r="J6901" s="10">
        <v>0.0399</v>
      </c>
    </row>
    <row r="6902" spans="1:10">
      <c r="A6902" s="7" t="s">
        <v>6935</v>
      </c>
      <c r="B6902" s="7" t="s">
        <v>8769</v>
      </c>
      <c r="C6902" s="8">
        <f>QS.CONTEXT.CREATE("market.6900",A6902,"USD","SOFR")</f>
        <v/>
      </c>
      <c r="D6902" s="8">
        <f>QS.CONTEXT.ADD.CURVE(C6902,"SOFR",$K$2:$K$7,$L$2:$L$7,,,"Actual360","LogLinear",TRUE)</f>
        <v/>
      </c>
      <c r="E6902" s="8">
        <f>QS.INSTRUMENT.SWAP("swap.6900",C6902,H6902,B6902,"USD","SOFR",I6902,J6902,0,"Actual360","Simple","Annual","Annual","Annual")</f>
        <v/>
      </c>
      <c r="F6902" s="8">
        <f>QS.TRADE.CREATE("trade.6900",C6902,E6902,A6902,"Receive")</f>
        <v/>
      </c>
      <c r="G6902" s="5"/>
      <c r="H6902" s="7" t="s">
        <v>6942</v>
      </c>
      <c r="I6902" s="9">
        <v>1690000</v>
      </c>
      <c r="J6902" s="10">
        <v>0.035</v>
      </c>
    </row>
    <row r="6903" spans="1:10">
      <c r="A6903" s="7" t="s">
        <v>6936</v>
      </c>
      <c r="B6903" s="7" t="s">
        <v>8770</v>
      </c>
      <c r="C6903" s="8">
        <f>QS.CONTEXT.CREATE("market.6901",A6903,"USD","SOFR")</f>
        <v/>
      </c>
      <c r="D6903" s="8">
        <f>QS.CONTEXT.ADD.CURVE(C6903,"SOFR",$K$2:$K$7,$L$2:$L$7,,,"Actual360","LogLinear",TRUE)</f>
        <v/>
      </c>
      <c r="E6903" s="8">
        <f>QS.INSTRUMENT.SWAP("swap.6901",C6903,H6903,B6903,"USD","SOFR",I6903,J6903,0,"Actual360","Simple","Annual","Annual","Annual")</f>
        <v/>
      </c>
      <c r="F6903" s="8">
        <f>QS.TRADE.CREATE("trade.6901",C6903,E6903,A6903,"Receive")</f>
        <v/>
      </c>
      <c r="G6903" s="5"/>
      <c r="H6903" s="7" t="s">
        <v>6943</v>
      </c>
      <c r="I6903" s="9">
        <v>1690100</v>
      </c>
      <c r="J6903" s="10">
        <v>0.03510000000000001</v>
      </c>
    </row>
    <row r="6904" spans="1:10">
      <c r="A6904" s="7" t="s">
        <v>6937</v>
      </c>
      <c r="B6904" s="7" t="s">
        <v>8771</v>
      </c>
      <c r="C6904" s="8">
        <f>QS.CONTEXT.CREATE("market.6902",A6904,"USD","SOFR")</f>
        <v/>
      </c>
      <c r="D6904" s="8">
        <f>QS.CONTEXT.ADD.CURVE(C6904,"SOFR",$K$2:$K$7,$L$2:$L$7,,,"Actual360","LogLinear",TRUE)</f>
        <v/>
      </c>
      <c r="E6904" s="8">
        <f>QS.INSTRUMENT.SWAP("swap.6902",C6904,H6904,B6904,"USD","SOFR",I6904,J6904,0,"Actual360","Simple","Annual","Annual","Annual")</f>
        <v/>
      </c>
      <c r="F6904" s="8">
        <f>QS.TRADE.CREATE("trade.6902",C6904,E6904,A6904,"Receive")</f>
        <v/>
      </c>
      <c r="G6904" s="5"/>
      <c r="H6904" s="7" t="s">
        <v>6944</v>
      </c>
      <c r="I6904" s="9">
        <v>1690200</v>
      </c>
      <c r="J6904" s="10">
        <v>0.0352</v>
      </c>
    </row>
    <row r="6905" spans="1:10">
      <c r="A6905" s="7" t="s">
        <v>6938</v>
      </c>
      <c r="B6905" s="7" t="s">
        <v>8772</v>
      </c>
      <c r="C6905" s="8">
        <f>QS.CONTEXT.CREATE("market.6903",A6905,"USD","SOFR")</f>
        <v/>
      </c>
      <c r="D6905" s="8">
        <f>QS.CONTEXT.ADD.CURVE(C6905,"SOFR",$K$2:$K$7,$L$2:$L$7,,,"Actual360","LogLinear",TRUE)</f>
        <v/>
      </c>
      <c r="E6905" s="8">
        <f>QS.INSTRUMENT.SWAP("swap.6903",C6905,H6905,B6905,"USD","SOFR",I6905,J6905,0,"Actual360","Simple","Annual","Annual","Annual")</f>
        <v/>
      </c>
      <c r="F6905" s="8">
        <f>QS.TRADE.CREATE("trade.6903",C6905,E6905,A6905,"Receive")</f>
        <v/>
      </c>
      <c r="G6905" s="5"/>
      <c r="H6905" s="7" t="s">
        <v>6945</v>
      </c>
      <c r="I6905" s="9">
        <v>1690300</v>
      </c>
      <c r="J6905" s="10">
        <v>0.0353</v>
      </c>
    </row>
    <row r="6906" spans="1:10">
      <c r="A6906" s="7" t="s">
        <v>6939</v>
      </c>
      <c r="B6906" s="7" t="s">
        <v>8773</v>
      </c>
      <c r="C6906" s="8">
        <f>QS.CONTEXT.CREATE("market.6904",A6906,"USD","SOFR")</f>
        <v/>
      </c>
      <c r="D6906" s="8">
        <f>QS.CONTEXT.ADD.CURVE(C6906,"SOFR",$K$2:$K$7,$L$2:$L$7,,,"Actual360","LogLinear",TRUE)</f>
        <v/>
      </c>
      <c r="E6906" s="8">
        <f>QS.INSTRUMENT.SWAP("swap.6904",C6906,H6906,B6906,"USD","SOFR",I6906,J6906,0,"Actual360","Simple","Annual","Annual","Annual")</f>
        <v/>
      </c>
      <c r="F6906" s="8">
        <f>QS.TRADE.CREATE("trade.6904",C6906,E6906,A6906,"Receive")</f>
        <v/>
      </c>
      <c r="G6906" s="5"/>
      <c r="H6906" s="7" t="s">
        <v>6946</v>
      </c>
      <c r="I6906" s="9">
        <v>1690400</v>
      </c>
      <c r="J6906" s="10">
        <v>0.0354</v>
      </c>
    </row>
    <row r="6907" spans="1:10">
      <c r="A6907" s="7" t="s">
        <v>6940</v>
      </c>
      <c r="B6907" s="7" t="s">
        <v>8774</v>
      </c>
      <c r="C6907" s="8">
        <f>QS.CONTEXT.CREATE("market.6905",A6907,"USD","SOFR")</f>
        <v/>
      </c>
      <c r="D6907" s="8">
        <f>QS.CONTEXT.ADD.CURVE(C6907,"SOFR",$K$2:$K$7,$L$2:$L$7,,,"Actual360","LogLinear",TRUE)</f>
        <v/>
      </c>
      <c r="E6907" s="8">
        <f>QS.INSTRUMENT.SWAP("swap.6905",C6907,H6907,B6907,"USD","SOFR",I6907,J6907,0,"Actual360","Simple","Annual","Annual","Annual")</f>
        <v/>
      </c>
      <c r="F6907" s="8">
        <f>QS.TRADE.CREATE("trade.6905",C6907,E6907,A6907,"Receive")</f>
        <v/>
      </c>
      <c r="G6907" s="5"/>
      <c r="H6907" s="7" t="s">
        <v>6947</v>
      </c>
      <c r="I6907" s="9">
        <v>1690500</v>
      </c>
      <c r="J6907" s="10">
        <v>0.0355</v>
      </c>
    </row>
    <row r="6908" spans="1:10">
      <c r="A6908" s="7" t="s">
        <v>6941</v>
      </c>
      <c r="B6908" s="7" t="s">
        <v>8775</v>
      </c>
      <c r="C6908" s="8">
        <f>QS.CONTEXT.CREATE("market.6906",A6908,"USD","SOFR")</f>
        <v/>
      </c>
      <c r="D6908" s="8">
        <f>QS.CONTEXT.ADD.CURVE(C6908,"SOFR",$K$2:$K$7,$L$2:$L$7,,,"Actual360","LogLinear",TRUE)</f>
        <v/>
      </c>
      <c r="E6908" s="8">
        <f>QS.INSTRUMENT.SWAP("swap.6906",C6908,H6908,B6908,"USD","SOFR",I6908,J6908,0,"Actual360","Simple","Annual","Annual","Annual")</f>
        <v/>
      </c>
      <c r="F6908" s="8">
        <f>QS.TRADE.CREATE("trade.6906",C6908,E6908,A6908,"Receive")</f>
        <v/>
      </c>
      <c r="G6908" s="5"/>
      <c r="H6908" s="7" t="s">
        <v>6948</v>
      </c>
      <c r="I6908" s="9">
        <v>1690600</v>
      </c>
      <c r="J6908" s="10">
        <v>0.03560000000000001</v>
      </c>
    </row>
    <row r="6909" spans="1:10">
      <c r="A6909" s="7" t="s">
        <v>6942</v>
      </c>
      <c r="B6909" s="7" t="s">
        <v>8776</v>
      </c>
      <c r="C6909" s="8">
        <f>QS.CONTEXT.CREATE("market.6907",A6909,"USD","SOFR")</f>
        <v/>
      </c>
      <c r="D6909" s="8">
        <f>QS.CONTEXT.ADD.CURVE(C6909,"SOFR",$K$2:$K$7,$L$2:$L$7,,,"Actual360","LogLinear",TRUE)</f>
        <v/>
      </c>
      <c r="E6909" s="8">
        <f>QS.INSTRUMENT.SWAP("swap.6907",C6909,H6909,B6909,"USD","SOFR",I6909,J6909,0,"Actual360","Simple","Annual","Annual","Annual")</f>
        <v/>
      </c>
      <c r="F6909" s="8">
        <f>QS.TRADE.CREATE("trade.6907",C6909,E6909,A6909,"Receive")</f>
        <v/>
      </c>
      <c r="G6909" s="5"/>
      <c r="H6909" s="7" t="s">
        <v>6949</v>
      </c>
      <c r="I6909" s="9">
        <v>1690700</v>
      </c>
      <c r="J6909" s="10">
        <v>0.0357</v>
      </c>
    </row>
    <row r="6910" spans="1:10">
      <c r="A6910" s="7" t="s">
        <v>6943</v>
      </c>
      <c r="B6910" s="7" t="s">
        <v>8777</v>
      </c>
      <c r="C6910" s="8">
        <f>QS.CONTEXT.CREATE("market.6908",A6910,"USD","SOFR")</f>
        <v/>
      </c>
      <c r="D6910" s="8">
        <f>QS.CONTEXT.ADD.CURVE(C6910,"SOFR",$K$2:$K$7,$L$2:$L$7,,,"Actual360","LogLinear",TRUE)</f>
        <v/>
      </c>
      <c r="E6910" s="8">
        <f>QS.INSTRUMENT.SWAP("swap.6908",C6910,H6910,B6910,"USD","SOFR",I6910,J6910,0,"Actual360","Simple","Annual","Annual","Annual")</f>
        <v/>
      </c>
      <c r="F6910" s="8">
        <f>QS.TRADE.CREATE("trade.6908",C6910,E6910,A6910,"Receive")</f>
        <v/>
      </c>
      <c r="G6910" s="5"/>
      <c r="H6910" s="7" t="s">
        <v>6950</v>
      </c>
      <c r="I6910" s="9">
        <v>1690800</v>
      </c>
      <c r="J6910" s="10">
        <v>0.03580000000000001</v>
      </c>
    </row>
    <row r="6911" spans="1:10">
      <c r="A6911" s="7" t="s">
        <v>6944</v>
      </c>
      <c r="B6911" s="7" t="s">
        <v>8778</v>
      </c>
      <c r="C6911" s="8">
        <f>QS.CONTEXT.CREATE("market.6909",A6911,"USD","SOFR")</f>
        <v/>
      </c>
      <c r="D6911" s="8">
        <f>QS.CONTEXT.ADD.CURVE(C6911,"SOFR",$K$2:$K$7,$L$2:$L$7,,,"Actual360","LogLinear",TRUE)</f>
        <v/>
      </c>
      <c r="E6911" s="8">
        <f>QS.INSTRUMENT.SWAP("swap.6909",C6911,H6911,B6911,"USD","SOFR",I6911,J6911,0,"Actual360","Simple","Annual","Annual","Annual")</f>
        <v/>
      </c>
      <c r="F6911" s="8">
        <f>QS.TRADE.CREATE("trade.6909",C6911,E6911,A6911,"Receive")</f>
        <v/>
      </c>
      <c r="G6911" s="5"/>
      <c r="H6911" s="7" t="s">
        <v>6951</v>
      </c>
      <c r="I6911" s="9">
        <v>1690900</v>
      </c>
      <c r="J6911" s="10">
        <v>0.0359</v>
      </c>
    </row>
    <row r="6912" spans="1:10">
      <c r="A6912" s="7" t="s">
        <v>6945</v>
      </c>
      <c r="B6912" s="7" t="s">
        <v>8779</v>
      </c>
      <c r="C6912" s="8">
        <f>QS.CONTEXT.CREATE("market.6910",A6912,"USD","SOFR")</f>
        <v/>
      </c>
      <c r="D6912" s="8">
        <f>QS.CONTEXT.ADD.CURVE(C6912,"SOFR",$K$2:$K$7,$L$2:$L$7,,,"Actual360","LogLinear",TRUE)</f>
        <v/>
      </c>
      <c r="E6912" s="8">
        <f>QS.INSTRUMENT.SWAP("swap.6910",C6912,H6912,B6912,"USD","SOFR",I6912,J6912,0,"Actual360","Simple","Annual","Annual","Annual")</f>
        <v/>
      </c>
      <c r="F6912" s="8">
        <f>QS.TRADE.CREATE("trade.6910",C6912,E6912,A6912,"Receive")</f>
        <v/>
      </c>
      <c r="G6912" s="5"/>
      <c r="H6912" s="7" t="s">
        <v>6952</v>
      </c>
      <c r="I6912" s="9">
        <v>1691000</v>
      </c>
      <c r="J6912" s="10">
        <v>0.036</v>
      </c>
    </row>
    <row r="6913" spans="1:10">
      <c r="A6913" s="7" t="s">
        <v>6946</v>
      </c>
      <c r="B6913" s="7" t="s">
        <v>8780</v>
      </c>
      <c r="C6913" s="8">
        <f>QS.CONTEXT.CREATE("market.6911",A6913,"USD","SOFR")</f>
        <v/>
      </c>
      <c r="D6913" s="8">
        <f>QS.CONTEXT.ADD.CURVE(C6913,"SOFR",$K$2:$K$7,$L$2:$L$7,,,"Actual360","LogLinear",TRUE)</f>
        <v/>
      </c>
      <c r="E6913" s="8">
        <f>QS.INSTRUMENT.SWAP("swap.6911",C6913,H6913,B6913,"USD","SOFR",I6913,J6913,0,"Actual360","Simple","Annual","Annual","Annual")</f>
        <v/>
      </c>
      <c r="F6913" s="8">
        <f>QS.TRADE.CREATE("trade.6911",C6913,E6913,A6913,"Receive")</f>
        <v/>
      </c>
      <c r="G6913" s="5"/>
      <c r="H6913" s="7" t="s">
        <v>6953</v>
      </c>
      <c r="I6913" s="9">
        <v>1691100</v>
      </c>
      <c r="J6913" s="10">
        <v>0.0361</v>
      </c>
    </row>
    <row r="6914" spans="1:10">
      <c r="A6914" s="7" t="s">
        <v>6947</v>
      </c>
      <c r="B6914" s="7" t="s">
        <v>8781</v>
      </c>
      <c r="C6914" s="8">
        <f>QS.CONTEXT.CREATE("market.6912",A6914,"USD","SOFR")</f>
        <v/>
      </c>
      <c r="D6914" s="8">
        <f>QS.CONTEXT.ADD.CURVE(C6914,"SOFR",$K$2:$K$7,$L$2:$L$7,,,"Actual360","LogLinear",TRUE)</f>
        <v/>
      </c>
      <c r="E6914" s="8">
        <f>QS.INSTRUMENT.SWAP("swap.6912",C6914,H6914,B6914,"USD","SOFR",I6914,J6914,0,"Actual360","Simple","Annual","Annual","Annual")</f>
        <v/>
      </c>
      <c r="F6914" s="8">
        <f>QS.TRADE.CREATE("trade.6912",C6914,E6914,A6914,"Receive")</f>
        <v/>
      </c>
      <c r="G6914" s="5"/>
      <c r="H6914" s="7" t="s">
        <v>6954</v>
      </c>
      <c r="I6914" s="9">
        <v>1691200</v>
      </c>
      <c r="J6914" s="10">
        <v>0.0362</v>
      </c>
    </row>
    <row r="6915" spans="1:10">
      <c r="A6915" s="7" t="s">
        <v>6948</v>
      </c>
      <c r="B6915" s="7" t="s">
        <v>8782</v>
      </c>
      <c r="C6915" s="8">
        <f>QS.CONTEXT.CREATE("market.6913",A6915,"USD","SOFR")</f>
        <v/>
      </c>
      <c r="D6915" s="8">
        <f>QS.CONTEXT.ADD.CURVE(C6915,"SOFR",$K$2:$K$7,$L$2:$L$7,,,"Actual360","LogLinear",TRUE)</f>
        <v/>
      </c>
      <c r="E6915" s="8">
        <f>QS.INSTRUMENT.SWAP("swap.6913",C6915,H6915,B6915,"USD","SOFR",I6915,J6915,0,"Actual360","Simple","Annual","Annual","Annual")</f>
        <v/>
      </c>
      <c r="F6915" s="8">
        <f>QS.TRADE.CREATE("trade.6913",C6915,E6915,A6915,"Receive")</f>
        <v/>
      </c>
      <c r="G6915" s="5"/>
      <c r="H6915" s="7" t="s">
        <v>6955</v>
      </c>
      <c r="I6915" s="9">
        <v>1691300</v>
      </c>
      <c r="J6915" s="10">
        <v>0.03630000000000001</v>
      </c>
    </row>
    <row r="6916" spans="1:10">
      <c r="A6916" s="7" t="s">
        <v>6949</v>
      </c>
      <c r="B6916" s="7" t="s">
        <v>8783</v>
      </c>
      <c r="C6916" s="8">
        <f>QS.CONTEXT.CREATE("market.6914",A6916,"USD","SOFR")</f>
        <v/>
      </c>
      <c r="D6916" s="8">
        <f>QS.CONTEXT.ADD.CURVE(C6916,"SOFR",$K$2:$K$7,$L$2:$L$7,,,"Actual360","LogLinear",TRUE)</f>
        <v/>
      </c>
      <c r="E6916" s="8">
        <f>QS.INSTRUMENT.SWAP("swap.6914",C6916,H6916,B6916,"USD","SOFR",I6916,J6916,0,"Actual360","Simple","Annual","Annual","Annual")</f>
        <v/>
      </c>
      <c r="F6916" s="8">
        <f>QS.TRADE.CREATE("trade.6914",C6916,E6916,A6916,"Receive")</f>
        <v/>
      </c>
      <c r="G6916" s="5"/>
      <c r="H6916" s="7" t="s">
        <v>6956</v>
      </c>
      <c r="I6916" s="9">
        <v>1691400</v>
      </c>
      <c r="J6916" s="10">
        <v>0.0364</v>
      </c>
    </row>
    <row r="6917" spans="1:10">
      <c r="A6917" s="7" t="s">
        <v>6950</v>
      </c>
      <c r="B6917" s="7" t="s">
        <v>8784</v>
      </c>
      <c r="C6917" s="8">
        <f>QS.CONTEXT.CREATE("market.6915",A6917,"USD","SOFR")</f>
        <v/>
      </c>
      <c r="D6917" s="8">
        <f>QS.CONTEXT.ADD.CURVE(C6917,"SOFR",$K$2:$K$7,$L$2:$L$7,,,"Actual360","LogLinear",TRUE)</f>
        <v/>
      </c>
      <c r="E6917" s="8">
        <f>QS.INSTRUMENT.SWAP("swap.6915",C6917,H6917,B6917,"USD","SOFR",I6917,J6917,0,"Actual360","Simple","Annual","Annual","Annual")</f>
        <v/>
      </c>
      <c r="F6917" s="8">
        <f>QS.TRADE.CREATE("trade.6915",C6917,E6917,A6917,"Receive")</f>
        <v/>
      </c>
      <c r="G6917" s="5"/>
      <c r="H6917" s="7" t="s">
        <v>6957</v>
      </c>
      <c r="I6917" s="9">
        <v>1691500</v>
      </c>
      <c r="J6917" s="10">
        <v>0.0365</v>
      </c>
    </row>
    <row r="6918" spans="1:10">
      <c r="A6918" s="7" t="s">
        <v>6951</v>
      </c>
      <c r="B6918" s="7" t="s">
        <v>8785</v>
      </c>
      <c r="C6918" s="8">
        <f>QS.CONTEXT.CREATE("market.6916",A6918,"USD","SOFR")</f>
        <v/>
      </c>
      <c r="D6918" s="8">
        <f>QS.CONTEXT.ADD.CURVE(C6918,"SOFR",$K$2:$K$7,$L$2:$L$7,,,"Actual360","LogLinear",TRUE)</f>
        <v/>
      </c>
      <c r="E6918" s="8">
        <f>QS.INSTRUMENT.SWAP("swap.6916",C6918,H6918,B6918,"USD","SOFR",I6918,J6918,0,"Actual360","Simple","Annual","Annual","Annual")</f>
        <v/>
      </c>
      <c r="F6918" s="8">
        <f>QS.TRADE.CREATE("trade.6916",C6918,E6918,A6918,"Receive")</f>
        <v/>
      </c>
      <c r="G6918" s="5"/>
      <c r="H6918" s="7" t="s">
        <v>6958</v>
      </c>
      <c r="I6918" s="9">
        <v>1691600</v>
      </c>
      <c r="J6918" s="10">
        <v>0.0366</v>
      </c>
    </row>
    <row r="6919" spans="1:10">
      <c r="A6919" s="7" t="s">
        <v>6952</v>
      </c>
      <c r="B6919" s="7" t="s">
        <v>8786</v>
      </c>
      <c r="C6919" s="8">
        <f>QS.CONTEXT.CREATE("market.6917",A6919,"USD","SOFR")</f>
        <v/>
      </c>
      <c r="D6919" s="8">
        <f>QS.CONTEXT.ADD.CURVE(C6919,"SOFR",$K$2:$K$7,$L$2:$L$7,,,"Actual360","LogLinear",TRUE)</f>
        <v/>
      </c>
      <c r="E6919" s="8">
        <f>QS.INSTRUMENT.SWAP("swap.6917",C6919,H6919,B6919,"USD","SOFR",I6919,J6919,0,"Actual360","Simple","Annual","Annual","Annual")</f>
        <v/>
      </c>
      <c r="F6919" s="8">
        <f>QS.TRADE.CREATE("trade.6917",C6919,E6919,A6919,"Receive")</f>
        <v/>
      </c>
      <c r="G6919" s="5"/>
      <c r="H6919" s="7" t="s">
        <v>6959</v>
      </c>
      <c r="I6919" s="9">
        <v>1691700</v>
      </c>
      <c r="J6919" s="10">
        <v>0.0367</v>
      </c>
    </row>
    <row r="6920" spans="1:10">
      <c r="A6920" s="7" t="s">
        <v>6953</v>
      </c>
      <c r="B6920" s="7" t="s">
        <v>8787</v>
      </c>
      <c r="C6920" s="8">
        <f>QS.CONTEXT.CREATE("market.6918",A6920,"USD","SOFR")</f>
        <v/>
      </c>
      <c r="D6920" s="8">
        <f>QS.CONTEXT.ADD.CURVE(C6920,"SOFR",$K$2:$K$7,$L$2:$L$7,,,"Actual360","LogLinear",TRUE)</f>
        <v/>
      </c>
      <c r="E6920" s="8">
        <f>QS.INSTRUMENT.SWAP("swap.6918",C6920,H6920,B6920,"USD","SOFR",I6920,J6920,0,"Actual360","Simple","Annual","Annual","Annual")</f>
        <v/>
      </c>
      <c r="F6920" s="8">
        <f>QS.TRADE.CREATE("trade.6918",C6920,E6920,A6920,"Receive")</f>
        <v/>
      </c>
      <c r="G6920" s="5"/>
      <c r="H6920" s="7" t="s">
        <v>6960</v>
      </c>
      <c r="I6920" s="9">
        <v>1691800</v>
      </c>
      <c r="J6920" s="10">
        <v>0.03680000000000001</v>
      </c>
    </row>
    <row r="6921" spans="1:10">
      <c r="A6921" s="7" t="s">
        <v>6954</v>
      </c>
      <c r="B6921" s="7" t="s">
        <v>8788</v>
      </c>
      <c r="C6921" s="8">
        <f>QS.CONTEXT.CREATE("market.6919",A6921,"USD","SOFR")</f>
        <v/>
      </c>
      <c r="D6921" s="8">
        <f>QS.CONTEXT.ADD.CURVE(C6921,"SOFR",$K$2:$K$7,$L$2:$L$7,,,"Actual360","LogLinear",TRUE)</f>
        <v/>
      </c>
      <c r="E6921" s="8">
        <f>QS.INSTRUMENT.SWAP("swap.6919",C6921,H6921,B6921,"USD","SOFR",I6921,J6921,0,"Actual360","Simple","Annual","Annual","Annual")</f>
        <v/>
      </c>
      <c r="F6921" s="8">
        <f>QS.TRADE.CREATE("trade.6919",C6921,E6921,A6921,"Receive")</f>
        <v/>
      </c>
      <c r="G6921" s="5"/>
      <c r="H6921" s="7" t="s">
        <v>6961</v>
      </c>
      <c r="I6921" s="9">
        <v>1691900</v>
      </c>
      <c r="J6921" s="10">
        <v>0.0369</v>
      </c>
    </row>
    <row r="6922" spans="1:10">
      <c r="A6922" s="7" t="s">
        <v>6955</v>
      </c>
      <c r="B6922" s="7" t="s">
        <v>8789</v>
      </c>
      <c r="C6922" s="8">
        <f>QS.CONTEXT.CREATE("market.6920",A6922,"USD","SOFR")</f>
        <v/>
      </c>
      <c r="D6922" s="8">
        <f>QS.CONTEXT.ADD.CURVE(C6922,"SOFR",$K$2:$K$7,$L$2:$L$7,,,"Actual360","LogLinear",TRUE)</f>
        <v/>
      </c>
      <c r="E6922" s="8">
        <f>QS.INSTRUMENT.SWAP("swap.6920",C6922,H6922,B6922,"USD","SOFR",I6922,J6922,0,"Actual360","Simple","Annual","Annual","Annual")</f>
        <v/>
      </c>
      <c r="F6922" s="8">
        <f>QS.TRADE.CREATE("trade.6920",C6922,E6922,A6922,"Receive")</f>
        <v/>
      </c>
      <c r="G6922" s="5"/>
      <c r="H6922" s="7" t="s">
        <v>6962</v>
      </c>
      <c r="I6922" s="9">
        <v>1692000</v>
      </c>
      <c r="J6922" s="10">
        <v>0.03700000000000001</v>
      </c>
    </row>
    <row r="6923" spans="1:10">
      <c r="A6923" s="7" t="s">
        <v>6956</v>
      </c>
      <c r="B6923" s="7" t="s">
        <v>8790</v>
      </c>
      <c r="C6923" s="8">
        <f>QS.CONTEXT.CREATE("market.6921",A6923,"USD","SOFR")</f>
        <v/>
      </c>
      <c r="D6923" s="8">
        <f>QS.CONTEXT.ADD.CURVE(C6923,"SOFR",$K$2:$K$7,$L$2:$L$7,,,"Actual360","LogLinear",TRUE)</f>
        <v/>
      </c>
      <c r="E6923" s="8">
        <f>QS.INSTRUMENT.SWAP("swap.6921",C6923,H6923,B6923,"USD","SOFR",I6923,J6923,0,"Actual360","Simple","Annual","Annual","Annual")</f>
        <v/>
      </c>
      <c r="F6923" s="8">
        <f>QS.TRADE.CREATE("trade.6921",C6923,E6923,A6923,"Receive")</f>
        <v/>
      </c>
      <c r="G6923" s="5"/>
      <c r="H6923" s="7" t="s">
        <v>6963</v>
      </c>
      <c r="I6923" s="9">
        <v>1692100</v>
      </c>
      <c r="J6923" s="10">
        <v>0.0371</v>
      </c>
    </row>
    <row r="6924" spans="1:10">
      <c r="A6924" s="7" t="s">
        <v>6957</v>
      </c>
      <c r="B6924" s="7" t="s">
        <v>8791</v>
      </c>
      <c r="C6924" s="8">
        <f>QS.CONTEXT.CREATE("market.6922",A6924,"USD","SOFR")</f>
        <v/>
      </c>
      <c r="D6924" s="8">
        <f>QS.CONTEXT.ADD.CURVE(C6924,"SOFR",$K$2:$K$7,$L$2:$L$7,,,"Actual360","LogLinear",TRUE)</f>
        <v/>
      </c>
      <c r="E6924" s="8">
        <f>QS.INSTRUMENT.SWAP("swap.6922",C6924,H6924,B6924,"USD","SOFR",I6924,J6924,0,"Actual360","Simple","Annual","Annual","Annual")</f>
        <v/>
      </c>
      <c r="F6924" s="8">
        <f>QS.TRADE.CREATE("trade.6922",C6924,E6924,A6924,"Receive")</f>
        <v/>
      </c>
      <c r="G6924" s="5"/>
      <c r="H6924" s="7" t="s">
        <v>6964</v>
      </c>
      <c r="I6924" s="9">
        <v>1692200</v>
      </c>
      <c r="J6924" s="10">
        <v>0.0372</v>
      </c>
    </row>
    <row r="6925" spans="1:10">
      <c r="A6925" s="7" t="s">
        <v>6958</v>
      </c>
      <c r="B6925" s="7" t="s">
        <v>8792</v>
      </c>
      <c r="C6925" s="8">
        <f>QS.CONTEXT.CREATE("market.6923",A6925,"USD","SOFR")</f>
        <v/>
      </c>
      <c r="D6925" s="8">
        <f>QS.CONTEXT.ADD.CURVE(C6925,"SOFR",$K$2:$K$7,$L$2:$L$7,,,"Actual360","LogLinear",TRUE)</f>
        <v/>
      </c>
      <c r="E6925" s="8">
        <f>QS.INSTRUMENT.SWAP("swap.6923",C6925,H6925,B6925,"USD","SOFR",I6925,J6925,0,"Actual360","Simple","Annual","Annual","Annual")</f>
        <v/>
      </c>
      <c r="F6925" s="8">
        <f>QS.TRADE.CREATE("trade.6923",C6925,E6925,A6925,"Receive")</f>
        <v/>
      </c>
      <c r="G6925" s="5"/>
      <c r="H6925" s="7" t="s">
        <v>6965</v>
      </c>
      <c r="I6925" s="9">
        <v>1692300</v>
      </c>
      <c r="J6925" s="10">
        <v>0.0373</v>
      </c>
    </row>
    <row r="6926" spans="1:10">
      <c r="A6926" s="7" t="s">
        <v>6959</v>
      </c>
      <c r="B6926" s="7" t="s">
        <v>8793</v>
      </c>
      <c r="C6926" s="8">
        <f>QS.CONTEXT.CREATE("market.6924",A6926,"USD","SOFR")</f>
        <v/>
      </c>
      <c r="D6926" s="8">
        <f>QS.CONTEXT.ADD.CURVE(C6926,"SOFR",$K$2:$K$7,$L$2:$L$7,,,"Actual360","LogLinear",TRUE)</f>
        <v/>
      </c>
      <c r="E6926" s="8">
        <f>QS.INSTRUMENT.SWAP("swap.6924",C6926,H6926,B6926,"USD","SOFR",I6926,J6926,0,"Actual360","Simple","Annual","Annual","Annual")</f>
        <v/>
      </c>
      <c r="F6926" s="8">
        <f>QS.TRADE.CREATE("trade.6924",C6926,E6926,A6926,"Receive")</f>
        <v/>
      </c>
      <c r="G6926" s="5"/>
      <c r="H6926" s="7" t="s">
        <v>6966</v>
      </c>
      <c r="I6926" s="9">
        <v>1692400</v>
      </c>
      <c r="J6926" s="10">
        <v>0.0374</v>
      </c>
    </row>
    <row r="6927" spans="1:10">
      <c r="A6927" s="7" t="s">
        <v>6960</v>
      </c>
      <c r="B6927" s="7" t="s">
        <v>8794</v>
      </c>
      <c r="C6927" s="8">
        <f>QS.CONTEXT.CREATE("market.6925",A6927,"USD","SOFR")</f>
        <v/>
      </c>
      <c r="D6927" s="8">
        <f>QS.CONTEXT.ADD.CURVE(C6927,"SOFR",$K$2:$K$7,$L$2:$L$7,,,"Actual360","LogLinear",TRUE)</f>
        <v/>
      </c>
      <c r="E6927" s="8">
        <f>QS.INSTRUMENT.SWAP("swap.6925",C6927,H6927,B6927,"USD","SOFR",I6927,J6927,0,"Actual360","Simple","Annual","Annual","Annual")</f>
        <v/>
      </c>
      <c r="F6927" s="8">
        <f>QS.TRADE.CREATE("trade.6925",C6927,E6927,A6927,"Receive")</f>
        <v/>
      </c>
      <c r="G6927" s="5"/>
      <c r="H6927" s="7" t="s">
        <v>6967</v>
      </c>
      <c r="I6927" s="9">
        <v>1692500</v>
      </c>
      <c r="J6927" s="10">
        <v>0.03750000000000001</v>
      </c>
    </row>
    <row r="6928" spans="1:10">
      <c r="A6928" s="7" t="s">
        <v>6961</v>
      </c>
      <c r="B6928" s="7" t="s">
        <v>8795</v>
      </c>
      <c r="C6928" s="8">
        <f>QS.CONTEXT.CREATE("market.6926",A6928,"USD","SOFR")</f>
        <v/>
      </c>
      <c r="D6928" s="8">
        <f>QS.CONTEXT.ADD.CURVE(C6928,"SOFR",$K$2:$K$7,$L$2:$L$7,,,"Actual360","LogLinear",TRUE)</f>
        <v/>
      </c>
      <c r="E6928" s="8">
        <f>QS.INSTRUMENT.SWAP("swap.6926",C6928,H6928,B6928,"USD","SOFR",I6928,J6928,0,"Actual360","Simple","Annual","Annual","Annual")</f>
        <v/>
      </c>
      <c r="F6928" s="8">
        <f>QS.TRADE.CREATE("trade.6926",C6928,E6928,A6928,"Receive")</f>
        <v/>
      </c>
      <c r="G6928" s="5"/>
      <c r="H6928" s="7" t="s">
        <v>6968</v>
      </c>
      <c r="I6928" s="9">
        <v>1692600</v>
      </c>
      <c r="J6928" s="10">
        <v>0.0376</v>
      </c>
    </row>
    <row r="6929" spans="1:10">
      <c r="A6929" s="7" t="s">
        <v>6962</v>
      </c>
      <c r="B6929" s="7" t="s">
        <v>8796</v>
      </c>
      <c r="C6929" s="8">
        <f>QS.CONTEXT.CREATE("market.6927",A6929,"USD","SOFR")</f>
        <v/>
      </c>
      <c r="D6929" s="8">
        <f>QS.CONTEXT.ADD.CURVE(C6929,"SOFR",$K$2:$K$7,$L$2:$L$7,,,"Actual360","LogLinear",TRUE)</f>
        <v/>
      </c>
      <c r="E6929" s="8">
        <f>QS.INSTRUMENT.SWAP("swap.6927",C6929,H6929,B6929,"USD","SOFR",I6929,J6929,0,"Actual360","Simple","Annual","Annual","Annual")</f>
        <v/>
      </c>
      <c r="F6929" s="8">
        <f>QS.TRADE.CREATE("trade.6927",C6929,E6929,A6929,"Receive")</f>
        <v/>
      </c>
      <c r="G6929" s="5"/>
      <c r="H6929" s="7" t="s">
        <v>6969</v>
      </c>
      <c r="I6929" s="9">
        <v>1692700</v>
      </c>
      <c r="J6929" s="10">
        <v>0.0377</v>
      </c>
    </row>
    <row r="6930" spans="1:10">
      <c r="A6930" s="7" t="s">
        <v>6963</v>
      </c>
      <c r="B6930" s="7" t="s">
        <v>8797</v>
      </c>
      <c r="C6930" s="8">
        <f>QS.CONTEXT.CREATE("market.6928",A6930,"USD","SOFR")</f>
        <v/>
      </c>
      <c r="D6930" s="8">
        <f>QS.CONTEXT.ADD.CURVE(C6930,"SOFR",$K$2:$K$7,$L$2:$L$7,,,"Actual360","LogLinear",TRUE)</f>
        <v/>
      </c>
      <c r="E6930" s="8">
        <f>QS.INSTRUMENT.SWAP("swap.6928",C6930,H6930,B6930,"USD","SOFR",I6930,J6930,0,"Actual360","Simple","Annual","Annual","Annual")</f>
        <v/>
      </c>
      <c r="F6930" s="8">
        <f>QS.TRADE.CREATE("trade.6928",C6930,E6930,A6930,"Receive")</f>
        <v/>
      </c>
      <c r="G6930" s="5"/>
      <c r="H6930" s="7" t="s">
        <v>6970</v>
      </c>
      <c r="I6930" s="9">
        <v>1692800</v>
      </c>
      <c r="J6930" s="10">
        <v>0.0378</v>
      </c>
    </row>
    <row r="6931" spans="1:10">
      <c r="A6931" s="7" t="s">
        <v>6964</v>
      </c>
      <c r="B6931" s="7" t="s">
        <v>8798</v>
      </c>
      <c r="C6931" s="8">
        <f>QS.CONTEXT.CREATE("market.6929",A6931,"USD","SOFR")</f>
        <v/>
      </c>
      <c r="D6931" s="8">
        <f>QS.CONTEXT.ADD.CURVE(C6931,"SOFR",$K$2:$K$7,$L$2:$L$7,,,"Actual360","LogLinear",TRUE)</f>
        <v/>
      </c>
      <c r="E6931" s="8">
        <f>QS.INSTRUMENT.SWAP("swap.6929",C6931,H6931,B6931,"USD","SOFR",I6931,J6931,0,"Actual360","Simple","Annual","Annual","Annual")</f>
        <v/>
      </c>
      <c r="F6931" s="8">
        <f>QS.TRADE.CREATE("trade.6929",C6931,E6931,A6931,"Receive")</f>
        <v/>
      </c>
      <c r="G6931" s="5"/>
      <c r="H6931" s="7" t="s">
        <v>6971</v>
      </c>
      <c r="I6931" s="9">
        <v>1692900</v>
      </c>
      <c r="J6931" s="10">
        <v>0.0379</v>
      </c>
    </row>
    <row r="6932" spans="1:10">
      <c r="A6932" s="7" t="s">
        <v>6965</v>
      </c>
      <c r="B6932" s="7" t="s">
        <v>8799</v>
      </c>
      <c r="C6932" s="8">
        <f>QS.CONTEXT.CREATE("market.6930",A6932,"USD","SOFR")</f>
        <v/>
      </c>
      <c r="D6932" s="8">
        <f>QS.CONTEXT.ADD.CURVE(C6932,"SOFR",$K$2:$K$7,$L$2:$L$7,,,"Actual360","LogLinear",TRUE)</f>
        <v/>
      </c>
      <c r="E6932" s="8">
        <f>QS.INSTRUMENT.SWAP("swap.6930",C6932,H6932,B6932,"USD","SOFR",I6932,J6932,0,"Actual360","Simple","Annual","Annual","Annual")</f>
        <v/>
      </c>
      <c r="F6932" s="8">
        <f>QS.TRADE.CREATE("trade.6930",C6932,E6932,A6932,"Receive")</f>
        <v/>
      </c>
      <c r="G6932" s="5"/>
      <c r="H6932" s="7" t="s">
        <v>6972</v>
      </c>
      <c r="I6932" s="9">
        <v>1693000</v>
      </c>
      <c r="J6932" s="10">
        <v>0.03800000000000001</v>
      </c>
    </row>
    <row r="6933" spans="1:10">
      <c r="A6933" s="7" t="s">
        <v>6966</v>
      </c>
      <c r="B6933" s="7" t="s">
        <v>8800</v>
      </c>
      <c r="C6933" s="8">
        <f>QS.CONTEXT.CREATE("market.6931",A6933,"USD","SOFR")</f>
        <v/>
      </c>
      <c r="D6933" s="8">
        <f>QS.CONTEXT.ADD.CURVE(C6933,"SOFR",$K$2:$K$7,$L$2:$L$7,,,"Actual360","LogLinear",TRUE)</f>
        <v/>
      </c>
      <c r="E6933" s="8">
        <f>QS.INSTRUMENT.SWAP("swap.6931",C6933,H6933,B6933,"USD","SOFR",I6933,J6933,0,"Actual360","Simple","Annual","Annual","Annual")</f>
        <v/>
      </c>
      <c r="F6933" s="8">
        <f>QS.TRADE.CREATE("trade.6931",C6933,E6933,A6933,"Receive")</f>
        <v/>
      </c>
      <c r="G6933" s="5"/>
      <c r="H6933" s="7" t="s">
        <v>6973</v>
      </c>
      <c r="I6933" s="9">
        <v>1693100</v>
      </c>
      <c r="J6933" s="10">
        <v>0.0381</v>
      </c>
    </row>
    <row r="6934" spans="1:10">
      <c r="A6934" s="7" t="s">
        <v>6967</v>
      </c>
      <c r="B6934" s="7" t="s">
        <v>8801</v>
      </c>
      <c r="C6934" s="8">
        <f>QS.CONTEXT.CREATE("market.6932",A6934,"USD","SOFR")</f>
        <v/>
      </c>
      <c r="D6934" s="8">
        <f>QS.CONTEXT.ADD.CURVE(C6934,"SOFR",$K$2:$K$7,$L$2:$L$7,,,"Actual360","LogLinear",TRUE)</f>
        <v/>
      </c>
      <c r="E6934" s="8">
        <f>QS.INSTRUMENT.SWAP("swap.6932",C6934,H6934,B6934,"USD","SOFR",I6934,J6934,0,"Actual360","Simple","Annual","Annual","Annual")</f>
        <v/>
      </c>
      <c r="F6934" s="8">
        <f>QS.TRADE.CREATE("trade.6932",C6934,E6934,A6934,"Receive")</f>
        <v/>
      </c>
      <c r="G6934" s="5"/>
      <c r="H6934" s="7" t="s">
        <v>6974</v>
      </c>
      <c r="I6934" s="9">
        <v>1693200</v>
      </c>
      <c r="J6934" s="10">
        <v>0.0382</v>
      </c>
    </row>
    <row r="6935" spans="1:10">
      <c r="A6935" s="7" t="s">
        <v>6968</v>
      </c>
      <c r="B6935" s="7" t="s">
        <v>8802</v>
      </c>
      <c r="C6935" s="8">
        <f>QS.CONTEXT.CREATE("market.6933",A6935,"USD","SOFR")</f>
        <v/>
      </c>
      <c r="D6935" s="8">
        <f>QS.CONTEXT.ADD.CURVE(C6935,"SOFR",$K$2:$K$7,$L$2:$L$7,,,"Actual360","LogLinear",TRUE)</f>
        <v/>
      </c>
      <c r="E6935" s="8">
        <f>QS.INSTRUMENT.SWAP("swap.6933",C6935,H6935,B6935,"USD","SOFR",I6935,J6935,0,"Actual360","Simple","Annual","Annual","Annual")</f>
        <v/>
      </c>
      <c r="F6935" s="8">
        <f>QS.TRADE.CREATE("trade.6933",C6935,E6935,A6935,"Receive")</f>
        <v/>
      </c>
      <c r="G6935" s="5"/>
      <c r="H6935" s="7" t="s">
        <v>6975</v>
      </c>
      <c r="I6935" s="9">
        <v>1693300</v>
      </c>
      <c r="J6935" s="10">
        <v>0.0383</v>
      </c>
    </row>
    <row r="6936" spans="1:10">
      <c r="A6936" s="7" t="s">
        <v>6969</v>
      </c>
      <c r="B6936" s="7" t="s">
        <v>8803</v>
      </c>
      <c r="C6936" s="8">
        <f>QS.CONTEXT.CREATE("market.6934",A6936,"USD","SOFR")</f>
        <v/>
      </c>
      <c r="D6936" s="8">
        <f>QS.CONTEXT.ADD.CURVE(C6936,"SOFR",$K$2:$K$7,$L$2:$L$7,,,"Actual360","LogLinear",TRUE)</f>
        <v/>
      </c>
      <c r="E6936" s="8">
        <f>QS.INSTRUMENT.SWAP("swap.6934",C6936,H6936,B6936,"USD","SOFR",I6936,J6936,0,"Actual360","Simple","Annual","Annual","Annual")</f>
        <v/>
      </c>
      <c r="F6936" s="8">
        <f>QS.TRADE.CREATE("trade.6934",C6936,E6936,A6936,"Receive")</f>
        <v/>
      </c>
      <c r="G6936" s="5"/>
      <c r="H6936" s="7" t="s">
        <v>6976</v>
      </c>
      <c r="I6936" s="9">
        <v>1693400</v>
      </c>
      <c r="J6936" s="10">
        <v>0.0384</v>
      </c>
    </row>
    <row r="6937" spans="1:10">
      <c r="A6937" s="7" t="s">
        <v>6970</v>
      </c>
      <c r="B6937" s="7" t="s">
        <v>8804</v>
      </c>
      <c r="C6937" s="8">
        <f>QS.CONTEXT.CREATE("market.6935",A6937,"USD","SOFR")</f>
        <v/>
      </c>
      <c r="D6937" s="8">
        <f>QS.CONTEXT.ADD.CURVE(C6937,"SOFR",$K$2:$K$7,$L$2:$L$7,,,"Actual360","LogLinear",TRUE)</f>
        <v/>
      </c>
      <c r="E6937" s="8">
        <f>QS.INSTRUMENT.SWAP("swap.6935",C6937,H6937,B6937,"USD","SOFR",I6937,J6937,0,"Actual360","Simple","Annual","Annual","Annual")</f>
        <v/>
      </c>
      <c r="F6937" s="8">
        <f>QS.TRADE.CREATE("trade.6935",C6937,E6937,A6937,"Receive")</f>
        <v/>
      </c>
      <c r="G6937" s="5"/>
      <c r="H6937" s="7" t="s">
        <v>6977</v>
      </c>
      <c r="I6937" s="9">
        <v>1693500</v>
      </c>
      <c r="J6937" s="10">
        <v>0.03850000000000001</v>
      </c>
    </row>
    <row r="6938" spans="1:10">
      <c r="A6938" s="7" t="s">
        <v>6971</v>
      </c>
      <c r="B6938" s="7" t="s">
        <v>8805</v>
      </c>
      <c r="C6938" s="8">
        <f>QS.CONTEXT.CREATE("market.6936",A6938,"USD","SOFR")</f>
        <v/>
      </c>
      <c r="D6938" s="8">
        <f>QS.CONTEXT.ADD.CURVE(C6938,"SOFR",$K$2:$K$7,$L$2:$L$7,,,"Actual360","LogLinear",TRUE)</f>
        <v/>
      </c>
      <c r="E6938" s="8">
        <f>QS.INSTRUMENT.SWAP("swap.6936",C6938,H6938,B6938,"USD","SOFR",I6938,J6938,0,"Actual360","Simple","Annual","Annual","Annual")</f>
        <v/>
      </c>
      <c r="F6938" s="8">
        <f>QS.TRADE.CREATE("trade.6936",C6938,E6938,A6938,"Receive")</f>
        <v/>
      </c>
      <c r="G6938" s="5"/>
      <c r="H6938" s="7" t="s">
        <v>6978</v>
      </c>
      <c r="I6938" s="9">
        <v>1693600</v>
      </c>
      <c r="J6938" s="10">
        <v>0.0386</v>
      </c>
    </row>
    <row r="6939" spans="1:10">
      <c r="A6939" s="7" t="s">
        <v>6972</v>
      </c>
      <c r="B6939" s="7" t="s">
        <v>8806</v>
      </c>
      <c r="C6939" s="8">
        <f>QS.CONTEXT.CREATE("market.6937",A6939,"USD","SOFR")</f>
        <v/>
      </c>
      <c r="D6939" s="8">
        <f>QS.CONTEXT.ADD.CURVE(C6939,"SOFR",$K$2:$K$7,$L$2:$L$7,,,"Actual360","LogLinear",TRUE)</f>
        <v/>
      </c>
      <c r="E6939" s="8">
        <f>QS.INSTRUMENT.SWAP("swap.6937",C6939,H6939,B6939,"USD","SOFR",I6939,J6939,0,"Actual360","Simple","Annual","Annual","Annual")</f>
        <v/>
      </c>
      <c r="F6939" s="8">
        <f>QS.TRADE.CREATE("trade.6937",C6939,E6939,A6939,"Receive")</f>
        <v/>
      </c>
      <c r="G6939" s="5"/>
      <c r="H6939" s="7" t="s">
        <v>6979</v>
      </c>
      <c r="I6939" s="9">
        <v>1693700</v>
      </c>
      <c r="J6939" s="10">
        <v>0.03870000000000001</v>
      </c>
    </row>
    <row r="6940" spans="1:10">
      <c r="A6940" s="7" t="s">
        <v>6973</v>
      </c>
      <c r="B6940" s="7" t="s">
        <v>8807</v>
      </c>
      <c r="C6940" s="8">
        <f>QS.CONTEXT.CREATE("market.6938",A6940,"USD","SOFR")</f>
        <v/>
      </c>
      <c r="D6940" s="8">
        <f>QS.CONTEXT.ADD.CURVE(C6940,"SOFR",$K$2:$K$7,$L$2:$L$7,,,"Actual360","LogLinear",TRUE)</f>
        <v/>
      </c>
      <c r="E6940" s="8">
        <f>QS.INSTRUMENT.SWAP("swap.6938",C6940,H6940,B6940,"USD","SOFR",I6940,J6940,0,"Actual360","Simple","Annual","Annual","Annual")</f>
        <v/>
      </c>
      <c r="F6940" s="8">
        <f>QS.TRADE.CREATE("trade.6938",C6940,E6940,A6940,"Receive")</f>
        <v/>
      </c>
      <c r="G6940" s="5"/>
      <c r="H6940" s="7" t="s">
        <v>6980</v>
      </c>
      <c r="I6940" s="9">
        <v>1693800</v>
      </c>
      <c r="J6940" s="10">
        <v>0.0388</v>
      </c>
    </row>
    <row r="6941" spans="1:10">
      <c r="A6941" s="7" t="s">
        <v>6974</v>
      </c>
      <c r="B6941" s="7" t="s">
        <v>8808</v>
      </c>
      <c r="C6941" s="8">
        <f>QS.CONTEXT.CREATE("market.6939",A6941,"USD","SOFR")</f>
        <v/>
      </c>
      <c r="D6941" s="8">
        <f>QS.CONTEXT.ADD.CURVE(C6941,"SOFR",$K$2:$K$7,$L$2:$L$7,,,"Actual360","LogLinear",TRUE)</f>
        <v/>
      </c>
      <c r="E6941" s="8">
        <f>QS.INSTRUMENT.SWAP("swap.6939",C6941,H6941,B6941,"USD","SOFR",I6941,J6941,0,"Actual360","Simple","Annual","Annual","Annual")</f>
        <v/>
      </c>
      <c r="F6941" s="8">
        <f>QS.TRADE.CREATE("trade.6939",C6941,E6941,A6941,"Receive")</f>
        <v/>
      </c>
      <c r="G6941" s="5"/>
      <c r="H6941" s="7" t="s">
        <v>6981</v>
      </c>
      <c r="I6941" s="9">
        <v>1693900</v>
      </c>
      <c r="J6941" s="10">
        <v>0.0389</v>
      </c>
    </row>
    <row r="6942" spans="1:10">
      <c r="A6942" s="7" t="s">
        <v>6975</v>
      </c>
      <c r="B6942" s="7" t="s">
        <v>8809</v>
      </c>
      <c r="C6942" s="8">
        <f>QS.CONTEXT.CREATE("market.6940",A6942,"USD","SOFR")</f>
        <v/>
      </c>
      <c r="D6942" s="8">
        <f>QS.CONTEXT.ADD.CURVE(C6942,"SOFR",$K$2:$K$7,$L$2:$L$7,,,"Actual360","LogLinear",TRUE)</f>
        <v/>
      </c>
      <c r="E6942" s="8">
        <f>QS.INSTRUMENT.SWAP("swap.6940",C6942,H6942,B6942,"USD","SOFR",I6942,J6942,0,"Actual360","Simple","Annual","Annual","Annual")</f>
        <v/>
      </c>
      <c r="F6942" s="8">
        <f>QS.TRADE.CREATE("trade.6940",C6942,E6942,A6942,"Receive")</f>
        <v/>
      </c>
      <c r="G6942" s="5"/>
      <c r="H6942" s="7" t="s">
        <v>6982</v>
      </c>
      <c r="I6942" s="9">
        <v>1694000</v>
      </c>
      <c r="J6942" s="10">
        <v>0.03900000000000001</v>
      </c>
    </row>
    <row r="6943" spans="1:10">
      <c r="A6943" s="7" t="s">
        <v>6976</v>
      </c>
      <c r="B6943" s="7" t="s">
        <v>8810</v>
      </c>
      <c r="C6943" s="8">
        <f>QS.CONTEXT.CREATE("market.6941",A6943,"USD","SOFR")</f>
        <v/>
      </c>
      <c r="D6943" s="8">
        <f>QS.CONTEXT.ADD.CURVE(C6943,"SOFR",$K$2:$K$7,$L$2:$L$7,,,"Actual360","LogLinear",TRUE)</f>
        <v/>
      </c>
      <c r="E6943" s="8">
        <f>QS.INSTRUMENT.SWAP("swap.6941",C6943,H6943,B6943,"USD","SOFR",I6943,J6943,0,"Actual360","Simple","Annual","Annual","Annual")</f>
        <v/>
      </c>
      <c r="F6943" s="8">
        <f>QS.TRADE.CREATE("trade.6941",C6943,E6943,A6943,"Receive")</f>
        <v/>
      </c>
      <c r="G6943" s="5"/>
      <c r="H6943" s="7" t="s">
        <v>6983</v>
      </c>
      <c r="I6943" s="9">
        <v>1694100</v>
      </c>
      <c r="J6943" s="10">
        <v>0.0391</v>
      </c>
    </row>
    <row r="6944" spans="1:10">
      <c r="A6944" s="7" t="s">
        <v>6977</v>
      </c>
      <c r="B6944" s="7" t="s">
        <v>8811</v>
      </c>
      <c r="C6944" s="8">
        <f>QS.CONTEXT.CREATE("market.6942",A6944,"USD","SOFR")</f>
        <v/>
      </c>
      <c r="D6944" s="8">
        <f>QS.CONTEXT.ADD.CURVE(C6944,"SOFR",$K$2:$K$7,$L$2:$L$7,,,"Actual360","LogLinear",TRUE)</f>
        <v/>
      </c>
      <c r="E6944" s="8">
        <f>QS.INSTRUMENT.SWAP("swap.6942",C6944,H6944,B6944,"USD","SOFR",I6944,J6944,0,"Actual360","Simple","Annual","Annual","Annual")</f>
        <v/>
      </c>
      <c r="F6944" s="8">
        <f>QS.TRADE.CREATE("trade.6942",C6944,E6944,A6944,"Receive")</f>
        <v/>
      </c>
      <c r="G6944" s="5"/>
      <c r="H6944" s="7" t="s">
        <v>6984</v>
      </c>
      <c r="I6944" s="9">
        <v>1694200</v>
      </c>
      <c r="J6944" s="10">
        <v>0.03920000000000001</v>
      </c>
    </row>
    <row r="6945" spans="1:10">
      <c r="A6945" s="7" t="s">
        <v>6978</v>
      </c>
      <c r="B6945" s="7" t="s">
        <v>8812</v>
      </c>
      <c r="C6945" s="8">
        <f>QS.CONTEXT.CREATE("market.6943",A6945,"USD","SOFR")</f>
        <v/>
      </c>
      <c r="D6945" s="8">
        <f>QS.CONTEXT.ADD.CURVE(C6945,"SOFR",$K$2:$K$7,$L$2:$L$7,,,"Actual360","LogLinear",TRUE)</f>
        <v/>
      </c>
      <c r="E6945" s="8">
        <f>QS.INSTRUMENT.SWAP("swap.6943",C6945,H6945,B6945,"USD","SOFR",I6945,J6945,0,"Actual360","Simple","Annual","Annual","Annual")</f>
        <v/>
      </c>
      <c r="F6945" s="8">
        <f>QS.TRADE.CREATE("trade.6943",C6945,E6945,A6945,"Receive")</f>
        <v/>
      </c>
      <c r="G6945" s="5"/>
      <c r="H6945" s="7" t="s">
        <v>6985</v>
      </c>
      <c r="I6945" s="9">
        <v>1694300</v>
      </c>
      <c r="J6945" s="10">
        <v>0.0393</v>
      </c>
    </row>
    <row r="6946" spans="1:10">
      <c r="A6946" s="7" t="s">
        <v>6979</v>
      </c>
      <c r="B6946" s="7" t="s">
        <v>8813</v>
      </c>
      <c r="C6946" s="8">
        <f>QS.CONTEXT.CREATE("market.6944",A6946,"USD","SOFR")</f>
        <v/>
      </c>
      <c r="D6946" s="8">
        <f>QS.CONTEXT.ADD.CURVE(C6946,"SOFR",$K$2:$K$7,$L$2:$L$7,,,"Actual360","LogLinear",TRUE)</f>
        <v/>
      </c>
      <c r="E6946" s="8">
        <f>QS.INSTRUMENT.SWAP("swap.6944",C6946,H6946,B6946,"USD","SOFR",I6946,J6946,0,"Actual360","Simple","Annual","Annual","Annual")</f>
        <v/>
      </c>
      <c r="F6946" s="8">
        <f>QS.TRADE.CREATE("trade.6944",C6946,E6946,A6946,"Receive")</f>
        <v/>
      </c>
      <c r="G6946" s="5"/>
      <c r="H6946" s="7" t="s">
        <v>6986</v>
      </c>
      <c r="I6946" s="9">
        <v>1694400</v>
      </c>
      <c r="J6946" s="10">
        <v>0.0394</v>
      </c>
    </row>
    <row r="6947" spans="1:10">
      <c r="A6947" s="7" t="s">
        <v>6980</v>
      </c>
      <c r="B6947" s="7" t="s">
        <v>8814</v>
      </c>
      <c r="C6947" s="8">
        <f>QS.CONTEXT.CREATE("market.6945",A6947,"USD","SOFR")</f>
        <v/>
      </c>
      <c r="D6947" s="8">
        <f>QS.CONTEXT.ADD.CURVE(C6947,"SOFR",$K$2:$K$7,$L$2:$L$7,,,"Actual360","LogLinear",TRUE)</f>
        <v/>
      </c>
      <c r="E6947" s="8">
        <f>QS.INSTRUMENT.SWAP("swap.6945",C6947,H6947,B6947,"USD","SOFR",I6947,J6947,0,"Actual360","Simple","Annual","Annual","Annual")</f>
        <v/>
      </c>
      <c r="F6947" s="8">
        <f>QS.TRADE.CREATE("trade.6945",C6947,E6947,A6947,"Receive")</f>
        <v/>
      </c>
      <c r="G6947" s="5"/>
      <c r="H6947" s="7" t="s">
        <v>6987</v>
      </c>
      <c r="I6947" s="9">
        <v>1694500</v>
      </c>
      <c r="J6947" s="10">
        <v>0.03950000000000001</v>
      </c>
    </row>
    <row r="6948" spans="1:10">
      <c r="A6948" s="7" t="s">
        <v>6981</v>
      </c>
      <c r="B6948" s="7" t="s">
        <v>8815</v>
      </c>
      <c r="C6948" s="8">
        <f>QS.CONTEXT.CREATE("market.6946",A6948,"USD","SOFR")</f>
        <v/>
      </c>
      <c r="D6948" s="8">
        <f>QS.CONTEXT.ADD.CURVE(C6948,"SOFR",$K$2:$K$7,$L$2:$L$7,,,"Actual360","LogLinear",TRUE)</f>
        <v/>
      </c>
      <c r="E6948" s="8">
        <f>QS.INSTRUMENT.SWAP("swap.6946",C6948,H6948,B6948,"USD","SOFR",I6948,J6948,0,"Actual360","Simple","Annual","Annual","Annual")</f>
        <v/>
      </c>
      <c r="F6948" s="8">
        <f>QS.TRADE.CREATE("trade.6946",C6948,E6948,A6948,"Receive")</f>
        <v/>
      </c>
      <c r="G6948" s="5"/>
      <c r="H6948" s="7" t="s">
        <v>6988</v>
      </c>
      <c r="I6948" s="9">
        <v>1694600</v>
      </c>
      <c r="J6948" s="10">
        <v>0.0396</v>
      </c>
    </row>
    <row r="6949" spans="1:10">
      <c r="A6949" s="7" t="s">
        <v>6982</v>
      </c>
      <c r="B6949" s="7" t="s">
        <v>8816</v>
      </c>
      <c r="C6949" s="8">
        <f>QS.CONTEXT.CREATE("market.6947",A6949,"USD","SOFR")</f>
        <v/>
      </c>
      <c r="D6949" s="8">
        <f>QS.CONTEXT.ADD.CURVE(C6949,"SOFR",$K$2:$K$7,$L$2:$L$7,,,"Actual360","LogLinear",TRUE)</f>
        <v/>
      </c>
      <c r="E6949" s="8">
        <f>QS.INSTRUMENT.SWAP("swap.6947",C6949,H6949,B6949,"USD","SOFR",I6949,J6949,0,"Actual360","Simple","Annual","Annual","Annual")</f>
        <v/>
      </c>
      <c r="F6949" s="8">
        <f>QS.TRADE.CREATE("trade.6947",C6949,E6949,A6949,"Receive")</f>
        <v/>
      </c>
      <c r="G6949" s="5"/>
      <c r="H6949" s="7" t="s">
        <v>6989</v>
      </c>
      <c r="I6949" s="9">
        <v>1694700</v>
      </c>
      <c r="J6949" s="10">
        <v>0.03970000000000001</v>
      </c>
    </row>
    <row r="6950" spans="1:10">
      <c r="A6950" s="7" t="s">
        <v>6983</v>
      </c>
      <c r="B6950" s="7" t="s">
        <v>8817</v>
      </c>
      <c r="C6950" s="8">
        <f>QS.CONTEXT.CREATE("market.6948",A6950,"USD","SOFR")</f>
        <v/>
      </c>
      <c r="D6950" s="8">
        <f>QS.CONTEXT.ADD.CURVE(C6950,"SOFR",$K$2:$K$7,$L$2:$L$7,,,"Actual360","LogLinear",TRUE)</f>
        <v/>
      </c>
      <c r="E6950" s="8">
        <f>QS.INSTRUMENT.SWAP("swap.6948",C6950,H6950,B6950,"USD","SOFR",I6950,J6950,0,"Actual360","Simple","Annual","Annual","Annual")</f>
        <v/>
      </c>
      <c r="F6950" s="8">
        <f>QS.TRADE.CREATE("trade.6948",C6950,E6950,A6950,"Receive")</f>
        <v/>
      </c>
      <c r="G6950" s="5"/>
      <c r="H6950" s="7" t="s">
        <v>6990</v>
      </c>
      <c r="I6950" s="9">
        <v>1694800</v>
      </c>
      <c r="J6950" s="10">
        <v>0.0398</v>
      </c>
    </row>
    <row r="6951" spans="1:10">
      <c r="A6951" s="7" t="s">
        <v>6984</v>
      </c>
      <c r="B6951" s="7" t="s">
        <v>8818</v>
      </c>
      <c r="C6951" s="8">
        <f>QS.CONTEXT.CREATE("market.6949",A6951,"USD","SOFR")</f>
        <v/>
      </c>
      <c r="D6951" s="8">
        <f>QS.CONTEXT.ADD.CURVE(C6951,"SOFR",$K$2:$K$7,$L$2:$L$7,,,"Actual360","LogLinear",TRUE)</f>
        <v/>
      </c>
      <c r="E6951" s="8">
        <f>QS.INSTRUMENT.SWAP("swap.6949",C6951,H6951,B6951,"USD","SOFR",I6951,J6951,0,"Actual360","Simple","Annual","Annual","Annual")</f>
        <v/>
      </c>
      <c r="F6951" s="8">
        <f>QS.TRADE.CREATE("trade.6949",C6951,E6951,A6951,"Receive")</f>
        <v/>
      </c>
      <c r="G6951" s="5"/>
      <c r="H6951" s="7" t="s">
        <v>6991</v>
      </c>
      <c r="I6951" s="9">
        <v>1694900</v>
      </c>
      <c r="J6951" s="10">
        <v>0.0399</v>
      </c>
    </row>
    <row r="6952" spans="1:10">
      <c r="A6952" s="7" t="s">
        <v>6985</v>
      </c>
      <c r="B6952" s="7" t="s">
        <v>8819</v>
      </c>
      <c r="C6952" s="8">
        <f>QS.CONTEXT.CREATE("market.6950",A6952,"USD","SOFR")</f>
        <v/>
      </c>
      <c r="D6952" s="8">
        <f>QS.CONTEXT.ADD.CURVE(C6952,"SOFR",$K$2:$K$7,$L$2:$L$7,,,"Actual360","LogLinear",TRUE)</f>
        <v/>
      </c>
      <c r="E6952" s="8">
        <f>QS.INSTRUMENT.SWAP("swap.6950",C6952,H6952,B6952,"USD","SOFR",I6952,J6952,0,"Actual360","Simple","Annual","Annual","Annual")</f>
        <v/>
      </c>
      <c r="F6952" s="8">
        <f>QS.TRADE.CREATE("trade.6950",C6952,E6952,A6952,"Receive")</f>
        <v/>
      </c>
      <c r="G6952" s="5"/>
      <c r="H6952" s="7" t="s">
        <v>6992</v>
      </c>
      <c r="I6952" s="9">
        <v>1695000</v>
      </c>
      <c r="J6952" s="10">
        <v>0.035</v>
      </c>
    </row>
    <row r="6953" spans="1:10">
      <c r="A6953" s="7" t="s">
        <v>6986</v>
      </c>
      <c r="B6953" s="7" t="s">
        <v>8820</v>
      </c>
      <c r="C6953" s="8">
        <f>QS.CONTEXT.CREATE("market.6951",A6953,"USD","SOFR")</f>
        <v/>
      </c>
      <c r="D6953" s="8">
        <f>QS.CONTEXT.ADD.CURVE(C6953,"SOFR",$K$2:$K$7,$L$2:$L$7,,,"Actual360","LogLinear",TRUE)</f>
        <v/>
      </c>
      <c r="E6953" s="8">
        <f>QS.INSTRUMENT.SWAP("swap.6951",C6953,H6953,B6953,"USD","SOFR",I6953,J6953,0,"Actual360","Simple","Annual","Annual","Annual")</f>
        <v/>
      </c>
      <c r="F6953" s="8">
        <f>QS.TRADE.CREATE("trade.6951",C6953,E6953,A6953,"Receive")</f>
        <v/>
      </c>
      <c r="G6953" s="5"/>
      <c r="H6953" s="7" t="s">
        <v>6993</v>
      </c>
      <c r="I6953" s="9">
        <v>1695100</v>
      </c>
      <c r="J6953" s="10">
        <v>0.03510000000000001</v>
      </c>
    </row>
    <row r="6954" spans="1:10">
      <c r="A6954" s="7" t="s">
        <v>6987</v>
      </c>
      <c r="B6954" s="7" t="s">
        <v>8821</v>
      </c>
      <c r="C6954" s="8">
        <f>QS.CONTEXT.CREATE("market.6952",A6954,"USD","SOFR")</f>
        <v/>
      </c>
      <c r="D6954" s="8">
        <f>QS.CONTEXT.ADD.CURVE(C6954,"SOFR",$K$2:$K$7,$L$2:$L$7,,,"Actual360","LogLinear",TRUE)</f>
        <v/>
      </c>
      <c r="E6954" s="8">
        <f>QS.INSTRUMENT.SWAP("swap.6952",C6954,H6954,B6954,"USD","SOFR",I6954,J6954,0,"Actual360","Simple","Annual","Annual","Annual")</f>
        <v/>
      </c>
      <c r="F6954" s="8">
        <f>QS.TRADE.CREATE("trade.6952",C6954,E6954,A6954,"Receive")</f>
        <v/>
      </c>
      <c r="G6954" s="5"/>
      <c r="H6954" s="7" t="s">
        <v>6994</v>
      </c>
      <c r="I6954" s="9">
        <v>1695200</v>
      </c>
      <c r="J6954" s="10">
        <v>0.0352</v>
      </c>
    </row>
    <row r="6955" spans="1:10">
      <c r="A6955" s="7" t="s">
        <v>6988</v>
      </c>
      <c r="B6955" s="7" t="s">
        <v>8822</v>
      </c>
      <c r="C6955" s="8">
        <f>QS.CONTEXT.CREATE("market.6953",A6955,"USD","SOFR")</f>
        <v/>
      </c>
      <c r="D6955" s="8">
        <f>QS.CONTEXT.ADD.CURVE(C6955,"SOFR",$K$2:$K$7,$L$2:$L$7,,,"Actual360","LogLinear",TRUE)</f>
        <v/>
      </c>
      <c r="E6955" s="8">
        <f>QS.INSTRUMENT.SWAP("swap.6953",C6955,H6955,B6955,"USD","SOFR",I6955,J6955,0,"Actual360","Simple","Annual","Annual","Annual")</f>
        <v/>
      </c>
      <c r="F6955" s="8">
        <f>QS.TRADE.CREATE("trade.6953",C6955,E6955,A6955,"Receive")</f>
        <v/>
      </c>
      <c r="G6955" s="5"/>
      <c r="H6955" s="7" t="s">
        <v>6995</v>
      </c>
      <c r="I6955" s="9">
        <v>1695300</v>
      </c>
      <c r="J6955" s="10">
        <v>0.0353</v>
      </c>
    </row>
    <row r="6956" spans="1:10">
      <c r="A6956" s="7" t="s">
        <v>6989</v>
      </c>
      <c r="B6956" s="7" t="s">
        <v>8823</v>
      </c>
      <c r="C6956" s="8">
        <f>QS.CONTEXT.CREATE("market.6954",A6956,"USD","SOFR")</f>
        <v/>
      </c>
      <c r="D6956" s="8">
        <f>QS.CONTEXT.ADD.CURVE(C6956,"SOFR",$K$2:$K$7,$L$2:$L$7,,,"Actual360","LogLinear",TRUE)</f>
        <v/>
      </c>
      <c r="E6956" s="8">
        <f>QS.INSTRUMENT.SWAP("swap.6954",C6956,H6956,B6956,"USD","SOFR",I6956,J6956,0,"Actual360","Simple","Annual","Annual","Annual")</f>
        <v/>
      </c>
      <c r="F6956" s="8">
        <f>QS.TRADE.CREATE("trade.6954",C6956,E6956,A6956,"Receive")</f>
        <v/>
      </c>
      <c r="G6956" s="5"/>
      <c r="H6956" s="7" t="s">
        <v>6996</v>
      </c>
      <c r="I6956" s="9">
        <v>1695400</v>
      </c>
      <c r="J6956" s="10">
        <v>0.0354</v>
      </c>
    </row>
    <row r="6957" spans="1:10">
      <c r="A6957" s="7" t="s">
        <v>6990</v>
      </c>
      <c r="B6957" s="7" t="s">
        <v>8824</v>
      </c>
      <c r="C6957" s="8">
        <f>QS.CONTEXT.CREATE("market.6955",A6957,"USD","SOFR")</f>
        <v/>
      </c>
      <c r="D6957" s="8">
        <f>QS.CONTEXT.ADD.CURVE(C6957,"SOFR",$K$2:$K$7,$L$2:$L$7,,,"Actual360","LogLinear",TRUE)</f>
        <v/>
      </c>
      <c r="E6957" s="8">
        <f>QS.INSTRUMENT.SWAP("swap.6955",C6957,H6957,B6957,"USD","SOFR",I6957,J6957,0,"Actual360","Simple","Annual","Annual","Annual")</f>
        <v/>
      </c>
      <c r="F6957" s="8">
        <f>QS.TRADE.CREATE("trade.6955",C6957,E6957,A6957,"Receive")</f>
        <v/>
      </c>
      <c r="G6957" s="5"/>
      <c r="H6957" s="7" t="s">
        <v>6997</v>
      </c>
      <c r="I6957" s="9">
        <v>1695500</v>
      </c>
      <c r="J6957" s="10">
        <v>0.0355</v>
      </c>
    </row>
    <row r="6958" spans="1:10">
      <c r="A6958" s="7" t="s">
        <v>6991</v>
      </c>
      <c r="B6958" s="7" t="s">
        <v>8825</v>
      </c>
      <c r="C6958" s="8">
        <f>QS.CONTEXT.CREATE("market.6956",A6958,"USD","SOFR")</f>
        <v/>
      </c>
      <c r="D6958" s="8">
        <f>QS.CONTEXT.ADD.CURVE(C6958,"SOFR",$K$2:$K$7,$L$2:$L$7,,,"Actual360","LogLinear",TRUE)</f>
        <v/>
      </c>
      <c r="E6958" s="8">
        <f>QS.INSTRUMENT.SWAP("swap.6956",C6958,H6958,B6958,"USD","SOFR",I6958,J6958,0,"Actual360","Simple","Annual","Annual","Annual")</f>
        <v/>
      </c>
      <c r="F6958" s="8">
        <f>QS.TRADE.CREATE("trade.6956",C6958,E6958,A6958,"Receive")</f>
        <v/>
      </c>
      <c r="G6958" s="5"/>
      <c r="H6958" s="7" t="s">
        <v>6998</v>
      </c>
      <c r="I6958" s="9">
        <v>1695600</v>
      </c>
      <c r="J6958" s="10">
        <v>0.03560000000000001</v>
      </c>
    </row>
    <row r="6959" spans="1:10">
      <c r="A6959" s="7" t="s">
        <v>6992</v>
      </c>
      <c r="B6959" s="7" t="s">
        <v>8826</v>
      </c>
      <c r="C6959" s="8">
        <f>QS.CONTEXT.CREATE("market.6957",A6959,"USD","SOFR")</f>
        <v/>
      </c>
      <c r="D6959" s="8">
        <f>QS.CONTEXT.ADD.CURVE(C6959,"SOFR",$K$2:$K$7,$L$2:$L$7,,,"Actual360","LogLinear",TRUE)</f>
        <v/>
      </c>
      <c r="E6959" s="8">
        <f>QS.INSTRUMENT.SWAP("swap.6957",C6959,H6959,B6959,"USD","SOFR",I6959,J6959,0,"Actual360","Simple","Annual","Annual","Annual")</f>
        <v/>
      </c>
      <c r="F6959" s="8">
        <f>QS.TRADE.CREATE("trade.6957",C6959,E6959,A6959,"Receive")</f>
        <v/>
      </c>
      <c r="G6959" s="5"/>
      <c r="H6959" s="7" t="s">
        <v>6999</v>
      </c>
      <c r="I6959" s="9">
        <v>1695700</v>
      </c>
      <c r="J6959" s="10">
        <v>0.0357</v>
      </c>
    </row>
    <row r="6960" spans="1:10">
      <c r="A6960" s="7" t="s">
        <v>6993</v>
      </c>
      <c r="B6960" s="7" t="s">
        <v>8827</v>
      </c>
      <c r="C6960" s="8">
        <f>QS.CONTEXT.CREATE("market.6958",A6960,"USD","SOFR")</f>
        <v/>
      </c>
      <c r="D6960" s="8">
        <f>QS.CONTEXT.ADD.CURVE(C6960,"SOFR",$K$2:$K$7,$L$2:$L$7,,,"Actual360","LogLinear",TRUE)</f>
        <v/>
      </c>
      <c r="E6960" s="8">
        <f>QS.INSTRUMENT.SWAP("swap.6958",C6960,H6960,B6960,"USD","SOFR",I6960,J6960,0,"Actual360","Simple","Annual","Annual","Annual")</f>
        <v/>
      </c>
      <c r="F6960" s="8">
        <f>QS.TRADE.CREATE("trade.6958",C6960,E6960,A6960,"Receive")</f>
        <v/>
      </c>
      <c r="G6960" s="5"/>
      <c r="H6960" s="7" t="s">
        <v>7000</v>
      </c>
      <c r="I6960" s="9">
        <v>1695800</v>
      </c>
      <c r="J6960" s="10">
        <v>0.03580000000000001</v>
      </c>
    </row>
    <row r="6961" spans="1:10">
      <c r="A6961" s="7" t="s">
        <v>6994</v>
      </c>
      <c r="B6961" s="7" t="s">
        <v>8828</v>
      </c>
      <c r="C6961" s="8">
        <f>QS.CONTEXT.CREATE("market.6959",A6961,"USD","SOFR")</f>
        <v/>
      </c>
      <c r="D6961" s="8">
        <f>QS.CONTEXT.ADD.CURVE(C6961,"SOFR",$K$2:$K$7,$L$2:$L$7,,,"Actual360","LogLinear",TRUE)</f>
        <v/>
      </c>
      <c r="E6961" s="8">
        <f>QS.INSTRUMENT.SWAP("swap.6959",C6961,H6961,B6961,"USD","SOFR",I6961,J6961,0,"Actual360","Simple","Annual","Annual","Annual")</f>
        <v/>
      </c>
      <c r="F6961" s="8">
        <f>QS.TRADE.CREATE("trade.6959",C6961,E6961,A6961,"Receive")</f>
        <v/>
      </c>
      <c r="G6961" s="5"/>
      <c r="H6961" s="7" t="s">
        <v>7001</v>
      </c>
      <c r="I6961" s="9">
        <v>1695900</v>
      </c>
      <c r="J6961" s="10">
        <v>0.0359</v>
      </c>
    </row>
    <row r="6962" spans="1:10">
      <c r="A6962" s="7" t="s">
        <v>6995</v>
      </c>
      <c r="B6962" s="7" t="s">
        <v>8829</v>
      </c>
      <c r="C6962" s="8">
        <f>QS.CONTEXT.CREATE("market.6960",A6962,"USD","SOFR")</f>
        <v/>
      </c>
      <c r="D6962" s="8">
        <f>QS.CONTEXT.ADD.CURVE(C6962,"SOFR",$K$2:$K$7,$L$2:$L$7,,,"Actual360","LogLinear",TRUE)</f>
        <v/>
      </c>
      <c r="E6962" s="8">
        <f>QS.INSTRUMENT.SWAP("swap.6960",C6962,H6962,B6962,"USD","SOFR",I6962,J6962,0,"Actual360","Simple","Annual","Annual","Annual")</f>
        <v/>
      </c>
      <c r="F6962" s="8">
        <f>QS.TRADE.CREATE("trade.6960",C6962,E6962,A6962,"Receive")</f>
        <v/>
      </c>
      <c r="G6962" s="5"/>
      <c r="H6962" s="7" t="s">
        <v>7002</v>
      </c>
      <c r="I6962" s="9">
        <v>1696000</v>
      </c>
      <c r="J6962" s="10">
        <v>0.036</v>
      </c>
    </row>
    <row r="6963" spans="1:10">
      <c r="A6963" s="7" t="s">
        <v>6996</v>
      </c>
      <c r="B6963" s="7" t="s">
        <v>8830</v>
      </c>
      <c r="C6963" s="8">
        <f>QS.CONTEXT.CREATE("market.6961",A6963,"USD","SOFR")</f>
        <v/>
      </c>
      <c r="D6963" s="8">
        <f>QS.CONTEXT.ADD.CURVE(C6963,"SOFR",$K$2:$K$7,$L$2:$L$7,,,"Actual360","LogLinear",TRUE)</f>
        <v/>
      </c>
      <c r="E6963" s="8">
        <f>QS.INSTRUMENT.SWAP("swap.6961",C6963,H6963,B6963,"USD","SOFR",I6963,J6963,0,"Actual360","Simple","Annual","Annual","Annual")</f>
        <v/>
      </c>
      <c r="F6963" s="8">
        <f>QS.TRADE.CREATE("trade.6961",C6963,E6963,A6963,"Receive")</f>
        <v/>
      </c>
      <c r="G6963" s="5"/>
      <c r="H6963" s="7" t="s">
        <v>7003</v>
      </c>
      <c r="I6963" s="9">
        <v>1696100</v>
      </c>
      <c r="J6963" s="10">
        <v>0.0361</v>
      </c>
    </row>
    <row r="6964" spans="1:10">
      <c r="A6964" s="7" t="s">
        <v>6997</v>
      </c>
      <c r="B6964" s="7" t="s">
        <v>8831</v>
      </c>
      <c r="C6964" s="8">
        <f>QS.CONTEXT.CREATE("market.6962",A6964,"USD","SOFR")</f>
        <v/>
      </c>
      <c r="D6964" s="8">
        <f>QS.CONTEXT.ADD.CURVE(C6964,"SOFR",$K$2:$K$7,$L$2:$L$7,,,"Actual360","LogLinear",TRUE)</f>
        <v/>
      </c>
      <c r="E6964" s="8">
        <f>QS.INSTRUMENT.SWAP("swap.6962",C6964,H6964,B6964,"USD","SOFR",I6964,J6964,0,"Actual360","Simple","Annual","Annual","Annual")</f>
        <v/>
      </c>
      <c r="F6964" s="8">
        <f>QS.TRADE.CREATE("trade.6962",C6964,E6964,A6964,"Receive")</f>
        <v/>
      </c>
      <c r="G6964" s="5"/>
      <c r="H6964" s="7" t="s">
        <v>7004</v>
      </c>
      <c r="I6964" s="9">
        <v>1696200</v>
      </c>
      <c r="J6964" s="10">
        <v>0.0362</v>
      </c>
    </row>
    <row r="6965" spans="1:10">
      <c r="A6965" s="7" t="s">
        <v>6998</v>
      </c>
      <c r="B6965" s="7" t="s">
        <v>8832</v>
      </c>
      <c r="C6965" s="8">
        <f>QS.CONTEXT.CREATE("market.6963",A6965,"USD","SOFR")</f>
        <v/>
      </c>
      <c r="D6965" s="8">
        <f>QS.CONTEXT.ADD.CURVE(C6965,"SOFR",$K$2:$K$7,$L$2:$L$7,,,"Actual360","LogLinear",TRUE)</f>
        <v/>
      </c>
      <c r="E6965" s="8">
        <f>QS.INSTRUMENT.SWAP("swap.6963",C6965,H6965,B6965,"USD","SOFR",I6965,J6965,0,"Actual360","Simple","Annual","Annual","Annual")</f>
        <v/>
      </c>
      <c r="F6965" s="8">
        <f>QS.TRADE.CREATE("trade.6963",C6965,E6965,A6965,"Receive")</f>
        <v/>
      </c>
      <c r="G6965" s="5"/>
      <c r="H6965" s="7" t="s">
        <v>7005</v>
      </c>
      <c r="I6965" s="9">
        <v>1696300</v>
      </c>
      <c r="J6965" s="10">
        <v>0.03630000000000001</v>
      </c>
    </row>
    <row r="6966" spans="1:10">
      <c r="A6966" s="7" t="s">
        <v>6999</v>
      </c>
      <c r="B6966" s="7" t="s">
        <v>8833</v>
      </c>
      <c r="C6966" s="8">
        <f>QS.CONTEXT.CREATE("market.6964",A6966,"USD","SOFR")</f>
        <v/>
      </c>
      <c r="D6966" s="8">
        <f>QS.CONTEXT.ADD.CURVE(C6966,"SOFR",$K$2:$K$7,$L$2:$L$7,,,"Actual360","LogLinear",TRUE)</f>
        <v/>
      </c>
      <c r="E6966" s="8">
        <f>QS.INSTRUMENT.SWAP("swap.6964",C6966,H6966,B6966,"USD","SOFR",I6966,J6966,0,"Actual360","Simple","Annual","Annual","Annual")</f>
        <v/>
      </c>
      <c r="F6966" s="8">
        <f>QS.TRADE.CREATE("trade.6964",C6966,E6966,A6966,"Receive")</f>
        <v/>
      </c>
      <c r="G6966" s="5"/>
      <c r="H6966" s="7" t="s">
        <v>7006</v>
      </c>
      <c r="I6966" s="9">
        <v>1696400</v>
      </c>
      <c r="J6966" s="10">
        <v>0.0364</v>
      </c>
    </row>
    <row r="6967" spans="1:10">
      <c r="A6967" s="7" t="s">
        <v>7000</v>
      </c>
      <c r="B6967" s="7" t="s">
        <v>8834</v>
      </c>
      <c r="C6967" s="8">
        <f>QS.CONTEXT.CREATE("market.6965",A6967,"USD","SOFR")</f>
        <v/>
      </c>
      <c r="D6967" s="8">
        <f>QS.CONTEXT.ADD.CURVE(C6967,"SOFR",$K$2:$K$7,$L$2:$L$7,,,"Actual360","LogLinear",TRUE)</f>
        <v/>
      </c>
      <c r="E6967" s="8">
        <f>QS.INSTRUMENT.SWAP("swap.6965",C6967,H6967,B6967,"USD","SOFR",I6967,J6967,0,"Actual360","Simple","Annual","Annual","Annual")</f>
        <v/>
      </c>
      <c r="F6967" s="8">
        <f>QS.TRADE.CREATE("trade.6965",C6967,E6967,A6967,"Receive")</f>
        <v/>
      </c>
      <c r="G6967" s="5"/>
      <c r="H6967" s="7" t="s">
        <v>7007</v>
      </c>
      <c r="I6967" s="9">
        <v>1696500</v>
      </c>
      <c r="J6967" s="10">
        <v>0.0365</v>
      </c>
    </row>
    <row r="6968" spans="1:10">
      <c r="A6968" s="7" t="s">
        <v>7001</v>
      </c>
      <c r="B6968" s="7" t="s">
        <v>8835</v>
      </c>
      <c r="C6968" s="8">
        <f>QS.CONTEXT.CREATE("market.6966",A6968,"USD","SOFR")</f>
        <v/>
      </c>
      <c r="D6968" s="8">
        <f>QS.CONTEXT.ADD.CURVE(C6968,"SOFR",$K$2:$K$7,$L$2:$L$7,,,"Actual360","LogLinear",TRUE)</f>
        <v/>
      </c>
      <c r="E6968" s="8">
        <f>QS.INSTRUMENT.SWAP("swap.6966",C6968,H6968,B6968,"USD","SOFR",I6968,J6968,0,"Actual360","Simple","Annual","Annual","Annual")</f>
        <v/>
      </c>
      <c r="F6968" s="8">
        <f>QS.TRADE.CREATE("trade.6966",C6968,E6968,A6968,"Receive")</f>
        <v/>
      </c>
      <c r="G6968" s="5"/>
      <c r="H6968" s="7" t="s">
        <v>7008</v>
      </c>
      <c r="I6968" s="9">
        <v>1696600</v>
      </c>
      <c r="J6968" s="10">
        <v>0.0366</v>
      </c>
    </row>
    <row r="6969" spans="1:10">
      <c r="A6969" s="7" t="s">
        <v>7002</v>
      </c>
      <c r="B6969" s="7" t="s">
        <v>8836</v>
      </c>
      <c r="C6969" s="8">
        <f>QS.CONTEXT.CREATE("market.6967",A6969,"USD","SOFR")</f>
        <v/>
      </c>
      <c r="D6969" s="8">
        <f>QS.CONTEXT.ADD.CURVE(C6969,"SOFR",$K$2:$K$7,$L$2:$L$7,,,"Actual360","LogLinear",TRUE)</f>
        <v/>
      </c>
      <c r="E6969" s="8">
        <f>QS.INSTRUMENT.SWAP("swap.6967",C6969,H6969,B6969,"USD","SOFR",I6969,J6969,0,"Actual360","Simple","Annual","Annual","Annual")</f>
        <v/>
      </c>
      <c r="F6969" s="8">
        <f>QS.TRADE.CREATE("trade.6967",C6969,E6969,A6969,"Receive")</f>
        <v/>
      </c>
      <c r="G6969" s="5"/>
      <c r="H6969" s="7" t="s">
        <v>7009</v>
      </c>
      <c r="I6969" s="9">
        <v>1696700</v>
      </c>
      <c r="J6969" s="10">
        <v>0.0367</v>
      </c>
    </row>
    <row r="6970" spans="1:10">
      <c r="A6970" s="7" t="s">
        <v>7003</v>
      </c>
      <c r="B6970" s="7" t="s">
        <v>8837</v>
      </c>
      <c r="C6970" s="8">
        <f>QS.CONTEXT.CREATE("market.6968",A6970,"USD","SOFR")</f>
        <v/>
      </c>
      <c r="D6970" s="8">
        <f>QS.CONTEXT.ADD.CURVE(C6970,"SOFR",$K$2:$K$7,$L$2:$L$7,,,"Actual360","LogLinear",TRUE)</f>
        <v/>
      </c>
      <c r="E6970" s="8">
        <f>QS.INSTRUMENT.SWAP("swap.6968",C6970,H6970,B6970,"USD","SOFR",I6970,J6970,0,"Actual360","Simple","Annual","Annual","Annual")</f>
        <v/>
      </c>
      <c r="F6970" s="8">
        <f>QS.TRADE.CREATE("trade.6968",C6970,E6970,A6970,"Receive")</f>
        <v/>
      </c>
      <c r="G6970" s="5"/>
      <c r="H6970" s="7" t="s">
        <v>7010</v>
      </c>
      <c r="I6970" s="9">
        <v>1696800</v>
      </c>
      <c r="J6970" s="10">
        <v>0.03680000000000001</v>
      </c>
    </row>
    <row r="6971" spans="1:10">
      <c r="A6971" s="7" t="s">
        <v>7004</v>
      </c>
      <c r="B6971" s="7" t="s">
        <v>8838</v>
      </c>
      <c r="C6971" s="8">
        <f>QS.CONTEXT.CREATE("market.6969",A6971,"USD","SOFR")</f>
        <v/>
      </c>
      <c r="D6971" s="8">
        <f>QS.CONTEXT.ADD.CURVE(C6971,"SOFR",$K$2:$K$7,$L$2:$L$7,,,"Actual360","LogLinear",TRUE)</f>
        <v/>
      </c>
      <c r="E6971" s="8">
        <f>QS.INSTRUMENT.SWAP("swap.6969",C6971,H6971,B6971,"USD","SOFR",I6971,J6971,0,"Actual360","Simple","Annual","Annual","Annual")</f>
        <v/>
      </c>
      <c r="F6971" s="8">
        <f>QS.TRADE.CREATE("trade.6969",C6971,E6971,A6971,"Receive")</f>
        <v/>
      </c>
      <c r="G6971" s="5"/>
      <c r="H6971" s="7" t="s">
        <v>7011</v>
      </c>
      <c r="I6971" s="9">
        <v>1696900</v>
      </c>
      <c r="J6971" s="10">
        <v>0.0369</v>
      </c>
    </row>
    <row r="6972" spans="1:10">
      <c r="A6972" s="7" t="s">
        <v>7005</v>
      </c>
      <c r="B6972" s="7" t="s">
        <v>8839</v>
      </c>
      <c r="C6972" s="8">
        <f>QS.CONTEXT.CREATE("market.6970",A6972,"USD","SOFR")</f>
        <v/>
      </c>
      <c r="D6972" s="8">
        <f>QS.CONTEXT.ADD.CURVE(C6972,"SOFR",$K$2:$K$7,$L$2:$L$7,,,"Actual360","LogLinear",TRUE)</f>
        <v/>
      </c>
      <c r="E6972" s="8">
        <f>QS.INSTRUMENT.SWAP("swap.6970",C6972,H6972,B6972,"USD","SOFR",I6972,J6972,0,"Actual360","Simple","Annual","Annual","Annual")</f>
        <v/>
      </c>
      <c r="F6972" s="8">
        <f>QS.TRADE.CREATE("trade.6970",C6972,E6972,A6972,"Receive")</f>
        <v/>
      </c>
      <c r="G6972" s="5"/>
      <c r="H6972" s="7" t="s">
        <v>7012</v>
      </c>
      <c r="I6972" s="9">
        <v>1697000</v>
      </c>
      <c r="J6972" s="10">
        <v>0.03700000000000001</v>
      </c>
    </row>
    <row r="6973" spans="1:10">
      <c r="A6973" s="7" t="s">
        <v>7006</v>
      </c>
      <c r="B6973" s="7" t="s">
        <v>8840</v>
      </c>
      <c r="C6973" s="8">
        <f>QS.CONTEXT.CREATE("market.6971",A6973,"USD","SOFR")</f>
        <v/>
      </c>
      <c r="D6973" s="8">
        <f>QS.CONTEXT.ADD.CURVE(C6973,"SOFR",$K$2:$K$7,$L$2:$L$7,,,"Actual360","LogLinear",TRUE)</f>
        <v/>
      </c>
      <c r="E6973" s="8">
        <f>QS.INSTRUMENT.SWAP("swap.6971",C6973,H6973,B6973,"USD","SOFR",I6973,J6973,0,"Actual360","Simple","Annual","Annual","Annual")</f>
        <v/>
      </c>
      <c r="F6973" s="8">
        <f>QS.TRADE.CREATE("trade.6971",C6973,E6973,A6973,"Receive")</f>
        <v/>
      </c>
      <c r="G6973" s="5"/>
      <c r="H6973" s="7" t="s">
        <v>7013</v>
      </c>
      <c r="I6973" s="9">
        <v>1697100</v>
      </c>
      <c r="J6973" s="10">
        <v>0.0371</v>
      </c>
    </row>
    <row r="6974" spans="1:10">
      <c r="A6974" s="7" t="s">
        <v>7007</v>
      </c>
      <c r="B6974" s="7" t="s">
        <v>8841</v>
      </c>
      <c r="C6974" s="8">
        <f>QS.CONTEXT.CREATE("market.6972",A6974,"USD","SOFR")</f>
        <v/>
      </c>
      <c r="D6974" s="8">
        <f>QS.CONTEXT.ADD.CURVE(C6974,"SOFR",$K$2:$K$7,$L$2:$L$7,,,"Actual360","LogLinear",TRUE)</f>
        <v/>
      </c>
      <c r="E6974" s="8">
        <f>QS.INSTRUMENT.SWAP("swap.6972",C6974,H6974,B6974,"USD","SOFR",I6974,J6974,0,"Actual360","Simple","Annual","Annual","Annual")</f>
        <v/>
      </c>
      <c r="F6974" s="8">
        <f>QS.TRADE.CREATE("trade.6972",C6974,E6974,A6974,"Receive")</f>
        <v/>
      </c>
      <c r="G6974" s="5"/>
      <c r="H6974" s="7" t="s">
        <v>7014</v>
      </c>
      <c r="I6974" s="9">
        <v>1697200</v>
      </c>
      <c r="J6974" s="10">
        <v>0.0372</v>
      </c>
    </row>
    <row r="6975" spans="1:10">
      <c r="A6975" s="7" t="s">
        <v>7008</v>
      </c>
      <c r="B6975" s="7" t="s">
        <v>8842</v>
      </c>
      <c r="C6975" s="8">
        <f>QS.CONTEXT.CREATE("market.6973",A6975,"USD","SOFR")</f>
        <v/>
      </c>
      <c r="D6975" s="8">
        <f>QS.CONTEXT.ADD.CURVE(C6975,"SOFR",$K$2:$K$7,$L$2:$L$7,,,"Actual360","LogLinear",TRUE)</f>
        <v/>
      </c>
      <c r="E6975" s="8">
        <f>QS.INSTRUMENT.SWAP("swap.6973",C6975,H6975,B6975,"USD","SOFR",I6975,J6975,0,"Actual360","Simple","Annual","Annual","Annual")</f>
        <v/>
      </c>
      <c r="F6975" s="8">
        <f>QS.TRADE.CREATE("trade.6973",C6975,E6975,A6975,"Receive")</f>
        <v/>
      </c>
      <c r="G6975" s="5"/>
      <c r="H6975" s="7" t="s">
        <v>7015</v>
      </c>
      <c r="I6975" s="9">
        <v>1697300</v>
      </c>
      <c r="J6975" s="10">
        <v>0.0373</v>
      </c>
    </row>
    <row r="6976" spans="1:10">
      <c r="A6976" s="7" t="s">
        <v>7009</v>
      </c>
      <c r="B6976" s="7" t="s">
        <v>8843</v>
      </c>
      <c r="C6976" s="8">
        <f>QS.CONTEXT.CREATE("market.6974",A6976,"USD","SOFR")</f>
        <v/>
      </c>
      <c r="D6976" s="8">
        <f>QS.CONTEXT.ADD.CURVE(C6976,"SOFR",$K$2:$K$7,$L$2:$L$7,,,"Actual360","LogLinear",TRUE)</f>
        <v/>
      </c>
      <c r="E6976" s="8">
        <f>QS.INSTRUMENT.SWAP("swap.6974",C6976,H6976,B6976,"USD","SOFR",I6976,J6976,0,"Actual360","Simple","Annual","Annual","Annual")</f>
        <v/>
      </c>
      <c r="F6976" s="8">
        <f>QS.TRADE.CREATE("trade.6974",C6976,E6976,A6976,"Receive")</f>
        <v/>
      </c>
      <c r="G6976" s="5"/>
      <c r="H6976" s="7" t="s">
        <v>7016</v>
      </c>
      <c r="I6976" s="9">
        <v>1697400</v>
      </c>
      <c r="J6976" s="10">
        <v>0.0374</v>
      </c>
    </row>
    <row r="6977" spans="1:10">
      <c r="A6977" s="7" t="s">
        <v>7010</v>
      </c>
      <c r="B6977" s="7" t="s">
        <v>8844</v>
      </c>
      <c r="C6977" s="8">
        <f>QS.CONTEXT.CREATE("market.6975",A6977,"USD","SOFR")</f>
        <v/>
      </c>
      <c r="D6977" s="8">
        <f>QS.CONTEXT.ADD.CURVE(C6977,"SOFR",$K$2:$K$7,$L$2:$L$7,,,"Actual360","LogLinear",TRUE)</f>
        <v/>
      </c>
      <c r="E6977" s="8">
        <f>QS.INSTRUMENT.SWAP("swap.6975",C6977,H6977,B6977,"USD","SOFR",I6977,J6977,0,"Actual360","Simple","Annual","Annual","Annual")</f>
        <v/>
      </c>
      <c r="F6977" s="8">
        <f>QS.TRADE.CREATE("trade.6975",C6977,E6977,A6977,"Receive")</f>
        <v/>
      </c>
      <c r="G6977" s="5"/>
      <c r="H6977" s="7" t="s">
        <v>7017</v>
      </c>
      <c r="I6977" s="9">
        <v>1697500</v>
      </c>
      <c r="J6977" s="10">
        <v>0.03750000000000001</v>
      </c>
    </row>
    <row r="6978" spans="1:10">
      <c r="A6978" s="7" t="s">
        <v>7011</v>
      </c>
      <c r="B6978" s="7" t="s">
        <v>8845</v>
      </c>
      <c r="C6978" s="8">
        <f>QS.CONTEXT.CREATE("market.6976",A6978,"USD","SOFR")</f>
        <v/>
      </c>
      <c r="D6978" s="8">
        <f>QS.CONTEXT.ADD.CURVE(C6978,"SOFR",$K$2:$K$7,$L$2:$L$7,,,"Actual360","LogLinear",TRUE)</f>
        <v/>
      </c>
      <c r="E6978" s="8">
        <f>QS.INSTRUMENT.SWAP("swap.6976",C6978,H6978,B6978,"USD","SOFR",I6978,J6978,0,"Actual360","Simple","Annual","Annual","Annual")</f>
        <v/>
      </c>
      <c r="F6978" s="8">
        <f>QS.TRADE.CREATE("trade.6976",C6978,E6978,A6978,"Receive")</f>
        <v/>
      </c>
      <c r="G6978" s="5"/>
      <c r="H6978" s="7" t="s">
        <v>7018</v>
      </c>
      <c r="I6978" s="9">
        <v>1697600</v>
      </c>
      <c r="J6978" s="10">
        <v>0.0376</v>
      </c>
    </row>
    <row r="6979" spans="1:10">
      <c r="A6979" s="7" t="s">
        <v>7012</v>
      </c>
      <c r="B6979" s="7" t="s">
        <v>8846</v>
      </c>
      <c r="C6979" s="8">
        <f>QS.CONTEXT.CREATE("market.6977",A6979,"USD","SOFR")</f>
        <v/>
      </c>
      <c r="D6979" s="8">
        <f>QS.CONTEXT.ADD.CURVE(C6979,"SOFR",$K$2:$K$7,$L$2:$L$7,,,"Actual360","LogLinear",TRUE)</f>
        <v/>
      </c>
      <c r="E6979" s="8">
        <f>QS.INSTRUMENT.SWAP("swap.6977",C6979,H6979,B6979,"USD","SOFR",I6979,J6979,0,"Actual360","Simple","Annual","Annual","Annual")</f>
        <v/>
      </c>
      <c r="F6979" s="8">
        <f>QS.TRADE.CREATE("trade.6977",C6979,E6979,A6979,"Receive")</f>
        <v/>
      </c>
      <c r="G6979" s="5"/>
      <c r="H6979" s="7" t="s">
        <v>7019</v>
      </c>
      <c r="I6979" s="9">
        <v>1697700</v>
      </c>
      <c r="J6979" s="10">
        <v>0.0377</v>
      </c>
    </row>
    <row r="6980" spans="1:10">
      <c r="A6980" s="7" t="s">
        <v>7013</v>
      </c>
      <c r="B6980" s="7" t="s">
        <v>8847</v>
      </c>
      <c r="C6980" s="8">
        <f>QS.CONTEXT.CREATE("market.6978",A6980,"USD","SOFR")</f>
        <v/>
      </c>
      <c r="D6980" s="8">
        <f>QS.CONTEXT.ADD.CURVE(C6980,"SOFR",$K$2:$K$7,$L$2:$L$7,,,"Actual360","LogLinear",TRUE)</f>
        <v/>
      </c>
      <c r="E6980" s="8">
        <f>QS.INSTRUMENT.SWAP("swap.6978",C6980,H6980,B6980,"USD","SOFR",I6980,J6980,0,"Actual360","Simple","Annual","Annual","Annual")</f>
        <v/>
      </c>
      <c r="F6980" s="8">
        <f>QS.TRADE.CREATE("trade.6978",C6980,E6980,A6980,"Receive")</f>
        <v/>
      </c>
      <c r="G6980" s="5"/>
      <c r="H6980" s="7" t="s">
        <v>7020</v>
      </c>
      <c r="I6980" s="9">
        <v>1697800</v>
      </c>
      <c r="J6980" s="10">
        <v>0.0378</v>
      </c>
    </row>
    <row r="6981" spans="1:10">
      <c r="A6981" s="7" t="s">
        <v>7014</v>
      </c>
      <c r="B6981" s="7" t="s">
        <v>8848</v>
      </c>
      <c r="C6981" s="8">
        <f>QS.CONTEXT.CREATE("market.6979",A6981,"USD","SOFR")</f>
        <v/>
      </c>
      <c r="D6981" s="8">
        <f>QS.CONTEXT.ADD.CURVE(C6981,"SOFR",$K$2:$K$7,$L$2:$L$7,,,"Actual360","LogLinear",TRUE)</f>
        <v/>
      </c>
      <c r="E6981" s="8">
        <f>QS.INSTRUMENT.SWAP("swap.6979",C6981,H6981,B6981,"USD","SOFR",I6981,J6981,0,"Actual360","Simple","Annual","Annual","Annual")</f>
        <v/>
      </c>
      <c r="F6981" s="8">
        <f>QS.TRADE.CREATE("trade.6979",C6981,E6981,A6981,"Receive")</f>
        <v/>
      </c>
      <c r="G6981" s="5"/>
      <c r="H6981" s="7" t="s">
        <v>7021</v>
      </c>
      <c r="I6981" s="9">
        <v>1697900</v>
      </c>
      <c r="J6981" s="10">
        <v>0.0379</v>
      </c>
    </row>
    <row r="6982" spans="1:10">
      <c r="A6982" s="7" t="s">
        <v>7015</v>
      </c>
      <c r="B6982" s="7" t="s">
        <v>8849</v>
      </c>
      <c r="C6982" s="8">
        <f>QS.CONTEXT.CREATE("market.6980",A6982,"USD","SOFR")</f>
        <v/>
      </c>
      <c r="D6982" s="8">
        <f>QS.CONTEXT.ADD.CURVE(C6982,"SOFR",$K$2:$K$7,$L$2:$L$7,,,"Actual360","LogLinear",TRUE)</f>
        <v/>
      </c>
      <c r="E6982" s="8">
        <f>QS.INSTRUMENT.SWAP("swap.6980",C6982,H6982,B6982,"USD","SOFR",I6982,J6982,0,"Actual360","Simple","Annual","Annual","Annual")</f>
        <v/>
      </c>
      <c r="F6982" s="8">
        <f>QS.TRADE.CREATE("trade.6980",C6982,E6982,A6982,"Receive")</f>
        <v/>
      </c>
      <c r="G6982" s="5"/>
      <c r="H6982" s="7" t="s">
        <v>7022</v>
      </c>
      <c r="I6982" s="9">
        <v>1698000</v>
      </c>
      <c r="J6982" s="10">
        <v>0.03800000000000001</v>
      </c>
    </row>
    <row r="6983" spans="1:10">
      <c r="A6983" s="7" t="s">
        <v>7016</v>
      </c>
      <c r="B6983" s="7" t="s">
        <v>8850</v>
      </c>
      <c r="C6983" s="8">
        <f>QS.CONTEXT.CREATE("market.6981",A6983,"USD","SOFR")</f>
        <v/>
      </c>
      <c r="D6983" s="8">
        <f>QS.CONTEXT.ADD.CURVE(C6983,"SOFR",$K$2:$K$7,$L$2:$L$7,,,"Actual360","LogLinear",TRUE)</f>
        <v/>
      </c>
      <c r="E6983" s="8">
        <f>QS.INSTRUMENT.SWAP("swap.6981",C6983,H6983,B6983,"USD","SOFR",I6983,J6983,0,"Actual360","Simple","Annual","Annual","Annual")</f>
        <v/>
      </c>
      <c r="F6983" s="8">
        <f>QS.TRADE.CREATE("trade.6981",C6983,E6983,A6983,"Receive")</f>
        <v/>
      </c>
      <c r="G6983" s="5"/>
      <c r="H6983" s="7" t="s">
        <v>7023</v>
      </c>
      <c r="I6983" s="9">
        <v>1698100</v>
      </c>
      <c r="J6983" s="10">
        <v>0.0381</v>
      </c>
    </row>
    <row r="6984" spans="1:10">
      <c r="A6984" s="7" t="s">
        <v>7017</v>
      </c>
      <c r="B6984" s="7" t="s">
        <v>8851</v>
      </c>
      <c r="C6984" s="8">
        <f>QS.CONTEXT.CREATE("market.6982",A6984,"USD","SOFR")</f>
        <v/>
      </c>
      <c r="D6984" s="8">
        <f>QS.CONTEXT.ADD.CURVE(C6984,"SOFR",$K$2:$K$7,$L$2:$L$7,,,"Actual360","LogLinear",TRUE)</f>
        <v/>
      </c>
      <c r="E6984" s="8">
        <f>QS.INSTRUMENT.SWAP("swap.6982",C6984,H6984,B6984,"USD","SOFR",I6984,J6984,0,"Actual360","Simple","Annual","Annual","Annual")</f>
        <v/>
      </c>
      <c r="F6984" s="8">
        <f>QS.TRADE.CREATE("trade.6982",C6984,E6984,A6984,"Receive")</f>
        <v/>
      </c>
      <c r="G6984" s="5"/>
      <c r="H6984" s="7" t="s">
        <v>7024</v>
      </c>
      <c r="I6984" s="9">
        <v>1698200</v>
      </c>
      <c r="J6984" s="10">
        <v>0.0382</v>
      </c>
    </row>
    <row r="6985" spans="1:10">
      <c r="A6985" s="7" t="s">
        <v>7018</v>
      </c>
      <c r="B6985" s="7" t="s">
        <v>8852</v>
      </c>
      <c r="C6985" s="8">
        <f>QS.CONTEXT.CREATE("market.6983",A6985,"USD","SOFR")</f>
        <v/>
      </c>
      <c r="D6985" s="8">
        <f>QS.CONTEXT.ADD.CURVE(C6985,"SOFR",$K$2:$K$7,$L$2:$L$7,,,"Actual360","LogLinear",TRUE)</f>
        <v/>
      </c>
      <c r="E6985" s="8">
        <f>QS.INSTRUMENT.SWAP("swap.6983",C6985,H6985,B6985,"USD","SOFR",I6985,J6985,0,"Actual360","Simple","Annual","Annual","Annual")</f>
        <v/>
      </c>
      <c r="F6985" s="8">
        <f>QS.TRADE.CREATE("trade.6983",C6985,E6985,A6985,"Receive")</f>
        <v/>
      </c>
      <c r="G6985" s="5"/>
      <c r="H6985" s="7" t="s">
        <v>7025</v>
      </c>
      <c r="I6985" s="9">
        <v>1698300</v>
      </c>
      <c r="J6985" s="10">
        <v>0.0383</v>
      </c>
    </row>
    <row r="6986" spans="1:10">
      <c r="A6986" s="7" t="s">
        <v>7019</v>
      </c>
      <c r="B6986" s="7" t="s">
        <v>8853</v>
      </c>
      <c r="C6986" s="8">
        <f>QS.CONTEXT.CREATE("market.6984",A6986,"USD","SOFR")</f>
        <v/>
      </c>
      <c r="D6986" s="8">
        <f>QS.CONTEXT.ADD.CURVE(C6986,"SOFR",$K$2:$K$7,$L$2:$L$7,,,"Actual360","LogLinear",TRUE)</f>
        <v/>
      </c>
      <c r="E6986" s="8">
        <f>QS.INSTRUMENT.SWAP("swap.6984",C6986,H6986,B6986,"USD","SOFR",I6986,J6986,0,"Actual360","Simple","Annual","Annual","Annual")</f>
        <v/>
      </c>
      <c r="F6986" s="8">
        <f>QS.TRADE.CREATE("trade.6984",C6986,E6986,A6986,"Receive")</f>
        <v/>
      </c>
      <c r="G6986" s="5"/>
      <c r="H6986" s="7" t="s">
        <v>7026</v>
      </c>
      <c r="I6986" s="9">
        <v>1698400</v>
      </c>
      <c r="J6986" s="10">
        <v>0.0384</v>
      </c>
    </row>
    <row r="6987" spans="1:10">
      <c r="A6987" s="7" t="s">
        <v>7020</v>
      </c>
      <c r="B6987" s="7" t="s">
        <v>8854</v>
      </c>
      <c r="C6987" s="8">
        <f>QS.CONTEXT.CREATE("market.6985",A6987,"USD","SOFR")</f>
        <v/>
      </c>
      <c r="D6987" s="8">
        <f>QS.CONTEXT.ADD.CURVE(C6987,"SOFR",$K$2:$K$7,$L$2:$L$7,,,"Actual360","LogLinear",TRUE)</f>
        <v/>
      </c>
      <c r="E6987" s="8">
        <f>QS.INSTRUMENT.SWAP("swap.6985",C6987,H6987,B6987,"USD","SOFR",I6987,J6987,0,"Actual360","Simple","Annual","Annual","Annual")</f>
        <v/>
      </c>
      <c r="F6987" s="8">
        <f>QS.TRADE.CREATE("trade.6985",C6987,E6987,A6987,"Receive")</f>
        <v/>
      </c>
      <c r="G6987" s="5"/>
      <c r="H6987" s="7" t="s">
        <v>7027</v>
      </c>
      <c r="I6987" s="9">
        <v>1698500</v>
      </c>
      <c r="J6987" s="10">
        <v>0.03850000000000001</v>
      </c>
    </row>
    <row r="6988" spans="1:10">
      <c r="A6988" s="7" t="s">
        <v>7021</v>
      </c>
      <c r="B6988" s="7" t="s">
        <v>8855</v>
      </c>
      <c r="C6988" s="8">
        <f>QS.CONTEXT.CREATE("market.6986",A6988,"USD","SOFR")</f>
        <v/>
      </c>
      <c r="D6988" s="8">
        <f>QS.CONTEXT.ADD.CURVE(C6988,"SOFR",$K$2:$K$7,$L$2:$L$7,,,"Actual360","LogLinear",TRUE)</f>
        <v/>
      </c>
      <c r="E6988" s="8">
        <f>QS.INSTRUMENT.SWAP("swap.6986",C6988,H6988,B6988,"USD","SOFR",I6988,J6988,0,"Actual360","Simple","Annual","Annual","Annual")</f>
        <v/>
      </c>
      <c r="F6988" s="8">
        <f>QS.TRADE.CREATE("trade.6986",C6988,E6988,A6988,"Receive")</f>
        <v/>
      </c>
      <c r="G6988" s="5"/>
      <c r="H6988" s="7" t="s">
        <v>7028</v>
      </c>
      <c r="I6988" s="9">
        <v>1698600</v>
      </c>
      <c r="J6988" s="10">
        <v>0.0386</v>
      </c>
    </row>
    <row r="6989" spans="1:10">
      <c r="A6989" s="7" t="s">
        <v>7022</v>
      </c>
      <c r="B6989" s="7" t="s">
        <v>8856</v>
      </c>
      <c r="C6989" s="8">
        <f>QS.CONTEXT.CREATE("market.6987",A6989,"USD","SOFR")</f>
        <v/>
      </c>
      <c r="D6989" s="8">
        <f>QS.CONTEXT.ADD.CURVE(C6989,"SOFR",$K$2:$K$7,$L$2:$L$7,,,"Actual360","LogLinear",TRUE)</f>
        <v/>
      </c>
      <c r="E6989" s="8">
        <f>QS.INSTRUMENT.SWAP("swap.6987",C6989,H6989,B6989,"USD","SOFR",I6989,J6989,0,"Actual360","Simple","Annual","Annual","Annual")</f>
        <v/>
      </c>
      <c r="F6989" s="8">
        <f>QS.TRADE.CREATE("trade.6987",C6989,E6989,A6989,"Receive")</f>
        <v/>
      </c>
      <c r="G6989" s="5"/>
      <c r="H6989" s="7" t="s">
        <v>7029</v>
      </c>
      <c r="I6989" s="9">
        <v>1698700</v>
      </c>
      <c r="J6989" s="10">
        <v>0.03870000000000001</v>
      </c>
    </row>
    <row r="6990" spans="1:10">
      <c r="A6990" s="7" t="s">
        <v>7023</v>
      </c>
      <c r="B6990" s="7" t="s">
        <v>8857</v>
      </c>
      <c r="C6990" s="8">
        <f>QS.CONTEXT.CREATE("market.6988",A6990,"USD","SOFR")</f>
        <v/>
      </c>
      <c r="D6990" s="8">
        <f>QS.CONTEXT.ADD.CURVE(C6990,"SOFR",$K$2:$K$7,$L$2:$L$7,,,"Actual360","LogLinear",TRUE)</f>
        <v/>
      </c>
      <c r="E6990" s="8">
        <f>QS.INSTRUMENT.SWAP("swap.6988",C6990,H6990,B6990,"USD","SOFR",I6990,J6990,0,"Actual360","Simple","Annual","Annual","Annual")</f>
        <v/>
      </c>
      <c r="F6990" s="8">
        <f>QS.TRADE.CREATE("trade.6988",C6990,E6990,A6990,"Receive")</f>
        <v/>
      </c>
      <c r="G6990" s="5"/>
      <c r="H6990" s="7" t="s">
        <v>7030</v>
      </c>
      <c r="I6990" s="9">
        <v>1698800</v>
      </c>
      <c r="J6990" s="10">
        <v>0.0388</v>
      </c>
    </row>
    <row r="6991" spans="1:10">
      <c r="A6991" s="7" t="s">
        <v>7024</v>
      </c>
      <c r="B6991" s="7" t="s">
        <v>8858</v>
      </c>
      <c r="C6991" s="8">
        <f>QS.CONTEXT.CREATE("market.6989",A6991,"USD","SOFR")</f>
        <v/>
      </c>
      <c r="D6991" s="8">
        <f>QS.CONTEXT.ADD.CURVE(C6991,"SOFR",$K$2:$K$7,$L$2:$L$7,,,"Actual360","LogLinear",TRUE)</f>
        <v/>
      </c>
      <c r="E6991" s="8">
        <f>QS.INSTRUMENT.SWAP("swap.6989",C6991,H6991,B6991,"USD","SOFR",I6991,J6991,0,"Actual360","Simple","Annual","Annual","Annual")</f>
        <v/>
      </c>
      <c r="F6991" s="8">
        <f>QS.TRADE.CREATE("trade.6989",C6991,E6991,A6991,"Receive")</f>
        <v/>
      </c>
      <c r="G6991" s="5"/>
      <c r="H6991" s="7" t="s">
        <v>7031</v>
      </c>
      <c r="I6991" s="9">
        <v>1698900</v>
      </c>
      <c r="J6991" s="10">
        <v>0.0389</v>
      </c>
    </row>
    <row r="6992" spans="1:10">
      <c r="A6992" s="7" t="s">
        <v>7025</v>
      </c>
      <c r="B6992" s="7" t="s">
        <v>8859</v>
      </c>
      <c r="C6992" s="8">
        <f>QS.CONTEXT.CREATE("market.6990",A6992,"USD","SOFR")</f>
        <v/>
      </c>
      <c r="D6992" s="8">
        <f>QS.CONTEXT.ADD.CURVE(C6992,"SOFR",$K$2:$K$7,$L$2:$L$7,,,"Actual360","LogLinear",TRUE)</f>
        <v/>
      </c>
      <c r="E6992" s="8">
        <f>QS.INSTRUMENT.SWAP("swap.6990",C6992,H6992,B6992,"USD","SOFR",I6992,J6992,0,"Actual360","Simple","Annual","Annual","Annual")</f>
        <v/>
      </c>
      <c r="F6992" s="8">
        <f>QS.TRADE.CREATE("trade.6990",C6992,E6992,A6992,"Receive")</f>
        <v/>
      </c>
      <c r="G6992" s="5"/>
      <c r="H6992" s="7" t="s">
        <v>7032</v>
      </c>
      <c r="I6992" s="9">
        <v>1699000</v>
      </c>
      <c r="J6992" s="10">
        <v>0.03900000000000001</v>
      </c>
    </row>
    <row r="6993" spans="1:10">
      <c r="A6993" s="7" t="s">
        <v>7026</v>
      </c>
      <c r="B6993" s="7" t="s">
        <v>8860</v>
      </c>
      <c r="C6993" s="8">
        <f>QS.CONTEXT.CREATE("market.6991",A6993,"USD","SOFR")</f>
        <v/>
      </c>
      <c r="D6993" s="8">
        <f>QS.CONTEXT.ADD.CURVE(C6993,"SOFR",$K$2:$K$7,$L$2:$L$7,,,"Actual360","LogLinear",TRUE)</f>
        <v/>
      </c>
      <c r="E6993" s="8">
        <f>QS.INSTRUMENT.SWAP("swap.6991",C6993,H6993,B6993,"USD","SOFR",I6993,J6993,0,"Actual360","Simple","Annual","Annual","Annual")</f>
        <v/>
      </c>
      <c r="F6993" s="8">
        <f>QS.TRADE.CREATE("trade.6991",C6993,E6993,A6993,"Receive")</f>
        <v/>
      </c>
      <c r="G6993" s="5"/>
      <c r="H6993" s="7" t="s">
        <v>7033</v>
      </c>
      <c r="I6993" s="9">
        <v>1699100</v>
      </c>
      <c r="J6993" s="10">
        <v>0.0391</v>
      </c>
    </row>
    <row r="6994" spans="1:10">
      <c r="A6994" s="7" t="s">
        <v>7027</v>
      </c>
      <c r="B6994" s="7" t="s">
        <v>8861</v>
      </c>
      <c r="C6994" s="8">
        <f>QS.CONTEXT.CREATE("market.6992",A6994,"USD","SOFR")</f>
        <v/>
      </c>
      <c r="D6994" s="8">
        <f>QS.CONTEXT.ADD.CURVE(C6994,"SOFR",$K$2:$K$7,$L$2:$L$7,,,"Actual360","LogLinear",TRUE)</f>
        <v/>
      </c>
      <c r="E6994" s="8">
        <f>QS.INSTRUMENT.SWAP("swap.6992",C6994,H6994,B6994,"USD","SOFR",I6994,J6994,0,"Actual360","Simple","Annual","Annual","Annual")</f>
        <v/>
      </c>
      <c r="F6994" s="8">
        <f>QS.TRADE.CREATE("trade.6992",C6994,E6994,A6994,"Receive")</f>
        <v/>
      </c>
      <c r="G6994" s="5"/>
      <c r="H6994" s="7" t="s">
        <v>7035</v>
      </c>
      <c r="I6994" s="9">
        <v>1699200</v>
      </c>
      <c r="J6994" s="10">
        <v>0.03920000000000001</v>
      </c>
    </row>
    <row r="6995" spans="1:10">
      <c r="A6995" s="7" t="s">
        <v>7028</v>
      </c>
      <c r="B6995" s="7" t="s">
        <v>8862</v>
      </c>
      <c r="C6995" s="8">
        <f>QS.CONTEXT.CREATE("market.6993",A6995,"USD","SOFR")</f>
        <v/>
      </c>
      <c r="D6995" s="8">
        <f>QS.CONTEXT.ADD.CURVE(C6995,"SOFR",$K$2:$K$7,$L$2:$L$7,,,"Actual360","LogLinear",TRUE)</f>
        <v/>
      </c>
      <c r="E6995" s="8">
        <f>QS.INSTRUMENT.SWAP("swap.6993",C6995,H6995,B6995,"USD","SOFR",I6995,J6995,0,"Actual360","Simple","Annual","Annual","Annual")</f>
        <v/>
      </c>
      <c r="F6995" s="8">
        <f>QS.TRADE.CREATE("trade.6993",C6995,E6995,A6995,"Receive")</f>
        <v/>
      </c>
      <c r="G6995" s="5"/>
      <c r="H6995" s="7" t="s">
        <v>7036</v>
      </c>
      <c r="I6995" s="9">
        <v>1699300</v>
      </c>
      <c r="J6995" s="10">
        <v>0.0393</v>
      </c>
    </row>
    <row r="6996" spans="1:10">
      <c r="A6996" s="7" t="s">
        <v>7029</v>
      </c>
      <c r="B6996" s="7" t="s">
        <v>8863</v>
      </c>
      <c r="C6996" s="8">
        <f>QS.CONTEXT.CREATE("market.6994",A6996,"USD","SOFR")</f>
        <v/>
      </c>
      <c r="D6996" s="8">
        <f>QS.CONTEXT.ADD.CURVE(C6996,"SOFR",$K$2:$K$7,$L$2:$L$7,,,"Actual360","LogLinear",TRUE)</f>
        <v/>
      </c>
      <c r="E6996" s="8">
        <f>QS.INSTRUMENT.SWAP("swap.6994",C6996,H6996,B6996,"USD","SOFR",I6996,J6996,0,"Actual360","Simple","Annual","Annual","Annual")</f>
        <v/>
      </c>
      <c r="F6996" s="8">
        <f>QS.TRADE.CREATE("trade.6994",C6996,E6996,A6996,"Receive")</f>
        <v/>
      </c>
      <c r="G6996" s="5"/>
      <c r="H6996" s="7" t="s">
        <v>7037</v>
      </c>
      <c r="I6996" s="9">
        <v>1699400</v>
      </c>
      <c r="J6996" s="10">
        <v>0.0394</v>
      </c>
    </row>
    <row r="6997" spans="1:10">
      <c r="A6997" s="7" t="s">
        <v>7030</v>
      </c>
      <c r="B6997" s="7" t="s">
        <v>8864</v>
      </c>
      <c r="C6997" s="8">
        <f>QS.CONTEXT.CREATE("market.6995",A6997,"USD","SOFR")</f>
        <v/>
      </c>
      <c r="D6997" s="8">
        <f>QS.CONTEXT.ADD.CURVE(C6997,"SOFR",$K$2:$K$7,$L$2:$L$7,,,"Actual360","LogLinear",TRUE)</f>
        <v/>
      </c>
      <c r="E6997" s="8">
        <f>QS.INSTRUMENT.SWAP("swap.6995",C6997,H6997,B6997,"USD","SOFR",I6997,J6997,0,"Actual360","Simple","Annual","Annual","Annual")</f>
        <v/>
      </c>
      <c r="F6997" s="8">
        <f>QS.TRADE.CREATE("trade.6995",C6997,E6997,A6997,"Receive")</f>
        <v/>
      </c>
      <c r="G6997" s="5"/>
      <c r="H6997" s="7" t="s">
        <v>7038</v>
      </c>
      <c r="I6997" s="9">
        <v>1699500</v>
      </c>
      <c r="J6997" s="10">
        <v>0.03950000000000001</v>
      </c>
    </row>
    <row r="6998" spans="1:10">
      <c r="A6998" s="7" t="s">
        <v>7031</v>
      </c>
      <c r="B6998" s="7" t="s">
        <v>8865</v>
      </c>
      <c r="C6998" s="8">
        <f>QS.CONTEXT.CREATE("market.6996",A6998,"USD","SOFR")</f>
        <v/>
      </c>
      <c r="D6998" s="8">
        <f>QS.CONTEXT.ADD.CURVE(C6998,"SOFR",$K$2:$K$7,$L$2:$L$7,,,"Actual360","LogLinear",TRUE)</f>
        <v/>
      </c>
      <c r="E6998" s="8">
        <f>QS.INSTRUMENT.SWAP("swap.6996",C6998,H6998,B6998,"USD","SOFR",I6998,J6998,0,"Actual360","Simple","Annual","Annual","Annual")</f>
        <v/>
      </c>
      <c r="F6998" s="8">
        <f>QS.TRADE.CREATE("trade.6996",C6998,E6998,A6998,"Receive")</f>
        <v/>
      </c>
      <c r="G6998" s="5"/>
      <c r="H6998" s="7" t="s">
        <v>7039</v>
      </c>
      <c r="I6998" s="9">
        <v>1699600</v>
      </c>
      <c r="J6998" s="10">
        <v>0.0396</v>
      </c>
    </row>
    <row r="6999" spans="1:10">
      <c r="A6999" s="7" t="s">
        <v>7032</v>
      </c>
      <c r="B6999" s="7" t="s">
        <v>8866</v>
      </c>
      <c r="C6999" s="8">
        <f>QS.CONTEXT.CREATE("market.6997",A6999,"USD","SOFR")</f>
        <v/>
      </c>
      <c r="D6999" s="8">
        <f>QS.CONTEXT.ADD.CURVE(C6999,"SOFR",$K$2:$K$7,$L$2:$L$7,,,"Actual360","LogLinear",TRUE)</f>
        <v/>
      </c>
      <c r="E6999" s="8">
        <f>QS.INSTRUMENT.SWAP("swap.6997",C6999,H6999,B6999,"USD","SOFR",I6999,J6999,0,"Actual360","Simple","Annual","Annual","Annual")</f>
        <v/>
      </c>
      <c r="F6999" s="8">
        <f>QS.TRADE.CREATE("trade.6997",C6999,E6999,A6999,"Receive")</f>
        <v/>
      </c>
      <c r="G6999" s="5"/>
      <c r="H6999" s="7" t="s">
        <v>7040</v>
      </c>
      <c r="I6999" s="9">
        <v>1699700</v>
      </c>
      <c r="J6999" s="10">
        <v>0.03970000000000001</v>
      </c>
    </row>
    <row r="7000" spans="1:10">
      <c r="A7000" s="7" t="s">
        <v>7033</v>
      </c>
      <c r="B7000" s="7" t="s">
        <v>8867</v>
      </c>
      <c r="C7000" s="8">
        <f>QS.CONTEXT.CREATE("market.6998",A7000,"USD","SOFR")</f>
        <v/>
      </c>
      <c r="D7000" s="8">
        <f>QS.CONTEXT.ADD.CURVE(C7000,"SOFR",$K$2:$K$7,$L$2:$L$7,,,"Actual360","LogLinear",TRUE)</f>
        <v/>
      </c>
      <c r="E7000" s="8">
        <f>QS.INSTRUMENT.SWAP("swap.6998",C7000,H7000,B7000,"USD","SOFR",I7000,J7000,0,"Actual360","Simple","Annual","Annual","Annual")</f>
        <v/>
      </c>
      <c r="F7000" s="8">
        <f>QS.TRADE.CREATE("trade.6998",C7000,E7000,A7000,"Receive")</f>
        <v/>
      </c>
      <c r="G7000" s="5"/>
      <c r="H7000" s="7" t="s">
        <v>7041</v>
      </c>
      <c r="I7000" s="9">
        <v>1699800</v>
      </c>
      <c r="J7000" s="10">
        <v>0.0398</v>
      </c>
    </row>
    <row r="7001" spans="1:10">
      <c r="A7001" s="7" t="s">
        <v>7035</v>
      </c>
      <c r="B7001" s="7" t="s">
        <v>8868</v>
      </c>
      <c r="C7001" s="8">
        <f>QS.CONTEXT.CREATE("market.6999",A7001,"USD","SOFR")</f>
        <v/>
      </c>
      <c r="D7001" s="8">
        <f>QS.CONTEXT.ADD.CURVE(C7001,"SOFR",$K$2:$K$7,$L$2:$L$7,,,"Actual360","LogLinear",TRUE)</f>
        <v/>
      </c>
      <c r="E7001" s="8">
        <f>QS.INSTRUMENT.SWAP("swap.6999",C7001,H7001,B7001,"USD","SOFR",I7001,J7001,0,"Actual360","Simple","Annual","Annual","Annual")</f>
        <v/>
      </c>
      <c r="F7001" s="8">
        <f>QS.TRADE.CREATE("trade.6999",C7001,E7001,A7001,"Receive")</f>
        <v/>
      </c>
      <c r="G7001" s="5"/>
      <c r="H7001" s="7" t="s">
        <v>7042</v>
      </c>
      <c r="I7001" s="9">
        <v>1699900</v>
      </c>
      <c r="J7001" s="10">
        <v>0.0399</v>
      </c>
    </row>
    <row r="7002" spans="1:10">
      <c r="A7002" s="7" t="s">
        <v>7036</v>
      </c>
      <c r="B7002" s="7" t="s">
        <v>8869</v>
      </c>
      <c r="C7002" s="8">
        <f>QS.CONTEXT.CREATE("market.7000",A7002,"USD","SOFR")</f>
        <v/>
      </c>
      <c r="D7002" s="8">
        <f>QS.CONTEXT.ADD.CURVE(C7002,"SOFR",$K$2:$K$7,$L$2:$L$7,,,"Actual360","LogLinear",TRUE)</f>
        <v/>
      </c>
      <c r="E7002" s="8">
        <f>QS.INSTRUMENT.SWAP("swap.7000",C7002,H7002,B7002,"USD","SOFR",I7002,J7002,0,"Actual360","Simple","Annual","Annual","Annual")</f>
        <v/>
      </c>
      <c r="F7002" s="8">
        <f>QS.TRADE.CREATE("trade.7000",C7002,E7002,A7002,"Receive")</f>
        <v/>
      </c>
      <c r="G7002" s="5"/>
      <c r="H7002" s="7" t="s">
        <v>7043</v>
      </c>
      <c r="I7002" s="9">
        <v>1700000</v>
      </c>
      <c r="J7002" s="10">
        <v>0.035</v>
      </c>
    </row>
    <row r="7003" spans="1:10">
      <c r="A7003" s="7" t="s">
        <v>7037</v>
      </c>
      <c r="B7003" s="7" t="s">
        <v>8870</v>
      </c>
      <c r="C7003" s="8">
        <f>QS.CONTEXT.CREATE("market.7001",A7003,"USD","SOFR")</f>
        <v/>
      </c>
      <c r="D7003" s="8">
        <f>QS.CONTEXT.ADD.CURVE(C7003,"SOFR",$K$2:$K$7,$L$2:$L$7,,,"Actual360","LogLinear",TRUE)</f>
        <v/>
      </c>
      <c r="E7003" s="8">
        <f>QS.INSTRUMENT.SWAP("swap.7001",C7003,H7003,B7003,"USD","SOFR",I7003,J7003,0,"Actual360","Simple","Annual","Annual","Annual")</f>
        <v/>
      </c>
      <c r="F7003" s="8">
        <f>QS.TRADE.CREATE("trade.7001",C7003,E7003,A7003,"Receive")</f>
        <v/>
      </c>
      <c r="G7003" s="5"/>
      <c r="H7003" s="7" t="s">
        <v>7044</v>
      </c>
      <c r="I7003" s="9">
        <v>1700100</v>
      </c>
      <c r="J7003" s="10">
        <v>0.03510000000000001</v>
      </c>
    </row>
    <row r="7004" spans="1:10">
      <c r="A7004" s="7" t="s">
        <v>7038</v>
      </c>
      <c r="B7004" s="7" t="s">
        <v>8871</v>
      </c>
      <c r="C7004" s="8">
        <f>QS.CONTEXT.CREATE("market.7002",A7004,"USD","SOFR")</f>
        <v/>
      </c>
      <c r="D7004" s="8">
        <f>QS.CONTEXT.ADD.CURVE(C7004,"SOFR",$K$2:$K$7,$L$2:$L$7,,,"Actual360","LogLinear",TRUE)</f>
        <v/>
      </c>
      <c r="E7004" s="8">
        <f>QS.INSTRUMENT.SWAP("swap.7002",C7004,H7004,B7004,"USD","SOFR",I7004,J7004,0,"Actual360","Simple","Annual","Annual","Annual")</f>
        <v/>
      </c>
      <c r="F7004" s="8">
        <f>QS.TRADE.CREATE("trade.7002",C7004,E7004,A7004,"Receive")</f>
        <v/>
      </c>
      <c r="G7004" s="5"/>
      <c r="H7004" s="7" t="s">
        <v>7045</v>
      </c>
      <c r="I7004" s="9">
        <v>1700200</v>
      </c>
      <c r="J7004" s="10">
        <v>0.0352</v>
      </c>
    </row>
    <row r="7005" spans="1:10">
      <c r="A7005" s="7" t="s">
        <v>7039</v>
      </c>
      <c r="B7005" s="7" t="s">
        <v>8872</v>
      </c>
      <c r="C7005" s="8">
        <f>QS.CONTEXT.CREATE("market.7003",A7005,"USD","SOFR")</f>
        <v/>
      </c>
      <c r="D7005" s="8">
        <f>QS.CONTEXT.ADD.CURVE(C7005,"SOFR",$K$2:$K$7,$L$2:$L$7,,,"Actual360","LogLinear",TRUE)</f>
        <v/>
      </c>
      <c r="E7005" s="8">
        <f>QS.INSTRUMENT.SWAP("swap.7003",C7005,H7005,B7005,"USD","SOFR",I7005,J7005,0,"Actual360","Simple","Annual","Annual","Annual")</f>
        <v/>
      </c>
      <c r="F7005" s="8">
        <f>QS.TRADE.CREATE("trade.7003",C7005,E7005,A7005,"Receive")</f>
        <v/>
      </c>
      <c r="G7005" s="5"/>
      <c r="H7005" s="7" t="s">
        <v>7046</v>
      </c>
      <c r="I7005" s="9">
        <v>1700300</v>
      </c>
      <c r="J7005" s="10">
        <v>0.0353</v>
      </c>
    </row>
    <row r="7006" spans="1:10">
      <c r="A7006" s="7" t="s">
        <v>7040</v>
      </c>
      <c r="B7006" s="7" t="s">
        <v>8873</v>
      </c>
      <c r="C7006" s="8">
        <f>QS.CONTEXT.CREATE("market.7004",A7006,"USD","SOFR")</f>
        <v/>
      </c>
      <c r="D7006" s="8">
        <f>QS.CONTEXT.ADD.CURVE(C7006,"SOFR",$K$2:$K$7,$L$2:$L$7,,,"Actual360","LogLinear",TRUE)</f>
        <v/>
      </c>
      <c r="E7006" s="8">
        <f>QS.INSTRUMENT.SWAP("swap.7004",C7006,H7006,B7006,"USD","SOFR",I7006,J7006,0,"Actual360","Simple","Annual","Annual","Annual")</f>
        <v/>
      </c>
      <c r="F7006" s="8">
        <f>QS.TRADE.CREATE("trade.7004",C7006,E7006,A7006,"Receive")</f>
        <v/>
      </c>
      <c r="G7006" s="5"/>
      <c r="H7006" s="7" t="s">
        <v>7047</v>
      </c>
      <c r="I7006" s="9">
        <v>1700400</v>
      </c>
      <c r="J7006" s="10">
        <v>0.0354</v>
      </c>
    </row>
    <row r="7007" spans="1:10">
      <c r="A7007" s="7" t="s">
        <v>7041</v>
      </c>
      <c r="B7007" s="7" t="s">
        <v>8874</v>
      </c>
      <c r="C7007" s="8">
        <f>QS.CONTEXT.CREATE("market.7005",A7007,"USD","SOFR")</f>
        <v/>
      </c>
      <c r="D7007" s="8">
        <f>QS.CONTEXT.ADD.CURVE(C7007,"SOFR",$K$2:$K$7,$L$2:$L$7,,,"Actual360","LogLinear",TRUE)</f>
        <v/>
      </c>
      <c r="E7007" s="8">
        <f>QS.INSTRUMENT.SWAP("swap.7005",C7007,H7007,B7007,"USD","SOFR",I7007,J7007,0,"Actual360","Simple","Annual","Annual","Annual")</f>
        <v/>
      </c>
      <c r="F7007" s="8">
        <f>QS.TRADE.CREATE("trade.7005",C7007,E7007,A7007,"Receive")</f>
        <v/>
      </c>
      <c r="G7007" s="5"/>
      <c r="H7007" s="7" t="s">
        <v>7048</v>
      </c>
      <c r="I7007" s="9">
        <v>1700500</v>
      </c>
      <c r="J7007" s="10">
        <v>0.0355</v>
      </c>
    </row>
    <row r="7008" spans="1:10">
      <c r="A7008" s="7" t="s">
        <v>7042</v>
      </c>
      <c r="B7008" s="7" t="s">
        <v>8875</v>
      </c>
      <c r="C7008" s="8">
        <f>QS.CONTEXT.CREATE("market.7006",A7008,"USD","SOFR")</f>
        <v/>
      </c>
      <c r="D7008" s="8">
        <f>QS.CONTEXT.ADD.CURVE(C7008,"SOFR",$K$2:$K$7,$L$2:$L$7,,,"Actual360","LogLinear",TRUE)</f>
        <v/>
      </c>
      <c r="E7008" s="8">
        <f>QS.INSTRUMENT.SWAP("swap.7006",C7008,H7008,B7008,"USD","SOFR",I7008,J7008,0,"Actual360","Simple","Annual","Annual","Annual")</f>
        <v/>
      </c>
      <c r="F7008" s="8">
        <f>QS.TRADE.CREATE("trade.7006",C7008,E7008,A7008,"Receive")</f>
        <v/>
      </c>
      <c r="G7008" s="5"/>
      <c r="H7008" s="7" t="s">
        <v>7049</v>
      </c>
      <c r="I7008" s="9">
        <v>1700600</v>
      </c>
      <c r="J7008" s="10">
        <v>0.03560000000000001</v>
      </c>
    </row>
    <row r="7009" spans="1:10">
      <c r="A7009" s="7" t="s">
        <v>7043</v>
      </c>
      <c r="B7009" s="7" t="s">
        <v>8876</v>
      </c>
      <c r="C7009" s="8">
        <f>QS.CONTEXT.CREATE("market.7007",A7009,"USD","SOFR")</f>
        <v/>
      </c>
      <c r="D7009" s="8">
        <f>QS.CONTEXT.ADD.CURVE(C7009,"SOFR",$K$2:$K$7,$L$2:$L$7,,,"Actual360","LogLinear",TRUE)</f>
        <v/>
      </c>
      <c r="E7009" s="8">
        <f>QS.INSTRUMENT.SWAP("swap.7007",C7009,H7009,B7009,"USD","SOFR",I7009,J7009,0,"Actual360","Simple","Annual","Annual","Annual")</f>
        <v/>
      </c>
      <c r="F7009" s="8">
        <f>QS.TRADE.CREATE("trade.7007",C7009,E7009,A7009,"Receive")</f>
        <v/>
      </c>
      <c r="G7009" s="5"/>
      <c r="H7009" s="7" t="s">
        <v>7050</v>
      </c>
      <c r="I7009" s="9">
        <v>1700700</v>
      </c>
      <c r="J7009" s="10">
        <v>0.0357</v>
      </c>
    </row>
    <row r="7010" spans="1:10">
      <c r="A7010" s="7" t="s">
        <v>7044</v>
      </c>
      <c r="B7010" s="7" t="s">
        <v>8877</v>
      </c>
      <c r="C7010" s="8">
        <f>QS.CONTEXT.CREATE("market.7008",A7010,"USD","SOFR")</f>
        <v/>
      </c>
      <c r="D7010" s="8">
        <f>QS.CONTEXT.ADD.CURVE(C7010,"SOFR",$K$2:$K$7,$L$2:$L$7,,,"Actual360","LogLinear",TRUE)</f>
        <v/>
      </c>
      <c r="E7010" s="8">
        <f>QS.INSTRUMENT.SWAP("swap.7008",C7010,H7010,B7010,"USD","SOFR",I7010,J7010,0,"Actual360","Simple","Annual","Annual","Annual")</f>
        <v/>
      </c>
      <c r="F7010" s="8">
        <f>QS.TRADE.CREATE("trade.7008",C7010,E7010,A7010,"Receive")</f>
        <v/>
      </c>
      <c r="G7010" s="5"/>
      <c r="H7010" s="7" t="s">
        <v>7051</v>
      </c>
      <c r="I7010" s="9">
        <v>1700800</v>
      </c>
      <c r="J7010" s="10">
        <v>0.03580000000000001</v>
      </c>
    </row>
    <row r="7011" spans="1:10">
      <c r="A7011" s="7" t="s">
        <v>7045</v>
      </c>
      <c r="B7011" s="7" t="s">
        <v>8878</v>
      </c>
      <c r="C7011" s="8">
        <f>QS.CONTEXT.CREATE("market.7009",A7011,"USD","SOFR")</f>
        <v/>
      </c>
      <c r="D7011" s="8">
        <f>QS.CONTEXT.ADD.CURVE(C7011,"SOFR",$K$2:$K$7,$L$2:$L$7,,,"Actual360","LogLinear",TRUE)</f>
        <v/>
      </c>
      <c r="E7011" s="8">
        <f>QS.INSTRUMENT.SWAP("swap.7009",C7011,H7011,B7011,"USD","SOFR",I7011,J7011,0,"Actual360","Simple","Annual","Annual","Annual")</f>
        <v/>
      </c>
      <c r="F7011" s="8">
        <f>QS.TRADE.CREATE("trade.7009",C7011,E7011,A7011,"Receive")</f>
        <v/>
      </c>
      <c r="G7011" s="5"/>
      <c r="H7011" s="7" t="s">
        <v>7052</v>
      </c>
      <c r="I7011" s="9">
        <v>1700900</v>
      </c>
      <c r="J7011" s="10">
        <v>0.0359</v>
      </c>
    </row>
    <row r="7012" spans="1:10">
      <c r="A7012" s="7" t="s">
        <v>7046</v>
      </c>
      <c r="B7012" s="7" t="s">
        <v>8879</v>
      </c>
      <c r="C7012" s="8">
        <f>QS.CONTEXT.CREATE("market.7010",A7012,"USD","SOFR")</f>
        <v/>
      </c>
      <c r="D7012" s="8">
        <f>QS.CONTEXT.ADD.CURVE(C7012,"SOFR",$K$2:$K$7,$L$2:$L$7,,,"Actual360","LogLinear",TRUE)</f>
        <v/>
      </c>
      <c r="E7012" s="8">
        <f>QS.INSTRUMENT.SWAP("swap.7010",C7012,H7012,B7012,"USD","SOFR",I7012,J7012,0,"Actual360","Simple","Annual","Annual","Annual")</f>
        <v/>
      </c>
      <c r="F7012" s="8">
        <f>QS.TRADE.CREATE("trade.7010",C7012,E7012,A7012,"Receive")</f>
        <v/>
      </c>
      <c r="G7012" s="5"/>
      <c r="H7012" s="7" t="s">
        <v>7053</v>
      </c>
      <c r="I7012" s="9">
        <v>1701000</v>
      </c>
      <c r="J7012" s="10">
        <v>0.036</v>
      </c>
    </row>
    <row r="7013" spans="1:10">
      <c r="A7013" s="7" t="s">
        <v>7047</v>
      </c>
      <c r="B7013" s="7" t="s">
        <v>8880</v>
      </c>
      <c r="C7013" s="8">
        <f>QS.CONTEXT.CREATE("market.7011",A7013,"USD","SOFR")</f>
        <v/>
      </c>
      <c r="D7013" s="8">
        <f>QS.CONTEXT.ADD.CURVE(C7013,"SOFR",$K$2:$K$7,$L$2:$L$7,,,"Actual360","LogLinear",TRUE)</f>
        <v/>
      </c>
      <c r="E7013" s="8">
        <f>QS.INSTRUMENT.SWAP("swap.7011",C7013,H7013,B7013,"USD","SOFR",I7013,J7013,0,"Actual360","Simple","Annual","Annual","Annual")</f>
        <v/>
      </c>
      <c r="F7013" s="8">
        <f>QS.TRADE.CREATE("trade.7011",C7013,E7013,A7013,"Receive")</f>
        <v/>
      </c>
      <c r="G7013" s="5"/>
      <c r="H7013" s="7" t="s">
        <v>7054</v>
      </c>
      <c r="I7013" s="9">
        <v>1701100</v>
      </c>
      <c r="J7013" s="10">
        <v>0.0361</v>
      </c>
    </row>
    <row r="7014" spans="1:10">
      <c r="A7014" s="7" t="s">
        <v>7048</v>
      </c>
      <c r="B7014" s="7" t="s">
        <v>8881</v>
      </c>
      <c r="C7014" s="8">
        <f>QS.CONTEXT.CREATE("market.7012",A7014,"USD","SOFR")</f>
        <v/>
      </c>
      <c r="D7014" s="8">
        <f>QS.CONTEXT.ADD.CURVE(C7014,"SOFR",$K$2:$K$7,$L$2:$L$7,,,"Actual360","LogLinear",TRUE)</f>
        <v/>
      </c>
      <c r="E7014" s="8">
        <f>QS.INSTRUMENT.SWAP("swap.7012",C7014,H7014,B7014,"USD","SOFR",I7014,J7014,0,"Actual360","Simple","Annual","Annual","Annual")</f>
        <v/>
      </c>
      <c r="F7014" s="8">
        <f>QS.TRADE.CREATE("trade.7012",C7014,E7014,A7014,"Receive")</f>
        <v/>
      </c>
      <c r="G7014" s="5"/>
      <c r="H7014" s="7" t="s">
        <v>7055</v>
      </c>
      <c r="I7014" s="9">
        <v>1701200</v>
      </c>
      <c r="J7014" s="10">
        <v>0.0362</v>
      </c>
    </row>
    <row r="7015" spans="1:10">
      <c r="A7015" s="7" t="s">
        <v>7049</v>
      </c>
      <c r="B7015" s="7" t="s">
        <v>8882</v>
      </c>
      <c r="C7015" s="8">
        <f>QS.CONTEXT.CREATE("market.7013",A7015,"USD","SOFR")</f>
        <v/>
      </c>
      <c r="D7015" s="8">
        <f>QS.CONTEXT.ADD.CURVE(C7015,"SOFR",$K$2:$K$7,$L$2:$L$7,,,"Actual360","LogLinear",TRUE)</f>
        <v/>
      </c>
      <c r="E7015" s="8">
        <f>QS.INSTRUMENT.SWAP("swap.7013",C7015,H7015,B7015,"USD","SOFR",I7015,J7015,0,"Actual360","Simple","Annual","Annual","Annual")</f>
        <v/>
      </c>
      <c r="F7015" s="8">
        <f>QS.TRADE.CREATE("trade.7013",C7015,E7015,A7015,"Receive")</f>
        <v/>
      </c>
      <c r="G7015" s="5"/>
      <c r="H7015" s="7" t="s">
        <v>7056</v>
      </c>
      <c r="I7015" s="9">
        <v>1701300</v>
      </c>
      <c r="J7015" s="10">
        <v>0.03630000000000001</v>
      </c>
    </row>
    <row r="7016" spans="1:10">
      <c r="A7016" s="7" t="s">
        <v>7050</v>
      </c>
      <c r="B7016" s="7" t="s">
        <v>8883</v>
      </c>
      <c r="C7016" s="8">
        <f>QS.CONTEXT.CREATE("market.7014",A7016,"USD","SOFR")</f>
        <v/>
      </c>
      <c r="D7016" s="8">
        <f>QS.CONTEXT.ADD.CURVE(C7016,"SOFR",$K$2:$K$7,$L$2:$L$7,,,"Actual360","LogLinear",TRUE)</f>
        <v/>
      </c>
      <c r="E7016" s="8">
        <f>QS.INSTRUMENT.SWAP("swap.7014",C7016,H7016,B7016,"USD","SOFR",I7016,J7016,0,"Actual360","Simple","Annual","Annual","Annual")</f>
        <v/>
      </c>
      <c r="F7016" s="8">
        <f>QS.TRADE.CREATE("trade.7014",C7016,E7016,A7016,"Receive")</f>
        <v/>
      </c>
      <c r="G7016" s="5"/>
      <c r="H7016" s="7" t="s">
        <v>7057</v>
      </c>
      <c r="I7016" s="9">
        <v>1701400</v>
      </c>
      <c r="J7016" s="10">
        <v>0.0364</v>
      </c>
    </row>
    <row r="7017" spans="1:10">
      <c r="A7017" s="7" t="s">
        <v>7051</v>
      </c>
      <c r="B7017" s="7" t="s">
        <v>8884</v>
      </c>
      <c r="C7017" s="8">
        <f>QS.CONTEXT.CREATE("market.7015",A7017,"USD","SOFR")</f>
        <v/>
      </c>
      <c r="D7017" s="8">
        <f>QS.CONTEXT.ADD.CURVE(C7017,"SOFR",$K$2:$K$7,$L$2:$L$7,,,"Actual360","LogLinear",TRUE)</f>
        <v/>
      </c>
      <c r="E7017" s="8">
        <f>QS.INSTRUMENT.SWAP("swap.7015",C7017,H7017,B7017,"USD","SOFR",I7017,J7017,0,"Actual360","Simple","Annual","Annual","Annual")</f>
        <v/>
      </c>
      <c r="F7017" s="8">
        <f>QS.TRADE.CREATE("trade.7015",C7017,E7017,A7017,"Receive")</f>
        <v/>
      </c>
      <c r="G7017" s="5"/>
      <c r="H7017" s="7" t="s">
        <v>7058</v>
      </c>
      <c r="I7017" s="9">
        <v>1701500</v>
      </c>
      <c r="J7017" s="10">
        <v>0.0365</v>
      </c>
    </row>
    <row r="7018" spans="1:10">
      <c r="A7018" s="7" t="s">
        <v>7052</v>
      </c>
      <c r="B7018" s="7" t="s">
        <v>8885</v>
      </c>
      <c r="C7018" s="8">
        <f>QS.CONTEXT.CREATE("market.7016",A7018,"USD","SOFR")</f>
        <v/>
      </c>
      <c r="D7018" s="8">
        <f>QS.CONTEXT.ADD.CURVE(C7018,"SOFR",$K$2:$K$7,$L$2:$L$7,,,"Actual360","LogLinear",TRUE)</f>
        <v/>
      </c>
      <c r="E7018" s="8">
        <f>QS.INSTRUMENT.SWAP("swap.7016",C7018,H7018,B7018,"USD","SOFR",I7018,J7018,0,"Actual360","Simple","Annual","Annual","Annual")</f>
        <v/>
      </c>
      <c r="F7018" s="8">
        <f>QS.TRADE.CREATE("trade.7016",C7018,E7018,A7018,"Receive")</f>
        <v/>
      </c>
      <c r="G7018" s="5"/>
      <c r="H7018" s="7" t="s">
        <v>7059</v>
      </c>
      <c r="I7018" s="9">
        <v>1701600</v>
      </c>
      <c r="J7018" s="10">
        <v>0.0366</v>
      </c>
    </row>
    <row r="7019" spans="1:10">
      <c r="A7019" s="7" t="s">
        <v>7053</v>
      </c>
      <c r="B7019" s="7" t="s">
        <v>8886</v>
      </c>
      <c r="C7019" s="8">
        <f>QS.CONTEXT.CREATE("market.7017",A7019,"USD","SOFR")</f>
        <v/>
      </c>
      <c r="D7019" s="8">
        <f>QS.CONTEXT.ADD.CURVE(C7019,"SOFR",$K$2:$K$7,$L$2:$L$7,,,"Actual360","LogLinear",TRUE)</f>
        <v/>
      </c>
      <c r="E7019" s="8">
        <f>QS.INSTRUMENT.SWAP("swap.7017",C7019,H7019,B7019,"USD","SOFR",I7019,J7019,0,"Actual360","Simple","Annual","Annual","Annual")</f>
        <v/>
      </c>
      <c r="F7019" s="8">
        <f>QS.TRADE.CREATE("trade.7017",C7019,E7019,A7019,"Receive")</f>
        <v/>
      </c>
      <c r="G7019" s="5"/>
      <c r="H7019" s="7" t="s">
        <v>7060</v>
      </c>
      <c r="I7019" s="9">
        <v>1701700</v>
      </c>
      <c r="J7019" s="10">
        <v>0.0367</v>
      </c>
    </row>
    <row r="7020" spans="1:10">
      <c r="A7020" s="7" t="s">
        <v>7054</v>
      </c>
      <c r="B7020" s="7" t="s">
        <v>8887</v>
      </c>
      <c r="C7020" s="8">
        <f>QS.CONTEXT.CREATE("market.7018",A7020,"USD","SOFR")</f>
        <v/>
      </c>
      <c r="D7020" s="8">
        <f>QS.CONTEXT.ADD.CURVE(C7020,"SOFR",$K$2:$K$7,$L$2:$L$7,,,"Actual360","LogLinear",TRUE)</f>
        <v/>
      </c>
      <c r="E7020" s="8">
        <f>QS.INSTRUMENT.SWAP("swap.7018",C7020,H7020,B7020,"USD","SOFR",I7020,J7020,0,"Actual360","Simple","Annual","Annual","Annual")</f>
        <v/>
      </c>
      <c r="F7020" s="8">
        <f>QS.TRADE.CREATE("trade.7018",C7020,E7020,A7020,"Receive")</f>
        <v/>
      </c>
      <c r="G7020" s="5"/>
      <c r="H7020" s="7" t="s">
        <v>7061</v>
      </c>
      <c r="I7020" s="9">
        <v>1701800</v>
      </c>
      <c r="J7020" s="10">
        <v>0.03680000000000001</v>
      </c>
    </row>
    <row r="7021" spans="1:10">
      <c r="A7021" s="7" t="s">
        <v>7055</v>
      </c>
      <c r="B7021" s="7" t="s">
        <v>8888</v>
      </c>
      <c r="C7021" s="8">
        <f>QS.CONTEXT.CREATE("market.7019",A7021,"USD","SOFR")</f>
        <v/>
      </c>
      <c r="D7021" s="8">
        <f>QS.CONTEXT.ADD.CURVE(C7021,"SOFR",$K$2:$K$7,$L$2:$L$7,,,"Actual360","LogLinear",TRUE)</f>
        <v/>
      </c>
      <c r="E7021" s="8">
        <f>QS.INSTRUMENT.SWAP("swap.7019",C7021,H7021,B7021,"USD","SOFR",I7021,J7021,0,"Actual360","Simple","Annual","Annual","Annual")</f>
        <v/>
      </c>
      <c r="F7021" s="8">
        <f>QS.TRADE.CREATE("trade.7019",C7021,E7021,A7021,"Receive")</f>
        <v/>
      </c>
      <c r="G7021" s="5"/>
      <c r="H7021" s="7" t="s">
        <v>7062</v>
      </c>
      <c r="I7021" s="9">
        <v>1701900</v>
      </c>
      <c r="J7021" s="10">
        <v>0.0369</v>
      </c>
    </row>
    <row r="7022" spans="1:10">
      <c r="A7022" s="7" t="s">
        <v>7056</v>
      </c>
      <c r="B7022" s="7" t="s">
        <v>8889</v>
      </c>
      <c r="C7022" s="8">
        <f>QS.CONTEXT.CREATE("market.7020",A7022,"USD","SOFR")</f>
        <v/>
      </c>
      <c r="D7022" s="8">
        <f>QS.CONTEXT.ADD.CURVE(C7022,"SOFR",$K$2:$K$7,$L$2:$L$7,,,"Actual360","LogLinear",TRUE)</f>
        <v/>
      </c>
      <c r="E7022" s="8">
        <f>QS.INSTRUMENT.SWAP("swap.7020",C7022,H7022,B7022,"USD","SOFR",I7022,J7022,0,"Actual360","Simple","Annual","Annual","Annual")</f>
        <v/>
      </c>
      <c r="F7022" s="8">
        <f>QS.TRADE.CREATE("trade.7020",C7022,E7022,A7022,"Receive")</f>
        <v/>
      </c>
      <c r="G7022" s="5"/>
      <c r="H7022" s="7" t="s">
        <v>7063</v>
      </c>
      <c r="I7022" s="9">
        <v>1702000</v>
      </c>
      <c r="J7022" s="10">
        <v>0.03700000000000001</v>
      </c>
    </row>
    <row r="7023" spans="1:10">
      <c r="A7023" s="7" t="s">
        <v>7057</v>
      </c>
      <c r="B7023" s="7" t="s">
        <v>8890</v>
      </c>
      <c r="C7023" s="8">
        <f>QS.CONTEXT.CREATE("market.7021",A7023,"USD","SOFR")</f>
        <v/>
      </c>
      <c r="D7023" s="8">
        <f>QS.CONTEXT.ADD.CURVE(C7023,"SOFR",$K$2:$K$7,$L$2:$L$7,,,"Actual360","LogLinear",TRUE)</f>
        <v/>
      </c>
      <c r="E7023" s="8">
        <f>QS.INSTRUMENT.SWAP("swap.7021",C7023,H7023,B7023,"USD","SOFR",I7023,J7023,0,"Actual360","Simple","Annual","Annual","Annual")</f>
        <v/>
      </c>
      <c r="F7023" s="8">
        <f>QS.TRADE.CREATE("trade.7021",C7023,E7023,A7023,"Receive")</f>
        <v/>
      </c>
      <c r="G7023" s="5"/>
      <c r="H7023" s="7" t="s">
        <v>7064</v>
      </c>
      <c r="I7023" s="9">
        <v>1702100</v>
      </c>
      <c r="J7023" s="10">
        <v>0.0371</v>
      </c>
    </row>
    <row r="7024" spans="1:10">
      <c r="A7024" s="7" t="s">
        <v>7058</v>
      </c>
      <c r="B7024" s="7" t="s">
        <v>8891</v>
      </c>
      <c r="C7024" s="8">
        <f>QS.CONTEXT.CREATE("market.7022",A7024,"USD","SOFR")</f>
        <v/>
      </c>
      <c r="D7024" s="8">
        <f>QS.CONTEXT.ADD.CURVE(C7024,"SOFR",$K$2:$K$7,$L$2:$L$7,,,"Actual360","LogLinear",TRUE)</f>
        <v/>
      </c>
      <c r="E7024" s="8">
        <f>QS.INSTRUMENT.SWAP("swap.7022",C7024,H7024,B7024,"USD","SOFR",I7024,J7024,0,"Actual360","Simple","Annual","Annual","Annual")</f>
        <v/>
      </c>
      <c r="F7024" s="8">
        <f>QS.TRADE.CREATE("trade.7022",C7024,E7024,A7024,"Receive")</f>
        <v/>
      </c>
      <c r="G7024" s="5"/>
      <c r="H7024" s="7" t="s">
        <v>7065</v>
      </c>
      <c r="I7024" s="9">
        <v>1702200</v>
      </c>
      <c r="J7024" s="10">
        <v>0.0372</v>
      </c>
    </row>
    <row r="7025" spans="1:10">
      <c r="A7025" s="7" t="s">
        <v>7059</v>
      </c>
      <c r="B7025" s="7" t="s">
        <v>8892</v>
      </c>
      <c r="C7025" s="8">
        <f>QS.CONTEXT.CREATE("market.7023",A7025,"USD","SOFR")</f>
        <v/>
      </c>
      <c r="D7025" s="8">
        <f>QS.CONTEXT.ADD.CURVE(C7025,"SOFR",$K$2:$K$7,$L$2:$L$7,,,"Actual360","LogLinear",TRUE)</f>
        <v/>
      </c>
      <c r="E7025" s="8">
        <f>QS.INSTRUMENT.SWAP("swap.7023",C7025,H7025,B7025,"USD","SOFR",I7025,J7025,0,"Actual360","Simple","Annual","Annual","Annual")</f>
        <v/>
      </c>
      <c r="F7025" s="8">
        <f>QS.TRADE.CREATE("trade.7023",C7025,E7025,A7025,"Receive")</f>
        <v/>
      </c>
      <c r="G7025" s="5"/>
      <c r="H7025" s="7" t="s">
        <v>7066</v>
      </c>
      <c r="I7025" s="9">
        <v>1702300</v>
      </c>
      <c r="J7025" s="10">
        <v>0.0373</v>
      </c>
    </row>
    <row r="7026" spans="1:10">
      <c r="A7026" s="7" t="s">
        <v>7060</v>
      </c>
      <c r="B7026" s="7" t="s">
        <v>8893</v>
      </c>
      <c r="C7026" s="8">
        <f>QS.CONTEXT.CREATE("market.7024",A7026,"USD","SOFR")</f>
        <v/>
      </c>
      <c r="D7026" s="8">
        <f>QS.CONTEXT.ADD.CURVE(C7026,"SOFR",$K$2:$K$7,$L$2:$L$7,,,"Actual360","LogLinear",TRUE)</f>
        <v/>
      </c>
      <c r="E7026" s="8">
        <f>QS.INSTRUMENT.SWAP("swap.7024",C7026,H7026,B7026,"USD","SOFR",I7026,J7026,0,"Actual360","Simple","Annual","Annual","Annual")</f>
        <v/>
      </c>
      <c r="F7026" s="8">
        <f>QS.TRADE.CREATE("trade.7024",C7026,E7026,A7026,"Receive")</f>
        <v/>
      </c>
      <c r="G7026" s="5"/>
      <c r="H7026" s="7" t="s">
        <v>7067</v>
      </c>
      <c r="I7026" s="9">
        <v>1702400</v>
      </c>
      <c r="J7026" s="10">
        <v>0.0374</v>
      </c>
    </row>
    <row r="7027" spans="1:10">
      <c r="A7027" s="7" t="s">
        <v>7061</v>
      </c>
      <c r="B7027" s="7" t="s">
        <v>8894</v>
      </c>
      <c r="C7027" s="8">
        <f>QS.CONTEXT.CREATE("market.7025",A7027,"USD","SOFR")</f>
        <v/>
      </c>
      <c r="D7027" s="8">
        <f>QS.CONTEXT.ADD.CURVE(C7027,"SOFR",$K$2:$K$7,$L$2:$L$7,,,"Actual360","LogLinear",TRUE)</f>
        <v/>
      </c>
      <c r="E7027" s="8">
        <f>QS.INSTRUMENT.SWAP("swap.7025",C7027,H7027,B7027,"USD","SOFR",I7027,J7027,0,"Actual360","Simple","Annual","Annual","Annual")</f>
        <v/>
      </c>
      <c r="F7027" s="8">
        <f>QS.TRADE.CREATE("trade.7025",C7027,E7027,A7027,"Receive")</f>
        <v/>
      </c>
      <c r="G7027" s="5"/>
      <c r="H7027" s="7" t="s">
        <v>7068</v>
      </c>
      <c r="I7027" s="9">
        <v>1702500</v>
      </c>
      <c r="J7027" s="10">
        <v>0.03750000000000001</v>
      </c>
    </row>
    <row r="7028" spans="1:10">
      <c r="A7028" s="7" t="s">
        <v>7062</v>
      </c>
      <c r="B7028" s="7" t="s">
        <v>8895</v>
      </c>
      <c r="C7028" s="8">
        <f>QS.CONTEXT.CREATE("market.7026",A7028,"USD","SOFR")</f>
        <v/>
      </c>
      <c r="D7028" s="8">
        <f>QS.CONTEXT.ADD.CURVE(C7028,"SOFR",$K$2:$K$7,$L$2:$L$7,,,"Actual360","LogLinear",TRUE)</f>
        <v/>
      </c>
      <c r="E7028" s="8">
        <f>QS.INSTRUMENT.SWAP("swap.7026",C7028,H7028,B7028,"USD","SOFR",I7028,J7028,0,"Actual360","Simple","Annual","Annual","Annual")</f>
        <v/>
      </c>
      <c r="F7028" s="8">
        <f>QS.TRADE.CREATE("trade.7026",C7028,E7028,A7028,"Receive")</f>
        <v/>
      </c>
      <c r="G7028" s="5"/>
      <c r="H7028" s="7" t="s">
        <v>7069</v>
      </c>
      <c r="I7028" s="9">
        <v>1702600</v>
      </c>
      <c r="J7028" s="10">
        <v>0.0376</v>
      </c>
    </row>
    <row r="7029" spans="1:10">
      <c r="A7029" s="7" t="s">
        <v>7063</v>
      </c>
      <c r="B7029" s="7" t="s">
        <v>8896</v>
      </c>
      <c r="C7029" s="8">
        <f>QS.CONTEXT.CREATE("market.7027",A7029,"USD","SOFR")</f>
        <v/>
      </c>
      <c r="D7029" s="8">
        <f>QS.CONTEXT.ADD.CURVE(C7029,"SOFR",$K$2:$K$7,$L$2:$L$7,,,"Actual360","LogLinear",TRUE)</f>
        <v/>
      </c>
      <c r="E7029" s="8">
        <f>QS.INSTRUMENT.SWAP("swap.7027",C7029,H7029,B7029,"USD","SOFR",I7029,J7029,0,"Actual360","Simple","Annual","Annual","Annual")</f>
        <v/>
      </c>
      <c r="F7029" s="8">
        <f>QS.TRADE.CREATE("trade.7027",C7029,E7029,A7029,"Receive")</f>
        <v/>
      </c>
      <c r="G7029" s="5"/>
      <c r="H7029" s="7" t="s">
        <v>7070</v>
      </c>
      <c r="I7029" s="9">
        <v>1702700</v>
      </c>
      <c r="J7029" s="10">
        <v>0.0377</v>
      </c>
    </row>
    <row r="7030" spans="1:10">
      <c r="A7030" s="7" t="s">
        <v>7064</v>
      </c>
      <c r="B7030" s="7" t="s">
        <v>8897</v>
      </c>
      <c r="C7030" s="8">
        <f>QS.CONTEXT.CREATE("market.7028",A7030,"USD","SOFR")</f>
        <v/>
      </c>
      <c r="D7030" s="8">
        <f>QS.CONTEXT.ADD.CURVE(C7030,"SOFR",$K$2:$K$7,$L$2:$L$7,,,"Actual360","LogLinear",TRUE)</f>
        <v/>
      </c>
      <c r="E7030" s="8">
        <f>QS.INSTRUMENT.SWAP("swap.7028",C7030,H7030,B7030,"USD","SOFR",I7030,J7030,0,"Actual360","Simple","Annual","Annual","Annual")</f>
        <v/>
      </c>
      <c r="F7030" s="8">
        <f>QS.TRADE.CREATE("trade.7028",C7030,E7030,A7030,"Receive")</f>
        <v/>
      </c>
      <c r="G7030" s="5"/>
      <c r="H7030" s="7" t="s">
        <v>7071</v>
      </c>
      <c r="I7030" s="9">
        <v>1702800</v>
      </c>
      <c r="J7030" s="10">
        <v>0.0378</v>
      </c>
    </row>
    <row r="7031" spans="1:10">
      <c r="A7031" s="7" t="s">
        <v>7065</v>
      </c>
      <c r="B7031" s="7" t="s">
        <v>8898</v>
      </c>
      <c r="C7031" s="8">
        <f>QS.CONTEXT.CREATE("market.7029",A7031,"USD","SOFR")</f>
        <v/>
      </c>
      <c r="D7031" s="8">
        <f>QS.CONTEXT.ADD.CURVE(C7031,"SOFR",$K$2:$K$7,$L$2:$L$7,,,"Actual360","LogLinear",TRUE)</f>
        <v/>
      </c>
      <c r="E7031" s="8">
        <f>QS.INSTRUMENT.SWAP("swap.7029",C7031,H7031,B7031,"USD","SOFR",I7031,J7031,0,"Actual360","Simple","Annual","Annual","Annual")</f>
        <v/>
      </c>
      <c r="F7031" s="8">
        <f>QS.TRADE.CREATE("trade.7029",C7031,E7031,A7031,"Receive")</f>
        <v/>
      </c>
      <c r="G7031" s="5"/>
      <c r="H7031" s="7" t="s">
        <v>7072</v>
      </c>
      <c r="I7031" s="9">
        <v>1702900</v>
      </c>
      <c r="J7031" s="10">
        <v>0.0379</v>
      </c>
    </row>
    <row r="7032" spans="1:10">
      <c r="A7032" s="7" t="s">
        <v>7066</v>
      </c>
      <c r="B7032" s="7" t="s">
        <v>8899</v>
      </c>
      <c r="C7032" s="8">
        <f>QS.CONTEXT.CREATE("market.7030",A7032,"USD","SOFR")</f>
        <v/>
      </c>
      <c r="D7032" s="8">
        <f>QS.CONTEXT.ADD.CURVE(C7032,"SOFR",$K$2:$K$7,$L$2:$L$7,,,"Actual360","LogLinear",TRUE)</f>
        <v/>
      </c>
      <c r="E7032" s="8">
        <f>QS.INSTRUMENT.SWAP("swap.7030",C7032,H7032,B7032,"USD","SOFR",I7032,J7032,0,"Actual360","Simple","Annual","Annual","Annual")</f>
        <v/>
      </c>
      <c r="F7032" s="8">
        <f>QS.TRADE.CREATE("trade.7030",C7032,E7032,A7032,"Receive")</f>
        <v/>
      </c>
      <c r="G7032" s="5"/>
      <c r="H7032" s="7" t="s">
        <v>7073</v>
      </c>
      <c r="I7032" s="9">
        <v>1703000</v>
      </c>
      <c r="J7032" s="10">
        <v>0.03800000000000001</v>
      </c>
    </row>
    <row r="7033" spans="1:10">
      <c r="A7033" s="7" t="s">
        <v>7067</v>
      </c>
      <c r="B7033" s="7" t="s">
        <v>8900</v>
      </c>
      <c r="C7033" s="8">
        <f>QS.CONTEXT.CREATE("market.7031",A7033,"USD","SOFR")</f>
        <v/>
      </c>
      <c r="D7033" s="8">
        <f>QS.CONTEXT.ADD.CURVE(C7033,"SOFR",$K$2:$K$7,$L$2:$L$7,,,"Actual360","LogLinear",TRUE)</f>
        <v/>
      </c>
      <c r="E7033" s="8">
        <f>QS.INSTRUMENT.SWAP("swap.7031",C7033,H7033,B7033,"USD","SOFR",I7033,J7033,0,"Actual360","Simple","Annual","Annual","Annual")</f>
        <v/>
      </c>
      <c r="F7033" s="8">
        <f>QS.TRADE.CREATE("trade.7031",C7033,E7033,A7033,"Receive")</f>
        <v/>
      </c>
      <c r="G7033" s="5"/>
      <c r="H7033" s="7" t="s">
        <v>7074</v>
      </c>
      <c r="I7033" s="9">
        <v>1703100</v>
      </c>
      <c r="J7033" s="10">
        <v>0.0381</v>
      </c>
    </row>
    <row r="7034" spans="1:10">
      <c r="A7034" s="7" t="s">
        <v>7068</v>
      </c>
      <c r="B7034" s="7" t="s">
        <v>8901</v>
      </c>
      <c r="C7034" s="8">
        <f>QS.CONTEXT.CREATE("market.7032",A7034,"USD","SOFR")</f>
        <v/>
      </c>
      <c r="D7034" s="8">
        <f>QS.CONTEXT.ADD.CURVE(C7034,"SOFR",$K$2:$K$7,$L$2:$L$7,,,"Actual360","LogLinear",TRUE)</f>
        <v/>
      </c>
      <c r="E7034" s="8">
        <f>QS.INSTRUMENT.SWAP("swap.7032",C7034,H7034,B7034,"USD","SOFR",I7034,J7034,0,"Actual360","Simple","Annual","Annual","Annual")</f>
        <v/>
      </c>
      <c r="F7034" s="8">
        <f>QS.TRADE.CREATE("trade.7032",C7034,E7034,A7034,"Receive")</f>
        <v/>
      </c>
      <c r="G7034" s="5"/>
      <c r="H7034" s="7" t="s">
        <v>7075</v>
      </c>
      <c r="I7034" s="9">
        <v>1703200</v>
      </c>
      <c r="J7034" s="10">
        <v>0.0382</v>
      </c>
    </row>
    <row r="7035" spans="1:10">
      <c r="A7035" s="7" t="s">
        <v>7069</v>
      </c>
      <c r="B7035" s="7" t="s">
        <v>8902</v>
      </c>
      <c r="C7035" s="8">
        <f>QS.CONTEXT.CREATE("market.7033",A7035,"USD","SOFR")</f>
        <v/>
      </c>
      <c r="D7035" s="8">
        <f>QS.CONTEXT.ADD.CURVE(C7035,"SOFR",$K$2:$K$7,$L$2:$L$7,,,"Actual360","LogLinear",TRUE)</f>
        <v/>
      </c>
      <c r="E7035" s="8">
        <f>QS.INSTRUMENT.SWAP("swap.7033",C7035,H7035,B7035,"USD","SOFR",I7035,J7035,0,"Actual360","Simple","Annual","Annual","Annual")</f>
        <v/>
      </c>
      <c r="F7035" s="8">
        <f>QS.TRADE.CREATE("trade.7033",C7035,E7035,A7035,"Receive")</f>
        <v/>
      </c>
      <c r="G7035" s="5"/>
      <c r="H7035" s="7" t="s">
        <v>7076</v>
      </c>
      <c r="I7035" s="9">
        <v>1703300</v>
      </c>
      <c r="J7035" s="10">
        <v>0.0383</v>
      </c>
    </row>
    <row r="7036" spans="1:10">
      <c r="A7036" s="7" t="s">
        <v>7070</v>
      </c>
      <c r="B7036" s="7" t="s">
        <v>8903</v>
      </c>
      <c r="C7036" s="8">
        <f>QS.CONTEXT.CREATE("market.7034",A7036,"USD","SOFR")</f>
        <v/>
      </c>
      <c r="D7036" s="8">
        <f>QS.CONTEXT.ADD.CURVE(C7036,"SOFR",$K$2:$K$7,$L$2:$L$7,,,"Actual360","LogLinear",TRUE)</f>
        <v/>
      </c>
      <c r="E7036" s="8">
        <f>QS.INSTRUMENT.SWAP("swap.7034",C7036,H7036,B7036,"USD","SOFR",I7036,J7036,0,"Actual360","Simple","Annual","Annual","Annual")</f>
        <v/>
      </c>
      <c r="F7036" s="8">
        <f>QS.TRADE.CREATE("trade.7034",C7036,E7036,A7036,"Receive")</f>
        <v/>
      </c>
      <c r="G7036" s="5"/>
      <c r="H7036" s="7" t="s">
        <v>7077</v>
      </c>
      <c r="I7036" s="9">
        <v>1703400</v>
      </c>
      <c r="J7036" s="10">
        <v>0.0384</v>
      </c>
    </row>
    <row r="7037" spans="1:10">
      <c r="A7037" s="7" t="s">
        <v>7071</v>
      </c>
      <c r="B7037" s="7" t="s">
        <v>8904</v>
      </c>
      <c r="C7037" s="8">
        <f>QS.CONTEXT.CREATE("market.7035",A7037,"USD","SOFR")</f>
        <v/>
      </c>
      <c r="D7037" s="8">
        <f>QS.CONTEXT.ADD.CURVE(C7037,"SOFR",$K$2:$K$7,$L$2:$L$7,,,"Actual360","LogLinear",TRUE)</f>
        <v/>
      </c>
      <c r="E7037" s="8">
        <f>QS.INSTRUMENT.SWAP("swap.7035",C7037,H7037,B7037,"USD","SOFR",I7037,J7037,0,"Actual360","Simple","Annual","Annual","Annual")</f>
        <v/>
      </c>
      <c r="F7037" s="8">
        <f>QS.TRADE.CREATE("trade.7035",C7037,E7037,A7037,"Receive")</f>
        <v/>
      </c>
      <c r="G7037" s="5"/>
      <c r="H7037" s="7" t="s">
        <v>7078</v>
      </c>
      <c r="I7037" s="9">
        <v>1703500</v>
      </c>
      <c r="J7037" s="10">
        <v>0.03850000000000001</v>
      </c>
    </row>
    <row r="7038" spans="1:10">
      <c r="A7038" s="7" t="s">
        <v>7072</v>
      </c>
      <c r="B7038" s="7" t="s">
        <v>8905</v>
      </c>
      <c r="C7038" s="8">
        <f>QS.CONTEXT.CREATE("market.7036",A7038,"USD","SOFR")</f>
        <v/>
      </c>
      <c r="D7038" s="8">
        <f>QS.CONTEXT.ADD.CURVE(C7038,"SOFR",$K$2:$K$7,$L$2:$L$7,,,"Actual360","LogLinear",TRUE)</f>
        <v/>
      </c>
      <c r="E7038" s="8">
        <f>QS.INSTRUMENT.SWAP("swap.7036",C7038,H7038,B7038,"USD","SOFR",I7038,J7038,0,"Actual360","Simple","Annual","Annual","Annual")</f>
        <v/>
      </c>
      <c r="F7038" s="8">
        <f>QS.TRADE.CREATE("trade.7036",C7038,E7038,A7038,"Receive")</f>
        <v/>
      </c>
      <c r="G7038" s="5"/>
      <c r="H7038" s="7" t="s">
        <v>7079</v>
      </c>
      <c r="I7038" s="9">
        <v>1703600</v>
      </c>
      <c r="J7038" s="10">
        <v>0.0386</v>
      </c>
    </row>
    <row r="7039" spans="1:10">
      <c r="A7039" s="7" t="s">
        <v>7073</v>
      </c>
      <c r="B7039" s="7" t="s">
        <v>8906</v>
      </c>
      <c r="C7039" s="8">
        <f>QS.CONTEXT.CREATE("market.7037",A7039,"USD","SOFR")</f>
        <v/>
      </c>
      <c r="D7039" s="8">
        <f>QS.CONTEXT.ADD.CURVE(C7039,"SOFR",$K$2:$K$7,$L$2:$L$7,,,"Actual360","LogLinear",TRUE)</f>
        <v/>
      </c>
      <c r="E7039" s="8">
        <f>QS.INSTRUMENT.SWAP("swap.7037",C7039,H7039,B7039,"USD","SOFR",I7039,J7039,0,"Actual360","Simple","Annual","Annual","Annual")</f>
        <v/>
      </c>
      <c r="F7039" s="8">
        <f>QS.TRADE.CREATE("trade.7037",C7039,E7039,A7039,"Receive")</f>
        <v/>
      </c>
      <c r="G7039" s="5"/>
      <c r="H7039" s="7" t="s">
        <v>7080</v>
      </c>
      <c r="I7039" s="9">
        <v>1703700</v>
      </c>
      <c r="J7039" s="10">
        <v>0.03870000000000001</v>
      </c>
    </row>
    <row r="7040" spans="1:10">
      <c r="A7040" s="7" t="s">
        <v>7074</v>
      </c>
      <c r="B7040" s="7" t="s">
        <v>8907</v>
      </c>
      <c r="C7040" s="8">
        <f>QS.CONTEXT.CREATE("market.7038",A7040,"USD","SOFR")</f>
        <v/>
      </c>
      <c r="D7040" s="8">
        <f>QS.CONTEXT.ADD.CURVE(C7040,"SOFR",$K$2:$K$7,$L$2:$L$7,,,"Actual360","LogLinear",TRUE)</f>
        <v/>
      </c>
      <c r="E7040" s="8">
        <f>QS.INSTRUMENT.SWAP("swap.7038",C7040,H7040,B7040,"USD","SOFR",I7040,J7040,0,"Actual360","Simple","Annual","Annual","Annual")</f>
        <v/>
      </c>
      <c r="F7040" s="8">
        <f>QS.TRADE.CREATE("trade.7038",C7040,E7040,A7040,"Receive")</f>
        <v/>
      </c>
      <c r="G7040" s="5"/>
      <c r="H7040" s="7" t="s">
        <v>7081</v>
      </c>
      <c r="I7040" s="9">
        <v>1703800</v>
      </c>
      <c r="J7040" s="10">
        <v>0.0388</v>
      </c>
    </row>
    <row r="7041" spans="1:10">
      <c r="A7041" s="7" t="s">
        <v>7075</v>
      </c>
      <c r="B7041" s="7" t="s">
        <v>8908</v>
      </c>
      <c r="C7041" s="8">
        <f>QS.CONTEXT.CREATE("market.7039",A7041,"USD","SOFR")</f>
        <v/>
      </c>
      <c r="D7041" s="8">
        <f>QS.CONTEXT.ADD.CURVE(C7041,"SOFR",$K$2:$K$7,$L$2:$L$7,,,"Actual360","LogLinear",TRUE)</f>
        <v/>
      </c>
      <c r="E7041" s="8">
        <f>QS.INSTRUMENT.SWAP("swap.7039",C7041,H7041,B7041,"USD","SOFR",I7041,J7041,0,"Actual360","Simple","Annual","Annual","Annual")</f>
        <v/>
      </c>
      <c r="F7041" s="8">
        <f>QS.TRADE.CREATE("trade.7039",C7041,E7041,A7041,"Receive")</f>
        <v/>
      </c>
      <c r="G7041" s="5"/>
      <c r="H7041" s="7" t="s">
        <v>7082</v>
      </c>
      <c r="I7041" s="9">
        <v>1703900</v>
      </c>
      <c r="J7041" s="10">
        <v>0.0389</v>
      </c>
    </row>
    <row r="7042" spans="1:10">
      <c r="A7042" s="7" t="s">
        <v>7076</v>
      </c>
      <c r="B7042" s="7" t="s">
        <v>8909</v>
      </c>
      <c r="C7042" s="8">
        <f>QS.CONTEXT.CREATE("market.7040",A7042,"USD","SOFR")</f>
        <v/>
      </c>
      <c r="D7042" s="8">
        <f>QS.CONTEXT.ADD.CURVE(C7042,"SOFR",$K$2:$K$7,$L$2:$L$7,,,"Actual360","LogLinear",TRUE)</f>
        <v/>
      </c>
      <c r="E7042" s="8">
        <f>QS.INSTRUMENT.SWAP("swap.7040",C7042,H7042,B7042,"USD","SOFR",I7042,J7042,0,"Actual360","Simple","Annual","Annual","Annual")</f>
        <v/>
      </c>
      <c r="F7042" s="8">
        <f>QS.TRADE.CREATE("trade.7040",C7042,E7042,A7042,"Receive")</f>
        <v/>
      </c>
      <c r="G7042" s="5"/>
      <c r="H7042" s="7" t="s">
        <v>7083</v>
      </c>
      <c r="I7042" s="9">
        <v>1704000</v>
      </c>
      <c r="J7042" s="10">
        <v>0.03900000000000001</v>
      </c>
    </row>
    <row r="7043" spans="1:10">
      <c r="A7043" s="7" t="s">
        <v>7077</v>
      </c>
      <c r="B7043" s="7" t="s">
        <v>8910</v>
      </c>
      <c r="C7043" s="8">
        <f>QS.CONTEXT.CREATE("market.7041",A7043,"USD","SOFR")</f>
        <v/>
      </c>
      <c r="D7043" s="8">
        <f>QS.CONTEXT.ADD.CURVE(C7043,"SOFR",$K$2:$K$7,$L$2:$L$7,,,"Actual360","LogLinear",TRUE)</f>
        <v/>
      </c>
      <c r="E7043" s="8">
        <f>QS.INSTRUMENT.SWAP("swap.7041",C7043,H7043,B7043,"USD","SOFR",I7043,J7043,0,"Actual360","Simple","Annual","Annual","Annual")</f>
        <v/>
      </c>
      <c r="F7043" s="8">
        <f>QS.TRADE.CREATE("trade.7041",C7043,E7043,A7043,"Receive")</f>
        <v/>
      </c>
      <c r="G7043" s="5"/>
      <c r="H7043" s="7" t="s">
        <v>7084</v>
      </c>
      <c r="I7043" s="9">
        <v>1704100</v>
      </c>
      <c r="J7043" s="10">
        <v>0.0391</v>
      </c>
    </row>
    <row r="7044" spans="1:10">
      <c r="A7044" s="7" t="s">
        <v>7078</v>
      </c>
      <c r="B7044" s="7" t="s">
        <v>8911</v>
      </c>
      <c r="C7044" s="8">
        <f>QS.CONTEXT.CREATE("market.7042",A7044,"USD","SOFR")</f>
        <v/>
      </c>
      <c r="D7044" s="8">
        <f>QS.CONTEXT.ADD.CURVE(C7044,"SOFR",$K$2:$K$7,$L$2:$L$7,,,"Actual360","LogLinear",TRUE)</f>
        <v/>
      </c>
      <c r="E7044" s="8">
        <f>QS.INSTRUMENT.SWAP("swap.7042",C7044,H7044,B7044,"USD","SOFR",I7044,J7044,0,"Actual360","Simple","Annual","Annual","Annual")</f>
        <v/>
      </c>
      <c r="F7044" s="8">
        <f>QS.TRADE.CREATE("trade.7042",C7044,E7044,A7044,"Receive")</f>
        <v/>
      </c>
      <c r="G7044" s="5"/>
      <c r="H7044" s="7" t="s">
        <v>7085</v>
      </c>
      <c r="I7044" s="9">
        <v>1704200</v>
      </c>
      <c r="J7044" s="10">
        <v>0.03920000000000001</v>
      </c>
    </row>
    <row r="7045" spans="1:10">
      <c r="A7045" s="7" t="s">
        <v>7079</v>
      </c>
      <c r="B7045" s="7" t="s">
        <v>8912</v>
      </c>
      <c r="C7045" s="8">
        <f>QS.CONTEXT.CREATE("market.7043",A7045,"USD","SOFR")</f>
        <v/>
      </c>
      <c r="D7045" s="8">
        <f>QS.CONTEXT.ADD.CURVE(C7045,"SOFR",$K$2:$K$7,$L$2:$L$7,,,"Actual360","LogLinear",TRUE)</f>
        <v/>
      </c>
      <c r="E7045" s="8">
        <f>QS.INSTRUMENT.SWAP("swap.7043",C7045,H7045,B7045,"USD","SOFR",I7045,J7045,0,"Actual360","Simple","Annual","Annual","Annual")</f>
        <v/>
      </c>
      <c r="F7045" s="8">
        <f>QS.TRADE.CREATE("trade.7043",C7045,E7045,A7045,"Receive")</f>
        <v/>
      </c>
      <c r="G7045" s="5"/>
      <c r="H7045" s="7" t="s">
        <v>7086</v>
      </c>
      <c r="I7045" s="9">
        <v>1704300</v>
      </c>
      <c r="J7045" s="10">
        <v>0.0393</v>
      </c>
    </row>
    <row r="7046" spans="1:10">
      <c r="A7046" s="7" t="s">
        <v>7080</v>
      </c>
      <c r="B7046" s="7" t="s">
        <v>8913</v>
      </c>
      <c r="C7046" s="8">
        <f>QS.CONTEXT.CREATE("market.7044",A7046,"USD","SOFR")</f>
        <v/>
      </c>
      <c r="D7046" s="8">
        <f>QS.CONTEXT.ADD.CURVE(C7046,"SOFR",$K$2:$K$7,$L$2:$L$7,,,"Actual360","LogLinear",TRUE)</f>
        <v/>
      </c>
      <c r="E7046" s="8">
        <f>QS.INSTRUMENT.SWAP("swap.7044",C7046,H7046,B7046,"USD","SOFR",I7046,J7046,0,"Actual360","Simple","Annual","Annual","Annual")</f>
        <v/>
      </c>
      <c r="F7046" s="8">
        <f>QS.TRADE.CREATE("trade.7044",C7046,E7046,A7046,"Receive")</f>
        <v/>
      </c>
      <c r="G7046" s="5"/>
      <c r="H7046" s="7" t="s">
        <v>7087</v>
      </c>
      <c r="I7046" s="9">
        <v>1704400</v>
      </c>
      <c r="J7046" s="10">
        <v>0.0394</v>
      </c>
    </row>
    <row r="7047" spans="1:10">
      <c r="A7047" s="7" t="s">
        <v>7081</v>
      </c>
      <c r="B7047" s="7" t="s">
        <v>8914</v>
      </c>
      <c r="C7047" s="8">
        <f>QS.CONTEXT.CREATE("market.7045",A7047,"USD","SOFR")</f>
        <v/>
      </c>
      <c r="D7047" s="8">
        <f>QS.CONTEXT.ADD.CURVE(C7047,"SOFR",$K$2:$K$7,$L$2:$L$7,,,"Actual360","LogLinear",TRUE)</f>
        <v/>
      </c>
      <c r="E7047" s="8">
        <f>QS.INSTRUMENT.SWAP("swap.7045",C7047,H7047,B7047,"USD","SOFR",I7047,J7047,0,"Actual360","Simple","Annual","Annual","Annual")</f>
        <v/>
      </c>
      <c r="F7047" s="8">
        <f>QS.TRADE.CREATE("trade.7045",C7047,E7047,A7047,"Receive")</f>
        <v/>
      </c>
      <c r="G7047" s="5"/>
      <c r="H7047" s="7" t="s">
        <v>7088</v>
      </c>
      <c r="I7047" s="9">
        <v>1704500</v>
      </c>
      <c r="J7047" s="10">
        <v>0.03950000000000001</v>
      </c>
    </row>
    <row r="7048" spans="1:10">
      <c r="A7048" s="7" t="s">
        <v>7082</v>
      </c>
      <c r="B7048" s="7" t="s">
        <v>8915</v>
      </c>
      <c r="C7048" s="8">
        <f>QS.CONTEXT.CREATE("market.7046",A7048,"USD","SOFR")</f>
        <v/>
      </c>
      <c r="D7048" s="8">
        <f>QS.CONTEXT.ADD.CURVE(C7048,"SOFR",$K$2:$K$7,$L$2:$L$7,,,"Actual360","LogLinear",TRUE)</f>
        <v/>
      </c>
      <c r="E7048" s="8">
        <f>QS.INSTRUMENT.SWAP("swap.7046",C7048,H7048,B7048,"USD","SOFR",I7048,J7048,0,"Actual360","Simple","Annual","Annual","Annual")</f>
        <v/>
      </c>
      <c r="F7048" s="8">
        <f>QS.TRADE.CREATE("trade.7046",C7048,E7048,A7048,"Receive")</f>
        <v/>
      </c>
      <c r="G7048" s="5"/>
      <c r="H7048" s="7" t="s">
        <v>7089</v>
      </c>
      <c r="I7048" s="9">
        <v>1704600</v>
      </c>
      <c r="J7048" s="10">
        <v>0.0396</v>
      </c>
    </row>
    <row r="7049" spans="1:10">
      <c r="A7049" s="7" t="s">
        <v>7083</v>
      </c>
      <c r="B7049" s="7" t="s">
        <v>8916</v>
      </c>
      <c r="C7049" s="8">
        <f>QS.CONTEXT.CREATE("market.7047",A7049,"USD","SOFR")</f>
        <v/>
      </c>
      <c r="D7049" s="8">
        <f>QS.CONTEXT.ADD.CURVE(C7049,"SOFR",$K$2:$K$7,$L$2:$L$7,,,"Actual360","LogLinear",TRUE)</f>
        <v/>
      </c>
      <c r="E7049" s="8">
        <f>QS.INSTRUMENT.SWAP("swap.7047",C7049,H7049,B7049,"USD","SOFR",I7049,J7049,0,"Actual360","Simple","Annual","Annual","Annual")</f>
        <v/>
      </c>
      <c r="F7049" s="8">
        <f>QS.TRADE.CREATE("trade.7047",C7049,E7049,A7049,"Receive")</f>
        <v/>
      </c>
      <c r="G7049" s="5"/>
      <c r="H7049" s="7" t="s">
        <v>7090</v>
      </c>
      <c r="I7049" s="9">
        <v>1704700</v>
      </c>
      <c r="J7049" s="10">
        <v>0.03970000000000001</v>
      </c>
    </row>
    <row r="7050" spans="1:10">
      <c r="A7050" s="7" t="s">
        <v>7084</v>
      </c>
      <c r="B7050" s="7" t="s">
        <v>8917</v>
      </c>
      <c r="C7050" s="8">
        <f>QS.CONTEXT.CREATE("market.7048",A7050,"USD","SOFR")</f>
        <v/>
      </c>
      <c r="D7050" s="8">
        <f>QS.CONTEXT.ADD.CURVE(C7050,"SOFR",$K$2:$K$7,$L$2:$L$7,,,"Actual360","LogLinear",TRUE)</f>
        <v/>
      </c>
      <c r="E7050" s="8">
        <f>QS.INSTRUMENT.SWAP("swap.7048",C7050,H7050,B7050,"USD","SOFR",I7050,J7050,0,"Actual360","Simple","Annual","Annual","Annual")</f>
        <v/>
      </c>
      <c r="F7050" s="8">
        <f>QS.TRADE.CREATE("trade.7048",C7050,E7050,A7050,"Receive")</f>
        <v/>
      </c>
      <c r="G7050" s="5"/>
      <c r="H7050" s="7" t="s">
        <v>7091</v>
      </c>
      <c r="I7050" s="9">
        <v>1704800</v>
      </c>
      <c r="J7050" s="10">
        <v>0.0398</v>
      </c>
    </row>
    <row r="7051" spans="1:10">
      <c r="A7051" s="7" t="s">
        <v>7085</v>
      </c>
      <c r="B7051" s="7" t="s">
        <v>8918</v>
      </c>
      <c r="C7051" s="8">
        <f>QS.CONTEXT.CREATE("market.7049",A7051,"USD","SOFR")</f>
        <v/>
      </c>
      <c r="D7051" s="8">
        <f>QS.CONTEXT.ADD.CURVE(C7051,"SOFR",$K$2:$K$7,$L$2:$L$7,,,"Actual360","LogLinear",TRUE)</f>
        <v/>
      </c>
      <c r="E7051" s="8">
        <f>QS.INSTRUMENT.SWAP("swap.7049",C7051,H7051,B7051,"USD","SOFR",I7051,J7051,0,"Actual360","Simple","Annual","Annual","Annual")</f>
        <v/>
      </c>
      <c r="F7051" s="8">
        <f>QS.TRADE.CREATE("trade.7049",C7051,E7051,A7051,"Receive")</f>
        <v/>
      </c>
      <c r="G7051" s="5"/>
      <c r="H7051" s="7" t="s">
        <v>7092</v>
      </c>
      <c r="I7051" s="9">
        <v>1704900</v>
      </c>
      <c r="J7051" s="10">
        <v>0.0399</v>
      </c>
    </row>
    <row r="7052" spans="1:10">
      <c r="A7052" s="7" t="s">
        <v>7086</v>
      </c>
      <c r="B7052" s="7" t="s">
        <v>8919</v>
      </c>
      <c r="C7052" s="8">
        <f>QS.CONTEXT.CREATE("market.7050",A7052,"USD","SOFR")</f>
        <v/>
      </c>
      <c r="D7052" s="8">
        <f>QS.CONTEXT.ADD.CURVE(C7052,"SOFR",$K$2:$K$7,$L$2:$L$7,,,"Actual360","LogLinear",TRUE)</f>
        <v/>
      </c>
      <c r="E7052" s="8">
        <f>QS.INSTRUMENT.SWAP("swap.7050",C7052,H7052,B7052,"USD","SOFR",I7052,J7052,0,"Actual360","Simple","Annual","Annual","Annual")</f>
        <v/>
      </c>
      <c r="F7052" s="8">
        <f>QS.TRADE.CREATE("trade.7050",C7052,E7052,A7052,"Receive")</f>
        <v/>
      </c>
      <c r="G7052" s="5"/>
      <c r="H7052" s="7" t="s">
        <v>7093</v>
      </c>
      <c r="I7052" s="9">
        <v>1705000</v>
      </c>
      <c r="J7052" s="10">
        <v>0.035</v>
      </c>
    </row>
    <row r="7053" spans="1:10">
      <c r="A7053" s="7" t="s">
        <v>7087</v>
      </c>
      <c r="B7053" s="7" t="s">
        <v>8920</v>
      </c>
      <c r="C7053" s="8">
        <f>QS.CONTEXT.CREATE("market.7051",A7053,"USD","SOFR")</f>
        <v/>
      </c>
      <c r="D7053" s="8">
        <f>QS.CONTEXT.ADD.CURVE(C7053,"SOFR",$K$2:$K$7,$L$2:$L$7,,,"Actual360","LogLinear",TRUE)</f>
        <v/>
      </c>
      <c r="E7053" s="8">
        <f>QS.INSTRUMENT.SWAP("swap.7051",C7053,H7053,B7053,"USD","SOFR",I7053,J7053,0,"Actual360","Simple","Annual","Annual","Annual")</f>
        <v/>
      </c>
      <c r="F7053" s="8">
        <f>QS.TRADE.CREATE("trade.7051",C7053,E7053,A7053,"Receive")</f>
        <v/>
      </c>
      <c r="G7053" s="5"/>
      <c r="H7053" s="7" t="s">
        <v>7094</v>
      </c>
      <c r="I7053" s="9">
        <v>1705100</v>
      </c>
      <c r="J7053" s="10">
        <v>0.03510000000000001</v>
      </c>
    </row>
    <row r="7054" spans="1:10">
      <c r="A7054" s="7" t="s">
        <v>7088</v>
      </c>
      <c r="B7054" s="7" t="s">
        <v>8921</v>
      </c>
      <c r="C7054" s="8">
        <f>QS.CONTEXT.CREATE("market.7052",A7054,"USD","SOFR")</f>
        <v/>
      </c>
      <c r="D7054" s="8">
        <f>QS.CONTEXT.ADD.CURVE(C7054,"SOFR",$K$2:$K$7,$L$2:$L$7,,,"Actual360","LogLinear",TRUE)</f>
        <v/>
      </c>
      <c r="E7054" s="8">
        <f>QS.INSTRUMENT.SWAP("swap.7052",C7054,H7054,B7054,"USD","SOFR",I7054,J7054,0,"Actual360","Simple","Annual","Annual","Annual")</f>
        <v/>
      </c>
      <c r="F7054" s="8">
        <f>QS.TRADE.CREATE("trade.7052",C7054,E7054,A7054,"Receive")</f>
        <v/>
      </c>
      <c r="G7054" s="5"/>
      <c r="H7054" s="7" t="s">
        <v>7095</v>
      </c>
      <c r="I7054" s="9">
        <v>1705200</v>
      </c>
      <c r="J7054" s="10">
        <v>0.0352</v>
      </c>
    </row>
    <row r="7055" spans="1:10">
      <c r="A7055" s="7" t="s">
        <v>7089</v>
      </c>
      <c r="B7055" s="7" t="s">
        <v>8922</v>
      </c>
      <c r="C7055" s="8">
        <f>QS.CONTEXT.CREATE("market.7053",A7055,"USD","SOFR")</f>
        <v/>
      </c>
      <c r="D7055" s="8">
        <f>QS.CONTEXT.ADD.CURVE(C7055,"SOFR",$K$2:$K$7,$L$2:$L$7,,,"Actual360","LogLinear",TRUE)</f>
        <v/>
      </c>
      <c r="E7055" s="8">
        <f>QS.INSTRUMENT.SWAP("swap.7053",C7055,H7055,B7055,"USD","SOFR",I7055,J7055,0,"Actual360","Simple","Annual","Annual","Annual")</f>
        <v/>
      </c>
      <c r="F7055" s="8">
        <f>QS.TRADE.CREATE("trade.7053",C7055,E7055,A7055,"Receive")</f>
        <v/>
      </c>
      <c r="G7055" s="5"/>
      <c r="H7055" s="7" t="s">
        <v>7096</v>
      </c>
      <c r="I7055" s="9">
        <v>1705300</v>
      </c>
      <c r="J7055" s="10">
        <v>0.0353</v>
      </c>
    </row>
    <row r="7056" spans="1:10">
      <c r="A7056" s="7" t="s">
        <v>7090</v>
      </c>
      <c r="B7056" s="7" t="s">
        <v>8923</v>
      </c>
      <c r="C7056" s="8">
        <f>QS.CONTEXT.CREATE("market.7054",A7056,"USD","SOFR")</f>
        <v/>
      </c>
      <c r="D7056" s="8">
        <f>QS.CONTEXT.ADD.CURVE(C7056,"SOFR",$K$2:$K$7,$L$2:$L$7,,,"Actual360","LogLinear",TRUE)</f>
        <v/>
      </c>
      <c r="E7056" s="8">
        <f>QS.INSTRUMENT.SWAP("swap.7054",C7056,H7056,B7056,"USD","SOFR",I7056,J7056,0,"Actual360","Simple","Annual","Annual","Annual")</f>
        <v/>
      </c>
      <c r="F7056" s="8">
        <f>QS.TRADE.CREATE("trade.7054",C7056,E7056,A7056,"Receive")</f>
        <v/>
      </c>
      <c r="G7056" s="5"/>
      <c r="H7056" s="7" t="s">
        <v>7097</v>
      </c>
      <c r="I7056" s="9">
        <v>1705400</v>
      </c>
      <c r="J7056" s="10">
        <v>0.0354</v>
      </c>
    </row>
    <row r="7057" spans="1:10">
      <c r="A7057" s="7" t="s">
        <v>7091</v>
      </c>
      <c r="B7057" s="7" t="s">
        <v>8924</v>
      </c>
      <c r="C7057" s="8">
        <f>QS.CONTEXT.CREATE("market.7055",A7057,"USD","SOFR")</f>
        <v/>
      </c>
      <c r="D7057" s="8">
        <f>QS.CONTEXT.ADD.CURVE(C7057,"SOFR",$K$2:$K$7,$L$2:$L$7,,,"Actual360","LogLinear",TRUE)</f>
        <v/>
      </c>
      <c r="E7057" s="8">
        <f>QS.INSTRUMENT.SWAP("swap.7055",C7057,H7057,B7057,"USD","SOFR",I7057,J7057,0,"Actual360","Simple","Annual","Annual","Annual")</f>
        <v/>
      </c>
      <c r="F7057" s="8">
        <f>QS.TRADE.CREATE("trade.7055",C7057,E7057,A7057,"Receive")</f>
        <v/>
      </c>
      <c r="G7057" s="5"/>
      <c r="H7057" s="7" t="s">
        <v>7098</v>
      </c>
      <c r="I7057" s="9">
        <v>1705500</v>
      </c>
      <c r="J7057" s="10">
        <v>0.0355</v>
      </c>
    </row>
    <row r="7058" spans="1:10">
      <c r="A7058" s="7" t="s">
        <v>7092</v>
      </c>
      <c r="B7058" s="7" t="s">
        <v>8925</v>
      </c>
      <c r="C7058" s="8">
        <f>QS.CONTEXT.CREATE("market.7056",A7058,"USD","SOFR")</f>
        <v/>
      </c>
      <c r="D7058" s="8">
        <f>QS.CONTEXT.ADD.CURVE(C7058,"SOFR",$K$2:$K$7,$L$2:$L$7,,,"Actual360","LogLinear",TRUE)</f>
        <v/>
      </c>
      <c r="E7058" s="8">
        <f>QS.INSTRUMENT.SWAP("swap.7056",C7058,H7058,B7058,"USD","SOFR",I7058,J7058,0,"Actual360","Simple","Annual","Annual","Annual")</f>
        <v/>
      </c>
      <c r="F7058" s="8">
        <f>QS.TRADE.CREATE("trade.7056",C7058,E7058,A7058,"Receive")</f>
        <v/>
      </c>
      <c r="G7058" s="5"/>
      <c r="H7058" s="7" t="s">
        <v>7099</v>
      </c>
      <c r="I7058" s="9">
        <v>1705600</v>
      </c>
      <c r="J7058" s="10">
        <v>0.03560000000000001</v>
      </c>
    </row>
    <row r="7059" spans="1:10">
      <c r="A7059" s="7" t="s">
        <v>7093</v>
      </c>
      <c r="B7059" s="7" t="s">
        <v>8926</v>
      </c>
      <c r="C7059" s="8">
        <f>QS.CONTEXT.CREATE("market.7057",A7059,"USD","SOFR")</f>
        <v/>
      </c>
      <c r="D7059" s="8">
        <f>QS.CONTEXT.ADD.CURVE(C7059,"SOFR",$K$2:$K$7,$L$2:$L$7,,,"Actual360","LogLinear",TRUE)</f>
        <v/>
      </c>
      <c r="E7059" s="8">
        <f>QS.INSTRUMENT.SWAP("swap.7057",C7059,H7059,B7059,"USD","SOFR",I7059,J7059,0,"Actual360","Simple","Annual","Annual","Annual")</f>
        <v/>
      </c>
      <c r="F7059" s="8">
        <f>QS.TRADE.CREATE("trade.7057",C7059,E7059,A7059,"Receive")</f>
        <v/>
      </c>
      <c r="G7059" s="5"/>
      <c r="H7059" s="7" t="s">
        <v>7100</v>
      </c>
      <c r="I7059" s="9">
        <v>1705700</v>
      </c>
      <c r="J7059" s="10">
        <v>0.0357</v>
      </c>
    </row>
    <row r="7060" spans="1:10">
      <c r="A7060" s="7" t="s">
        <v>7094</v>
      </c>
      <c r="B7060" s="7" t="s">
        <v>8927</v>
      </c>
      <c r="C7060" s="8">
        <f>QS.CONTEXT.CREATE("market.7058",A7060,"USD","SOFR")</f>
        <v/>
      </c>
      <c r="D7060" s="8">
        <f>QS.CONTEXT.ADD.CURVE(C7060,"SOFR",$K$2:$K$7,$L$2:$L$7,,,"Actual360","LogLinear",TRUE)</f>
        <v/>
      </c>
      <c r="E7060" s="8">
        <f>QS.INSTRUMENT.SWAP("swap.7058",C7060,H7060,B7060,"USD","SOFR",I7060,J7060,0,"Actual360","Simple","Annual","Annual","Annual")</f>
        <v/>
      </c>
      <c r="F7060" s="8">
        <f>QS.TRADE.CREATE("trade.7058",C7060,E7060,A7060,"Receive")</f>
        <v/>
      </c>
      <c r="G7060" s="5"/>
      <c r="H7060" s="7" t="s">
        <v>7101</v>
      </c>
      <c r="I7060" s="9">
        <v>1705800</v>
      </c>
      <c r="J7060" s="10">
        <v>0.03580000000000001</v>
      </c>
    </row>
    <row r="7061" spans="1:10">
      <c r="A7061" s="7" t="s">
        <v>7095</v>
      </c>
      <c r="B7061" s="7" t="s">
        <v>8928</v>
      </c>
      <c r="C7061" s="8">
        <f>QS.CONTEXT.CREATE("market.7059",A7061,"USD","SOFR")</f>
        <v/>
      </c>
      <c r="D7061" s="8">
        <f>QS.CONTEXT.ADD.CURVE(C7061,"SOFR",$K$2:$K$7,$L$2:$L$7,,,"Actual360","LogLinear",TRUE)</f>
        <v/>
      </c>
      <c r="E7061" s="8">
        <f>QS.INSTRUMENT.SWAP("swap.7059",C7061,H7061,B7061,"USD","SOFR",I7061,J7061,0,"Actual360","Simple","Annual","Annual","Annual")</f>
        <v/>
      </c>
      <c r="F7061" s="8">
        <f>QS.TRADE.CREATE("trade.7059",C7061,E7061,A7061,"Receive")</f>
        <v/>
      </c>
      <c r="G7061" s="5"/>
      <c r="H7061" s="7" t="s">
        <v>7102</v>
      </c>
      <c r="I7061" s="9">
        <v>1705900</v>
      </c>
      <c r="J7061" s="10">
        <v>0.0359</v>
      </c>
    </row>
    <row r="7062" spans="1:10">
      <c r="A7062" s="7" t="s">
        <v>7096</v>
      </c>
      <c r="B7062" s="7" t="s">
        <v>8929</v>
      </c>
      <c r="C7062" s="8">
        <f>QS.CONTEXT.CREATE("market.7060",A7062,"USD","SOFR")</f>
        <v/>
      </c>
      <c r="D7062" s="8">
        <f>QS.CONTEXT.ADD.CURVE(C7062,"SOFR",$K$2:$K$7,$L$2:$L$7,,,"Actual360","LogLinear",TRUE)</f>
        <v/>
      </c>
      <c r="E7062" s="8">
        <f>QS.INSTRUMENT.SWAP("swap.7060",C7062,H7062,B7062,"USD","SOFR",I7062,J7062,0,"Actual360","Simple","Annual","Annual","Annual")</f>
        <v/>
      </c>
      <c r="F7062" s="8">
        <f>QS.TRADE.CREATE("trade.7060",C7062,E7062,A7062,"Receive")</f>
        <v/>
      </c>
      <c r="G7062" s="5"/>
      <c r="H7062" s="7" t="s">
        <v>7103</v>
      </c>
      <c r="I7062" s="9">
        <v>1706000</v>
      </c>
      <c r="J7062" s="10">
        <v>0.036</v>
      </c>
    </row>
    <row r="7063" spans="1:10">
      <c r="A7063" s="7" t="s">
        <v>7097</v>
      </c>
      <c r="B7063" s="7" t="s">
        <v>8930</v>
      </c>
      <c r="C7063" s="8">
        <f>QS.CONTEXT.CREATE("market.7061",A7063,"USD","SOFR")</f>
        <v/>
      </c>
      <c r="D7063" s="8">
        <f>QS.CONTEXT.ADD.CURVE(C7063,"SOFR",$K$2:$K$7,$L$2:$L$7,,,"Actual360","LogLinear",TRUE)</f>
        <v/>
      </c>
      <c r="E7063" s="8">
        <f>QS.INSTRUMENT.SWAP("swap.7061",C7063,H7063,B7063,"USD","SOFR",I7063,J7063,0,"Actual360","Simple","Annual","Annual","Annual")</f>
        <v/>
      </c>
      <c r="F7063" s="8">
        <f>QS.TRADE.CREATE("trade.7061",C7063,E7063,A7063,"Receive")</f>
        <v/>
      </c>
      <c r="G7063" s="5"/>
      <c r="H7063" s="7" t="s">
        <v>7104</v>
      </c>
      <c r="I7063" s="9">
        <v>1706100</v>
      </c>
      <c r="J7063" s="10">
        <v>0.0361</v>
      </c>
    </row>
    <row r="7064" spans="1:10">
      <c r="A7064" s="7" t="s">
        <v>7098</v>
      </c>
      <c r="B7064" s="7" t="s">
        <v>8931</v>
      </c>
      <c r="C7064" s="8">
        <f>QS.CONTEXT.CREATE("market.7062",A7064,"USD","SOFR")</f>
        <v/>
      </c>
      <c r="D7064" s="8">
        <f>QS.CONTEXT.ADD.CURVE(C7064,"SOFR",$K$2:$K$7,$L$2:$L$7,,,"Actual360","LogLinear",TRUE)</f>
        <v/>
      </c>
      <c r="E7064" s="8">
        <f>QS.INSTRUMENT.SWAP("swap.7062",C7064,H7064,B7064,"USD","SOFR",I7064,J7064,0,"Actual360","Simple","Annual","Annual","Annual")</f>
        <v/>
      </c>
      <c r="F7064" s="8">
        <f>QS.TRADE.CREATE("trade.7062",C7064,E7064,A7064,"Receive")</f>
        <v/>
      </c>
      <c r="G7064" s="5"/>
      <c r="H7064" s="7" t="s">
        <v>7105</v>
      </c>
      <c r="I7064" s="9">
        <v>1706200</v>
      </c>
      <c r="J7064" s="10">
        <v>0.0362</v>
      </c>
    </row>
    <row r="7065" spans="1:10">
      <c r="A7065" s="7" t="s">
        <v>7099</v>
      </c>
      <c r="B7065" s="7" t="s">
        <v>8932</v>
      </c>
      <c r="C7065" s="8">
        <f>QS.CONTEXT.CREATE("market.7063",A7065,"USD","SOFR")</f>
        <v/>
      </c>
      <c r="D7065" s="8">
        <f>QS.CONTEXT.ADD.CURVE(C7065,"SOFR",$K$2:$K$7,$L$2:$L$7,,,"Actual360","LogLinear",TRUE)</f>
        <v/>
      </c>
      <c r="E7065" s="8">
        <f>QS.INSTRUMENT.SWAP("swap.7063",C7065,H7065,B7065,"USD","SOFR",I7065,J7065,0,"Actual360","Simple","Annual","Annual","Annual")</f>
        <v/>
      </c>
      <c r="F7065" s="8">
        <f>QS.TRADE.CREATE("trade.7063",C7065,E7065,A7065,"Receive")</f>
        <v/>
      </c>
      <c r="G7065" s="5"/>
      <c r="H7065" s="7" t="s">
        <v>7106</v>
      </c>
      <c r="I7065" s="9">
        <v>1706300</v>
      </c>
      <c r="J7065" s="10">
        <v>0.03630000000000001</v>
      </c>
    </row>
    <row r="7066" spans="1:10">
      <c r="A7066" s="7" t="s">
        <v>7100</v>
      </c>
      <c r="B7066" s="7" t="s">
        <v>8933</v>
      </c>
      <c r="C7066" s="8">
        <f>QS.CONTEXT.CREATE("market.7064",A7066,"USD","SOFR")</f>
        <v/>
      </c>
      <c r="D7066" s="8">
        <f>QS.CONTEXT.ADD.CURVE(C7066,"SOFR",$K$2:$K$7,$L$2:$L$7,,,"Actual360","LogLinear",TRUE)</f>
        <v/>
      </c>
      <c r="E7066" s="8">
        <f>QS.INSTRUMENT.SWAP("swap.7064",C7066,H7066,B7066,"USD","SOFR",I7066,J7066,0,"Actual360","Simple","Annual","Annual","Annual")</f>
        <v/>
      </c>
      <c r="F7066" s="8">
        <f>QS.TRADE.CREATE("trade.7064",C7066,E7066,A7066,"Receive")</f>
        <v/>
      </c>
      <c r="G7066" s="5"/>
      <c r="H7066" s="7" t="s">
        <v>7107</v>
      </c>
      <c r="I7066" s="9">
        <v>1706400</v>
      </c>
      <c r="J7066" s="10">
        <v>0.0364</v>
      </c>
    </row>
    <row r="7067" spans="1:10">
      <c r="A7067" s="7" t="s">
        <v>7101</v>
      </c>
      <c r="B7067" s="7" t="s">
        <v>8934</v>
      </c>
      <c r="C7067" s="8">
        <f>QS.CONTEXT.CREATE("market.7065",A7067,"USD","SOFR")</f>
        <v/>
      </c>
      <c r="D7067" s="8">
        <f>QS.CONTEXT.ADD.CURVE(C7067,"SOFR",$K$2:$K$7,$L$2:$L$7,,,"Actual360","LogLinear",TRUE)</f>
        <v/>
      </c>
      <c r="E7067" s="8">
        <f>QS.INSTRUMENT.SWAP("swap.7065",C7067,H7067,B7067,"USD","SOFR",I7067,J7067,0,"Actual360","Simple","Annual","Annual","Annual")</f>
        <v/>
      </c>
      <c r="F7067" s="8">
        <f>QS.TRADE.CREATE("trade.7065",C7067,E7067,A7067,"Receive")</f>
        <v/>
      </c>
      <c r="G7067" s="5"/>
      <c r="H7067" s="7" t="s">
        <v>7108</v>
      </c>
      <c r="I7067" s="9">
        <v>1706500</v>
      </c>
      <c r="J7067" s="10">
        <v>0.0365</v>
      </c>
    </row>
    <row r="7068" spans="1:10">
      <c r="A7068" s="7" t="s">
        <v>7102</v>
      </c>
      <c r="B7068" s="7" t="s">
        <v>8935</v>
      </c>
      <c r="C7068" s="8">
        <f>QS.CONTEXT.CREATE("market.7066",A7068,"USD","SOFR")</f>
        <v/>
      </c>
      <c r="D7068" s="8">
        <f>QS.CONTEXT.ADD.CURVE(C7068,"SOFR",$K$2:$K$7,$L$2:$L$7,,,"Actual360","LogLinear",TRUE)</f>
        <v/>
      </c>
      <c r="E7068" s="8">
        <f>QS.INSTRUMENT.SWAP("swap.7066",C7068,H7068,B7068,"USD","SOFR",I7068,J7068,0,"Actual360","Simple","Annual","Annual","Annual")</f>
        <v/>
      </c>
      <c r="F7068" s="8">
        <f>QS.TRADE.CREATE("trade.7066",C7068,E7068,A7068,"Receive")</f>
        <v/>
      </c>
      <c r="G7068" s="5"/>
      <c r="H7068" s="7" t="s">
        <v>7109</v>
      </c>
      <c r="I7068" s="9">
        <v>1706600</v>
      </c>
      <c r="J7068" s="10">
        <v>0.0366</v>
      </c>
    </row>
    <row r="7069" spans="1:10">
      <c r="A7069" s="7" t="s">
        <v>7103</v>
      </c>
      <c r="B7069" s="7" t="s">
        <v>8936</v>
      </c>
      <c r="C7069" s="8">
        <f>QS.CONTEXT.CREATE("market.7067",A7069,"USD","SOFR")</f>
        <v/>
      </c>
      <c r="D7069" s="8">
        <f>QS.CONTEXT.ADD.CURVE(C7069,"SOFR",$K$2:$K$7,$L$2:$L$7,,,"Actual360","LogLinear",TRUE)</f>
        <v/>
      </c>
      <c r="E7069" s="8">
        <f>QS.INSTRUMENT.SWAP("swap.7067",C7069,H7069,B7069,"USD","SOFR",I7069,J7069,0,"Actual360","Simple","Annual","Annual","Annual")</f>
        <v/>
      </c>
      <c r="F7069" s="8">
        <f>QS.TRADE.CREATE("trade.7067",C7069,E7069,A7069,"Receive")</f>
        <v/>
      </c>
      <c r="G7069" s="5"/>
      <c r="H7069" s="7" t="s">
        <v>7110</v>
      </c>
      <c r="I7069" s="9">
        <v>1706700</v>
      </c>
      <c r="J7069" s="10">
        <v>0.0367</v>
      </c>
    </row>
    <row r="7070" spans="1:10">
      <c r="A7070" s="7" t="s">
        <v>7104</v>
      </c>
      <c r="B7070" s="7" t="s">
        <v>8937</v>
      </c>
      <c r="C7070" s="8">
        <f>QS.CONTEXT.CREATE("market.7068",A7070,"USD","SOFR")</f>
        <v/>
      </c>
      <c r="D7070" s="8">
        <f>QS.CONTEXT.ADD.CURVE(C7070,"SOFR",$K$2:$K$7,$L$2:$L$7,,,"Actual360","LogLinear",TRUE)</f>
        <v/>
      </c>
      <c r="E7070" s="8">
        <f>QS.INSTRUMENT.SWAP("swap.7068",C7070,H7070,B7070,"USD","SOFR",I7070,J7070,0,"Actual360","Simple","Annual","Annual","Annual")</f>
        <v/>
      </c>
      <c r="F7070" s="8">
        <f>QS.TRADE.CREATE("trade.7068",C7070,E7070,A7070,"Receive")</f>
        <v/>
      </c>
      <c r="G7070" s="5"/>
      <c r="H7070" s="7" t="s">
        <v>7111</v>
      </c>
      <c r="I7070" s="9">
        <v>1706800</v>
      </c>
      <c r="J7070" s="10">
        <v>0.03680000000000001</v>
      </c>
    </row>
    <row r="7071" spans="1:10">
      <c r="A7071" s="7" t="s">
        <v>7105</v>
      </c>
      <c r="B7071" s="7" t="s">
        <v>8938</v>
      </c>
      <c r="C7071" s="8">
        <f>QS.CONTEXT.CREATE("market.7069",A7071,"USD","SOFR")</f>
        <v/>
      </c>
      <c r="D7071" s="8">
        <f>QS.CONTEXT.ADD.CURVE(C7071,"SOFR",$K$2:$K$7,$L$2:$L$7,,,"Actual360","LogLinear",TRUE)</f>
        <v/>
      </c>
      <c r="E7071" s="8">
        <f>QS.INSTRUMENT.SWAP("swap.7069",C7071,H7071,B7071,"USD","SOFR",I7071,J7071,0,"Actual360","Simple","Annual","Annual","Annual")</f>
        <v/>
      </c>
      <c r="F7071" s="8">
        <f>QS.TRADE.CREATE("trade.7069",C7071,E7071,A7071,"Receive")</f>
        <v/>
      </c>
      <c r="G7071" s="5"/>
      <c r="H7071" s="7" t="s">
        <v>7112</v>
      </c>
      <c r="I7071" s="9">
        <v>1706900</v>
      </c>
      <c r="J7071" s="10">
        <v>0.0369</v>
      </c>
    </row>
    <row r="7072" spans="1:10">
      <c r="A7072" s="7" t="s">
        <v>7106</v>
      </c>
      <c r="B7072" s="7" t="s">
        <v>8939</v>
      </c>
      <c r="C7072" s="8">
        <f>QS.CONTEXT.CREATE("market.7070",A7072,"USD","SOFR")</f>
        <v/>
      </c>
      <c r="D7072" s="8">
        <f>QS.CONTEXT.ADD.CURVE(C7072,"SOFR",$K$2:$K$7,$L$2:$L$7,,,"Actual360","LogLinear",TRUE)</f>
        <v/>
      </c>
      <c r="E7072" s="8">
        <f>QS.INSTRUMENT.SWAP("swap.7070",C7072,H7072,B7072,"USD","SOFR",I7072,J7072,0,"Actual360","Simple","Annual","Annual","Annual")</f>
        <v/>
      </c>
      <c r="F7072" s="8">
        <f>QS.TRADE.CREATE("trade.7070",C7072,E7072,A7072,"Receive")</f>
        <v/>
      </c>
      <c r="G7072" s="5"/>
      <c r="H7072" s="7" t="s">
        <v>7113</v>
      </c>
      <c r="I7072" s="9">
        <v>1707000</v>
      </c>
      <c r="J7072" s="10">
        <v>0.03700000000000001</v>
      </c>
    </row>
    <row r="7073" spans="1:10">
      <c r="A7073" s="7" t="s">
        <v>7107</v>
      </c>
      <c r="B7073" s="7" t="s">
        <v>8940</v>
      </c>
      <c r="C7073" s="8">
        <f>QS.CONTEXT.CREATE("market.7071",A7073,"USD","SOFR")</f>
        <v/>
      </c>
      <c r="D7073" s="8">
        <f>QS.CONTEXT.ADD.CURVE(C7073,"SOFR",$K$2:$K$7,$L$2:$L$7,,,"Actual360","LogLinear",TRUE)</f>
        <v/>
      </c>
      <c r="E7073" s="8">
        <f>QS.INSTRUMENT.SWAP("swap.7071",C7073,H7073,B7073,"USD","SOFR",I7073,J7073,0,"Actual360","Simple","Annual","Annual","Annual")</f>
        <v/>
      </c>
      <c r="F7073" s="8">
        <f>QS.TRADE.CREATE("trade.7071",C7073,E7073,A7073,"Receive")</f>
        <v/>
      </c>
      <c r="G7073" s="5"/>
      <c r="H7073" s="7" t="s">
        <v>7114</v>
      </c>
      <c r="I7073" s="9">
        <v>1707100</v>
      </c>
      <c r="J7073" s="10">
        <v>0.0371</v>
      </c>
    </row>
    <row r="7074" spans="1:10">
      <c r="A7074" s="7" t="s">
        <v>7108</v>
      </c>
      <c r="B7074" s="7" t="s">
        <v>8941</v>
      </c>
      <c r="C7074" s="8">
        <f>QS.CONTEXT.CREATE("market.7072",A7074,"USD","SOFR")</f>
        <v/>
      </c>
      <c r="D7074" s="8">
        <f>QS.CONTEXT.ADD.CURVE(C7074,"SOFR",$K$2:$K$7,$L$2:$L$7,,,"Actual360","LogLinear",TRUE)</f>
        <v/>
      </c>
      <c r="E7074" s="8">
        <f>QS.INSTRUMENT.SWAP("swap.7072",C7074,H7074,B7074,"USD","SOFR",I7074,J7074,0,"Actual360","Simple","Annual","Annual","Annual")</f>
        <v/>
      </c>
      <c r="F7074" s="8">
        <f>QS.TRADE.CREATE("trade.7072",C7074,E7074,A7074,"Receive")</f>
        <v/>
      </c>
      <c r="G7074" s="5"/>
      <c r="H7074" s="7" t="s">
        <v>7115</v>
      </c>
      <c r="I7074" s="9">
        <v>1707200</v>
      </c>
      <c r="J7074" s="10">
        <v>0.0372</v>
      </c>
    </row>
    <row r="7075" spans="1:10">
      <c r="A7075" s="7" t="s">
        <v>7109</v>
      </c>
      <c r="B7075" s="7" t="s">
        <v>8942</v>
      </c>
      <c r="C7075" s="8">
        <f>QS.CONTEXT.CREATE("market.7073",A7075,"USD","SOFR")</f>
        <v/>
      </c>
      <c r="D7075" s="8">
        <f>QS.CONTEXT.ADD.CURVE(C7075,"SOFR",$K$2:$K$7,$L$2:$L$7,,,"Actual360","LogLinear",TRUE)</f>
        <v/>
      </c>
      <c r="E7075" s="8">
        <f>QS.INSTRUMENT.SWAP("swap.7073",C7075,H7075,B7075,"USD","SOFR",I7075,J7075,0,"Actual360","Simple","Annual","Annual","Annual")</f>
        <v/>
      </c>
      <c r="F7075" s="8">
        <f>QS.TRADE.CREATE("trade.7073",C7075,E7075,A7075,"Receive")</f>
        <v/>
      </c>
      <c r="G7075" s="5"/>
      <c r="H7075" s="7" t="s">
        <v>7116</v>
      </c>
      <c r="I7075" s="9">
        <v>1707300</v>
      </c>
      <c r="J7075" s="10">
        <v>0.0373</v>
      </c>
    </row>
    <row r="7076" spans="1:10">
      <c r="A7076" s="7" t="s">
        <v>7110</v>
      </c>
      <c r="B7076" s="7" t="s">
        <v>8943</v>
      </c>
      <c r="C7076" s="8">
        <f>QS.CONTEXT.CREATE("market.7074",A7076,"USD","SOFR")</f>
        <v/>
      </c>
      <c r="D7076" s="8">
        <f>QS.CONTEXT.ADD.CURVE(C7076,"SOFR",$K$2:$K$7,$L$2:$L$7,,,"Actual360","LogLinear",TRUE)</f>
        <v/>
      </c>
      <c r="E7076" s="8">
        <f>QS.INSTRUMENT.SWAP("swap.7074",C7076,H7076,B7076,"USD","SOFR",I7076,J7076,0,"Actual360","Simple","Annual","Annual","Annual")</f>
        <v/>
      </c>
      <c r="F7076" s="8">
        <f>QS.TRADE.CREATE("trade.7074",C7076,E7076,A7076,"Receive")</f>
        <v/>
      </c>
      <c r="G7076" s="5"/>
      <c r="H7076" s="7" t="s">
        <v>7117</v>
      </c>
      <c r="I7076" s="9">
        <v>1707400</v>
      </c>
      <c r="J7076" s="10">
        <v>0.0374</v>
      </c>
    </row>
    <row r="7077" spans="1:10">
      <c r="A7077" s="7" t="s">
        <v>7111</v>
      </c>
      <c r="B7077" s="7" t="s">
        <v>8944</v>
      </c>
      <c r="C7077" s="8">
        <f>QS.CONTEXT.CREATE("market.7075",A7077,"USD","SOFR")</f>
        <v/>
      </c>
      <c r="D7077" s="8">
        <f>QS.CONTEXT.ADD.CURVE(C7077,"SOFR",$K$2:$K$7,$L$2:$L$7,,,"Actual360","LogLinear",TRUE)</f>
        <v/>
      </c>
      <c r="E7077" s="8">
        <f>QS.INSTRUMENT.SWAP("swap.7075",C7077,H7077,B7077,"USD","SOFR",I7077,J7077,0,"Actual360","Simple","Annual","Annual","Annual")</f>
        <v/>
      </c>
      <c r="F7077" s="8">
        <f>QS.TRADE.CREATE("trade.7075",C7077,E7077,A7077,"Receive")</f>
        <v/>
      </c>
      <c r="G7077" s="5"/>
      <c r="H7077" s="7" t="s">
        <v>7118</v>
      </c>
      <c r="I7077" s="9">
        <v>1707500</v>
      </c>
      <c r="J7077" s="10">
        <v>0.03750000000000001</v>
      </c>
    </row>
    <row r="7078" spans="1:10">
      <c r="A7078" s="7" t="s">
        <v>7112</v>
      </c>
      <c r="B7078" s="7" t="s">
        <v>8945</v>
      </c>
      <c r="C7078" s="8">
        <f>QS.CONTEXT.CREATE("market.7076",A7078,"USD","SOFR")</f>
        <v/>
      </c>
      <c r="D7078" s="8">
        <f>QS.CONTEXT.ADD.CURVE(C7078,"SOFR",$K$2:$K$7,$L$2:$L$7,,,"Actual360","LogLinear",TRUE)</f>
        <v/>
      </c>
      <c r="E7078" s="8">
        <f>QS.INSTRUMENT.SWAP("swap.7076",C7078,H7078,B7078,"USD","SOFR",I7078,J7078,0,"Actual360","Simple","Annual","Annual","Annual")</f>
        <v/>
      </c>
      <c r="F7078" s="8">
        <f>QS.TRADE.CREATE("trade.7076",C7078,E7078,A7078,"Receive")</f>
        <v/>
      </c>
      <c r="G7078" s="5"/>
      <c r="H7078" s="7" t="s">
        <v>7119</v>
      </c>
      <c r="I7078" s="9">
        <v>1707600</v>
      </c>
      <c r="J7078" s="10">
        <v>0.0376</v>
      </c>
    </row>
    <row r="7079" spans="1:10">
      <c r="A7079" s="7" t="s">
        <v>7113</v>
      </c>
      <c r="B7079" s="7" t="s">
        <v>8946</v>
      </c>
      <c r="C7079" s="8">
        <f>QS.CONTEXT.CREATE("market.7077",A7079,"USD","SOFR")</f>
        <v/>
      </c>
      <c r="D7079" s="8">
        <f>QS.CONTEXT.ADD.CURVE(C7079,"SOFR",$K$2:$K$7,$L$2:$L$7,,,"Actual360","LogLinear",TRUE)</f>
        <v/>
      </c>
      <c r="E7079" s="8">
        <f>QS.INSTRUMENT.SWAP("swap.7077",C7079,H7079,B7079,"USD","SOFR",I7079,J7079,0,"Actual360","Simple","Annual","Annual","Annual")</f>
        <v/>
      </c>
      <c r="F7079" s="8">
        <f>QS.TRADE.CREATE("trade.7077",C7079,E7079,A7079,"Receive")</f>
        <v/>
      </c>
      <c r="G7079" s="5"/>
      <c r="H7079" s="7" t="s">
        <v>7120</v>
      </c>
      <c r="I7079" s="9">
        <v>1707700</v>
      </c>
      <c r="J7079" s="10">
        <v>0.0377</v>
      </c>
    </row>
    <row r="7080" spans="1:10">
      <c r="A7080" s="7" t="s">
        <v>7114</v>
      </c>
      <c r="B7080" s="7" t="s">
        <v>8947</v>
      </c>
      <c r="C7080" s="8">
        <f>QS.CONTEXT.CREATE("market.7078",A7080,"USD","SOFR")</f>
        <v/>
      </c>
      <c r="D7080" s="8">
        <f>QS.CONTEXT.ADD.CURVE(C7080,"SOFR",$K$2:$K$7,$L$2:$L$7,,,"Actual360","LogLinear",TRUE)</f>
        <v/>
      </c>
      <c r="E7080" s="8">
        <f>QS.INSTRUMENT.SWAP("swap.7078",C7080,H7080,B7080,"USD","SOFR",I7080,J7080,0,"Actual360","Simple","Annual","Annual","Annual")</f>
        <v/>
      </c>
      <c r="F7080" s="8">
        <f>QS.TRADE.CREATE("trade.7078",C7080,E7080,A7080,"Receive")</f>
        <v/>
      </c>
      <c r="G7080" s="5"/>
      <c r="H7080" s="7" t="s">
        <v>7121</v>
      </c>
      <c r="I7080" s="9">
        <v>1707800</v>
      </c>
      <c r="J7080" s="10">
        <v>0.0378</v>
      </c>
    </row>
    <row r="7081" spans="1:10">
      <c r="A7081" s="7" t="s">
        <v>7115</v>
      </c>
      <c r="B7081" s="7" t="s">
        <v>8948</v>
      </c>
      <c r="C7081" s="8">
        <f>QS.CONTEXT.CREATE("market.7079",A7081,"USD","SOFR")</f>
        <v/>
      </c>
      <c r="D7081" s="8">
        <f>QS.CONTEXT.ADD.CURVE(C7081,"SOFR",$K$2:$K$7,$L$2:$L$7,,,"Actual360","LogLinear",TRUE)</f>
        <v/>
      </c>
      <c r="E7081" s="8">
        <f>QS.INSTRUMENT.SWAP("swap.7079",C7081,H7081,B7081,"USD","SOFR",I7081,J7081,0,"Actual360","Simple","Annual","Annual","Annual")</f>
        <v/>
      </c>
      <c r="F7081" s="8">
        <f>QS.TRADE.CREATE("trade.7079",C7081,E7081,A7081,"Receive")</f>
        <v/>
      </c>
      <c r="G7081" s="5"/>
      <c r="H7081" s="7" t="s">
        <v>7122</v>
      </c>
      <c r="I7081" s="9">
        <v>1707900</v>
      </c>
      <c r="J7081" s="10">
        <v>0.0379</v>
      </c>
    </row>
    <row r="7082" spans="1:10">
      <c r="A7082" s="7" t="s">
        <v>7116</v>
      </c>
      <c r="B7082" s="7" t="s">
        <v>8949</v>
      </c>
      <c r="C7082" s="8">
        <f>QS.CONTEXT.CREATE("market.7080",A7082,"USD","SOFR")</f>
        <v/>
      </c>
      <c r="D7082" s="8">
        <f>QS.CONTEXT.ADD.CURVE(C7082,"SOFR",$K$2:$K$7,$L$2:$L$7,,,"Actual360","LogLinear",TRUE)</f>
        <v/>
      </c>
      <c r="E7082" s="8">
        <f>QS.INSTRUMENT.SWAP("swap.7080",C7082,H7082,B7082,"USD","SOFR",I7082,J7082,0,"Actual360","Simple","Annual","Annual","Annual")</f>
        <v/>
      </c>
      <c r="F7082" s="8">
        <f>QS.TRADE.CREATE("trade.7080",C7082,E7082,A7082,"Receive")</f>
        <v/>
      </c>
      <c r="G7082" s="5"/>
      <c r="H7082" s="7" t="s">
        <v>7123</v>
      </c>
      <c r="I7082" s="9">
        <v>1708000</v>
      </c>
      <c r="J7082" s="10">
        <v>0.03800000000000001</v>
      </c>
    </row>
    <row r="7083" spans="1:10">
      <c r="A7083" s="7" t="s">
        <v>7117</v>
      </c>
      <c r="B7083" s="7" t="s">
        <v>8950</v>
      </c>
      <c r="C7083" s="8">
        <f>QS.CONTEXT.CREATE("market.7081",A7083,"USD","SOFR")</f>
        <v/>
      </c>
      <c r="D7083" s="8">
        <f>QS.CONTEXT.ADD.CURVE(C7083,"SOFR",$K$2:$K$7,$L$2:$L$7,,,"Actual360","LogLinear",TRUE)</f>
        <v/>
      </c>
      <c r="E7083" s="8">
        <f>QS.INSTRUMENT.SWAP("swap.7081",C7083,H7083,B7083,"USD","SOFR",I7083,J7083,0,"Actual360","Simple","Annual","Annual","Annual")</f>
        <v/>
      </c>
      <c r="F7083" s="8">
        <f>QS.TRADE.CREATE("trade.7081",C7083,E7083,A7083,"Receive")</f>
        <v/>
      </c>
      <c r="G7083" s="5"/>
      <c r="H7083" s="7" t="s">
        <v>7124</v>
      </c>
      <c r="I7083" s="9">
        <v>1708100</v>
      </c>
      <c r="J7083" s="10">
        <v>0.0381</v>
      </c>
    </row>
    <row r="7084" spans="1:10">
      <c r="A7084" s="7" t="s">
        <v>7118</v>
      </c>
      <c r="B7084" s="7" t="s">
        <v>8951</v>
      </c>
      <c r="C7084" s="8">
        <f>QS.CONTEXT.CREATE("market.7082",A7084,"USD","SOFR")</f>
        <v/>
      </c>
      <c r="D7084" s="8">
        <f>QS.CONTEXT.ADD.CURVE(C7084,"SOFR",$K$2:$K$7,$L$2:$L$7,,,"Actual360","LogLinear",TRUE)</f>
        <v/>
      </c>
      <c r="E7084" s="8">
        <f>QS.INSTRUMENT.SWAP("swap.7082",C7084,H7084,B7084,"USD","SOFR",I7084,J7084,0,"Actual360","Simple","Annual","Annual","Annual")</f>
        <v/>
      </c>
      <c r="F7084" s="8">
        <f>QS.TRADE.CREATE("trade.7082",C7084,E7084,A7084,"Receive")</f>
        <v/>
      </c>
      <c r="G7084" s="5"/>
      <c r="H7084" s="7" t="s">
        <v>7125</v>
      </c>
      <c r="I7084" s="9">
        <v>1708200</v>
      </c>
      <c r="J7084" s="10">
        <v>0.0382</v>
      </c>
    </row>
    <row r="7085" spans="1:10">
      <c r="A7085" s="7" t="s">
        <v>7119</v>
      </c>
      <c r="B7085" s="7" t="s">
        <v>8952</v>
      </c>
      <c r="C7085" s="8">
        <f>QS.CONTEXT.CREATE("market.7083",A7085,"USD","SOFR")</f>
        <v/>
      </c>
      <c r="D7085" s="8">
        <f>QS.CONTEXT.ADD.CURVE(C7085,"SOFR",$K$2:$K$7,$L$2:$L$7,,,"Actual360","LogLinear",TRUE)</f>
        <v/>
      </c>
      <c r="E7085" s="8">
        <f>QS.INSTRUMENT.SWAP("swap.7083",C7085,H7085,B7085,"USD","SOFR",I7085,J7085,0,"Actual360","Simple","Annual","Annual","Annual")</f>
        <v/>
      </c>
      <c r="F7085" s="8">
        <f>QS.TRADE.CREATE("trade.7083",C7085,E7085,A7085,"Receive")</f>
        <v/>
      </c>
      <c r="G7085" s="5"/>
      <c r="H7085" s="7" t="s">
        <v>7126</v>
      </c>
      <c r="I7085" s="9">
        <v>1708300</v>
      </c>
      <c r="J7085" s="10">
        <v>0.0383</v>
      </c>
    </row>
    <row r="7086" spans="1:10">
      <c r="A7086" s="7" t="s">
        <v>7120</v>
      </c>
      <c r="B7086" s="7" t="s">
        <v>8953</v>
      </c>
      <c r="C7086" s="8">
        <f>QS.CONTEXT.CREATE("market.7084",A7086,"USD","SOFR")</f>
        <v/>
      </c>
      <c r="D7086" s="8">
        <f>QS.CONTEXT.ADD.CURVE(C7086,"SOFR",$K$2:$K$7,$L$2:$L$7,,,"Actual360","LogLinear",TRUE)</f>
        <v/>
      </c>
      <c r="E7086" s="8">
        <f>QS.INSTRUMENT.SWAP("swap.7084",C7086,H7086,B7086,"USD","SOFR",I7086,J7086,0,"Actual360","Simple","Annual","Annual","Annual")</f>
        <v/>
      </c>
      <c r="F7086" s="8">
        <f>QS.TRADE.CREATE("trade.7084",C7086,E7086,A7086,"Receive")</f>
        <v/>
      </c>
      <c r="G7086" s="5"/>
      <c r="H7086" s="7" t="s">
        <v>7127</v>
      </c>
      <c r="I7086" s="9">
        <v>1708400</v>
      </c>
      <c r="J7086" s="10">
        <v>0.0384</v>
      </c>
    </row>
    <row r="7087" spans="1:10">
      <c r="A7087" s="7" t="s">
        <v>7121</v>
      </c>
      <c r="B7087" s="7" t="s">
        <v>8954</v>
      </c>
      <c r="C7087" s="8">
        <f>QS.CONTEXT.CREATE("market.7085",A7087,"USD","SOFR")</f>
        <v/>
      </c>
      <c r="D7087" s="8">
        <f>QS.CONTEXT.ADD.CURVE(C7087,"SOFR",$K$2:$K$7,$L$2:$L$7,,,"Actual360","LogLinear",TRUE)</f>
        <v/>
      </c>
      <c r="E7087" s="8">
        <f>QS.INSTRUMENT.SWAP("swap.7085",C7087,H7087,B7087,"USD","SOFR",I7087,J7087,0,"Actual360","Simple","Annual","Annual","Annual")</f>
        <v/>
      </c>
      <c r="F7087" s="8">
        <f>QS.TRADE.CREATE("trade.7085",C7087,E7087,A7087,"Receive")</f>
        <v/>
      </c>
      <c r="G7087" s="5"/>
      <c r="H7087" s="7" t="s">
        <v>7128</v>
      </c>
      <c r="I7087" s="9">
        <v>1708500</v>
      </c>
      <c r="J7087" s="10">
        <v>0.03850000000000001</v>
      </c>
    </row>
    <row r="7088" spans="1:10">
      <c r="A7088" s="7" t="s">
        <v>7122</v>
      </c>
      <c r="B7088" s="7" t="s">
        <v>8955</v>
      </c>
      <c r="C7088" s="8">
        <f>QS.CONTEXT.CREATE("market.7086",A7088,"USD","SOFR")</f>
        <v/>
      </c>
      <c r="D7088" s="8">
        <f>QS.CONTEXT.ADD.CURVE(C7088,"SOFR",$K$2:$K$7,$L$2:$L$7,,,"Actual360","LogLinear",TRUE)</f>
        <v/>
      </c>
      <c r="E7088" s="8">
        <f>QS.INSTRUMENT.SWAP("swap.7086",C7088,H7088,B7088,"USD","SOFR",I7088,J7088,0,"Actual360","Simple","Annual","Annual","Annual")</f>
        <v/>
      </c>
      <c r="F7088" s="8">
        <f>QS.TRADE.CREATE("trade.7086",C7088,E7088,A7088,"Receive")</f>
        <v/>
      </c>
      <c r="G7088" s="5"/>
      <c r="H7088" s="7" t="s">
        <v>7129</v>
      </c>
      <c r="I7088" s="9">
        <v>1708600</v>
      </c>
      <c r="J7088" s="10">
        <v>0.0386</v>
      </c>
    </row>
    <row r="7089" spans="1:10">
      <c r="A7089" s="7" t="s">
        <v>7123</v>
      </c>
      <c r="B7089" s="7" t="s">
        <v>8956</v>
      </c>
      <c r="C7089" s="8">
        <f>QS.CONTEXT.CREATE("market.7087",A7089,"USD","SOFR")</f>
        <v/>
      </c>
      <c r="D7089" s="8">
        <f>QS.CONTEXT.ADD.CURVE(C7089,"SOFR",$K$2:$K$7,$L$2:$L$7,,,"Actual360","LogLinear",TRUE)</f>
        <v/>
      </c>
      <c r="E7089" s="8">
        <f>QS.INSTRUMENT.SWAP("swap.7087",C7089,H7089,B7089,"USD","SOFR",I7089,J7089,0,"Actual360","Simple","Annual","Annual","Annual")</f>
        <v/>
      </c>
      <c r="F7089" s="8">
        <f>QS.TRADE.CREATE("trade.7087",C7089,E7089,A7089,"Receive")</f>
        <v/>
      </c>
      <c r="G7089" s="5"/>
      <c r="H7089" s="7" t="s">
        <v>7130</v>
      </c>
      <c r="I7089" s="9">
        <v>1708700</v>
      </c>
      <c r="J7089" s="10">
        <v>0.03870000000000001</v>
      </c>
    </row>
    <row r="7090" spans="1:10">
      <c r="A7090" s="7" t="s">
        <v>7124</v>
      </c>
      <c r="B7090" s="7" t="s">
        <v>8957</v>
      </c>
      <c r="C7090" s="8">
        <f>QS.CONTEXT.CREATE("market.7088",A7090,"USD","SOFR")</f>
        <v/>
      </c>
      <c r="D7090" s="8">
        <f>QS.CONTEXT.ADD.CURVE(C7090,"SOFR",$K$2:$K$7,$L$2:$L$7,,,"Actual360","LogLinear",TRUE)</f>
        <v/>
      </c>
      <c r="E7090" s="8">
        <f>QS.INSTRUMENT.SWAP("swap.7088",C7090,H7090,B7090,"USD","SOFR",I7090,J7090,0,"Actual360","Simple","Annual","Annual","Annual")</f>
        <v/>
      </c>
      <c r="F7090" s="8">
        <f>QS.TRADE.CREATE("trade.7088",C7090,E7090,A7090,"Receive")</f>
        <v/>
      </c>
      <c r="G7090" s="5"/>
      <c r="H7090" s="7" t="s">
        <v>7131</v>
      </c>
      <c r="I7090" s="9">
        <v>1708800</v>
      </c>
      <c r="J7090" s="10">
        <v>0.0388</v>
      </c>
    </row>
    <row r="7091" spans="1:10">
      <c r="A7091" s="7" t="s">
        <v>7125</v>
      </c>
      <c r="B7091" s="7" t="s">
        <v>8958</v>
      </c>
      <c r="C7091" s="8">
        <f>QS.CONTEXT.CREATE("market.7089",A7091,"USD","SOFR")</f>
        <v/>
      </c>
      <c r="D7091" s="8">
        <f>QS.CONTEXT.ADD.CURVE(C7091,"SOFR",$K$2:$K$7,$L$2:$L$7,,,"Actual360","LogLinear",TRUE)</f>
        <v/>
      </c>
      <c r="E7091" s="8">
        <f>QS.INSTRUMENT.SWAP("swap.7089",C7091,H7091,B7091,"USD","SOFR",I7091,J7091,0,"Actual360","Simple","Annual","Annual","Annual")</f>
        <v/>
      </c>
      <c r="F7091" s="8">
        <f>QS.TRADE.CREATE("trade.7089",C7091,E7091,A7091,"Receive")</f>
        <v/>
      </c>
      <c r="G7091" s="5"/>
      <c r="H7091" s="7" t="s">
        <v>7132</v>
      </c>
      <c r="I7091" s="9">
        <v>1708900</v>
      </c>
      <c r="J7091" s="10">
        <v>0.0389</v>
      </c>
    </row>
    <row r="7092" spans="1:10">
      <c r="A7092" s="7" t="s">
        <v>7126</v>
      </c>
      <c r="B7092" s="7" t="s">
        <v>8959</v>
      </c>
      <c r="C7092" s="8">
        <f>QS.CONTEXT.CREATE("market.7090",A7092,"USD","SOFR")</f>
        <v/>
      </c>
      <c r="D7092" s="8">
        <f>QS.CONTEXT.ADD.CURVE(C7092,"SOFR",$K$2:$K$7,$L$2:$L$7,,,"Actual360","LogLinear",TRUE)</f>
        <v/>
      </c>
      <c r="E7092" s="8">
        <f>QS.INSTRUMENT.SWAP("swap.7090",C7092,H7092,B7092,"USD","SOFR",I7092,J7092,0,"Actual360","Simple","Annual","Annual","Annual")</f>
        <v/>
      </c>
      <c r="F7092" s="8">
        <f>QS.TRADE.CREATE("trade.7090",C7092,E7092,A7092,"Receive")</f>
        <v/>
      </c>
      <c r="G7092" s="5"/>
      <c r="H7092" s="7" t="s">
        <v>7133</v>
      </c>
      <c r="I7092" s="9">
        <v>1709000</v>
      </c>
      <c r="J7092" s="10">
        <v>0.03900000000000001</v>
      </c>
    </row>
    <row r="7093" spans="1:10">
      <c r="A7093" s="7" t="s">
        <v>7127</v>
      </c>
      <c r="B7093" s="7" t="s">
        <v>8960</v>
      </c>
      <c r="C7093" s="8">
        <f>QS.CONTEXT.CREATE("market.7091",A7093,"USD","SOFR")</f>
        <v/>
      </c>
      <c r="D7093" s="8">
        <f>QS.CONTEXT.ADD.CURVE(C7093,"SOFR",$K$2:$K$7,$L$2:$L$7,,,"Actual360","LogLinear",TRUE)</f>
        <v/>
      </c>
      <c r="E7093" s="8">
        <f>QS.INSTRUMENT.SWAP("swap.7091",C7093,H7093,B7093,"USD","SOFR",I7093,J7093,0,"Actual360","Simple","Annual","Annual","Annual")</f>
        <v/>
      </c>
      <c r="F7093" s="8">
        <f>QS.TRADE.CREATE("trade.7091",C7093,E7093,A7093,"Receive")</f>
        <v/>
      </c>
      <c r="G7093" s="5"/>
      <c r="H7093" s="7" t="s">
        <v>7134</v>
      </c>
      <c r="I7093" s="9">
        <v>1709100</v>
      </c>
      <c r="J7093" s="10">
        <v>0.0391</v>
      </c>
    </row>
    <row r="7094" spans="1:10">
      <c r="A7094" s="7" t="s">
        <v>7128</v>
      </c>
      <c r="B7094" s="7" t="s">
        <v>8961</v>
      </c>
      <c r="C7094" s="8">
        <f>QS.CONTEXT.CREATE("market.7092",A7094,"USD","SOFR")</f>
        <v/>
      </c>
      <c r="D7094" s="8">
        <f>QS.CONTEXT.ADD.CURVE(C7094,"SOFR",$K$2:$K$7,$L$2:$L$7,,,"Actual360","LogLinear",TRUE)</f>
        <v/>
      </c>
      <c r="E7094" s="8">
        <f>QS.INSTRUMENT.SWAP("swap.7092",C7094,H7094,B7094,"USD","SOFR",I7094,J7094,0,"Actual360","Simple","Annual","Annual","Annual")</f>
        <v/>
      </c>
      <c r="F7094" s="8">
        <f>QS.TRADE.CREATE("trade.7092",C7094,E7094,A7094,"Receive")</f>
        <v/>
      </c>
      <c r="G7094" s="5"/>
      <c r="H7094" s="7" t="s">
        <v>7135</v>
      </c>
      <c r="I7094" s="9">
        <v>1709200</v>
      </c>
      <c r="J7094" s="10">
        <v>0.03920000000000001</v>
      </c>
    </row>
    <row r="7095" spans="1:10">
      <c r="A7095" s="7" t="s">
        <v>7129</v>
      </c>
      <c r="B7095" s="7" t="s">
        <v>8962</v>
      </c>
      <c r="C7095" s="8">
        <f>QS.CONTEXT.CREATE("market.7093",A7095,"USD","SOFR")</f>
        <v/>
      </c>
      <c r="D7095" s="8">
        <f>QS.CONTEXT.ADD.CURVE(C7095,"SOFR",$K$2:$K$7,$L$2:$L$7,,,"Actual360","LogLinear",TRUE)</f>
        <v/>
      </c>
      <c r="E7095" s="8">
        <f>QS.INSTRUMENT.SWAP("swap.7093",C7095,H7095,B7095,"USD","SOFR",I7095,J7095,0,"Actual360","Simple","Annual","Annual","Annual")</f>
        <v/>
      </c>
      <c r="F7095" s="8">
        <f>QS.TRADE.CREATE("trade.7093",C7095,E7095,A7095,"Receive")</f>
        <v/>
      </c>
      <c r="G7095" s="5"/>
      <c r="H7095" s="7" t="s">
        <v>7136</v>
      </c>
      <c r="I7095" s="9">
        <v>1709300</v>
      </c>
      <c r="J7095" s="10">
        <v>0.0393</v>
      </c>
    </row>
    <row r="7096" spans="1:10">
      <c r="A7096" s="7" t="s">
        <v>7130</v>
      </c>
      <c r="B7096" s="7" t="s">
        <v>8963</v>
      </c>
      <c r="C7096" s="8">
        <f>QS.CONTEXT.CREATE("market.7094",A7096,"USD","SOFR")</f>
        <v/>
      </c>
      <c r="D7096" s="8">
        <f>QS.CONTEXT.ADD.CURVE(C7096,"SOFR",$K$2:$K$7,$L$2:$L$7,,,"Actual360","LogLinear",TRUE)</f>
        <v/>
      </c>
      <c r="E7096" s="8">
        <f>QS.INSTRUMENT.SWAP("swap.7094",C7096,H7096,B7096,"USD","SOFR",I7096,J7096,0,"Actual360","Simple","Annual","Annual","Annual")</f>
        <v/>
      </c>
      <c r="F7096" s="8">
        <f>QS.TRADE.CREATE("trade.7094",C7096,E7096,A7096,"Receive")</f>
        <v/>
      </c>
      <c r="G7096" s="5"/>
      <c r="H7096" s="7" t="s">
        <v>7137</v>
      </c>
      <c r="I7096" s="9">
        <v>1709400</v>
      </c>
      <c r="J7096" s="10">
        <v>0.0394</v>
      </c>
    </row>
    <row r="7097" spans="1:10">
      <c r="A7097" s="7" t="s">
        <v>7131</v>
      </c>
      <c r="B7097" s="7" t="s">
        <v>8964</v>
      </c>
      <c r="C7097" s="8">
        <f>QS.CONTEXT.CREATE("market.7095",A7097,"USD","SOFR")</f>
        <v/>
      </c>
      <c r="D7097" s="8">
        <f>QS.CONTEXT.ADD.CURVE(C7097,"SOFR",$K$2:$K$7,$L$2:$L$7,,,"Actual360","LogLinear",TRUE)</f>
        <v/>
      </c>
      <c r="E7097" s="8">
        <f>QS.INSTRUMENT.SWAP("swap.7095",C7097,H7097,B7097,"USD","SOFR",I7097,J7097,0,"Actual360","Simple","Annual","Annual","Annual")</f>
        <v/>
      </c>
      <c r="F7097" s="8">
        <f>QS.TRADE.CREATE("trade.7095",C7097,E7097,A7097,"Receive")</f>
        <v/>
      </c>
      <c r="G7097" s="5"/>
      <c r="H7097" s="7" t="s">
        <v>7138</v>
      </c>
      <c r="I7097" s="9">
        <v>1709500</v>
      </c>
      <c r="J7097" s="10">
        <v>0.03950000000000001</v>
      </c>
    </row>
    <row r="7098" spans="1:10">
      <c r="A7098" s="7" t="s">
        <v>7132</v>
      </c>
      <c r="B7098" s="7" t="s">
        <v>8965</v>
      </c>
      <c r="C7098" s="8">
        <f>QS.CONTEXT.CREATE("market.7096",A7098,"USD","SOFR")</f>
        <v/>
      </c>
      <c r="D7098" s="8">
        <f>QS.CONTEXT.ADD.CURVE(C7098,"SOFR",$K$2:$K$7,$L$2:$L$7,,,"Actual360","LogLinear",TRUE)</f>
        <v/>
      </c>
      <c r="E7098" s="8">
        <f>QS.INSTRUMENT.SWAP("swap.7096",C7098,H7098,B7098,"USD","SOFR",I7098,J7098,0,"Actual360","Simple","Annual","Annual","Annual")</f>
        <v/>
      </c>
      <c r="F7098" s="8">
        <f>QS.TRADE.CREATE("trade.7096",C7098,E7098,A7098,"Receive")</f>
        <v/>
      </c>
      <c r="G7098" s="5"/>
      <c r="H7098" s="7" t="s">
        <v>7139</v>
      </c>
      <c r="I7098" s="9">
        <v>1709600</v>
      </c>
      <c r="J7098" s="10">
        <v>0.0396</v>
      </c>
    </row>
    <row r="7099" spans="1:10">
      <c r="A7099" s="7" t="s">
        <v>7133</v>
      </c>
      <c r="B7099" s="7" t="s">
        <v>8966</v>
      </c>
      <c r="C7099" s="8">
        <f>QS.CONTEXT.CREATE("market.7097",A7099,"USD","SOFR")</f>
        <v/>
      </c>
      <c r="D7099" s="8">
        <f>QS.CONTEXT.ADD.CURVE(C7099,"SOFR",$K$2:$K$7,$L$2:$L$7,,,"Actual360","LogLinear",TRUE)</f>
        <v/>
      </c>
      <c r="E7099" s="8">
        <f>QS.INSTRUMENT.SWAP("swap.7097",C7099,H7099,B7099,"USD","SOFR",I7099,J7099,0,"Actual360","Simple","Annual","Annual","Annual")</f>
        <v/>
      </c>
      <c r="F7099" s="8">
        <f>QS.TRADE.CREATE("trade.7097",C7099,E7099,A7099,"Receive")</f>
        <v/>
      </c>
      <c r="G7099" s="5"/>
      <c r="H7099" s="7" t="s">
        <v>7140</v>
      </c>
      <c r="I7099" s="9">
        <v>1709700</v>
      </c>
      <c r="J7099" s="10">
        <v>0.03970000000000001</v>
      </c>
    </row>
    <row r="7100" spans="1:10">
      <c r="A7100" s="7" t="s">
        <v>7134</v>
      </c>
      <c r="B7100" s="7" t="s">
        <v>8967</v>
      </c>
      <c r="C7100" s="8">
        <f>QS.CONTEXT.CREATE("market.7098",A7100,"USD","SOFR")</f>
        <v/>
      </c>
      <c r="D7100" s="8">
        <f>QS.CONTEXT.ADD.CURVE(C7100,"SOFR",$K$2:$K$7,$L$2:$L$7,,,"Actual360","LogLinear",TRUE)</f>
        <v/>
      </c>
      <c r="E7100" s="8">
        <f>QS.INSTRUMENT.SWAP("swap.7098",C7100,H7100,B7100,"USD","SOFR",I7100,J7100,0,"Actual360","Simple","Annual","Annual","Annual")</f>
        <v/>
      </c>
      <c r="F7100" s="8">
        <f>QS.TRADE.CREATE("trade.7098",C7100,E7100,A7100,"Receive")</f>
        <v/>
      </c>
      <c r="G7100" s="5"/>
      <c r="H7100" s="7" t="s">
        <v>7141</v>
      </c>
      <c r="I7100" s="9">
        <v>1709800</v>
      </c>
      <c r="J7100" s="10">
        <v>0.0398</v>
      </c>
    </row>
    <row r="7101" spans="1:10">
      <c r="A7101" s="7" t="s">
        <v>7135</v>
      </c>
      <c r="B7101" s="7" t="s">
        <v>8968</v>
      </c>
      <c r="C7101" s="8">
        <f>QS.CONTEXT.CREATE("market.7099",A7101,"USD","SOFR")</f>
        <v/>
      </c>
      <c r="D7101" s="8">
        <f>QS.CONTEXT.ADD.CURVE(C7101,"SOFR",$K$2:$K$7,$L$2:$L$7,,,"Actual360","LogLinear",TRUE)</f>
        <v/>
      </c>
      <c r="E7101" s="8">
        <f>QS.INSTRUMENT.SWAP("swap.7099",C7101,H7101,B7101,"USD","SOFR",I7101,J7101,0,"Actual360","Simple","Annual","Annual","Annual")</f>
        <v/>
      </c>
      <c r="F7101" s="8">
        <f>QS.TRADE.CREATE("trade.7099",C7101,E7101,A7101,"Receive")</f>
        <v/>
      </c>
      <c r="G7101" s="5"/>
      <c r="H7101" s="7" t="s">
        <v>7142</v>
      </c>
      <c r="I7101" s="9">
        <v>1709900</v>
      </c>
      <c r="J7101" s="10">
        <v>0.0399</v>
      </c>
    </row>
    <row r="7102" spans="1:10">
      <c r="A7102" s="7" t="s">
        <v>7136</v>
      </c>
      <c r="B7102" s="7" t="s">
        <v>8969</v>
      </c>
      <c r="C7102" s="8">
        <f>QS.CONTEXT.CREATE("market.7100",A7102,"USD","SOFR")</f>
        <v/>
      </c>
      <c r="D7102" s="8">
        <f>QS.CONTEXT.ADD.CURVE(C7102,"SOFR",$K$2:$K$7,$L$2:$L$7,,,"Actual360","LogLinear",TRUE)</f>
        <v/>
      </c>
      <c r="E7102" s="8">
        <f>QS.INSTRUMENT.SWAP("swap.7100",C7102,H7102,B7102,"USD","SOFR",I7102,J7102,0,"Actual360","Simple","Annual","Annual","Annual")</f>
        <v/>
      </c>
      <c r="F7102" s="8">
        <f>QS.TRADE.CREATE("trade.7100",C7102,E7102,A7102,"Receive")</f>
        <v/>
      </c>
      <c r="G7102" s="5"/>
      <c r="H7102" s="7" t="s">
        <v>7143</v>
      </c>
      <c r="I7102" s="9">
        <v>1710000</v>
      </c>
      <c r="J7102" s="10">
        <v>0.035</v>
      </c>
    </row>
    <row r="7103" spans="1:10">
      <c r="A7103" s="7" t="s">
        <v>7137</v>
      </c>
      <c r="B7103" s="7" t="s">
        <v>8970</v>
      </c>
      <c r="C7103" s="8">
        <f>QS.CONTEXT.CREATE("market.7101",A7103,"USD","SOFR")</f>
        <v/>
      </c>
      <c r="D7103" s="8">
        <f>QS.CONTEXT.ADD.CURVE(C7103,"SOFR",$K$2:$K$7,$L$2:$L$7,,,"Actual360","LogLinear",TRUE)</f>
        <v/>
      </c>
      <c r="E7103" s="8">
        <f>QS.INSTRUMENT.SWAP("swap.7101",C7103,H7103,B7103,"USD","SOFR",I7103,J7103,0,"Actual360","Simple","Annual","Annual","Annual")</f>
        <v/>
      </c>
      <c r="F7103" s="8">
        <f>QS.TRADE.CREATE("trade.7101",C7103,E7103,A7103,"Receive")</f>
        <v/>
      </c>
      <c r="G7103" s="5"/>
      <c r="H7103" s="7" t="s">
        <v>7144</v>
      </c>
      <c r="I7103" s="9">
        <v>1710100</v>
      </c>
      <c r="J7103" s="10">
        <v>0.03510000000000001</v>
      </c>
    </row>
    <row r="7104" spans="1:10">
      <c r="A7104" s="7" t="s">
        <v>7138</v>
      </c>
      <c r="B7104" s="7" t="s">
        <v>8971</v>
      </c>
      <c r="C7104" s="8">
        <f>QS.CONTEXT.CREATE("market.7102",A7104,"USD","SOFR")</f>
        <v/>
      </c>
      <c r="D7104" s="8">
        <f>QS.CONTEXT.ADD.CURVE(C7104,"SOFR",$K$2:$K$7,$L$2:$L$7,,,"Actual360","LogLinear",TRUE)</f>
        <v/>
      </c>
      <c r="E7104" s="8">
        <f>QS.INSTRUMENT.SWAP("swap.7102",C7104,H7104,B7104,"USD","SOFR",I7104,J7104,0,"Actual360","Simple","Annual","Annual","Annual")</f>
        <v/>
      </c>
      <c r="F7104" s="8">
        <f>QS.TRADE.CREATE("trade.7102",C7104,E7104,A7104,"Receive")</f>
        <v/>
      </c>
      <c r="G7104" s="5"/>
      <c r="H7104" s="7" t="s">
        <v>7145</v>
      </c>
      <c r="I7104" s="9">
        <v>1710200</v>
      </c>
      <c r="J7104" s="10">
        <v>0.0352</v>
      </c>
    </row>
    <row r="7105" spans="1:10">
      <c r="A7105" s="7" t="s">
        <v>7139</v>
      </c>
      <c r="B7105" s="7" t="s">
        <v>8972</v>
      </c>
      <c r="C7105" s="8">
        <f>QS.CONTEXT.CREATE("market.7103",A7105,"USD","SOFR")</f>
        <v/>
      </c>
      <c r="D7105" s="8">
        <f>QS.CONTEXT.ADD.CURVE(C7105,"SOFR",$K$2:$K$7,$L$2:$L$7,,,"Actual360","LogLinear",TRUE)</f>
        <v/>
      </c>
      <c r="E7105" s="8">
        <f>QS.INSTRUMENT.SWAP("swap.7103",C7105,H7105,B7105,"USD","SOFR",I7105,J7105,0,"Actual360","Simple","Annual","Annual","Annual")</f>
        <v/>
      </c>
      <c r="F7105" s="8">
        <f>QS.TRADE.CREATE("trade.7103",C7105,E7105,A7105,"Receive")</f>
        <v/>
      </c>
      <c r="G7105" s="5"/>
      <c r="H7105" s="7" t="s">
        <v>7146</v>
      </c>
      <c r="I7105" s="9">
        <v>1710300</v>
      </c>
      <c r="J7105" s="10">
        <v>0.0353</v>
      </c>
    </row>
    <row r="7106" spans="1:10">
      <c r="A7106" s="7" t="s">
        <v>7140</v>
      </c>
      <c r="B7106" s="7" t="s">
        <v>8973</v>
      </c>
      <c r="C7106" s="8">
        <f>QS.CONTEXT.CREATE("market.7104",A7106,"USD","SOFR")</f>
        <v/>
      </c>
      <c r="D7106" s="8">
        <f>QS.CONTEXT.ADD.CURVE(C7106,"SOFR",$K$2:$K$7,$L$2:$L$7,,,"Actual360","LogLinear",TRUE)</f>
        <v/>
      </c>
      <c r="E7106" s="8">
        <f>QS.INSTRUMENT.SWAP("swap.7104",C7106,H7106,B7106,"USD","SOFR",I7106,J7106,0,"Actual360","Simple","Annual","Annual","Annual")</f>
        <v/>
      </c>
      <c r="F7106" s="8">
        <f>QS.TRADE.CREATE("trade.7104",C7106,E7106,A7106,"Receive")</f>
        <v/>
      </c>
      <c r="G7106" s="5"/>
      <c r="H7106" s="7" t="s">
        <v>7147</v>
      </c>
      <c r="I7106" s="9">
        <v>1710400</v>
      </c>
      <c r="J7106" s="10">
        <v>0.0354</v>
      </c>
    </row>
    <row r="7107" spans="1:10">
      <c r="A7107" s="7" t="s">
        <v>7141</v>
      </c>
      <c r="B7107" s="7" t="s">
        <v>8974</v>
      </c>
      <c r="C7107" s="8">
        <f>QS.CONTEXT.CREATE("market.7105",A7107,"USD","SOFR")</f>
        <v/>
      </c>
      <c r="D7107" s="8">
        <f>QS.CONTEXT.ADD.CURVE(C7107,"SOFR",$K$2:$K$7,$L$2:$L$7,,,"Actual360","LogLinear",TRUE)</f>
        <v/>
      </c>
      <c r="E7107" s="8">
        <f>QS.INSTRUMENT.SWAP("swap.7105",C7107,H7107,B7107,"USD","SOFR",I7107,J7107,0,"Actual360","Simple","Annual","Annual","Annual")</f>
        <v/>
      </c>
      <c r="F7107" s="8">
        <f>QS.TRADE.CREATE("trade.7105",C7107,E7107,A7107,"Receive")</f>
        <v/>
      </c>
      <c r="G7107" s="5"/>
      <c r="H7107" s="7" t="s">
        <v>7148</v>
      </c>
      <c r="I7107" s="9">
        <v>1710500</v>
      </c>
      <c r="J7107" s="10">
        <v>0.0355</v>
      </c>
    </row>
    <row r="7108" spans="1:10">
      <c r="A7108" s="7" t="s">
        <v>7142</v>
      </c>
      <c r="B7108" s="7" t="s">
        <v>8975</v>
      </c>
      <c r="C7108" s="8">
        <f>QS.CONTEXT.CREATE("market.7106",A7108,"USD","SOFR")</f>
        <v/>
      </c>
      <c r="D7108" s="8">
        <f>QS.CONTEXT.ADD.CURVE(C7108,"SOFR",$K$2:$K$7,$L$2:$L$7,,,"Actual360","LogLinear",TRUE)</f>
        <v/>
      </c>
      <c r="E7108" s="8">
        <f>QS.INSTRUMENT.SWAP("swap.7106",C7108,H7108,B7108,"USD","SOFR",I7108,J7108,0,"Actual360","Simple","Annual","Annual","Annual")</f>
        <v/>
      </c>
      <c r="F7108" s="8">
        <f>QS.TRADE.CREATE("trade.7106",C7108,E7108,A7108,"Receive")</f>
        <v/>
      </c>
      <c r="G7108" s="5"/>
      <c r="H7108" s="7" t="s">
        <v>7149</v>
      </c>
      <c r="I7108" s="9">
        <v>1710600</v>
      </c>
      <c r="J7108" s="10">
        <v>0.03560000000000001</v>
      </c>
    </row>
    <row r="7109" spans="1:10">
      <c r="A7109" s="7" t="s">
        <v>7143</v>
      </c>
      <c r="B7109" s="7" t="s">
        <v>8976</v>
      </c>
      <c r="C7109" s="8">
        <f>QS.CONTEXT.CREATE("market.7107",A7109,"USD","SOFR")</f>
        <v/>
      </c>
      <c r="D7109" s="8">
        <f>QS.CONTEXT.ADD.CURVE(C7109,"SOFR",$K$2:$K$7,$L$2:$L$7,,,"Actual360","LogLinear",TRUE)</f>
        <v/>
      </c>
      <c r="E7109" s="8">
        <f>QS.INSTRUMENT.SWAP("swap.7107",C7109,H7109,B7109,"USD","SOFR",I7109,J7109,0,"Actual360","Simple","Annual","Annual","Annual")</f>
        <v/>
      </c>
      <c r="F7109" s="8">
        <f>QS.TRADE.CREATE("trade.7107",C7109,E7109,A7109,"Receive")</f>
        <v/>
      </c>
      <c r="G7109" s="5"/>
      <c r="H7109" s="7" t="s">
        <v>7150</v>
      </c>
      <c r="I7109" s="9">
        <v>1710700</v>
      </c>
      <c r="J7109" s="10">
        <v>0.0357</v>
      </c>
    </row>
    <row r="7110" spans="1:10">
      <c r="A7110" s="7" t="s">
        <v>7144</v>
      </c>
      <c r="B7110" s="7" t="s">
        <v>8977</v>
      </c>
      <c r="C7110" s="8">
        <f>QS.CONTEXT.CREATE("market.7108",A7110,"USD","SOFR")</f>
        <v/>
      </c>
      <c r="D7110" s="8">
        <f>QS.CONTEXT.ADD.CURVE(C7110,"SOFR",$K$2:$K$7,$L$2:$L$7,,,"Actual360","LogLinear",TRUE)</f>
        <v/>
      </c>
      <c r="E7110" s="8">
        <f>QS.INSTRUMENT.SWAP("swap.7108",C7110,H7110,B7110,"USD","SOFR",I7110,J7110,0,"Actual360","Simple","Annual","Annual","Annual")</f>
        <v/>
      </c>
      <c r="F7110" s="8">
        <f>QS.TRADE.CREATE("trade.7108",C7110,E7110,A7110,"Receive")</f>
        <v/>
      </c>
      <c r="G7110" s="5"/>
      <c r="H7110" s="7" t="s">
        <v>7151</v>
      </c>
      <c r="I7110" s="9">
        <v>1710800</v>
      </c>
      <c r="J7110" s="10">
        <v>0.03580000000000001</v>
      </c>
    </row>
    <row r="7111" spans="1:10">
      <c r="A7111" s="7" t="s">
        <v>7145</v>
      </c>
      <c r="B7111" s="7" t="s">
        <v>8978</v>
      </c>
      <c r="C7111" s="8">
        <f>QS.CONTEXT.CREATE("market.7109",A7111,"USD","SOFR")</f>
        <v/>
      </c>
      <c r="D7111" s="8">
        <f>QS.CONTEXT.ADD.CURVE(C7111,"SOFR",$K$2:$K$7,$L$2:$L$7,,,"Actual360","LogLinear",TRUE)</f>
        <v/>
      </c>
      <c r="E7111" s="8">
        <f>QS.INSTRUMENT.SWAP("swap.7109",C7111,H7111,B7111,"USD","SOFR",I7111,J7111,0,"Actual360","Simple","Annual","Annual","Annual")</f>
        <v/>
      </c>
      <c r="F7111" s="8">
        <f>QS.TRADE.CREATE("trade.7109",C7111,E7111,A7111,"Receive")</f>
        <v/>
      </c>
      <c r="G7111" s="5"/>
      <c r="H7111" s="7" t="s">
        <v>7152</v>
      </c>
      <c r="I7111" s="9">
        <v>1710900</v>
      </c>
      <c r="J7111" s="10">
        <v>0.0359</v>
      </c>
    </row>
    <row r="7112" spans="1:10">
      <c r="A7112" s="7" t="s">
        <v>7146</v>
      </c>
      <c r="B7112" s="7" t="s">
        <v>8979</v>
      </c>
      <c r="C7112" s="8">
        <f>QS.CONTEXT.CREATE("market.7110",A7112,"USD","SOFR")</f>
        <v/>
      </c>
      <c r="D7112" s="8">
        <f>QS.CONTEXT.ADD.CURVE(C7112,"SOFR",$K$2:$K$7,$L$2:$L$7,,,"Actual360","LogLinear",TRUE)</f>
        <v/>
      </c>
      <c r="E7112" s="8">
        <f>QS.INSTRUMENT.SWAP("swap.7110",C7112,H7112,B7112,"USD","SOFR",I7112,J7112,0,"Actual360","Simple","Annual","Annual","Annual")</f>
        <v/>
      </c>
      <c r="F7112" s="8">
        <f>QS.TRADE.CREATE("trade.7110",C7112,E7112,A7112,"Receive")</f>
        <v/>
      </c>
      <c r="G7112" s="5"/>
      <c r="H7112" s="7" t="s">
        <v>7153</v>
      </c>
      <c r="I7112" s="9">
        <v>1711000</v>
      </c>
      <c r="J7112" s="10">
        <v>0.036</v>
      </c>
    </row>
    <row r="7113" spans="1:10">
      <c r="A7113" s="7" t="s">
        <v>7147</v>
      </c>
      <c r="B7113" s="7" t="s">
        <v>8980</v>
      </c>
      <c r="C7113" s="8">
        <f>QS.CONTEXT.CREATE("market.7111",A7113,"USD","SOFR")</f>
        <v/>
      </c>
      <c r="D7113" s="8">
        <f>QS.CONTEXT.ADD.CURVE(C7113,"SOFR",$K$2:$K$7,$L$2:$L$7,,,"Actual360","LogLinear",TRUE)</f>
        <v/>
      </c>
      <c r="E7113" s="8">
        <f>QS.INSTRUMENT.SWAP("swap.7111",C7113,H7113,B7113,"USD","SOFR",I7113,J7113,0,"Actual360","Simple","Annual","Annual","Annual")</f>
        <v/>
      </c>
      <c r="F7113" s="8">
        <f>QS.TRADE.CREATE("trade.7111",C7113,E7113,A7113,"Receive")</f>
        <v/>
      </c>
      <c r="G7113" s="5"/>
      <c r="H7113" s="7" t="s">
        <v>7154</v>
      </c>
      <c r="I7113" s="9">
        <v>1711100</v>
      </c>
      <c r="J7113" s="10">
        <v>0.0361</v>
      </c>
    </row>
    <row r="7114" spans="1:10">
      <c r="A7114" s="7" t="s">
        <v>7148</v>
      </c>
      <c r="B7114" s="7" t="s">
        <v>8981</v>
      </c>
      <c r="C7114" s="8">
        <f>QS.CONTEXT.CREATE("market.7112",A7114,"USD","SOFR")</f>
        <v/>
      </c>
      <c r="D7114" s="8">
        <f>QS.CONTEXT.ADD.CURVE(C7114,"SOFR",$K$2:$K$7,$L$2:$L$7,,,"Actual360","LogLinear",TRUE)</f>
        <v/>
      </c>
      <c r="E7114" s="8">
        <f>QS.INSTRUMENT.SWAP("swap.7112",C7114,H7114,B7114,"USD","SOFR",I7114,J7114,0,"Actual360","Simple","Annual","Annual","Annual")</f>
        <v/>
      </c>
      <c r="F7114" s="8">
        <f>QS.TRADE.CREATE("trade.7112",C7114,E7114,A7114,"Receive")</f>
        <v/>
      </c>
      <c r="G7114" s="5"/>
      <c r="H7114" s="7" t="s">
        <v>7155</v>
      </c>
      <c r="I7114" s="9">
        <v>1711200</v>
      </c>
      <c r="J7114" s="10">
        <v>0.0362</v>
      </c>
    </row>
    <row r="7115" spans="1:10">
      <c r="A7115" s="7" t="s">
        <v>7149</v>
      </c>
      <c r="B7115" s="7" t="s">
        <v>8982</v>
      </c>
      <c r="C7115" s="8">
        <f>QS.CONTEXT.CREATE("market.7113",A7115,"USD","SOFR")</f>
        <v/>
      </c>
      <c r="D7115" s="8">
        <f>QS.CONTEXT.ADD.CURVE(C7115,"SOFR",$K$2:$K$7,$L$2:$L$7,,,"Actual360","LogLinear",TRUE)</f>
        <v/>
      </c>
      <c r="E7115" s="8">
        <f>QS.INSTRUMENT.SWAP("swap.7113",C7115,H7115,B7115,"USD","SOFR",I7115,J7115,0,"Actual360","Simple","Annual","Annual","Annual")</f>
        <v/>
      </c>
      <c r="F7115" s="8">
        <f>QS.TRADE.CREATE("trade.7113",C7115,E7115,A7115,"Receive")</f>
        <v/>
      </c>
      <c r="G7115" s="5"/>
      <c r="H7115" s="7" t="s">
        <v>7156</v>
      </c>
      <c r="I7115" s="9">
        <v>1711300</v>
      </c>
      <c r="J7115" s="10">
        <v>0.03630000000000001</v>
      </c>
    </row>
    <row r="7116" spans="1:10">
      <c r="A7116" s="7" t="s">
        <v>7150</v>
      </c>
      <c r="B7116" s="7" t="s">
        <v>8983</v>
      </c>
      <c r="C7116" s="8">
        <f>QS.CONTEXT.CREATE("market.7114",A7116,"USD","SOFR")</f>
        <v/>
      </c>
      <c r="D7116" s="8">
        <f>QS.CONTEXT.ADD.CURVE(C7116,"SOFR",$K$2:$K$7,$L$2:$L$7,,,"Actual360","LogLinear",TRUE)</f>
        <v/>
      </c>
      <c r="E7116" s="8">
        <f>QS.INSTRUMENT.SWAP("swap.7114",C7116,H7116,B7116,"USD","SOFR",I7116,J7116,0,"Actual360","Simple","Annual","Annual","Annual")</f>
        <v/>
      </c>
      <c r="F7116" s="8">
        <f>QS.TRADE.CREATE("trade.7114",C7116,E7116,A7116,"Receive")</f>
        <v/>
      </c>
      <c r="G7116" s="5"/>
      <c r="H7116" s="7" t="s">
        <v>7157</v>
      </c>
      <c r="I7116" s="9">
        <v>1711400</v>
      </c>
      <c r="J7116" s="10">
        <v>0.0364</v>
      </c>
    </row>
    <row r="7117" spans="1:10">
      <c r="A7117" s="7" t="s">
        <v>7151</v>
      </c>
      <c r="B7117" s="7" t="s">
        <v>8984</v>
      </c>
      <c r="C7117" s="8">
        <f>QS.CONTEXT.CREATE("market.7115",A7117,"USD","SOFR")</f>
        <v/>
      </c>
      <c r="D7117" s="8">
        <f>QS.CONTEXT.ADD.CURVE(C7117,"SOFR",$K$2:$K$7,$L$2:$L$7,,,"Actual360","LogLinear",TRUE)</f>
        <v/>
      </c>
      <c r="E7117" s="8">
        <f>QS.INSTRUMENT.SWAP("swap.7115",C7117,H7117,B7117,"USD","SOFR",I7117,J7117,0,"Actual360","Simple","Annual","Annual","Annual")</f>
        <v/>
      </c>
      <c r="F7117" s="8">
        <f>QS.TRADE.CREATE("trade.7115",C7117,E7117,A7117,"Receive")</f>
        <v/>
      </c>
      <c r="G7117" s="5"/>
      <c r="H7117" s="7" t="s">
        <v>7158</v>
      </c>
      <c r="I7117" s="9">
        <v>1711500</v>
      </c>
      <c r="J7117" s="10">
        <v>0.0365</v>
      </c>
    </row>
    <row r="7118" spans="1:10">
      <c r="A7118" s="7" t="s">
        <v>7152</v>
      </c>
      <c r="B7118" s="7" t="s">
        <v>8985</v>
      </c>
      <c r="C7118" s="8">
        <f>QS.CONTEXT.CREATE("market.7116",A7118,"USD","SOFR")</f>
        <v/>
      </c>
      <c r="D7118" s="8">
        <f>QS.CONTEXT.ADD.CURVE(C7118,"SOFR",$K$2:$K$7,$L$2:$L$7,,,"Actual360","LogLinear",TRUE)</f>
        <v/>
      </c>
      <c r="E7118" s="8">
        <f>QS.INSTRUMENT.SWAP("swap.7116",C7118,H7118,B7118,"USD","SOFR",I7118,J7118,0,"Actual360","Simple","Annual","Annual","Annual")</f>
        <v/>
      </c>
      <c r="F7118" s="8">
        <f>QS.TRADE.CREATE("trade.7116",C7118,E7118,A7118,"Receive")</f>
        <v/>
      </c>
      <c r="G7118" s="5"/>
      <c r="H7118" s="7" t="s">
        <v>7159</v>
      </c>
      <c r="I7118" s="9">
        <v>1711600</v>
      </c>
      <c r="J7118" s="10">
        <v>0.0366</v>
      </c>
    </row>
    <row r="7119" spans="1:10">
      <c r="A7119" s="7" t="s">
        <v>7153</v>
      </c>
      <c r="B7119" s="7" t="s">
        <v>8986</v>
      </c>
      <c r="C7119" s="8">
        <f>QS.CONTEXT.CREATE("market.7117",A7119,"USD","SOFR")</f>
        <v/>
      </c>
      <c r="D7119" s="8">
        <f>QS.CONTEXT.ADD.CURVE(C7119,"SOFR",$K$2:$K$7,$L$2:$L$7,,,"Actual360","LogLinear",TRUE)</f>
        <v/>
      </c>
      <c r="E7119" s="8">
        <f>QS.INSTRUMENT.SWAP("swap.7117",C7119,H7119,B7119,"USD","SOFR",I7119,J7119,0,"Actual360","Simple","Annual","Annual","Annual")</f>
        <v/>
      </c>
      <c r="F7119" s="8">
        <f>QS.TRADE.CREATE("trade.7117",C7119,E7119,A7119,"Receive")</f>
        <v/>
      </c>
      <c r="G7119" s="5"/>
      <c r="H7119" s="7" t="s">
        <v>7160</v>
      </c>
      <c r="I7119" s="9">
        <v>1711700</v>
      </c>
      <c r="J7119" s="10">
        <v>0.0367</v>
      </c>
    </row>
    <row r="7120" spans="1:10">
      <c r="A7120" s="7" t="s">
        <v>7154</v>
      </c>
      <c r="B7120" s="7" t="s">
        <v>8987</v>
      </c>
      <c r="C7120" s="8">
        <f>QS.CONTEXT.CREATE("market.7118",A7120,"USD","SOFR")</f>
        <v/>
      </c>
      <c r="D7120" s="8">
        <f>QS.CONTEXT.ADD.CURVE(C7120,"SOFR",$K$2:$K$7,$L$2:$L$7,,,"Actual360","LogLinear",TRUE)</f>
        <v/>
      </c>
      <c r="E7120" s="8">
        <f>QS.INSTRUMENT.SWAP("swap.7118",C7120,H7120,B7120,"USD","SOFR",I7120,J7120,0,"Actual360","Simple","Annual","Annual","Annual")</f>
        <v/>
      </c>
      <c r="F7120" s="8">
        <f>QS.TRADE.CREATE("trade.7118",C7120,E7120,A7120,"Receive")</f>
        <v/>
      </c>
      <c r="G7120" s="5"/>
      <c r="H7120" s="7" t="s">
        <v>7161</v>
      </c>
      <c r="I7120" s="9">
        <v>1711800</v>
      </c>
      <c r="J7120" s="10">
        <v>0.03680000000000001</v>
      </c>
    </row>
    <row r="7121" spans="1:10">
      <c r="A7121" s="7" t="s">
        <v>7155</v>
      </c>
      <c r="B7121" s="7" t="s">
        <v>8988</v>
      </c>
      <c r="C7121" s="8">
        <f>QS.CONTEXT.CREATE("market.7119",A7121,"USD","SOFR")</f>
        <v/>
      </c>
      <c r="D7121" s="8">
        <f>QS.CONTEXT.ADD.CURVE(C7121,"SOFR",$K$2:$K$7,$L$2:$L$7,,,"Actual360","LogLinear",TRUE)</f>
        <v/>
      </c>
      <c r="E7121" s="8">
        <f>QS.INSTRUMENT.SWAP("swap.7119",C7121,H7121,B7121,"USD","SOFR",I7121,J7121,0,"Actual360","Simple","Annual","Annual","Annual")</f>
        <v/>
      </c>
      <c r="F7121" s="8">
        <f>QS.TRADE.CREATE("trade.7119",C7121,E7121,A7121,"Receive")</f>
        <v/>
      </c>
      <c r="G7121" s="5"/>
      <c r="H7121" s="7" t="s">
        <v>7162</v>
      </c>
      <c r="I7121" s="9">
        <v>1711900</v>
      </c>
      <c r="J7121" s="10">
        <v>0.0369</v>
      </c>
    </row>
    <row r="7122" spans="1:10">
      <c r="A7122" s="7" t="s">
        <v>7156</v>
      </c>
      <c r="B7122" s="7" t="s">
        <v>8989</v>
      </c>
      <c r="C7122" s="8">
        <f>QS.CONTEXT.CREATE("market.7120",A7122,"USD","SOFR")</f>
        <v/>
      </c>
      <c r="D7122" s="8">
        <f>QS.CONTEXT.ADD.CURVE(C7122,"SOFR",$K$2:$K$7,$L$2:$L$7,,,"Actual360","LogLinear",TRUE)</f>
        <v/>
      </c>
      <c r="E7122" s="8">
        <f>QS.INSTRUMENT.SWAP("swap.7120",C7122,H7122,B7122,"USD","SOFR",I7122,J7122,0,"Actual360","Simple","Annual","Annual","Annual")</f>
        <v/>
      </c>
      <c r="F7122" s="8">
        <f>QS.TRADE.CREATE("trade.7120",C7122,E7122,A7122,"Receive")</f>
        <v/>
      </c>
      <c r="G7122" s="5"/>
      <c r="H7122" s="7" t="s">
        <v>7163</v>
      </c>
      <c r="I7122" s="9">
        <v>1712000</v>
      </c>
      <c r="J7122" s="10">
        <v>0.03700000000000001</v>
      </c>
    </row>
    <row r="7123" spans="1:10">
      <c r="A7123" s="7" t="s">
        <v>7157</v>
      </c>
      <c r="B7123" s="7" t="s">
        <v>8990</v>
      </c>
      <c r="C7123" s="8">
        <f>QS.CONTEXT.CREATE("market.7121",A7123,"USD","SOFR")</f>
        <v/>
      </c>
      <c r="D7123" s="8">
        <f>QS.CONTEXT.ADD.CURVE(C7123,"SOFR",$K$2:$K$7,$L$2:$L$7,,,"Actual360","LogLinear",TRUE)</f>
        <v/>
      </c>
      <c r="E7123" s="8">
        <f>QS.INSTRUMENT.SWAP("swap.7121",C7123,H7123,B7123,"USD","SOFR",I7123,J7123,0,"Actual360","Simple","Annual","Annual","Annual")</f>
        <v/>
      </c>
      <c r="F7123" s="8">
        <f>QS.TRADE.CREATE("trade.7121",C7123,E7123,A7123,"Receive")</f>
        <v/>
      </c>
      <c r="G7123" s="5"/>
      <c r="H7123" s="7" t="s">
        <v>7164</v>
      </c>
      <c r="I7123" s="9">
        <v>1712100</v>
      </c>
      <c r="J7123" s="10">
        <v>0.0371</v>
      </c>
    </row>
    <row r="7124" spans="1:10">
      <c r="A7124" s="7" t="s">
        <v>7158</v>
      </c>
      <c r="B7124" s="7" t="s">
        <v>8991</v>
      </c>
      <c r="C7124" s="8">
        <f>QS.CONTEXT.CREATE("market.7122",A7124,"USD","SOFR")</f>
        <v/>
      </c>
      <c r="D7124" s="8">
        <f>QS.CONTEXT.ADD.CURVE(C7124,"SOFR",$K$2:$K$7,$L$2:$L$7,,,"Actual360","LogLinear",TRUE)</f>
        <v/>
      </c>
      <c r="E7124" s="8">
        <f>QS.INSTRUMENT.SWAP("swap.7122",C7124,H7124,B7124,"USD","SOFR",I7124,J7124,0,"Actual360","Simple","Annual","Annual","Annual")</f>
        <v/>
      </c>
      <c r="F7124" s="8">
        <f>QS.TRADE.CREATE("trade.7122",C7124,E7124,A7124,"Receive")</f>
        <v/>
      </c>
      <c r="G7124" s="5"/>
      <c r="H7124" s="7" t="s">
        <v>7165</v>
      </c>
      <c r="I7124" s="9">
        <v>1712200</v>
      </c>
      <c r="J7124" s="10">
        <v>0.0372</v>
      </c>
    </row>
    <row r="7125" spans="1:10">
      <c r="A7125" s="7" t="s">
        <v>7159</v>
      </c>
      <c r="B7125" s="7" t="s">
        <v>8992</v>
      </c>
      <c r="C7125" s="8">
        <f>QS.CONTEXT.CREATE("market.7123",A7125,"USD","SOFR")</f>
        <v/>
      </c>
      <c r="D7125" s="8">
        <f>QS.CONTEXT.ADD.CURVE(C7125,"SOFR",$K$2:$K$7,$L$2:$L$7,,,"Actual360","LogLinear",TRUE)</f>
        <v/>
      </c>
      <c r="E7125" s="8">
        <f>QS.INSTRUMENT.SWAP("swap.7123",C7125,H7125,B7125,"USD","SOFR",I7125,J7125,0,"Actual360","Simple","Annual","Annual","Annual")</f>
        <v/>
      </c>
      <c r="F7125" s="8">
        <f>QS.TRADE.CREATE("trade.7123",C7125,E7125,A7125,"Receive")</f>
        <v/>
      </c>
      <c r="G7125" s="5"/>
      <c r="H7125" s="7" t="s">
        <v>7166</v>
      </c>
      <c r="I7125" s="9">
        <v>1712300</v>
      </c>
      <c r="J7125" s="10">
        <v>0.0373</v>
      </c>
    </row>
    <row r="7126" spans="1:10">
      <c r="A7126" s="7" t="s">
        <v>7160</v>
      </c>
      <c r="B7126" s="7" t="s">
        <v>8993</v>
      </c>
      <c r="C7126" s="8">
        <f>QS.CONTEXT.CREATE("market.7124",A7126,"USD","SOFR")</f>
        <v/>
      </c>
      <c r="D7126" s="8">
        <f>QS.CONTEXT.ADD.CURVE(C7126,"SOFR",$K$2:$K$7,$L$2:$L$7,,,"Actual360","LogLinear",TRUE)</f>
        <v/>
      </c>
      <c r="E7126" s="8">
        <f>QS.INSTRUMENT.SWAP("swap.7124",C7126,H7126,B7126,"USD","SOFR",I7126,J7126,0,"Actual360","Simple","Annual","Annual","Annual")</f>
        <v/>
      </c>
      <c r="F7126" s="8">
        <f>QS.TRADE.CREATE("trade.7124",C7126,E7126,A7126,"Receive")</f>
        <v/>
      </c>
      <c r="G7126" s="5"/>
      <c r="H7126" s="7" t="s">
        <v>7167</v>
      </c>
      <c r="I7126" s="9">
        <v>1712400</v>
      </c>
      <c r="J7126" s="10">
        <v>0.0374</v>
      </c>
    </row>
    <row r="7127" spans="1:10">
      <c r="A7127" s="7" t="s">
        <v>7161</v>
      </c>
      <c r="B7127" s="7" t="s">
        <v>8994</v>
      </c>
      <c r="C7127" s="8">
        <f>QS.CONTEXT.CREATE("market.7125",A7127,"USD","SOFR")</f>
        <v/>
      </c>
      <c r="D7127" s="8">
        <f>QS.CONTEXT.ADD.CURVE(C7127,"SOFR",$K$2:$K$7,$L$2:$L$7,,,"Actual360","LogLinear",TRUE)</f>
        <v/>
      </c>
      <c r="E7127" s="8">
        <f>QS.INSTRUMENT.SWAP("swap.7125",C7127,H7127,B7127,"USD","SOFR",I7127,J7127,0,"Actual360","Simple","Annual","Annual","Annual")</f>
        <v/>
      </c>
      <c r="F7127" s="8">
        <f>QS.TRADE.CREATE("trade.7125",C7127,E7127,A7127,"Receive")</f>
        <v/>
      </c>
      <c r="G7127" s="5"/>
      <c r="H7127" s="7" t="s">
        <v>7168</v>
      </c>
      <c r="I7127" s="9">
        <v>1712500</v>
      </c>
      <c r="J7127" s="10">
        <v>0.03750000000000001</v>
      </c>
    </row>
    <row r="7128" spans="1:10">
      <c r="A7128" s="7" t="s">
        <v>7162</v>
      </c>
      <c r="B7128" s="7" t="s">
        <v>8995</v>
      </c>
      <c r="C7128" s="8">
        <f>QS.CONTEXT.CREATE("market.7126",A7128,"USD","SOFR")</f>
        <v/>
      </c>
      <c r="D7128" s="8">
        <f>QS.CONTEXT.ADD.CURVE(C7128,"SOFR",$K$2:$K$7,$L$2:$L$7,,,"Actual360","LogLinear",TRUE)</f>
        <v/>
      </c>
      <c r="E7128" s="8">
        <f>QS.INSTRUMENT.SWAP("swap.7126",C7128,H7128,B7128,"USD","SOFR",I7128,J7128,0,"Actual360","Simple","Annual","Annual","Annual")</f>
        <v/>
      </c>
      <c r="F7128" s="8">
        <f>QS.TRADE.CREATE("trade.7126",C7128,E7128,A7128,"Receive")</f>
        <v/>
      </c>
      <c r="G7128" s="5"/>
      <c r="H7128" s="7" t="s">
        <v>7169</v>
      </c>
      <c r="I7128" s="9">
        <v>1712600</v>
      </c>
      <c r="J7128" s="10">
        <v>0.0376</v>
      </c>
    </row>
    <row r="7129" spans="1:10">
      <c r="A7129" s="7" t="s">
        <v>7163</v>
      </c>
      <c r="B7129" s="7" t="s">
        <v>8996</v>
      </c>
      <c r="C7129" s="8">
        <f>QS.CONTEXT.CREATE("market.7127",A7129,"USD","SOFR")</f>
        <v/>
      </c>
      <c r="D7129" s="8">
        <f>QS.CONTEXT.ADD.CURVE(C7129,"SOFR",$K$2:$K$7,$L$2:$L$7,,,"Actual360","LogLinear",TRUE)</f>
        <v/>
      </c>
      <c r="E7129" s="8">
        <f>QS.INSTRUMENT.SWAP("swap.7127",C7129,H7129,B7129,"USD","SOFR",I7129,J7129,0,"Actual360","Simple","Annual","Annual","Annual")</f>
        <v/>
      </c>
      <c r="F7129" s="8">
        <f>QS.TRADE.CREATE("trade.7127",C7129,E7129,A7129,"Receive")</f>
        <v/>
      </c>
      <c r="G7129" s="5"/>
      <c r="H7129" s="7" t="s">
        <v>7170</v>
      </c>
      <c r="I7129" s="9">
        <v>1712700</v>
      </c>
      <c r="J7129" s="10">
        <v>0.0377</v>
      </c>
    </row>
    <row r="7130" spans="1:10">
      <c r="A7130" s="7" t="s">
        <v>7164</v>
      </c>
      <c r="B7130" s="7" t="s">
        <v>8997</v>
      </c>
      <c r="C7130" s="8">
        <f>QS.CONTEXT.CREATE("market.7128",A7130,"USD","SOFR")</f>
        <v/>
      </c>
      <c r="D7130" s="8">
        <f>QS.CONTEXT.ADD.CURVE(C7130,"SOFR",$K$2:$K$7,$L$2:$L$7,,,"Actual360","LogLinear",TRUE)</f>
        <v/>
      </c>
      <c r="E7130" s="8">
        <f>QS.INSTRUMENT.SWAP("swap.7128",C7130,H7130,B7130,"USD","SOFR",I7130,J7130,0,"Actual360","Simple","Annual","Annual","Annual")</f>
        <v/>
      </c>
      <c r="F7130" s="8">
        <f>QS.TRADE.CREATE("trade.7128",C7130,E7130,A7130,"Receive")</f>
        <v/>
      </c>
      <c r="G7130" s="5"/>
      <c r="H7130" s="7" t="s">
        <v>7171</v>
      </c>
      <c r="I7130" s="9">
        <v>1712800</v>
      </c>
      <c r="J7130" s="10">
        <v>0.0378</v>
      </c>
    </row>
    <row r="7131" spans="1:10">
      <c r="A7131" s="7" t="s">
        <v>7165</v>
      </c>
      <c r="B7131" s="7" t="s">
        <v>8998</v>
      </c>
      <c r="C7131" s="8">
        <f>QS.CONTEXT.CREATE("market.7129",A7131,"USD","SOFR")</f>
        <v/>
      </c>
      <c r="D7131" s="8">
        <f>QS.CONTEXT.ADD.CURVE(C7131,"SOFR",$K$2:$K$7,$L$2:$L$7,,,"Actual360","LogLinear",TRUE)</f>
        <v/>
      </c>
      <c r="E7131" s="8">
        <f>QS.INSTRUMENT.SWAP("swap.7129",C7131,H7131,B7131,"USD","SOFR",I7131,J7131,0,"Actual360","Simple","Annual","Annual","Annual")</f>
        <v/>
      </c>
      <c r="F7131" s="8">
        <f>QS.TRADE.CREATE("trade.7129",C7131,E7131,A7131,"Receive")</f>
        <v/>
      </c>
      <c r="G7131" s="5"/>
      <c r="H7131" s="7" t="s">
        <v>7172</v>
      </c>
      <c r="I7131" s="9">
        <v>1712900</v>
      </c>
      <c r="J7131" s="10">
        <v>0.0379</v>
      </c>
    </row>
    <row r="7132" spans="1:10">
      <c r="A7132" s="7" t="s">
        <v>7166</v>
      </c>
      <c r="B7132" s="7" t="s">
        <v>8999</v>
      </c>
      <c r="C7132" s="8">
        <f>QS.CONTEXT.CREATE("market.7130",A7132,"USD","SOFR")</f>
        <v/>
      </c>
      <c r="D7132" s="8">
        <f>QS.CONTEXT.ADD.CURVE(C7132,"SOFR",$K$2:$K$7,$L$2:$L$7,,,"Actual360","LogLinear",TRUE)</f>
        <v/>
      </c>
      <c r="E7132" s="8">
        <f>QS.INSTRUMENT.SWAP("swap.7130",C7132,H7132,B7132,"USD","SOFR",I7132,J7132,0,"Actual360","Simple","Annual","Annual","Annual")</f>
        <v/>
      </c>
      <c r="F7132" s="8">
        <f>QS.TRADE.CREATE("trade.7130",C7132,E7132,A7132,"Receive")</f>
        <v/>
      </c>
      <c r="G7132" s="5"/>
      <c r="H7132" s="7" t="s">
        <v>7173</v>
      </c>
      <c r="I7132" s="9">
        <v>1713000</v>
      </c>
      <c r="J7132" s="10">
        <v>0.03800000000000001</v>
      </c>
    </row>
    <row r="7133" spans="1:10">
      <c r="A7133" s="7" t="s">
        <v>7167</v>
      </c>
      <c r="B7133" s="7" t="s">
        <v>9000</v>
      </c>
      <c r="C7133" s="8">
        <f>QS.CONTEXT.CREATE("market.7131",A7133,"USD","SOFR")</f>
        <v/>
      </c>
      <c r="D7133" s="8">
        <f>QS.CONTEXT.ADD.CURVE(C7133,"SOFR",$K$2:$K$7,$L$2:$L$7,,,"Actual360","LogLinear",TRUE)</f>
        <v/>
      </c>
      <c r="E7133" s="8">
        <f>QS.INSTRUMENT.SWAP("swap.7131",C7133,H7133,B7133,"USD","SOFR",I7133,J7133,0,"Actual360","Simple","Annual","Annual","Annual")</f>
        <v/>
      </c>
      <c r="F7133" s="8">
        <f>QS.TRADE.CREATE("trade.7131",C7133,E7133,A7133,"Receive")</f>
        <v/>
      </c>
      <c r="G7133" s="5"/>
      <c r="H7133" s="7" t="s">
        <v>7174</v>
      </c>
      <c r="I7133" s="9">
        <v>1713100</v>
      </c>
      <c r="J7133" s="10">
        <v>0.0381</v>
      </c>
    </row>
    <row r="7134" spans="1:10">
      <c r="A7134" s="7" t="s">
        <v>7168</v>
      </c>
      <c r="B7134" s="7" t="s">
        <v>9001</v>
      </c>
      <c r="C7134" s="8">
        <f>QS.CONTEXT.CREATE("market.7132",A7134,"USD","SOFR")</f>
        <v/>
      </c>
      <c r="D7134" s="8">
        <f>QS.CONTEXT.ADD.CURVE(C7134,"SOFR",$K$2:$K$7,$L$2:$L$7,,,"Actual360","LogLinear",TRUE)</f>
        <v/>
      </c>
      <c r="E7134" s="8">
        <f>QS.INSTRUMENT.SWAP("swap.7132",C7134,H7134,B7134,"USD","SOFR",I7134,J7134,0,"Actual360","Simple","Annual","Annual","Annual")</f>
        <v/>
      </c>
      <c r="F7134" s="8">
        <f>QS.TRADE.CREATE("trade.7132",C7134,E7134,A7134,"Receive")</f>
        <v/>
      </c>
      <c r="G7134" s="5"/>
      <c r="H7134" s="7" t="s">
        <v>7175</v>
      </c>
      <c r="I7134" s="9">
        <v>1713200</v>
      </c>
      <c r="J7134" s="10">
        <v>0.0382</v>
      </c>
    </row>
    <row r="7135" spans="1:10">
      <c r="A7135" s="7" t="s">
        <v>7169</v>
      </c>
      <c r="B7135" s="7" t="s">
        <v>9002</v>
      </c>
      <c r="C7135" s="8">
        <f>QS.CONTEXT.CREATE("market.7133",A7135,"USD","SOFR")</f>
        <v/>
      </c>
      <c r="D7135" s="8">
        <f>QS.CONTEXT.ADD.CURVE(C7135,"SOFR",$K$2:$K$7,$L$2:$L$7,,,"Actual360","LogLinear",TRUE)</f>
        <v/>
      </c>
      <c r="E7135" s="8">
        <f>QS.INSTRUMENT.SWAP("swap.7133",C7135,H7135,B7135,"USD","SOFR",I7135,J7135,0,"Actual360","Simple","Annual","Annual","Annual")</f>
        <v/>
      </c>
      <c r="F7135" s="8">
        <f>QS.TRADE.CREATE("trade.7133",C7135,E7135,A7135,"Receive")</f>
        <v/>
      </c>
      <c r="G7135" s="5"/>
      <c r="H7135" s="7" t="s">
        <v>7176</v>
      </c>
      <c r="I7135" s="9">
        <v>1713300</v>
      </c>
      <c r="J7135" s="10">
        <v>0.0383</v>
      </c>
    </row>
    <row r="7136" spans="1:10">
      <c r="A7136" s="7" t="s">
        <v>7170</v>
      </c>
      <c r="B7136" s="7" t="s">
        <v>9003</v>
      </c>
      <c r="C7136" s="8">
        <f>QS.CONTEXT.CREATE("market.7134",A7136,"USD","SOFR")</f>
        <v/>
      </c>
      <c r="D7136" s="8">
        <f>QS.CONTEXT.ADD.CURVE(C7136,"SOFR",$K$2:$K$7,$L$2:$L$7,,,"Actual360","LogLinear",TRUE)</f>
        <v/>
      </c>
      <c r="E7136" s="8">
        <f>QS.INSTRUMENT.SWAP("swap.7134",C7136,H7136,B7136,"USD","SOFR",I7136,J7136,0,"Actual360","Simple","Annual","Annual","Annual")</f>
        <v/>
      </c>
      <c r="F7136" s="8">
        <f>QS.TRADE.CREATE("trade.7134",C7136,E7136,A7136,"Receive")</f>
        <v/>
      </c>
      <c r="G7136" s="5"/>
      <c r="H7136" s="7" t="s">
        <v>7177</v>
      </c>
      <c r="I7136" s="9">
        <v>1713400</v>
      </c>
      <c r="J7136" s="10">
        <v>0.0384</v>
      </c>
    </row>
    <row r="7137" spans="1:10">
      <c r="A7137" s="7" t="s">
        <v>7171</v>
      </c>
      <c r="B7137" s="7" t="s">
        <v>9004</v>
      </c>
      <c r="C7137" s="8">
        <f>QS.CONTEXT.CREATE("market.7135",A7137,"USD","SOFR")</f>
        <v/>
      </c>
      <c r="D7137" s="8">
        <f>QS.CONTEXT.ADD.CURVE(C7137,"SOFR",$K$2:$K$7,$L$2:$L$7,,,"Actual360","LogLinear",TRUE)</f>
        <v/>
      </c>
      <c r="E7137" s="8">
        <f>QS.INSTRUMENT.SWAP("swap.7135",C7137,H7137,B7137,"USD","SOFR",I7137,J7137,0,"Actual360","Simple","Annual","Annual","Annual")</f>
        <v/>
      </c>
      <c r="F7137" s="8">
        <f>QS.TRADE.CREATE("trade.7135",C7137,E7137,A7137,"Receive")</f>
        <v/>
      </c>
      <c r="G7137" s="5"/>
      <c r="H7137" s="7" t="s">
        <v>7178</v>
      </c>
      <c r="I7137" s="9">
        <v>1713500</v>
      </c>
      <c r="J7137" s="10">
        <v>0.03850000000000001</v>
      </c>
    </row>
    <row r="7138" spans="1:10">
      <c r="A7138" s="7" t="s">
        <v>7172</v>
      </c>
      <c r="B7138" s="7" t="s">
        <v>9005</v>
      </c>
      <c r="C7138" s="8">
        <f>QS.CONTEXT.CREATE("market.7136",A7138,"USD","SOFR")</f>
        <v/>
      </c>
      <c r="D7138" s="8">
        <f>QS.CONTEXT.ADD.CURVE(C7138,"SOFR",$K$2:$K$7,$L$2:$L$7,,,"Actual360","LogLinear",TRUE)</f>
        <v/>
      </c>
      <c r="E7138" s="8">
        <f>QS.INSTRUMENT.SWAP("swap.7136",C7138,H7138,B7138,"USD","SOFR",I7138,J7138,0,"Actual360","Simple","Annual","Annual","Annual")</f>
        <v/>
      </c>
      <c r="F7138" s="8">
        <f>QS.TRADE.CREATE("trade.7136",C7138,E7138,A7138,"Receive")</f>
        <v/>
      </c>
      <c r="G7138" s="5"/>
      <c r="H7138" s="7" t="s">
        <v>7179</v>
      </c>
      <c r="I7138" s="9">
        <v>1713600</v>
      </c>
      <c r="J7138" s="10">
        <v>0.0386</v>
      </c>
    </row>
    <row r="7139" spans="1:10">
      <c r="A7139" s="7" t="s">
        <v>7173</v>
      </c>
      <c r="B7139" s="7" t="s">
        <v>9006</v>
      </c>
      <c r="C7139" s="8">
        <f>QS.CONTEXT.CREATE("market.7137",A7139,"USD","SOFR")</f>
        <v/>
      </c>
      <c r="D7139" s="8">
        <f>QS.CONTEXT.ADD.CURVE(C7139,"SOFR",$K$2:$K$7,$L$2:$L$7,,,"Actual360","LogLinear",TRUE)</f>
        <v/>
      </c>
      <c r="E7139" s="8">
        <f>QS.INSTRUMENT.SWAP("swap.7137",C7139,H7139,B7139,"USD","SOFR",I7139,J7139,0,"Actual360","Simple","Annual","Annual","Annual")</f>
        <v/>
      </c>
      <c r="F7139" s="8">
        <f>QS.TRADE.CREATE("trade.7137",C7139,E7139,A7139,"Receive")</f>
        <v/>
      </c>
      <c r="G7139" s="5"/>
      <c r="H7139" s="7" t="s">
        <v>7180</v>
      </c>
      <c r="I7139" s="9">
        <v>1713700</v>
      </c>
      <c r="J7139" s="10">
        <v>0.03870000000000001</v>
      </c>
    </row>
    <row r="7140" spans="1:10">
      <c r="A7140" s="7" t="s">
        <v>7174</v>
      </c>
      <c r="B7140" s="7" t="s">
        <v>9007</v>
      </c>
      <c r="C7140" s="8">
        <f>QS.CONTEXT.CREATE("market.7138",A7140,"USD","SOFR")</f>
        <v/>
      </c>
      <c r="D7140" s="8">
        <f>QS.CONTEXT.ADD.CURVE(C7140,"SOFR",$K$2:$K$7,$L$2:$L$7,,,"Actual360","LogLinear",TRUE)</f>
        <v/>
      </c>
      <c r="E7140" s="8">
        <f>QS.INSTRUMENT.SWAP("swap.7138",C7140,H7140,B7140,"USD","SOFR",I7140,J7140,0,"Actual360","Simple","Annual","Annual","Annual")</f>
        <v/>
      </c>
      <c r="F7140" s="8">
        <f>QS.TRADE.CREATE("trade.7138",C7140,E7140,A7140,"Receive")</f>
        <v/>
      </c>
      <c r="G7140" s="5"/>
      <c r="H7140" s="7" t="s">
        <v>7181</v>
      </c>
      <c r="I7140" s="9">
        <v>1713800</v>
      </c>
      <c r="J7140" s="10">
        <v>0.0388</v>
      </c>
    </row>
    <row r="7141" spans="1:10">
      <c r="A7141" s="7" t="s">
        <v>7175</v>
      </c>
      <c r="B7141" s="7" t="s">
        <v>9008</v>
      </c>
      <c r="C7141" s="8">
        <f>QS.CONTEXT.CREATE("market.7139",A7141,"USD","SOFR")</f>
        <v/>
      </c>
      <c r="D7141" s="8">
        <f>QS.CONTEXT.ADD.CURVE(C7141,"SOFR",$K$2:$K$7,$L$2:$L$7,,,"Actual360","LogLinear",TRUE)</f>
        <v/>
      </c>
      <c r="E7141" s="8">
        <f>QS.INSTRUMENT.SWAP("swap.7139",C7141,H7141,B7141,"USD","SOFR",I7141,J7141,0,"Actual360","Simple","Annual","Annual","Annual")</f>
        <v/>
      </c>
      <c r="F7141" s="8">
        <f>QS.TRADE.CREATE("trade.7139",C7141,E7141,A7141,"Receive")</f>
        <v/>
      </c>
      <c r="G7141" s="5"/>
      <c r="H7141" s="7" t="s">
        <v>7182</v>
      </c>
      <c r="I7141" s="9">
        <v>1713900</v>
      </c>
      <c r="J7141" s="10">
        <v>0.0389</v>
      </c>
    </row>
    <row r="7142" spans="1:10">
      <c r="A7142" s="7" t="s">
        <v>7176</v>
      </c>
      <c r="B7142" s="7" t="s">
        <v>9009</v>
      </c>
      <c r="C7142" s="8">
        <f>QS.CONTEXT.CREATE("market.7140",A7142,"USD","SOFR")</f>
        <v/>
      </c>
      <c r="D7142" s="8">
        <f>QS.CONTEXT.ADD.CURVE(C7142,"SOFR",$K$2:$K$7,$L$2:$L$7,,,"Actual360","LogLinear",TRUE)</f>
        <v/>
      </c>
      <c r="E7142" s="8">
        <f>QS.INSTRUMENT.SWAP("swap.7140",C7142,H7142,B7142,"USD","SOFR",I7142,J7142,0,"Actual360","Simple","Annual","Annual","Annual")</f>
        <v/>
      </c>
      <c r="F7142" s="8">
        <f>QS.TRADE.CREATE("trade.7140",C7142,E7142,A7142,"Receive")</f>
        <v/>
      </c>
      <c r="G7142" s="5"/>
      <c r="H7142" s="7" t="s">
        <v>7183</v>
      </c>
      <c r="I7142" s="9">
        <v>1714000</v>
      </c>
      <c r="J7142" s="10">
        <v>0.03900000000000001</v>
      </c>
    </row>
    <row r="7143" spans="1:10">
      <c r="A7143" s="7" t="s">
        <v>7177</v>
      </c>
      <c r="B7143" s="7" t="s">
        <v>9010</v>
      </c>
      <c r="C7143" s="8">
        <f>QS.CONTEXT.CREATE("market.7141",A7143,"USD","SOFR")</f>
        <v/>
      </c>
      <c r="D7143" s="8">
        <f>QS.CONTEXT.ADD.CURVE(C7143,"SOFR",$K$2:$K$7,$L$2:$L$7,,,"Actual360","LogLinear",TRUE)</f>
        <v/>
      </c>
      <c r="E7143" s="8">
        <f>QS.INSTRUMENT.SWAP("swap.7141",C7143,H7143,B7143,"USD","SOFR",I7143,J7143,0,"Actual360","Simple","Annual","Annual","Annual")</f>
        <v/>
      </c>
      <c r="F7143" s="8">
        <f>QS.TRADE.CREATE("trade.7141",C7143,E7143,A7143,"Receive")</f>
        <v/>
      </c>
      <c r="G7143" s="5"/>
      <c r="H7143" s="7" t="s">
        <v>7184</v>
      </c>
      <c r="I7143" s="9">
        <v>1714100</v>
      </c>
      <c r="J7143" s="10">
        <v>0.0391</v>
      </c>
    </row>
    <row r="7144" spans="1:10">
      <c r="A7144" s="7" t="s">
        <v>7178</v>
      </c>
      <c r="B7144" s="7" t="s">
        <v>9011</v>
      </c>
      <c r="C7144" s="8">
        <f>QS.CONTEXT.CREATE("market.7142",A7144,"USD","SOFR")</f>
        <v/>
      </c>
      <c r="D7144" s="8">
        <f>QS.CONTEXT.ADD.CURVE(C7144,"SOFR",$K$2:$K$7,$L$2:$L$7,,,"Actual360","LogLinear",TRUE)</f>
        <v/>
      </c>
      <c r="E7144" s="8">
        <f>QS.INSTRUMENT.SWAP("swap.7142",C7144,H7144,B7144,"USD","SOFR",I7144,J7144,0,"Actual360","Simple","Annual","Annual","Annual")</f>
        <v/>
      </c>
      <c r="F7144" s="8">
        <f>QS.TRADE.CREATE("trade.7142",C7144,E7144,A7144,"Receive")</f>
        <v/>
      </c>
      <c r="G7144" s="5"/>
      <c r="H7144" s="7" t="s">
        <v>7185</v>
      </c>
      <c r="I7144" s="9">
        <v>1714200</v>
      </c>
      <c r="J7144" s="10">
        <v>0.03920000000000001</v>
      </c>
    </row>
    <row r="7145" spans="1:10">
      <c r="A7145" s="7" t="s">
        <v>7179</v>
      </c>
      <c r="B7145" s="7" t="s">
        <v>9012</v>
      </c>
      <c r="C7145" s="8">
        <f>QS.CONTEXT.CREATE("market.7143",A7145,"USD","SOFR")</f>
        <v/>
      </c>
      <c r="D7145" s="8">
        <f>QS.CONTEXT.ADD.CURVE(C7145,"SOFR",$K$2:$K$7,$L$2:$L$7,,,"Actual360","LogLinear",TRUE)</f>
        <v/>
      </c>
      <c r="E7145" s="8">
        <f>QS.INSTRUMENT.SWAP("swap.7143",C7145,H7145,B7145,"USD","SOFR",I7145,J7145,0,"Actual360","Simple","Annual","Annual","Annual")</f>
        <v/>
      </c>
      <c r="F7145" s="8">
        <f>QS.TRADE.CREATE("trade.7143",C7145,E7145,A7145,"Receive")</f>
        <v/>
      </c>
      <c r="G7145" s="5"/>
      <c r="H7145" s="7" t="s">
        <v>7186</v>
      </c>
      <c r="I7145" s="9">
        <v>1714300</v>
      </c>
      <c r="J7145" s="10">
        <v>0.0393</v>
      </c>
    </row>
    <row r="7146" spans="1:10">
      <c r="A7146" s="7" t="s">
        <v>7180</v>
      </c>
      <c r="B7146" s="7" t="s">
        <v>9013</v>
      </c>
      <c r="C7146" s="8">
        <f>QS.CONTEXT.CREATE("market.7144",A7146,"USD","SOFR")</f>
        <v/>
      </c>
      <c r="D7146" s="8">
        <f>QS.CONTEXT.ADD.CURVE(C7146,"SOFR",$K$2:$K$7,$L$2:$L$7,,,"Actual360","LogLinear",TRUE)</f>
        <v/>
      </c>
      <c r="E7146" s="8">
        <f>QS.INSTRUMENT.SWAP("swap.7144",C7146,H7146,B7146,"USD","SOFR",I7146,J7146,0,"Actual360","Simple","Annual","Annual","Annual")</f>
        <v/>
      </c>
      <c r="F7146" s="8">
        <f>QS.TRADE.CREATE("trade.7144",C7146,E7146,A7146,"Receive")</f>
        <v/>
      </c>
      <c r="G7146" s="5"/>
      <c r="H7146" s="7" t="s">
        <v>7187</v>
      </c>
      <c r="I7146" s="9">
        <v>1714400</v>
      </c>
      <c r="J7146" s="10">
        <v>0.0394</v>
      </c>
    </row>
    <row r="7147" spans="1:10">
      <c r="A7147" s="7" t="s">
        <v>7181</v>
      </c>
      <c r="B7147" s="7" t="s">
        <v>9014</v>
      </c>
      <c r="C7147" s="8">
        <f>QS.CONTEXT.CREATE("market.7145",A7147,"USD","SOFR")</f>
        <v/>
      </c>
      <c r="D7147" s="8">
        <f>QS.CONTEXT.ADD.CURVE(C7147,"SOFR",$K$2:$K$7,$L$2:$L$7,,,"Actual360","LogLinear",TRUE)</f>
        <v/>
      </c>
      <c r="E7147" s="8">
        <f>QS.INSTRUMENT.SWAP("swap.7145",C7147,H7147,B7147,"USD","SOFR",I7147,J7147,0,"Actual360","Simple","Annual","Annual","Annual")</f>
        <v/>
      </c>
      <c r="F7147" s="8">
        <f>QS.TRADE.CREATE("trade.7145",C7147,E7147,A7147,"Receive")</f>
        <v/>
      </c>
      <c r="G7147" s="5"/>
      <c r="H7147" s="7" t="s">
        <v>7188</v>
      </c>
      <c r="I7147" s="9">
        <v>1714500</v>
      </c>
      <c r="J7147" s="10">
        <v>0.03950000000000001</v>
      </c>
    </row>
    <row r="7148" spans="1:10">
      <c r="A7148" s="7" t="s">
        <v>7182</v>
      </c>
      <c r="B7148" s="7" t="s">
        <v>9015</v>
      </c>
      <c r="C7148" s="8">
        <f>QS.CONTEXT.CREATE("market.7146",A7148,"USD","SOFR")</f>
        <v/>
      </c>
      <c r="D7148" s="8">
        <f>QS.CONTEXT.ADD.CURVE(C7148,"SOFR",$K$2:$K$7,$L$2:$L$7,,,"Actual360","LogLinear",TRUE)</f>
        <v/>
      </c>
      <c r="E7148" s="8">
        <f>QS.INSTRUMENT.SWAP("swap.7146",C7148,H7148,B7148,"USD","SOFR",I7148,J7148,0,"Actual360","Simple","Annual","Annual","Annual")</f>
        <v/>
      </c>
      <c r="F7148" s="8">
        <f>QS.TRADE.CREATE("trade.7146",C7148,E7148,A7148,"Receive")</f>
        <v/>
      </c>
      <c r="G7148" s="5"/>
      <c r="H7148" s="7" t="s">
        <v>7189</v>
      </c>
      <c r="I7148" s="9">
        <v>1714600</v>
      </c>
      <c r="J7148" s="10">
        <v>0.0396</v>
      </c>
    </row>
    <row r="7149" spans="1:10">
      <c r="A7149" s="7" t="s">
        <v>7183</v>
      </c>
      <c r="B7149" s="7" t="s">
        <v>9016</v>
      </c>
      <c r="C7149" s="8">
        <f>QS.CONTEXT.CREATE("market.7147",A7149,"USD","SOFR")</f>
        <v/>
      </c>
      <c r="D7149" s="8">
        <f>QS.CONTEXT.ADD.CURVE(C7149,"SOFR",$K$2:$K$7,$L$2:$L$7,,,"Actual360","LogLinear",TRUE)</f>
        <v/>
      </c>
      <c r="E7149" s="8">
        <f>QS.INSTRUMENT.SWAP("swap.7147",C7149,H7149,B7149,"USD","SOFR",I7149,J7149,0,"Actual360","Simple","Annual","Annual","Annual")</f>
        <v/>
      </c>
      <c r="F7149" s="8">
        <f>QS.TRADE.CREATE("trade.7147",C7149,E7149,A7149,"Receive")</f>
        <v/>
      </c>
      <c r="G7149" s="5"/>
      <c r="H7149" s="7" t="s">
        <v>7190</v>
      </c>
      <c r="I7149" s="9">
        <v>1714700</v>
      </c>
      <c r="J7149" s="10">
        <v>0.03970000000000001</v>
      </c>
    </row>
    <row r="7150" spans="1:10">
      <c r="A7150" s="7" t="s">
        <v>7184</v>
      </c>
      <c r="B7150" s="7" t="s">
        <v>9017</v>
      </c>
      <c r="C7150" s="8">
        <f>QS.CONTEXT.CREATE("market.7148",A7150,"USD","SOFR")</f>
        <v/>
      </c>
      <c r="D7150" s="8">
        <f>QS.CONTEXT.ADD.CURVE(C7150,"SOFR",$K$2:$K$7,$L$2:$L$7,,,"Actual360","LogLinear",TRUE)</f>
        <v/>
      </c>
      <c r="E7150" s="8">
        <f>QS.INSTRUMENT.SWAP("swap.7148",C7150,H7150,B7150,"USD","SOFR",I7150,J7150,0,"Actual360","Simple","Annual","Annual","Annual")</f>
        <v/>
      </c>
      <c r="F7150" s="8">
        <f>QS.TRADE.CREATE("trade.7148",C7150,E7150,A7150,"Receive")</f>
        <v/>
      </c>
      <c r="G7150" s="5"/>
      <c r="H7150" s="7" t="s">
        <v>7191</v>
      </c>
      <c r="I7150" s="9">
        <v>1714800</v>
      </c>
      <c r="J7150" s="10">
        <v>0.0398</v>
      </c>
    </row>
    <row r="7151" spans="1:10">
      <c r="A7151" s="7" t="s">
        <v>7185</v>
      </c>
      <c r="B7151" s="7" t="s">
        <v>9018</v>
      </c>
      <c r="C7151" s="8">
        <f>QS.CONTEXT.CREATE("market.7149",A7151,"USD","SOFR")</f>
        <v/>
      </c>
      <c r="D7151" s="8">
        <f>QS.CONTEXT.ADD.CURVE(C7151,"SOFR",$K$2:$K$7,$L$2:$L$7,,,"Actual360","LogLinear",TRUE)</f>
        <v/>
      </c>
      <c r="E7151" s="8">
        <f>QS.INSTRUMENT.SWAP("swap.7149",C7151,H7151,B7151,"USD","SOFR",I7151,J7151,0,"Actual360","Simple","Annual","Annual","Annual")</f>
        <v/>
      </c>
      <c r="F7151" s="8">
        <f>QS.TRADE.CREATE("trade.7149",C7151,E7151,A7151,"Receive")</f>
        <v/>
      </c>
      <c r="G7151" s="5"/>
      <c r="H7151" s="7" t="s">
        <v>7192</v>
      </c>
      <c r="I7151" s="9">
        <v>1714900</v>
      </c>
      <c r="J7151" s="10">
        <v>0.0399</v>
      </c>
    </row>
    <row r="7152" spans="1:10">
      <c r="A7152" s="7" t="s">
        <v>7186</v>
      </c>
      <c r="B7152" s="7" t="s">
        <v>9019</v>
      </c>
      <c r="C7152" s="8">
        <f>QS.CONTEXT.CREATE("market.7150",A7152,"USD","SOFR")</f>
        <v/>
      </c>
      <c r="D7152" s="8">
        <f>QS.CONTEXT.ADD.CURVE(C7152,"SOFR",$K$2:$K$7,$L$2:$L$7,,,"Actual360","LogLinear",TRUE)</f>
        <v/>
      </c>
      <c r="E7152" s="8">
        <f>QS.INSTRUMENT.SWAP("swap.7150",C7152,H7152,B7152,"USD","SOFR",I7152,J7152,0,"Actual360","Simple","Annual","Annual","Annual")</f>
        <v/>
      </c>
      <c r="F7152" s="8">
        <f>QS.TRADE.CREATE("trade.7150",C7152,E7152,A7152,"Receive")</f>
        <v/>
      </c>
      <c r="G7152" s="5"/>
      <c r="H7152" s="7" t="s">
        <v>7193</v>
      </c>
      <c r="I7152" s="9">
        <v>1715000</v>
      </c>
      <c r="J7152" s="10">
        <v>0.035</v>
      </c>
    </row>
    <row r="7153" spans="1:10">
      <c r="A7153" s="7" t="s">
        <v>7187</v>
      </c>
      <c r="B7153" s="7" t="s">
        <v>9020</v>
      </c>
      <c r="C7153" s="8">
        <f>QS.CONTEXT.CREATE("market.7151",A7153,"USD","SOFR")</f>
        <v/>
      </c>
      <c r="D7153" s="8">
        <f>QS.CONTEXT.ADD.CURVE(C7153,"SOFR",$K$2:$K$7,$L$2:$L$7,,,"Actual360","LogLinear",TRUE)</f>
        <v/>
      </c>
      <c r="E7153" s="8">
        <f>QS.INSTRUMENT.SWAP("swap.7151",C7153,H7153,B7153,"USD","SOFR",I7153,J7153,0,"Actual360","Simple","Annual","Annual","Annual")</f>
        <v/>
      </c>
      <c r="F7153" s="8">
        <f>QS.TRADE.CREATE("trade.7151",C7153,E7153,A7153,"Receive")</f>
        <v/>
      </c>
      <c r="G7153" s="5"/>
      <c r="H7153" s="7" t="s">
        <v>7194</v>
      </c>
      <c r="I7153" s="9">
        <v>1715100</v>
      </c>
      <c r="J7153" s="10">
        <v>0.03510000000000001</v>
      </c>
    </row>
    <row r="7154" spans="1:10">
      <c r="A7154" s="7" t="s">
        <v>7188</v>
      </c>
      <c r="B7154" s="7" t="s">
        <v>9021</v>
      </c>
      <c r="C7154" s="8">
        <f>QS.CONTEXT.CREATE("market.7152",A7154,"USD","SOFR")</f>
        <v/>
      </c>
      <c r="D7154" s="8">
        <f>QS.CONTEXT.ADD.CURVE(C7154,"SOFR",$K$2:$K$7,$L$2:$L$7,,,"Actual360","LogLinear",TRUE)</f>
        <v/>
      </c>
      <c r="E7154" s="8">
        <f>QS.INSTRUMENT.SWAP("swap.7152",C7154,H7154,B7154,"USD","SOFR",I7154,J7154,0,"Actual360","Simple","Annual","Annual","Annual")</f>
        <v/>
      </c>
      <c r="F7154" s="8">
        <f>QS.TRADE.CREATE("trade.7152",C7154,E7154,A7154,"Receive")</f>
        <v/>
      </c>
      <c r="G7154" s="5"/>
      <c r="H7154" s="7" t="s">
        <v>7195</v>
      </c>
      <c r="I7154" s="9">
        <v>1715200</v>
      </c>
      <c r="J7154" s="10">
        <v>0.0352</v>
      </c>
    </row>
    <row r="7155" spans="1:10">
      <c r="A7155" s="7" t="s">
        <v>7189</v>
      </c>
      <c r="B7155" s="7" t="s">
        <v>9022</v>
      </c>
      <c r="C7155" s="8">
        <f>QS.CONTEXT.CREATE("market.7153",A7155,"USD","SOFR")</f>
        <v/>
      </c>
      <c r="D7155" s="8">
        <f>QS.CONTEXT.ADD.CURVE(C7155,"SOFR",$K$2:$K$7,$L$2:$L$7,,,"Actual360","LogLinear",TRUE)</f>
        <v/>
      </c>
      <c r="E7155" s="8">
        <f>QS.INSTRUMENT.SWAP("swap.7153",C7155,H7155,B7155,"USD","SOFR",I7155,J7155,0,"Actual360","Simple","Annual","Annual","Annual")</f>
        <v/>
      </c>
      <c r="F7155" s="8">
        <f>QS.TRADE.CREATE("trade.7153",C7155,E7155,A7155,"Receive")</f>
        <v/>
      </c>
      <c r="G7155" s="5"/>
      <c r="H7155" s="7" t="s">
        <v>7196</v>
      </c>
      <c r="I7155" s="9">
        <v>1715300</v>
      </c>
      <c r="J7155" s="10">
        <v>0.0353</v>
      </c>
    </row>
    <row r="7156" spans="1:10">
      <c r="A7156" s="7" t="s">
        <v>7190</v>
      </c>
      <c r="B7156" s="7" t="s">
        <v>9023</v>
      </c>
      <c r="C7156" s="8">
        <f>QS.CONTEXT.CREATE("market.7154",A7156,"USD","SOFR")</f>
        <v/>
      </c>
      <c r="D7156" s="8">
        <f>QS.CONTEXT.ADD.CURVE(C7156,"SOFR",$K$2:$K$7,$L$2:$L$7,,,"Actual360","LogLinear",TRUE)</f>
        <v/>
      </c>
      <c r="E7156" s="8">
        <f>QS.INSTRUMENT.SWAP("swap.7154",C7156,H7156,B7156,"USD","SOFR",I7156,J7156,0,"Actual360","Simple","Annual","Annual","Annual")</f>
        <v/>
      </c>
      <c r="F7156" s="8">
        <f>QS.TRADE.CREATE("trade.7154",C7156,E7156,A7156,"Receive")</f>
        <v/>
      </c>
      <c r="G7156" s="5"/>
      <c r="H7156" s="7" t="s">
        <v>7197</v>
      </c>
      <c r="I7156" s="9">
        <v>1715400</v>
      </c>
      <c r="J7156" s="10">
        <v>0.0354</v>
      </c>
    </row>
    <row r="7157" spans="1:10">
      <c r="A7157" s="7" t="s">
        <v>7191</v>
      </c>
      <c r="B7157" s="7" t="s">
        <v>9024</v>
      </c>
      <c r="C7157" s="8">
        <f>QS.CONTEXT.CREATE("market.7155",A7157,"USD","SOFR")</f>
        <v/>
      </c>
      <c r="D7157" s="8">
        <f>QS.CONTEXT.ADD.CURVE(C7157,"SOFR",$K$2:$K$7,$L$2:$L$7,,,"Actual360","LogLinear",TRUE)</f>
        <v/>
      </c>
      <c r="E7157" s="8">
        <f>QS.INSTRUMENT.SWAP("swap.7155",C7157,H7157,B7157,"USD","SOFR",I7157,J7157,0,"Actual360","Simple","Annual","Annual","Annual")</f>
        <v/>
      </c>
      <c r="F7157" s="8">
        <f>QS.TRADE.CREATE("trade.7155",C7157,E7157,A7157,"Receive")</f>
        <v/>
      </c>
      <c r="G7157" s="5"/>
      <c r="H7157" s="7" t="s">
        <v>7198</v>
      </c>
      <c r="I7157" s="9">
        <v>1715500</v>
      </c>
      <c r="J7157" s="10">
        <v>0.0355</v>
      </c>
    </row>
    <row r="7158" spans="1:10">
      <c r="A7158" s="7" t="s">
        <v>7192</v>
      </c>
      <c r="B7158" s="7" t="s">
        <v>9025</v>
      </c>
      <c r="C7158" s="8">
        <f>QS.CONTEXT.CREATE("market.7156",A7158,"USD","SOFR")</f>
        <v/>
      </c>
      <c r="D7158" s="8">
        <f>QS.CONTEXT.ADD.CURVE(C7158,"SOFR",$K$2:$K$7,$L$2:$L$7,,,"Actual360","LogLinear",TRUE)</f>
        <v/>
      </c>
      <c r="E7158" s="8">
        <f>QS.INSTRUMENT.SWAP("swap.7156",C7158,H7158,B7158,"USD","SOFR",I7158,J7158,0,"Actual360","Simple","Annual","Annual","Annual")</f>
        <v/>
      </c>
      <c r="F7158" s="8">
        <f>QS.TRADE.CREATE("trade.7156",C7158,E7158,A7158,"Receive")</f>
        <v/>
      </c>
      <c r="G7158" s="5"/>
      <c r="H7158" s="7" t="s">
        <v>7199</v>
      </c>
      <c r="I7158" s="9">
        <v>1715600</v>
      </c>
      <c r="J7158" s="10">
        <v>0.03560000000000001</v>
      </c>
    </row>
    <row r="7159" spans="1:10">
      <c r="A7159" s="7" t="s">
        <v>7193</v>
      </c>
      <c r="B7159" s="7" t="s">
        <v>9026</v>
      </c>
      <c r="C7159" s="8">
        <f>QS.CONTEXT.CREATE("market.7157",A7159,"USD","SOFR")</f>
        <v/>
      </c>
      <c r="D7159" s="8">
        <f>QS.CONTEXT.ADD.CURVE(C7159,"SOFR",$K$2:$K$7,$L$2:$L$7,,,"Actual360","LogLinear",TRUE)</f>
        <v/>
      </c>
      <c r="E7159" s="8">
        <f>QS.INSTRUMENT.SWAP("swap.7157",C7159,H7159,B7159,"USD","SOFR",I7159,J7159,0,"Actual360","Simple","Annual","Annual","Annual")</f>
        <v/>
      </c>
      <c r="F7159" s="8">
        <f>QS.TRADE.CREATE("trade.7157",C7159,E7159,A7159,"Receive")</f>
        <v/>
      </c>
      <c r="G7159" s="5"/>
      <c r="H7159" s="7" t="s">
        <v>7200</v>
      </c>
      <c r="I7159" s="9">
        <v>1715700</v>
      </c>
      <c r="J7159" s="10">
        <v>0.0357</v>
      </c>
    </row>
    <row r="7160" spans="1:10">
      <c r="A7160" s="7" t="s">
        <v>7194</v>
      </c>
      <c r="B7160" s="7" t="s">
        <v>9027</v>
      </c>
      <c r="C7160" s="8">
        <f>QS.CONTEXT.CREATE("market.7158",A7160,"USD","SOFR")</f>
        <v/>
      </c>
      <c r="D7160" s="8">
        <f>QS.CONTEXT.ADD.CURVE(C7160,"SOFR",$K$2:$K$7,$L$2:$L$7,,,"Actual360","LogLinear",TRUE)</f>
        <v/>
      </c>
      <c r="E7160" s="8">
        <f>QS.INSTRUMENT.SWAP("swap.7158",C7160,H7160,B7160,"USD","SOFR",I7160,J7160,0,"Actual360","Simple","Annual","Annual","Annual")</f>
        <v/>
      </c>
      <c r="F7160" s="8">
        <f>QS.TRADE.CREATE("trade.7158",C7160,E7160,A7160,"Receive")</f>
        <v/>
      </c>
      <c r="G7160" s="5"/>
      <c r="H7160" s="7" t="s">
        <v>7201</v>
      </c>
      <c r="I7160" s="9">
        <v>1715800</v>
      </c>
      <c r="J7160" s="10">
        <v>0.03580000000000001</v>
      </c>
    </row>
    <row r="7161" spans="1:10">
      <c r="A7161" s="7" t="s">
        <v>7195</v>
      </c>
      <c r="B7161" s="7" t="s">
        <v>9028</v>
      </c>
      <c r="C7161" s="8">
        <f>QS.CONTEXT.CREATE("market.7159",A7161,"USD","SOFR")</f>
        <v/>
      </c>
      <c r="D7161" s="8">
        <f>QS.CONTEXT.ADD.CURVE(C7161,"SOFR",$K$2:$K$7,$L$2:$L$7,,,"Actual360","LogLinear",TRUE)</f>
        <v/>
      </c>
      <c r="E7161" s="8">
        <f>QS.INSTRUMENT.SWAP("swap.7159",C7161,H7161,B7161,"USD","SOFR",I7161,J7161,0,"Actual360","Simple","Annual","Annual","Annual")</f>
        <v/>
      </c>
      <c r="F7161" s="8">
        <f>QS.TRADE.CREATE("trade.7159",C7161,E7161,A7161,"Receive")</f>
        <v/>
      </c>
      <c r="G7161" s="5"/>
      <c r="H7161" s="7" t="s">
        <v>7202</v>
      </c>
      <c r="I7161" s="9">
        <v>1715900</v>
      </c>
      <c r="J7161" s="10">
        <v>0.0359</v>
      </c>
    </row>
    <row r="7162" spans="1:10">
      <c r="A7162" s="7" t="s">
        <v>7196</v>
      </c>
      <c r="B7162" s="7" t="s">
        <v>9029</v>
      </c>
      <c r="C7162" s="8">
        <f>QS.CONTEXT.CREATE("market.7160",A7162,"USD","SOFR")</f>
        <v/>
      </c>
      <c r="D7162" s="8">
        <f>QS.CONTEXT.ADD.CURVE(C7162,"SOFR",$K$2:$K$7,$L$2:$L$7,,,"Actual360","LogLinear",TRUE)</f>
        <v/>
      </c>
      <c r="E7162" s="8">
        <f>QS.INSTRUMENT.SWAP("swap.7160",C7162,H7162,B7162,"USD","SOFR",I7162,J7162,0,"Actual360","Simple","Annual","Annual","Annual")</f>
        <v/>
      </c>
      <c r="F7162" s="8">
        <f>QS.TRADE.CREATE("trade.7160",C7162,E7162,A7162,"Receive")</f>
        <v/>
      </c>
      <c r="G7162" s="5"/>
      <c r="H7162" s="7" t="s">
        <v>7203</v>
      </c>
      <c r="I7162" s="9">
        <v>1716000</v>
      </c>
      <c r="J7162" s="10">
        <v>0.036</v>
      </c>
    </row>
    <row r="7163" spans="1:10">
      <c r="A7163" s="7" t="s">
        <v>7197</v>
      </c>
      <c r="B7163" s="7" t="s">
        <v>9030</v>
      </c>
      <c r="C7163" s="8">
        <f>QS.CONTEXT.CREATE("market.7161",A7163,"USD","SOFR")</f>
        <v/>
      </c>
      <c r="D7163" s="8">
        <f>QS.CONTEXT.ADD.CURVE(C7163,"SOFR",$K$2:$K$7,$L$2:$L$7,,,"Actual360","LogLinear",TRUE)</f>
        <v/>
      </c>
      <c r="E7163" s="8">
        <f>QS.INSTRUMENT.SWAP("swap.7161",C7163,H7163,B7163,"USD","SOFR",I7163,J7163,0,"Actual360","Simple","Annual","Annual","Annual")</f>
        <v/>
      </c>
      <c r="F7163" s="8">
        <f>QS.TRADE.CREATE("trade.7161",C7163,E7163,A7163,"Receive")</f>
        <v/>
      </c>
      <c r="G7163" s="5"/>
      <c r="H7163" s="7" t="s">
        <v>7204</v>
      </c>
      <c r="I7163" s="9">
        <v>1716100</v>
      </c>
      <c r="J7163" s="10">
        <v>0.0361</v>
      </c>
    </row>
    <row r="7164" spans="1:10">
      <c r="A7164" s="7" t="s">
        <v>7198</v>
      </c>
      <c r="B7164" s="7" t="s">
        <v>9031</v>
      </c>
      <c r="C7164" s="8">
        <f>QS.CONTEXT.CREATE("market.7162",A7164,"USD","SOFR")</f>
        <v/>
      </c>
      <c r="D7164" s="8">
        <f>QS.CONTEXT.ADD.CURVE(C7164,"SOFR",$K$2:$K$7,$L$2:$L$7,,,"Actual360","LogLinear",TRUE)</f>
        <v/>
      </c>
      <c r="E7164" s="8">
        <f>QS.INSTRUMENT.SWAP("swap.7162",C7164,H7164,B7164,"USD","SOFR",I7164,J7164,0,"Actual360","Simple","Annual","Annual","Annual")</f>
        <v/>
      </c>
      <c r="F7164" s="8">
        <f>QS.TRADE.CREATE("trade.7162",C7164,E7164,A7164,"Receive")</f>
        <v/>
      </c>
      <c r="G7164" s="5"/>
      <c r="H7164" s="7" t="s">
        <v>7205</v>
      </c>
      <c r="I7164" s="9">
        <v>1716200</v>
      </c>
      <c r="J7164" s="10">
        <v>0.0362</v>
      </c>
    </row>
    <row r="7165" spans="1:10">
      <c r="A7165" s="7" t="s">
        <v>7199</v>
      </c>
      <c r="B7165" s="7" t="s">
        <v>9032</v>
      </c>
      <c r="C7165" s="8">
        <f>QS.CONTEXT.CREATE("market.7163",A7165,"USD","SOFR")</f>
        <v/>
      </c>
      <c r="D7165" s="8">
        <f>QS.CONTEXT.ADD.CURVE(C7165,"SOFR",$K$2:$K$7,$L$2:$L$7,,,"Actual360","LogLinear",TRUE)</f>
        <v/>
      </c>
      <c r="E7165" s="8">
        <f>QS.INSTRUMENT.SWAP("swap.7163",C7165,H7165,B7165,"USD","SOFR",I7165,J7165,0,"Actual360","Simple","Annual","Annual","Annual")</f>
        <v/>
      </c>
      <c r="F7165" s="8">
        <f>QS.TRADE.CREATE("trade.7163",C7165,E7165,A7165,"Receive")</f>
        <v/>
      </c>
      <c r="G7165" s="5"/>
      <c r="H7165" s="7" t="s">
        <v>7206</v>
      </c>
      <c r="I7165" s="9">
        <v>1716300</v>
      </c>
      <c r="J7165" s="10">
        <v>0.03630000000000001</v>
      </c>
    </row>
    <row r="7166" spans="1:10">
      <c r="A7166" s="7" t="s">
        <v>7200</v>
      </c>
      <c r="B7166" s="7" t="s">
        <v>9033</v>
      </c>
      <c r="C7166" s="8">
        <f>QS.CONTEXT.CREATE("market.7164",A7166,"USD","SOFR")</f>
        <v/>
      </c>
      <c r="D7166" s="8">
        <f>QS.CONTEXT.ADD.CURVE(C7166,"SOFR",$K$2:$K$7,$L$2:$L$7,,,"Actual360","LogLinear",TRUE)</f>
        <v/>
      </c>
      <c r="E7166" s="8">
        <f>QS.INSTRUMENT.SWAP("swap.7164",C7166,H7166,B7166,"USD","SOFR",I7166,J7166,0,"Actual360","Simple","Annual","Annual","Annual")</f>
        <v/>
      </c>
      <c r="F7166" s="8">
        <f>QS.TRADE.CREATE("trade.7164",C7166,E7166,A7166,"Receive")</f>
        <v/>
      </c>
      <c r="G7166" s="5"/>
      <c r="H7166" s="7" t="s">
        <v>7207</v>
      </c>
      <c r="I7166" s="9">
        <v>1716400</v>
      </c>
      <c r="J7166" s="10">
        <v>0.0364</v>
      </c>
    </row>
    <row r="7167" spans="1:10">
      <c r="A7167" s="7" t="s">
        <v>7201</v>
      </c>
      <c r="B7167" s="7" t="s">
        <v>9034</v>
      </c>
      <c r="C7167" s="8">
        <f>QS.CONTEXT.CREATE("market.7165",A7167,"USD","SOFR")</f>
        <v/>
      </c>
      <c r="D7167" s="8">
        <f>QS.CONTEXT.ADD.CURVE(C7167,"SOFR",$K$2:$K$7,$L$2:$L$7,,,"Actual360","LogLinear",TRUE)</f>
        <v/>
      </c>
      <c r="E7167" s="8">
        <f>QS.INSTRUMENT.SWAP("swap.7165",C7167,H7167,B7167,"USD","SOFR",I7167,J7167,0,"Actual360","Simple","Annual","Annual","Annual")</f>
        <v/>
      </c>
      <c r="F7167" s="8">
        <f>QS.TRADE.CREATE("trade.7165",C7167,E7167,A7167,"Receive")</f>
        <v/>
      </c>
      <c r="G7167" s="5"/>
      <c r="H7167" s="7" t="s">
        <v>7208</v>
      </c>
      <c r="I7167" s="9">
        <v>1716500</v>
      </c>
      <c r="J7167" s="10">
        <v>0.0365</v>
      </c>
    </row>
    <row r="7168" spans="1:10">
      <c r="A7168" s="7" t="s">
        <v>7202</v>
      </c>
      <c r="B7168" s="7" t="s">
        <v>9035</v>
      </c>
      <c r="C7168" s="8">
        <f>QS.CONTEXT.CREATE("market.7166",A7168,"USD","SOFR")</f>
        <v/>
      </c>
      <c r="D7168" s="8">
        <f>QS.CONTEXT.ADD.CURVE(C7168,"SOFR",$K$2:$K$7,$L$2:$L$7,,,"Actual360","LogLinear",TRUE)</f>
        <v/>
      </c>
      <c r="E7168" s="8">
        <f>QS.INSTRUMENT.SWAP("swap.7166",C7168,H7168,B7168,"USD","SOFR",I7168,J7168,0,"Actual360","Simple","Annual","Annual","Annual")</f>
        <v/>
      </c>
      <c r="F7168" s="8">
        <f>QS.TRADE.CREATE("trade.7166",C7168,E7168,A7168,"Receive")</f>
        <v/>
      </c>
      <c r="G7168" s="5"/>
      <c r="H7168" s="7" t="s">
        <v>7209</v>
      </c>
      <c r="I7168" s="9">
        <v>1716600</v>
      </c>
      <c r="J7168" s="10">
        <v>0.0366</v>
      </c>
    </row>
    <row r="7169" spans="1:10">
      <c r="A7169" s="7" t="s">
        <v>7203</v>
      </c>
      <c r="B7169" s="7" t="s">
        <v>9036</v>
      </c>
      <c r="C7169" s="8">
        <f>QS.CONTEXT.CREATE("market.7167",A7169,"USD","SOFR")</f>
        <v/>
      </c>
      <c r="D7169" s="8">
        <f>QS.CONTEXT.ADD.CURVE(C7169,"SOFR",$K$2:$K$7,$L$2:$L$7,,,"Actual360","LogLinear",TRUE)</f>
        <v/>
      </c>
      <c r="E7169" s="8">
        <f>QS.INSTRUMENT.SWAP("swap.7167",C7169,H7169,B7169,"USD","SOFR",I7169,J7169,0,"Actual360","Simple","Annual","Annual","Annual")</f>
        <v/>
      </c>
      <c r="F7169" s="8">
        <f>QS.TRADE.CREATE("trade.7167",C7169,E7169,A7169,"Receive")</f>
        <v/>
      </c>
      <c r="G7169" s="5"/>
      <c r="H7169" s="7" t="s">
        <v>7210</v>
      </c>
      <c r="I7169" s="9">
        <v>1716700</v>
      </c>
      <c r="J7169" s="10">
        <v>0.0367</v>
      </c>
    </row>
    <row r="7170" spans="1:10">
      <c r="A7170" s="7" t="s">
        <v>7204</v>
      </c>
      <c r="B7170" s="7" t="s">
        <v>9037</v>
      </c>
      <c r="C7170" s="8">
        <f>QS.CONTEXT.CREATE("market.7168",A7170,"USD","SOFR")</f>
        <v/>
      </c>
      <c r="D7170" s="8">
        <f>QS.CONTEXT.ADD.CURVE(C7170,"SOFR",$K$2:$K$7,$L$2:$L$7,,,"Actual360","LogLinear",TRUE)</f>
        <v/>
      </c>
      <c r="E7170" s="8">
        <f>QS.INSTRUMENT.SWAP("swap.7168",C7170,H7170,B7170,"USD","SOFR",I7170,J7170,0,"Actual360","Simple","Annual","Annual","Annual")</f>
        <v/>
      </c>
      <c r="F7170" s="8">
        <f>QS.TRADE.CREATE("trade.7168",C7170,E7170,A7170,"Receive")</f>
        <v/>
      </c>
      <c r="G7170" s="5"/>
      <c r="H7170" s="7" t="s">
        <v>7211</v>
      </c>
      <c r="I7170" s="9">
        <v>1716800</v>
      </c>
      <c r="J7170" s="10">
        <v>0.03680000000000001</v>
      </c>
    </row>
    <row r="7171" spans="1:10">
      <c r="A7171" s="7" t="s">
        <v>7205</v>
      </c>
      <c r="B7171" s="7" t="s">
        <v>9038</v>
      </c>
      <c r="C7171" s="8">
        <f>QS.CONTEXT.CREATE("market.7169",A7171,"USD","SOFR")</f>
        <v/>
      </c>
      <c r="D7171" s="8">
        <f>QS.CONTEXT.ADD.CURVE(C7171,"SOFR",$K$2:$K$7,$L$2:$L$7,,,"Actual360","LogLinear",TRUE)</f>
        <v/>
      </c>
      <c r="E7171" s="8">
        <f>QS.INSTRUMENT.SWAP("swap.7169",C7171,H7171,B7171,"USD","SOFR",I7171,J7171,0,"Actual360","Simple","Annual","Annual","Annual")</f>
        <v/>
      </c>
      <c r="F7171" s="8">
        <f>QS.TRADE.CREATE("trade.7169",C7171,E7171,A7171,"Receive")</f>
        <v/>
      </c>
      <c r="G7171" s="5"/>
      <c r="H7171" s="7" t="s">
        <v>7212</v>
      </c>
      <c r="I7171" s="9">
        <v>1716900</v>
      </c>
      <c r="J7171" s="10">
        <v>0.0369</v>
      </c>
    </row>
    <row r="7172" spans="1:10">
      <c r="A7172" s="7" t="s">
        <v>7206</v>
      </c>
      <c r="B7172" s="7" t="s">
        <v>9039</v>
      </c>
      <c r="C7172" s="8">
        <f>QS.CONTEXT.CREATE("market.7170",A7172,"USD","SOFR")</f>
        <v/>
      </c>
      <c r="D7172" s="8">
        <f>QS.CONTEXT.ADD.CURVE(C7172,"SOFR",$K$2:$K$7,$L$2:$L$7,,,"Actual360","LogLinear",TRUE)</f>
        <v/>
      </c>
      <c r="E7172" s="8">
        <f>QS.INSTRUMENT.SWAP("swap.7170",C7172,H7172,B7172,"USD","SOFR",I7172,J7172,0,"Actual360","Simple","Annual","Annual","Annual")</f>
        <v/>
      </c>
      <c r="F7172" s="8">
        <f>QS.TRADE.CREATE("trade.7170",C7172,E7172,A7172,"Receive")</f>
        <v/>
      </c>
      <c r="G7172" s="5"/>
      <c r="H7172" s="7" t="s">
        <v>7213</v>
      </c>
      <c r="I7172" s="9">
        <v>1717000</v>
      </c>
      <c r="J7172" s="10">
        <v>0.03700000000000001</v>
      </c>
    </row>
    <row r="7173" spans="1:10">
      <c r="A7173" s="7" t="s">
        <v>7207</v>
      </c>
      <c r="B7173" s="7" t="s">
        <v>9040</v>
      </c>
      <c r="C7173" s="8">
        <f>QS.CONTEXT.CREATE("market.7171",A7173,"USD","SOFR")</f>
        <v/>
      </c>
      <c r="D7173" s="8">
        <f>QS.CONTEXT.ADD.CURVE(C7173,"SOFR",$K$2:$K$7,$L$2:$L$7,,,"Actual360","LogLinear",TRUE)</f>
        <v/>
      </c>
      <c r="E7173" s="8">
        <f>QS.INSTRUMENT.SWAP("swap.7171",C7173,H7173,B7173,"USD","SOFR",I7173,J7173,0,"Actual360","Simple","Annual","Annual","Annual")</f>
        <v/>
      </c>
      <c r="F7173" s="8">
        <f>QS.TRADE.CREATE("trade.7171",C7173,E7173,A7173,"Receive")</f>
        <v/>
      </c>
      <c r="G7173" s="5"/>
      <c r="H7173" s="7" t="s">
        <v>7214</v>
      </c>
      <c r="I7173" s="9">
        <v>1717100</v>
      </c>
      <c r="J7173" s="10">
        <v>0.0371</v>
      </c>
    </row>
    <row r="7174" spans="1:10">
      <c r="A7174" s="7" t="s">
        <v>7208</v>
      </c>
      <c r="B7174" s="7" t="s">
        <v>9041</v>
      </c>
      <c r="C7174" s="8">
        <f>QS.CONTEXT.CREATE("market.7172",A7174,"USD","SOFR")</f>
        <v/>
      </c>
      <c r="D7174" s="8">
        <f>QS.CONTEXT.ADD.CURVE(C7174,"SOFR",$K$2:$K$7,$L$2:$L$7,,,"Actual360","LogLinear",TRUE)</f>
        <v/>
      </c>
      <c r="E7174" s="8">
        <f>QS.INSTRUMENT.SWAP("swap.7172",C7174,H7174,B7174,"USD","SOFR",I7174,J7174,0,"Actual360","Simple","Annual","Annual","Annual")</f>
        <v/>
      </c>
      <c r="F7174" s="8">
        <f>QS.TRADE.CREATE("trade.7172",C7174,E7174,A7174,"Receive")</f>
        <v/>
      </c>
      <c r="G7174" s="5"/>
      <c r="H7174" s="7" t="s">
        <v>7215</v>
      </c>
      <c r="I7174" s="9">
        <v>1717200</v>
      </c>
      <c r="J7174" s="10">
        <v>0.0372</v>
      </c>
    </row>
    <row r="7175" spans="1:10">
      <c r="A7175" s="7" t="s">
        <v>7209</v>
      </c>
      <c r="B7175" s="7" t="s">
        <v>9042</v>
      </c>
      <c r="C7175" s="8">
        <f>QS.CONTEXT.CREATE("market.7173",A7175,"USD","SOFR")</f>
        <v/>
      </c>
      <c r="D7175" s="8">
        <f>QS.CONTEXT.ADD.CURVE(C7175,"SOFR",$K$2:$K$7,$L$2:$L$7,,,"Actual360","LogLinear",TRUE)</f>
        <v/>
      </c>
      <c r="E7175" s="8">
        <f>QS.INSTRUMENT.SWAP("swap.7173",C7175,H7175,B7175,"USD","SOFR",I7175,J7175,0,"Actual360","Simple","Annual","Annual","Annual")</f>
        <v/>
      </c>
      <c r="F7175" s="8">
        <f>QS.TRADE.CREATE("trade.7173",C7175,E7175,A7175,"Receive")</f>
        <v/>
      </c>
      <c r="G7175" s="5"/>
      <c r="H7175" s="7" t="s">
        <v>7216</v>
      </c>
      <c r="I7175" s="9">
        <v>1717300</v>
      </c>
      <c r="J7175" s="10">
        <v>0.0373</v>
      </c>
    </row>
    <row r="7176" spans="1:10">
      <c r="A7176" s="7" t="s">
        <v>7210</v>
      </c>
      <c r="B7176" s="7" t="s">
        <v>9043</v>
      </c>
      <c r="C7176" s="8">
        <f>QS.CONTEXT.CREATE("market.7174",A7176,"USD","SOFR")</f>
        <v/>
      </c>
      <c r="D7176" s="8">
        <f>QS.CONTEXT.ADD.CURVE(C7176,"SOFR",$K$2:$K$7,$L$2:$L$7,,,"Actual360","LogLinear",TRUE)</f>
        <v/>
      </c>
      <c r="E7176" s="8">
        <f>QS.INSTRUMENT.SWAP("swap.7174",C7176,H7176,B7176,"USD","SOFR",I7176,J7176,0,"Actual360","Simple","Annual","Annual","Annual")</f>
        <v/>
      </c>
      <c r="F7176" s="8">
        <f>QS.TRADE.CREATE("trade.7174",C7176,E7176,A7176,"Receive")</f>
        <v/>
      </c>
      <c r="G7176" s="5"/>
      <c r="H7176" s="7" t="s">
        <v>7217</v>
      </c>
      <c r="I7176" s="9">
        <v>1717400</v>
      </c>
      <c r="J7176" s="10">
        <v>0.0374</v>
      </c>
    </row>
    <row r="7177" spans="1:10">
      <c r="A7177" s="7" t="s">
        <v>7211</v>
      </c>
      <c r="B7177" s="7" t="s">
        <v>9044</v>
      </c>
      <c r="C7177" s="8">
        <f>QS.CONTEXT.CREATE("market.7175",A7177,"USD","SOFR")</f>
        <v/>
      </c>
      <c r="D7177" s="8">
        <f>QS.CONTEXT.ADD.CURVE(C7177,"SOFR",$K$2:$K$7,$L$2:$L$7,,,"Actual360","LogLinear",TRUE)</f>
        <v/>
      </c>
      <c r="E7177" s="8">
        <f>QS.INSTRUMENT.SWAP("swap.7175",C7177,H7177,B7177,"USD","SOFR",I7177,J7177,0,"Actual360","Simple","Annual","Annual","Annual")</f>
        <v/>
      </c>
      <c r="F7177" s="8">
        <f>QS.TRADE.CREATE("trade.7175",C7177,E7177,A7177,"Receive")</f>
        <v/>
      </c>
      <c r="G7177" s="5"/>
      <c r="H7177" s="7" t="s">
        <v>7218</v>
      </c>
      <c r="I7177" s="9">
        <v>1717500</v>
      </c>
      <c r="J7177" s="10">
        <v>0.03750000000000001</v>
      </c>
    </row>
    <row r="7178" spans="1:10">
      <c r="A7178" s="7" t="s">
        <v>7212</v>
      </c>
      <c r="B7178" s="7" t="s">
        <v>9045</v>
      </c>
      <c r="C7178" s="8">
        <f>QS.CONTEXT.CREATE("market.7176",A7178,"USD","SOFR")</f>
        <v/>
      </c>
      <c r="D7178" s="8">
        <f>QS.CONTEXT.ADD.CURVE(C7178,"SOFR",$K$2:$K$7,$L$2:$L$7,,,"Actual360","LogLinear",TRUE)</f>
        <v/>
      </c>
      <c r="E7178" s="8">
        <f>QS.INSTRUMENT.SWAP("swap.7176",C7178,H7178,B7178,"USD","SOFR",I7178,J7178,0,"Actual360","Simple","Annual","Annual","Annual")</f>
        <v/>
      </c>
      <c r="F7178" s="8">
        <f>QS.TRADE.CREATE("trade.7176",C7178,E7178,A7178,"Receive")</f>
        <v/>
      </c>
      <c r="G7178" s="5"/>
      <c r="H7178" s="7" t="s">
        <v>7219</v>
      </c>
      <c r="I7178" s="9">
        <v>1717600</v>
      </c>
      <c r="J7178" s="10">
        <v>0.0376</v>
      </c>
    </row>
    <row r="7179" spans="1:10">
      <c r="A7179" s="7" t="s">
        <v>7213</v>
      </c>
      <c r="B7179" s="7" t="s">
        <v>9046</v>
      </c>
      <c r="C7179" s="8">
        <f>QS.CONTEXT.CREATE("market.7177",A7179,"USD","SOFR")</f>
        <v/>
      </c>
      <c r="D7179" s="8">
        <f>QS.CONTEXT.ADD.CURVE(C7179,"SOFR",$K$2:$K$7,$L$2:$L$7,,,"Actual360","LogLinear",TRUE)</f>
        <v/>
      </c>
      <c r="E7179" s="8">
        <f>QS.INSTRUMENT.SWAP("swap.7177",C7179,H7179,B7179,"USD","SOFR",I7179,J7179,0,"Actual360","Simple","Annual","Annual","Annual")</f>
        <v/>
      </c>
      <c r="F7179" s="8">
        <f>QS.TRADE.CREATE("trade.7177",C7179,E7179,A7179,"Receive")</f>
        <v/>
      </c>
      <c r="G7179" s="5"/>
      <c r="H7179" s="7" t="s">
        <v>7220</v>
      </c>
      <c r="I7179" s="9">
        <v>1717700</v>
      </c>
      <c r="J7179" s="10">
        <v>0.0377</v>
      </c>
    </row>
    <row r="7180" spans="1:10">
      <c r="A7180" s="7" t="s">
        <v>7214</v>
      </c>
      <c r="B7180" s="7" t="s">
        <v>9047</v>
      </c>
      <c r="C7180" s="8">
        <f>QS.CONTEXT.CREATE("market.7178",A7180,"USD","SOFR")</f>
        <v/>
      </c>
      <c r="D7180" s="8">
        <f>QS.CONTEXT.ADD.CURVE(C7180,"SOFR",$K$2:$K$7,$L$2:$L$7,,,"Actual360","LogLinear",TRUE)</f>
        <v/>
      </c>
      <c r="E7180" s="8">
        <f>QS.INSTRUMENT.SWAP("swap.7178",C7180,H7180,B7180,"USD","SOFR",I7180,J7180,0,"Actual360","Simple","Annual","Annual","Annual")</f>
        <v/>
      </c>
      <c r="F7180" s="8">
        <f>QS.TRADE.CREATE("trade.7178",C7180,E7180,A7180,"Receive")</f>
        <v/>
      </c>
      <c r="G7180" s="5"/>
      <c r="H7180" s="7" t="s">
        <v>7221</v>
      </c>
      <c r="I7180" s="9">
        <v>1717800</v>
      </c>
      <c r="J7180" s="10">
        <v>0.0378</v>
      </c>
    </row>
    <row r="7181" spans="1:10">
      <c r="A7181" s="7" t="s">
        <v>7215</v>
      </c>
      <c r="B7181" s="7" t="s">
        <v>9048</v>
      </c>
      <c r="C7181" s="8">
        <f>QS.CONTEXT.CREATE("market.7179",A7181,"USD","SOFR")</f>
        <v/>
      </c>
      <c r="D7181" s="8">
        <f>QS.CONTEXT.ADD.CURVE(C7181,"SOFR",$K$2:$K$7,$L$2:$L$7,,,"Actual360","LogLinear",TRUE)</f>
        <v/>
      </c>
      <c r="E7181" s="8">
        <f>QS.INSTRUMENT.SWAP("swap.7179",C7181,H7181,B7181,"USD","SOFR",I7181,J7181,0,"Actual360","Simple","Annual","Annual","Annual")</f>
        <v/>
      </c>
      <c r="F7181" s="8">
        <f>QS.TRADE.CREATE("trade.7179",C7181,E7181,A7181,"Receive")</f>
        <v/>
      </c>
      <c r="G7181" s="5"/>
      <c r="H7181" s="7" t="s">
        <v>7222</v>
      </c>
      <c r="I7181" s="9">
        <v>1717900</v>
      </c>
      <c r="J7181" s="10">
        <v>0.0379</v>
      </c>
    </row>
    <row r="7182" spans="1:10">
      <c r="A7182" s="7" t="s">
        <v>7216</v>
      </c>
      <c r="B7182" s="7" t="s">
        <v>9049</v>
      </c>
      <c r="C7182" s="8">
        <f>QS.CONTEXT.CREATE("market.7180",A7182,"USD","SOFR")</f>
        <v/>
      </c>
      <c r="D7182" s="8">
        <f>QS.CONTEXT.ADD.CURVE(C7182,"SOFR",$K$2:$K$7,$L$2:$L$7,,,"Actual360","LogLinear",TRUE)</f>
        <v/>
      </c>
      <c r="E7182" s="8">
        <f>QS.INSTRUMENT.SWAP("swap.7180",C7182,H7182,B7182,"USD","SOFR",I7182,J7182,0,"Actual360","Simple","Annual","Annual","Annual")</f>
        <v/>
      </c>
      <c r="F7182" s="8">
        <f>QS.TRADE.CREATE("trade.7180",C7182,E7182,A7182,"Receive")</f>
        <v/>
      </c>
      <c r="G7182" s="5"/>
      <c r="H7182" s="7" t="s">
        <v>7223</v>
      </c>
      <c r="I7182" s="9">
        <v>1718000</v>
      </c>
      <c r="J7182" s="10">
        <v>0.03800000000000001</v>
      </c>
    </row>
    <row r="7183" spans="1:10">
      <c r="A7183" s="7" t="s">
        <v>7217</v>
      </c>
      <c r="B7183" s="7" t="s">
        <v>9050</v>
      </c>
      <c r="C7183" s="8">
        <f>QS.CONTEXT.CREATE("market.7181",A7183,"USD","SOFR")</f>
        <v/>
      </c>
      <c r="D7183" s="8">
        <f>QS.CONTEXT.ADD.CURVE(C7183,"SOFR",$K$2:$K$7,$L$2:$L$7,,,"Actual360","LogLinear",TRUE)</f>
        <v/>
      </c>
      <c r="E7183" s="8">
        <f>QS.INSTRUMENT.SWAP("swap.7181",C7183,H7183,B7183,"USD","SOFR",I7183,J7183,0,"Actual360","Simple","Annual","Annual","Annual")</f>
        <v/>
      </c>
      <c r="F7183" s="8">
        <f>QS.TRADE.CREATE("trade.7181",C7183,E7183,A7183,"Receive")</f>
        <v/>
      </c>
      <c r="G7183" s="5"/>
      <c r="H7183" s="7" t="s">
        <v>7224</v>
      </c>
      <c r="I7183" s="9">
        <v>1718100</v>
      </c>
      <c r="J7183" s="10">
        <v>0.0381</v>
      </c>
    </row>
    <row r="7184" spans="1:10">
      <c r="A7184" s="7" t="s">
        <v>7218</v>
      </c>
      <c r="B7184" s="7" t="s">
        <v>9051</v>
      </c>
      <c r="C7184" s="8">
        <f>QS.CONTEXT.CREATE("market.7182",A7184,"USD","SOFR")</f>
        <v/>
      </c>
      <c r="D7184" s="8">
        <f>QS.CONTEXT.ADD.CURVE(C7184,"SOFR",$K$2:$K$7,$L$2:$L$7,,,"Actual360","LogLinear",TRUE)</f>
        <v/>
      </c>
      <c r="E7184" s="8">
        <f>QS.INSTRUMENT.SWAP("swap.7182",C7184,H7184,B7184,"USD","SOFR",I7184,J7184,0,"Actual360","Simple","Annual","Annual","Annual")</f>
        <v/>
      </c>
      <c r="F7184" s="8">
        <f>QS.TRADE.CREATE("trade.7182",C7184,E7184,A7184,"Receive")</f>
        <v/>
      </c>
      <c r="G7184" s="5"/>
      <c r="H7184" s="7" t="s">
        <v>7225</v>
      </c>
      <c r="I7184" s="9">
        <v>1718200</v>
      </c>
      <c r="J7184" s="10">
        <v>0.0382</v>
      </c>
    </row>
    <row r="7185" spans="1:10">
      <c r="A7185" s="7" t="s">
        <v>7219</v>
      </c>
      <c r="B7185" s="7" t="s">
        <v>9052</v>
      </c>
      <c r="C7185" s="8">
        <f>QS.CONTEXT.CREATE("market.7183",A7185,"USD","SOFR")</f>
        <v/>
      </c>
      <c r="D7185" s="8">
        <f>QS.CONTEXT.ADD.CURVE(C7185,"SOFR",$K$2:$K$7,$L$2:$L$7,,,"Actual360","LogLinear",TRUE)</f>
        <v/>
      </c>
      <c r="E7185" s="8">
        <f>QS.INSTRUMENT.SWAP("swap.7183",C7185,H7185,B7185,"USD","SOFR",I7185,J7185,0,"Actual360","Simple","Annual","Annual","Annual")</f>
        <v/>
      </c>
      <c r="F7185" s="8">
        <f>QS.TRADE.CREATE("trade.7183",C7185,E7185,A7185,"Receive")</f>
        <v/>
      </c>
      <c r="G7185" s="5"/>
      <c r="H7185" s="7" t="s">
        <v>7226</v>
      </c>
      <c r="I7185" s="9">
        <v>1718300</v>
      </c>
      <c r="J7185" s="10">
        <v>0.0383</v>
      </c>
    </row>
    <row r="7186" spans="1:10">
      <c r="A7186" s="7" t="s">
        <v>7220</v>
      </c>
      <c r="B7186" s="7" t="s">
        <v>9053</v>
      </c>
      <c r="C7186" s="8">
        <f>QS.CONTEXT.CREATE("market.7184",A7186,"USD","SOFR")</f>
        <v/>
      </c>
      <c r="D7186" s="8">
        <f>QS.CONTEXT.ADD.CURVE(C7186,"SOFR",$K$2:$K$7,$L$2:$L$7,,,"Actual360","LogLinear",TRUE)</f>
        <v/>
      </c>
      <c r="E7186" s="8">
        <f>QS.INSTRUMENT.SWAP("swap.7184",C7186,H7186,B7186,"USD","SOFR",I7186,J7186,0,"Actual360","Simple","Annual","Annual","Annual")</f>
        <v/>
      </c>
      <c r="F7186" s="8">
        <f>QS.TRADE.CREATE("trade.7184",C7186,E7186,A7186,"Receive")</f>
        <v/>
      </c>
      <c r="G7186" s="5"/>
      <c r="H7186" s="7" t="s">
        <v>7227</v>
      </c>
      <c r="I7186" s="9">
        <v>1718400</v>
      </c>
      <c r="J7186" s="10">
        <v>0.0384</v>
      </c>
    </row>
    <row r="7187" spans="1:10">
      <c r="A7187" s="7" t="s">
        <v>7221</v>
      </c>
      <c r="B7187" s="7" t="s">
        <v>9054</v>
      </c>
      <c r="C7187" s="8">
        <f>QS.CONTEXT.CREATE("market.7185",A7187,"USD","SOFR")</f>
        <v/>
      </c>
      <c r="D7187" s="8">
        <f>QS.CONTEXT.ADD.CURVE(C7187,"SOFR",$K$2:$K$7,$L$2:$L$7,,,"Actual360","LogLinear",TRUE)</f>
        <v/>
      </c>
      <c r="E7187" s="8">
        <f>QS.INSTRUMENT.SWAP("swap.7185",C7187,H7187,B7187,"USD","SOFR",I7187,J7187,0,"Actual360","Simple","Annual","Annual","Annual")</f>
        <v/>
      </c>
      <c r="F7187" s="8">
        <f>QS.TRADE.CREATE("trade.7185",C7187,E7187,A7187,"Receive")</f>
        <v/>
      </c>
      <c r="G7187" s="5"/>
      <c r="H7187" s="7" t="s">
        <v>7228</v>
      </c>
      <c r="I7187" s="9">
        <v>1718500</v>
      </c>
      <c r="J7187" s="10">
        <v>0.03850000000000001</v>
      </c>
    </row>
    <row r="7188" spans="1:10">
      <c r="A7188" s="7" t="s">
        <v>7222</v>
      </c>
      <c r="B7188" s="7" t="s">
        <v>9055</v>
      </c>
      <c r="C7188" s="8">
        <f>QS.CONTEXT.CREATE("market.7186",A7188,"USD","SOFR")</f>
        <v/>
      </c>
      <c r="D7188" s="8">
        <f>QS.CONTEXT.ADD.CURVE(C7188,"SOFR",$K$2:$K$7,$L$2:$L$7,,,"Actual360","LogLinear",TRUE)</f>
        <v/>
      </c>
      <c r="E7188" s="8">
        <f>QS.INSTRUMENT.SWAP("swap.7186",C7188,H7188,B7188,"USD","SOFR",I7188,J7188,0,"Actual360","Simple","Annual","Annual","Annual")</f>
        <v/>
      </c>
      <c r="F7188" s="8">
        <f>QS.TRADE.CREATE("trade.7186",C7188,E7188,A7188,"Receive")</f>
        <v/>
      </c>
      <c r="G7188" s="5"/>
      <c r="H7188" s="7" t="s">
        <v>7229</v>
      </c>
      <c r="I7188" s="9">
        <v>1718600</v>
      </c>
      <c r="J7188" s="10">
        <v>0.0386</v>
      </c>
    </row>
    <row r="7189" spans="1:10">
      <c r="A7189" s="7" t="s">
        <v>7223</v>
      </c>
      <c r="B7189" s="7" t="s">
        <v>9056</v>
      </c>
      <c r="C7189" s="8">
        <f>QS.CONTEXT.CREATE("market.7187",A7189,"USD","SOFR")</f>
        <v/>
      </c>
      <c r="D7189" s="8">
        <f>QS.CONTEXT.ADD.CURVE(C7189,"SOFR",$K$2:$K$7,$L$2:$L$7,,,"Actual360","LogLinear",TRUE)</f>
        <v/>
      </c>
      <c r="E7189" s="8">
        <f>QS.INSTRUMENT.SWAP("swap.7187",C7189,H7189,B7189,"USD","SOFR",I7189,J7189,0,"Actual360","Simple","Annual","Annual","Annual")</f>
        <v/>
      </c>
      <c r="F7189" s="8">
        <f>QS.TRADE.CREATE("trade.7187",C7189,E7189,A7189,"Receive")</f>
        <v/>
      </c>
      <c r="G7189" s="5"/>
      <c r="H7189" s="7" t="s">
        <v>7230</v>
      </c>
      <c r="I7189" s="9">
        <v>1718700</v>
      </c>
      <c r="J7189" s="10">
        <v>0.03870000000000001</v>
      </c>
    </row>
    <row r="7190" spans="1:10">
      <c r="A7190" s="7" t="s">
        <v>7224</v>
      </c>
      <c r="B7190" s="7" t="s">
        <v>9057</v>
      </c>
      <c r="C7190" s="8">
        <f>QS.CONTEXT.CREATE("market.7188",A7190,"USD","SOFR")</f>
        <v/>
      </c>
      <c r="D7190" s="8">
        <f>QS.CONTEXT.ADD.CURVE(C7190,"SOFR",$K$2:$K$7,$L$2:$L$7,,,"Actual360","LogLinear",TRUE)</f>
        <v/>
      </c>
      <c r="E7190" s="8">
        <f>QS.INSTRUMENT.SWAP("swap.7188",C7190,H7190,B7190,"USD","SOFR",I7190,J7190,0,"Actual360","Simple","Annual","Annual","Annual")</f>
        <v/>
      </c>
      <c r="F7190" s="8">
        <f>QS.TRADE.CREATE("trade.7188",C7190,E7190,A7190,"Receive")</f>
        <v/>
      </c>
      <c r="G7190" s="5"/>
      <c r="H7190" s="7" t="s">
        <v>7231</v>
      </c>
      <c r="I7190" s="9">
        <v>1718800</v>
      </c>
      <c r="J7190" s="10">
        <v>0.0388</v>
      </c>
    </row>
    <row r="7191" spans="1:10">
      <c r="A7191" s="7" t="s">
        <v>7225</v>
      </c>
      <c r="B7191" s="7" t="s">
        <v>9058</v>
      </c>
      <c r="C7191" s="8">
        <f>QS.CONTEXT.CREATE("market.7189",A7191,"USD","SOFR")</f>
        <v/>
      </c>
      <c r="D7191" s="8">
        <f>QS.CONTEXT.ADD.CURVE(C7191,"SOFR",$K$2:$K$7,$L$2:$L$7,,,"Actual360","LogLinear",TRUE)</f>
        <v/>
      </c>
      <c r="E7191" s="8">
        <f>QS.INSTRUMENT.SWAP("swap.7189",C7191,H7191,B7191,"USD","SOFR",I7191,J7191,0,"Actual360","Simple","Annual","Annual","Annual")</f>
        <v/>
      </c>
      <c r="F7191" s="8">
        <f>QS.TRADE.CREATE("trade.7189",C7191,E7191,A7191,"Receive")</f>
        <v/>
      </c>
      <c r="G7191" s="5"/>
      <c r="H7191" s="7" t="s">
        <v>7232</v>
      </c>
      <c r="I7191" s="9">
        <v>1718900</v>
      </c>
      <c r="J7191" s="10">
        <v>0.0389</v>
      </c>
    </row>
    <row r="7192" spans="1:10">
      <c r="A7192" s="7" t="s">
        <v>7226</v>
      </c>
      <c r="B7192" s="7" t="s">
        <v>9059</v>
      </c>
      <c r="C7192" s="8">
        <f>QS.CONTEXT.CREATE("market.7190",A7192,"USD","SOFR")</f>
        <v/>
      </c>
      <c r="D7192" s="8">
        <f>QS.CONTEXT.ADD.CURVE(C7192,"SOFR",$K$2:$K$7,$L$2:$L$7,,,"Actual360","LogLinear",TRUE)</f>
        <v/>
      </c>
      <c r="E7192" s="8">
        <f>QS.INSTRUMENT.SWAP("swap.7190",C7192,H7192,B7192,"USD","SOFR",I7192,J7192,0,"Actual360","Simple","Annual","Annual","Annual")</f>
        <v/>
      </c>
      <c r="F7192" s="8">
        <f>QS.TRADE.CREATE("trade.7190",C7192,E7192,A7192,"Receive")</f>
        <v/>
      </c>
      <c r="G7192" s="5"/>
      <c r="H7192" s="7" t="s">
        <v>7233</v>
      </c>
      <c r="I7192" s="9">
        <v>1719000</v>
      </c>
      <c r="J7192" s="10">
        <v>0.03900000000000001</v>
      </c>
    </row>
    <row r="7193" spans="1:10">
      <c r="A7193" s="7" t="s">
        <v>7227</v>
      </c>
      <c r="B7193" s="7" t="s">
        <v>9060</v>
      </c>
      <c r="C7193" s="8">
        <f>QS.CONTEXT.CREATE("market.7191",A7193,"USD","SOFR")</f>
        <v/>
      </c>
      <c r="D7193" s="8">
        <f>QS.CONTEXT.ADD.CURVE(C7193,"SOFR",$K$2:$K$7,$L$2:$L$7,,,"Actual360","LogLinear",TRUE)</f>
        <v/>
      </c>
      <c r="E7193" s="8">
        <f>QS.INSTRUMENT.SWAP("swap.7191",C7193,H7193,B7193,"USD","SOFR",I7193,J7193,0,"Actual360","Simple","Annual","Annual","Annual")</f>
        <v/>
      </c>
      <c r="F7193" s="8">
        <f>QS.TRADE.CREATE("trade.7191",C7193,E7193,A7193,"Receive")</f>
        <v/>
      </c>
      <c r="G7193" s="5"/>
      <c r="H7193" s="7" t="s">
        <v>7234</v>
      </c>
      <c r="I7193" s="9">
        <v>1719100</v>
      </c>
      <c r="J7193" s="10">
        <v>0.0391</v>
      </c>
    </row>
    <row r="7194" spans="1:10">
      <c r="A7194" s="7" t="s">
        <v>7228</v>
      </c>
      <c r="B7194" s="7" t="s">
        <v>9061</v>
      </c>
      <c r="C7194" s="8">
        <f>QS.CONTEXT.CREATE("market.7192",A7194,"USD","SOFR")</f>
        <v/>
      </c>
      <c r="D7194" s="8">
        <f>QS.CONTEXT.ADD.CURVE(C7194,"SOFR",$K$2:$K$7,$L$2:$L$7,,,"Actual360","LogLinear",TRUE)</f>
        <v/>
      </c>
      <c r="E7194" s="8">
        <f>QS.INSTRUMENT.SWAP("swap.7192",C7194,H7194,B7194,"USD","SOFR",I7194,J7194,0,"Actual360","Simple","Annual","Annual","Annual")</f>
        <v/>
      </c>
      <c r="F7194" s="8">
        <f>QS.TRADE.CREATE("trade.7192",C7194,E7194,A7194,"Receive")</f>
        <v/>
      </c>
      <c r="G7194" s="5"/>
      <c r="H7194" s="7" t="s">
        <v>7235</v>
      </c>
      <c r="I7194" s="9">
        <v>1719200</v>
      </c>
      <c r="J7194" s="10">
        <v>0.03920000000000001</v>
      </c>
    </row>
    <row r="7195" spans="1:10">
      <c r="A7195" s="7" t="s">
        <v>7229</v>
      </c>
      <c r="B7195" s="7" t="s">
        <v>9062</v>
      </c>
      <c r="C7195" s="8">
        <f>QS.CONTEXT.CREATE("market.7193",A7195,"USD","SOFR")</f>
        <v/>
      </c>
      <c r="D7195" s="8">
        <f>QS.CONTEXT.ADD.CURVE(C7195,"SOFR",$K$2:$K$7,$L$2:$L$7,,,"Actual360","LogLinear",TRUE)</f>
        <v/>
      </c>
      <c r="E7195" s="8">
        <f>QS.INSTRUMENT.SWAP("swap.7193",C7195,H7195,B7195,"USD","SOFR",I7195,J7195,0,"Actual360","Simple","Annual","Annual","Annual")</f>
        <v/>
      </c>
      <c r="F7195" s="8">
        <f>QS.TRADE.CREATE("trade.7193",C7195,E7195,A7195,"Receive")</f>
        <v/>
      </c>
      <c r="G7195" s="5"/>
      <c r="H7195" s="7" t="s">
        <v>7236</v>
      </c>
      <c r="I7195" s="9">
        <v>1719300</v>
      </c>
      <c r="J7195" s="10">
        <v>0.0393</v>
      </c>
    </row>
    <row r="7196" spans="1:10">
      <c r="A7196" s="7" t="s">
        <v>7230</v>
      </c>
      <c r="B7196" s="7" t="s">
        <v>9063</v>
      </c>
      <c r="C7196" s="8">
        <f>QS.CONTEXT.CREATE("market.7194",A7196,"USD","SOFR")</f>
        <v/>
      </c>
      <c r="D7196" s="8">
        <f>QS.CONTEXT.ADD.CURVE(C7196,"SOFR",$K$2:$K$7,$L$2:$L$7,,,"Actual360","LogLinear",TRUE)</f>
        <v/>
      </c>
      <c r="E7196" s="8">
        <f>QS.INSTRUMENT.SWAP("swap.7194",C7196,H7196,B7196,"USD","SOFR",I7196,J7196,0,"Actual360","Simple","Annual","Annual","Annual")</f>
        <v/>
      </c>
      <c r="F7196" s="8">
        <f>QS.TRADE.CREATE("trade.7194",C7196,E7196,A7196,"Receive")</f>
        <v/>
      </c>
      <c r="G7196" s="5"/>
      <c r="H7196" s="7" t="s">
        <v>7237</v>
      </c>
      <c r="I7196" s="9">
        <v>1719400</v>
      </c>
      <c r="J7196" s="10">
        <v>0.0394</v>
      </c>
    </row>
    <row r="7197" spans="1:10">
      <c r="A7197" s="7" t="s">
        <v>7231</v>
      </c>
      <c r="B7197" s="7" t="s">
        <v>9064</v>
      </c>
      <c r="C7197" s="8">
        <f>QS.CONTEXT.CREATE("market.7195",A7197,"USD","SOFR")</f>
        <v/>
      </c>
      <c r="D7197" s="8">
        <f>QS.CONTEXT.ADD.CURVE(C7197,"SOFR",$K$2:$K$7,$L$2:$L$7,,,"Actual360","LogLinear",TRUE)</f>
        <v/>
      </c>
      <c r="E7197" s="8">
        <f>QS.INSTRUMENT.SWAP("swap.7195",C7197,H7197,B7197,"USD","SOFR",I7197,J7197,0,"Actual360","Simple","Annual","Annual","Annual")</f>
        <v/>
      </c>
      <c r="F7197" s="8">
        <f>QS.TRADE.CREATE("trade.7195",C7197,E7197,A7197,"Receive")</f>
        <v/>
      </c>
      <c r="G7197" s="5"/>
      <c r="H7197" s="7" t="s">
        <v>7238</v>
      </c>
      <c r="I7197" s="9">
        <v>1719500</v>
      </c>
      <c r="J7197" s="10">
        <v>0.03950000000000001</v>
      </c>
    </row>
    <row r="7198" spans="1:10">
      <c r="A7198" s="7" t="s">
        <v>7232</v>
      </c>
      <c r="B7198" s="7" t="s">
        <v>9065</v>
      </c>
      <c r="C7198" s="8">
        <f>QS.CONTEXT.CREATE("market.7196",A7198,"USD","SOFR")</f>
        <v/>
      </c>
      <c r="D7198" s="8">
        <f>QS.CONTEXT.ADD.CURVE(C7198,"SOFR",$K$2:$K$7,$L$2:$L$7,,,"Actual360","LogLinear",TRUE)</f>
        <v/>
      </c>
      <c r="E7198" s="8">
        <f>QS.INSTRUMENT.SWAP("swap.7196",C7198,H7198,B7198,"USD","SOFR",I7198,J7198,0,"Actual360","Simple","Annual","Annual","Annual")</f>
        <v/>
      </c>
      <c r="F7198" s="8">
        <f>QS.TRADE.CREATE("trade.7196",C7198,E7198,A7198,"Receive")</f>
        <v/>
      </c>
      <c r="G7198" s="5"/>
      <c r="H7198" s="7" t="s">
        <v>7239</v>
      </c>
      <c r="I7198" s="9">
        <v>1719600</v>
      </c>
      <c r="J7198" s="10">
        <v>0.0396</v>
      </c>
    </row>
    <row r="7199" spans="1:10">
      <c r="A7199" s="7" t="s">
        <v>7233</v>
      </c>
      <c r="B7199" s="7" t="s">
        <v>9066</v>
      </c>
      <c r="C7199" s="8">
        <f>QS.CONTEXT.CREATE("market.7197",A7199,"USD","SOFR")</f>
        <v/>
      </c>
      <c r="D7199" s="8">
        <f>QS.CONTEXT.ADD.CURVE(C7199,"SOFR",$K$2:$K$7,$L$2:$L$7,,,"Actual360","LogLinear",TRUE)</f>
        <v/>
      </c>
      <c r="E7199" s="8">
        <f>QS.INSTRUMENT.SWAP("swap.7197",C7199,H7199,B7199,"USD","SOFR",I7199,J7199,0,"Actual360","Simple","Annual","Annual","Annual")</f>
        <v/>
      </c>
      <c r="F7199" s="8">
        <f>QS.TRADE.CREATE("trade.7197",C7199,E7199,A7199,"Receive")</f>
        <v/>
      </c>
      <c r="G7199" s="5"/>
      <c r="H7199" s="7" t="s">
        <v>7240</v>
      </c>
      <c r="I7199" s="9">
        <v>1719700</v>
      </c>
      <c r="J7199" s="10">
        <v>0.03970000000000001</v>
      </c>
    </row>
    <row r="7200" spans="1:10">
      <c r="A7200" s="7" t="s">
        <v>7234</v>
      </c>
      <c r="B7200" s="7" t="s">
        <v>9067</v>
      </c>
      <c r="C7200" s="8">
        <f>QS.CONTEXT.CREATE("market.7198",A7200,"USD","SOFR")</f>
        <v/>
      </c>
      <c r="D7200" s="8">
        <f>QS.CONTEXT.ADD.CURVE(C7200,"SOFR",$K$2:$K$7,$L$2:$L$7,,,"Actual360","LogLinear",TRUE)</f>
        <v/>
      </c>
      <c r="E7200" s="8">
        <f>QS.INSTRUMENT.SWAP("swap.7198",C7200,H7200,B7200,"USD","SOFR",I7200,J7200,0,"Actual360","Simple","Annual","Annual","Annual")</f>
        <v/>
      </c>
      <c r="F7200" s="8">
        <f>QS.TRADE.CREATE("trade.7198",C7200,E7200,A7200,"Receive")</f>
        <v/>
      </c>
      <c r="G7200" s="5"/>
      <c r="H7200" s="7" t="s">
        <v>7241</v>
      </c>
      <c r="I7200" s="9">
        <v>1719800</v>
      </c>
      <c r="J7200" s="10">
        <v>0.0398</v>
      </c>
    </row>
    <row r="7201" spans="1:10">
      <c r="A7201" s="7" t="s">
        <v>7235</v>
      </c>
      <c r="B7201" s="7" t="s">
        <v>9068</v>
      </c>
      <c r="C7201" s="8">
        <f>QS.CONTEXT.CREATE("market.7199",A7201,"USD","SOFR")</f>
        <v/>
      </c>
      <c r="D7201" s="8">
        <f>QS.CONTEXT.ADD.CURVE(C7201,"SOFR",$K$2:$K$7,$L$2:$L$7,,,"Actual360","LogLinear",TRUE)</f>
        <v/>
      </c>
      <c r="E7201" s="8">
        <f>QS.INSTRUMENT.SWAP("swap.7199",C7201,H7201,B7201,"USD","SOFR",I7201,J7201,0,"Actual360","Simple","Annual","Annual","Annual")</f>
        <v/>
      </c>
      <c r="F7201" s="8">
        <f>QS.TRADE.CREATE("trade.7199",C7201,E7201,A7201,"Receive")</f>
        <v/>
      </c>
      <c r="G7201" s="5"/>
      <c r="H7201" s="7" t="s">
        <v>7242</v>
      </c>
      <c r="I7201" s="9">
        <v>1719900</v>
      </c>
      <c r="J7201" s="10">
        <v>0.0399</v>
      </c>
    </row>
    <row r="7202" spans="1:10">
      <c r="A7202" s="7" t="s">
        <v>7236</v>
      </c>
      <c r="B7202" s="7" t="s">
        <v>9069</v>
      </c>
      <c r="C7202" s="8">
        <f>QS.CONTEXT.CREATE("market.7200",A7202,"USD","SOFR")</f>
        <v/>
      </c>
      <c r="D7202" s="8">
        <f>QS.CONTEXT.ADD.CURVE(C7202,"SOFR",$K$2:$K$7,$L$2:$L$7,,,"Actual360","LogLinear",TRUE)</f>
        <v/>
      </c>
      <c r="E7202" s="8">
        <f>QS.INSTRUMENT.SWAP("swap.7200",C7202,H7202,B7202,"USD","SOFR",I7202,J7202,0,"Actual360","Simple","Annual","Annual","Annual")</f>
        <v/>
      </c>
      <c r="F7202" s="8">
        <f>QS.TRADE.CREATE("trade.7200",C7202,E7202,A7202,"Receive")</f>
        <v/>
      </c>
      <c r="G7202" s="5"/>
      <c r="H7202" s="7" t="s">
        <v>7243</v>
      </c>
      <c r="I7202" s="9">
        <v>1720000</v>
      </c>
      <c r="J7202" s="10">
        <v>0.035</v>
      </c>
    </row>
    <row r="7203" spans="1:10">
      <c r="A7203" s="7" t="s">
        <v>7237</v>
      </c>
      <c r="B7203" s="7" t="s">
        <v>9070</v>
      </c>
      <c r="C7203" s="8">
        <f>QS.CONTEXT.CREATE("market.7201",A7203,"USD","SOFR")</f>
        <v/>
      </c>
      <c r="D7203" s="8">
        <f>QS.CONTEXT.ADD.CURVE(C7203,"SOFR",$K$2:$K$7,$L$2:$L$7,,,"Actual360","LogLinear",TRUE)</f>
        <v/>
      </c>
      <c r="E7203" s="8">
        <f>QS.INSTRUMENT.SWAP("swap.7201",C7203,H7203,B7203,"USD","SOFR",I7203,J7203,0,"Actual360","Simple","Annual","Annual","Annual")</f>
        <v/>
      </c>
      <c r="F7203" s="8">
        <f>QS.TRADE.CREATE("trade.7201",C7203,E7203,A7203,"Receive")</f>
        <v/>
      </c>
      <c r="G7203" s="5"/>
      <c r="H7203" s="7" t="s">
        <v>7244</v>
      </c>
      <c r="I7203" s="9">
        <v>1720100</v>
      </c>
      <c r="J7203" s="10">
        <v>0.03510000000000001</v>
      </c>
    </row>
    <row r="7204" spans="1:10">
      <c r="A7204" s="7" t="s">
        <v>7238</v>
      </c>
      <c r="B7204" s="7" t="s">
        <v>9071</v>
      </c>
      <c r="C7204" s="8">
        <f>QS.CONTEXT.CREATE("market.7202",A7204,"USD","SOFR")</f>
        <v/>
      </c>
      <c r="D7204" s="8">
        <f>QS.CONTEXT.ADD.CURVE(C7204,"SOFR",$K$2:$K$7,$L$2:$L$7,,,"Actual360","LogLinear",TRUE)</f>
        <v/>
      </c>
      <c r="E7204" s="8">
        <f>QS.INSTRUMENT.SWAP("swap.7202",C7204,H7204,B7204,"USD","SOFR",I7204,J7204,0,"Actual360","Simple","Annual","Annual","Annual")</f>
        <v/>
      </c>
      <c r="F7204" s="8">
        <f>QS.TRADE.CREATE("trade.7202",C7204,E7204,A7204,"Receive")</f>
        <v/>
      </c>
      <c r="G7204" s="5"/>
      <c r="H7204" s="7" t="s">
        <v>7245</v>
      </c>
      <c r="I7204" s="9">
        <v>1720200</v>
      </c>
      <c r="J7204" s="10">
        <v>0.0352</v>
      </c>
    </row>
    <row r="7205" spans="1:10">
      <c r="A7205" s="7" t="s">
        <v>7239</v>
      </c>
      <c r="B7205" s="7" t="s">
        <v>9072</v>
      </c>
      <c r="C7205" s="8">
        <f>QS.CONTEXT.CREATE("market.7203",A7205,"USD","SOFR")</f>
        <v/>
      </c>
      <c r="D7205" s="8">
        <f>QS.CONTEXT.ADD.CURVE(C7205,"SOFR",$K$2:$K$7,$L$2:$L$7,,,"Actual360","LogLinear",TRUE)</f>
        <v/>
      </c>
      <c r="E7205" s="8">
        <f>QS.INSTRUMENT.SWAP("swap.7203",C7205,H7205,B7205,"USD","SOFR",I7205,J7205,0,"Actual360","Simple","Annual","Annual","Annual")</f>
        <v/>
      </c>
      <c r="F7205" s="8">
        <f>QS.TRADE.CREATE("trade.7203",C7205,E7205,A7205,"Receive")</f>
        <v/>
      </c>
      <c r="G7205" s="5"/>
      <c r="H7205" s="7" t="s">
        <v>7246</v>
      </c>
      <c r="I7205" s="9">
        <v>1720300</v>
      </c>
      <c r="J7205" s="10">
        <v>0.0353</v>
      </c>
    </row>
    <row r="7206" spans="1:10">
      <c r="A7206" s="7" t="s">
        <v>7240</v>
      </c>
      <c r="B7206" s="7" t="s">
        <v>9073</v>
      </c>
      <c r="C7206" s="8">
        <f>QS.CONTEXT.CREATE("market.7204",A7206,"USD","SOFR")</f>
        <v/>
      </c>
      <c r="D7206" s="8">
        <f>QS.CONTEXT.ADD.CURVE(C7206,"SOFR",$K$2:$K$7,$L$2:$L$7,,,"Actual360","LogLinear",TRUE)</f>
        <v/>
      </c>
      <c r="E7206" s="8">
        <f>QS.INSTRUMENT.SWAP("swap.7204",C7206,H7206,B7206,"USD","SOFR",I7206,J7206,0,"Actual360","Simple","Annual","Annual","Annual")</f>
        <v/>
      </c>
      <c r="F7206" s="8">
        <f>QS.TRADE.CREATE("trade.7204",C7206,E7206,A7206,"Receive")</f>
        <v/>
      </c>
      <c r="G7206" s="5"/>
      <c r="H7206" s="7" t="s">
        <v>7247</v>
      </c>
      <c r="I7206" s="9">
        <v>1720400</v>
      </c>
      <c r="J7206" s="10">
        <v>0.0354</v>
      </c>
    </row>
    <row r="7207" spans="1:10">
      <c r="A7207" s="7" t="s">
        <v>7241</v>
      </c>
      <c r="B7207" s="7" t="s">
        <v>9074</v>
      </c>
      <c r="C7207" s="8">
        <f>QS.CONTEXT.CREATE("market.7205",A7207,"USD","SOFR")</f>
        <v/>
      </c>
      <c r="D7207" s="8">
        <f>QS.CONTEXT.ADD.CURVE(C7207,"SOFR",$K$2:$K$7,$L$2:$L$7,,,"Actual360","LogLinear",TRUE)</f>
        <v/>
      </c>
      <c r="E7207" s="8">
        <f>QS.INSTRUMENT.SWAP("swap.7205",C7207,H7207,B7207,"USD","SOFR",I7207,J7207,0,"Actual360","Simple","Annual","Annual","Annual")</f>
        <v/>
      </c>
      <c r="F7207" s="8">
        <f>QS.TRADE.CREATE("trade.7205",C7207,E7207,A7207,"Receive")</f>
        <v/>
      </c>
      <c r="G7207" s="5"/>
      <c r="H7207" s="7" t="s">
        <v>7248</v>
      </c>
      <c r="I7207" s="9">
        <v>1720500</v>
      </c>
      <c r="J7207" s="10">
        <v>0.0355</v>
      </c>
    </row>
    <row r="7208" spans="1:10">
      <c r="A7208" s="7" t="s">
        <v>7242</v>
      </c>
      <c r="B7208" s="7" t="s">
        <v>9075</v>
      </c>
      <c r="C7208" s="8">
        <f>QS.CONTEXT.CREATE("market.7206",A7208,"USD","SOFR")</f>
        <v/>
      </c>
      <c r="D7208" s="8">
        <f>QS.CONTEXT.ADD.CURVE(C7208,"SOFR",$K$2:$K$7,$L$2:$L$7,,,"Actual360","LogLinear",TRUE)</f>
        <v/>
      </c>
      <c r="E7208" s="8">
        <f>QS.INSTRUMENT.SWAP("swap.7206",C7208,H7208,B7208,"USD","SOFR",I7208,J7208,0,"Actual360","Simple","Annual","Annual","Annual")</f>
        <v/>
      </c>
      <c r="F7208" s="8">
        <f>QS.TRADE.CREATE("trade.7206",C7208,E7208,A7208,"Receive")</f>
        <v/>
      </c>
      <c r="G7208" s="5"/>
      <c r="H7208" s="7" t="s">
        <v>7249</v>
      </c>
      <c r="I7208" s="9">
        <v>1720600</v>
      </c>
      <c r="J7208" s="10">
        <v>0.03560000000000001</v>
      </c>
    </row>
    <row r="7209" spans="1:10">
      <c r="A7209" s="7" t="s">
        <v>7243</v>
      </c>
      <c r="B7209" s="7" t="s">
        <v>9076</v>
      </c>
      <c r="C7209" s="8">
        <f>QS.CONTEXT.CREATE("market.7207",A7209,"USD","SOFR")</f>
        <v/>
      </c>
      <c r="D7209" s="8">
        <f>QS.CONTEXT.ADD.CURVE(C7209,"SOFR",$K$2:$K$7,$L$2:$L$7,,,"Actual360","LogLinear",TRUE)</f>
        <v/>
      </c>
      <c r="E7209" s="8">
        <f>QS.INSTRUMENT.SWAP("swap.7207",C7209,H7209,B7209,"USD","SOFR",I7209,J7209,0,"Actual360","Simple","Annual","Annual","Annual")</f>
        <v/>
      </c>
      <c r="F7209" s="8">
        <f>QS.TRADE.CREATE("trade.7207",C7209,E7209,A7209,"Receive")</f>
        <v/>
      </c>
      <c r="G7209" s="5"/>
      <c r="H7209" s="7" t="s">
        <v>7250</v>
      </c>
      <c r="I7209" s="9">
        <v>1720700</v>
      </c>
      <c r="J7209" s="10">
        <v>0.0357</v>
      </c>
    </row>
    <row r="7210" spans="1:10">
      <c r="A7210" s="7" t="s">
        <v>7244</v>
      </c>
      <c r="B7210" s="7" t="s">
        <v>9077</v>
      </c>
      <c r="C7210" s="8">
        <f>QS.CONTEXT.CREATE("market.7208",A7210,"USD","SOFR")</f>
        <v/>
      </c>
      <c r="D7210" s="8">
        <f>QS.CONTEXT.ADD.CURVE(C7210,"SOFR",$K$2:$K$7,$L$2:$L$7,,,"Actual360","LogLinear",TRUE)</f>
        <v/>
      </c>
      <c r="E7210" s="8">
        <f>QS.INSTRUMENT.SWAP("swap.7208",C7210,H7210,B7210,"USD","SOFR",I7210,J7210,0,"Actual360","Simple","Annual","Annual","Annual")</f>
        <v/>
      </c>
      <c r="F7210" s="8">
        <f>QS.TRADE.CREATE("trade.7208",C7210,E7210,A7210,"Receive")</f>
        <v/>
      </c>
      <c r="G7210" s="5"/>
      <c r="H7210" s="7" t="s">
        <v>7251</v>
      </c>
      <c r="I7210" s="9">
        <v>1720800</v>
      </c>
      <c r="J7210" s="10">
        <v>0.03580000000000001</v>
      </c>
    </row>
    <row r="7211" spans="1:10">
      <c r="A7211" s="7" t="s">
        <v>7245</v>
      </c>
      <c r="B7211" s="7" t="s">
        <v>9078</v>
      </c>
      <c r="C7211" s="8">
        <f>QS.CONTEXT.CREATE("market.7209",A7211,"USD","SOFR")</f>
        <v/>
      </c>
      <c r="D7211" s="8">
        <f>QS.CONTEXT.ADD.CURVE(C7211,"SOFR",$K$2:$K$7,$L$2:$L$7,,,"Actual360","LogLinear",TRUE)</f>
        <v/>
      </c>
      <c r="E7211" s="8">
        <f>QS.INSTRUMENT.SWAP("swap.7209",C7211,H7211,B7211,"USD","SOFR",I7211,J7211,0,"Actual360","Simple","Annual","Annual","Annual")</f>
        <v/>
      </c>
      <c r="F7211" s="8">
        <f>QS.TRADE.CREATE("trade.7209",C7211,E7211,A7211,"Receive")</f>
        <v/>
      </c>
      <c r="G7211" s="5"/>
      <c r="H7211" s="7" t="s">
        <v>7252</v>
      </c>
      <c r="I7211" s="9">
        <v>1720900</v>
      </c>
      <c r="J7211" s="10">
        <v>0.0359</v>
      </c>
    </row>
    <row r="7212" spans="1:10">
      <c r="A7212" s="7" t="s">
        <v>7246</v>
      </c>
      <c r="B7212" s="7" t="s">
        <v>9079</v>
      </c>
      <c r="C7212" s="8">
        <f>QS.CONTEXT.CREATE("market.7210",A7212,"USD","SOFR")</f>
        <v/>
      </c>
      <c r="D7212" s="8">
        <f>QS.CONTEXT.ADD.CURVE(C7212,"SOFR",$K$2:$K$7,$L$2:$L$7,,,"Actual360","LogLinear",TRUE)</f>
        <v/>
      </c>
      <c r="E7212" s="8">
        <f>QS.INSTRUMENT.SWAP("swap.7210",C7212,H7212,B7212,"USD","SOFR",I7212,J7212,0,"Actual360","Simple","Annual","Annual","Annual")</f>
        <v/>
      </c>
      <c r="F7212" s="8">
        <f>QS.TRADE.CREATE("trade.7210",C7212,E7212,A7212,"Receive")</f>
        <v/>
      </c>
      <c r="G7212" s="5"/>
      <c r="H7212" s="7" t="s">
        <v>7253</v>
      </c>
      <c r="I7212" s="9">
        <v>1721000</v>
      </c>
      <c r="J7212" s="10">
        <v>0.036</v>
      </c>
    </row>
    <row r="7213" spans="1:10">
      <c r="A7213" s="7" t="s">
        <v>7247</v>
      </c>
      <c r="B7213" s="7" t="s">
        <v>9080</v>
      </c>
      <c r="C7213" s="8">
        <f>QS.CONTEXT.CREATE("market.7211",A7213,"USD","SOFR")</f>
        <v/>
      </c>
      <c r="D7213" s="8">
        <f>QS.CONTEXT.ADD.CURVE(C7213,"SOFR",$K$2:$K$7,$L$2:$L$7,,,"Actual360","LogLinear",TRUE)</f>
        <v/>
      </c>
      <c r="E7213" s="8">
        <f>QS.INSTRUMENT.SWAP("swap.7211",C7213,H7213,B7213,"USD","SOFR",I7213,J7213,0,"Actual360","Simple","Annual","Annual","Annual")</f>
        <v/>
      </c>
      <c r="F7213" s="8">
        <f>QS.TRADE.CREATE("trade.7211",C7213,E7213,A7213,"Receive")</f>
        <v/>
      </c>
      <c r="G7213" s="5"/>
      <c r="H7213" s="7" t="s">
        <v>7254</v>
      </c>
      <c r="I7213" s="9">
        <v>1721100</v>
      </c>
      <c r="J7213" s="10">
        <v>0.0361</v>
      </c>
    </row>
    <row r="7214" spans="1:10">
      <c r="A7214" s="7" t="s">
        <v>7248</v>
      </c>
      <c r="B7214" s="7" t="s">
        <v>9081</v>
      </c>
      <c r="C7214" s="8">
        <f>QS.CONTEXT.CREATE("market.7212",A7214,"USD","SOFR")</f>
        <v/>
      </c>
      <c r="D7214" s="8">
        <f>QS.CONTEXT.ADD.CURVE(C7214,"SOFR",$K$2:$K$7,$L$2:$L$7,,,"Actual360","LogLinear",TRUE)</f>
        <v/>
      </c>
      <c r="E7214" s="8">
        <f>QS.INSTRUMENT.SWAP("swap.7212",C7214,H7214,B7214,"USD","SOFR",I7214,J7214,0,"Actual360","Simple","Annual","Annual","Annual")</f>
        <v/>
      </c>
      <c r="F7214" s="8">
        <f>QS.TRADE.CREATE("trade.7212",C7214,E7214,A7214,"Receive")</f>
        <v/>
      </c>
      <c r="G7214" s="5"/>
      <c r="H7214" s="7" t="s">
        <v>7255</v>
      </c>
      <c r="I7214" s="9">
        <v>1721200</v>
      </c>
      <c r="J7214" s="10">
        <v>0.0362</v>
      </c>
    </row>
    <row r="7215" spans="1:10">
      <c r="A7215" s="7" t="s">
        <v>7249</v>
      </c>
      <c r="B7215" s="7" t="s">
        <v>9082</v>
      </c>
      <c r="C7215" s="8">
        <f>QS.CONTEXT.CREATE("market.7213",A7215,"USD","SOFR")</f>
        <v/>
      </c>
      <c r="D7215" s="8">
        <f>QS.CONTEXT.ADD.CURVE(C7215,"SOFR",$K$2:$K$7,$L$2:$L$7,,,"Actual360","LogLinear",TRUE)</f>
        <v/>
      </c>
      <c r="E7215" s="8">
        <f>QS.INSTRUMENT.SWAP("swap.7213",C7215,H7215,B7215,"USD","SOFR",I7215,J7215,0,"Actual360","Simple","Annual","Annual","Annual")</f>
        <v/>
      </c>
      <c r="F7215" s="8">
        <f>QS.TRADE.CREATE("trade.7213",C7215,E7215,A7215,"Receive")</f>
        <v/>
      </c>
      <c r="G7215" s="5"/>
      <c r="H7215" s="7" t="s">
        <v>7256</v>
      </c>
      <c r="I7215" s="9">
        <v>1721300</v>
      </c>
      <c r="J7215" s="10">
        <v>0.03630000000000001</v>
      </c>
    </row>
    <row r="7216" spans="1:10">
      <c r="A7216" s="7" t="s">
        <v>7250</v>
      </c>
      <c r="B7216" s="7" t="s">
        <v>9083</v>
      </c>
      <c r="C7216" s="8">
        <f>QS.CONTEXT.CREATE("market.7214",A7216,"USD","SOFR")</f>
        <v/>
      </c>
      <c r="D7216" s="8">
        <f>QS.CONTEXT.ADD.CURVE(C7216,"SOFR",$K$2:$K$7,$L$2:$L$7,,,"Actual360","LogLinear",TRUE)</f>
        <v/>
      </c>
      <c r="E7216" s="8">
        <f>QS.INSTRUMENT.SWAP("swap.7214",C7216,H7216,B7216,"USD","SOFR",I7216,J7216,0,"Actual360","Simple","Annual","Annual","Annual")</f>
        <v/>
      </c>
      <c r="F7216" s="8">
        <f>QS.TRADE.CREATE("trade.7214",C7216,E7216,A7216,"Receive")</f>
        <v/>
      </c>
      <c r="G7216" s="5"/>
      <c r="H7216" s="7" t="s">
        <v>7257</v>
      </c>
      <c r="I7216" s="9">
        <v>1721400</v>
      </c>
      <c r="J7216" s="10">
        <v>0.0364</v>
      </c>
    </row>
    <row r="7217" spans="1:10">
      <c r="A7217" s="7" t="s">
        <v>7251</v>
      </c>
      <c r="B7217" s="7" t="s">
        <v>9084</v>
      </c>
      <c r="C7217" s="8">
        <f>QS.CONTEXT.CREATE("market.7215",A7217,"USD","SOFR")</f>
        <v/>
      </c>
      <c r="D7217" s="8">
        <f>QS.CONTEXT.ADD.CURVE(C7217,"SOFR",$K$2:$K$7,$L$2:$L$7,,,"Actual360","LogLinear",TRUE)</f>
        <v/>
      </c>
      <c r="E7217" s="8">
        <f>QS.INSTRUMENT.SWAP("swap.7215",C7217,H7217,B7217,"USD","SOFR",I7217,J7217,0,"Actual360","Simple","Annual","Annual","Annual")</f>
        <v/>
      </c>
      <c r="F7217" s="8">
        <f>QS.TRADE.CREATE("trade.7215",C7217,E7217,A7217,"Receive")</f>
        <v/>
      </c>
      <c r="G7217" s="5"/>
      <c r="H7217" s="7" t="s">
        <v>7258</v>
      </c>
      <c r="I7217" s="9">
        <v>1721500</v>
      </c>
      <c r="J7217" s="10">
        <v>0.0365</v>
      </c>
    </row>
    <row r="7218" spans="1:10">
      <c r="A7218" s="7" t="s">
        <v>7252</v>
      </c>
      <c r="B7218" s="7" t="s">
        <v>9085</v>
      </c>
      <c r="C7218" s="8">
        <f>QS.CONTEXT.CREATE("market.7216",A7218,"USD","SOFR")</f>
        <v/>
      </c>
      <c r="D7218" s="8">
        <f>QS.CONTEXT.ADD.CURVE(C7218,"SOFR",$K$2:$K$7,$L$2:$L$7,,,"Actual360","LogLinear",TRUE)</f>
        <v/>
      </c>
      <c r="E7218" s="8">
        <f>QS.INSTRUMENT.SWAP("swap.7216",C7218,H7218,B7218,"USD","SOFR",I7218,J7218,0,"Actual360","Simple","Annual","Annual","Annual")</f>
        <v/>
      </c>
      <c r="F7218" s="8">
        <f>QS.TRADE.CREATE("trade.7216",C7218,E7218,A7218,"Receive")</f>
        <v/>
      </c>
      <c r="G7218" s="5"/>
      <c r="H7218" s="7" t="s">
        <v>7259</v>
      </c>
      <c r="I7218" s="9">
        <v>1721600</v>
      </c>
      <c r="J7218" s="10">
        <v>0.0366</v>
      </c>
    </row>
    <row r="7219" spans="1:10">
      <c r="A7219" s="7" t="s">
        <v>7253</v>
      </c>
      <c r="B7219" s="7" t="s">
        <v>9086</v>
      </c>
      <c r="C7219" s="8">
        <f>QS.CONTEXT.CREATE("market.7217",A7219,"USD","SOFR")</f>
        <v/>
      </c>
      <c r="D7219" s="8">
        <f>QS.CONTEXT.ADD.CURVE(C7219,"SOFR",$K$2:$K$7,$L$2:$L$7,,,"Actual360","LogLinear",TRUE)</f>
        <v/>
      </c>
      <c r="E7219" s="8">
        <f>QS.INSTRUMENT.SWAP("swap.7217",C7219,H7219,B7219,"USD","SOFR",I7219,J7219,0,"Actual360","Simple","Annual","Annual","Annual")</f>
        <v/>
      </c>
      <c r="F7219" s="8">
        <f>QS.TRADE.CREATE("trade.7217",C7219,E7219,A7219,"Receive")</f>
        <v/>
      </c>
      <c r="G7219" s="5"/>
      <c r="H7219" s="7" t="s">
        <v>7260</v>
      </c>
      <c r="I7219" s="9">
        <v>1721700</v>
      </c>
      <c r="J7219" s="10">
        <v>0.0367</v>
      </c>
    </row>
    <row r="7220" spans="1:10">
      <c r="A7220" s="7" t="s">
        <v>7254</v>
      </c>
      <c r="B7220" s="7" t="s">
        <v>9087</v>
      </c>
      <c r="C7220" s="8">
        <f>QS.CONTEXT.CREATE("market.7218",A7220,"USD","SOFR")</f>
        <v/>
      </c>
      <c r="D7220" s="8">
        <f>QS.CONTEXT.ADD.CURVE(C7220,"SOFR",$K$2:$K$7,$L$2:$L$7,,,"Actual360","LogLinear",TRUE)</f>
        <v/>
      </c>
      <c r="E7220" s="8">
        <f>QS.INSTRUMENT.SWAP("swap.7218",C7220,H7220,B7220,"USD","SOFR",I7220,J7220,0,"Actual360","Simple","Annual","Annual","Annual")</f>
        <v/>
      </c>
      <c r="F7220" s="8">
        <f>QS.TRADE.CREATE("trade.7218",C7220,E7220,A7220,"Receive")</f>
        <v/>
      </c>
      <c r="G7220" s="5"/>
      <c r="H7220" s="7" t="s">
        <v>7261</v>
      </c>
      <c r="I7220" s="9">
        <v>1721800</v>
      </c>
      <c r="J7220" s="10">
        <v>0.03680000000000001</v>
      </c>
    </row>
    <row r="7221" spans="1:10">
      <c r="A7221" s="7" t="s">
        <v>7255</v>
      </c>
      <c r="B7221" s="7" t="s">
        <v>9088</v>
      </c>
      <c r="C7221" s="8">
        <f>QS.CONTEXT.CREATE("market.7219",A7221,"USD","SOFR")</f>
        <v/>
      </c>
      <c r="D7221" s="8">
        <f>QS.CONTEXT.ADD.CURVE(C7221,"SOFR",$K$2:$K$7,$L$2:$L$7,,,"Actual360","LogLinear",TRUE)</f>
        <v/>
      </c>
      <c r="E7221" s="8">
        <f>QS.INSTRUMENT.SWAP("swap.7219",C7221,H7221,B7221,"USD","SOFR",I7221,J7221,0,"Actual360","Simple","Annual","Annual","Annual")</f>
        <v/>
      </c>
      <c r="F7221" s="8">
        <f>QS.TRADE.CREATE("trade.7219",C7221,E7221,A7221,"Receive")</f>
        <v/>
      </c>
      <c r="G7221" s="5"/>
      <c r="H7221" s="7" t="s">
        <v>7262</v>
      </c>
      <c r="I7221" s="9">
        <v>1721900</v>
      </c>
      <c r="J7221" s="10">
        <v>0.0369</v>
      </c>
    </row>
    <row r="7222" spans="1:10">
      <c r="A7222" s="7" t="s">
        <v>7256</v>
      </c>
      <c r="B7222" s="7" t="s">
        <v>9089</v>
      </c>
      <c r="C7222" s="8">
        <f>QS.CONTEXT.CREATE("market.7220",A7222,"USD","SOFR")</f>
        <v/>
      </c>
      <c r="D7222" s="8">
        <f>QS.CONTEXT.ADD.CURVE(C7222,"SOFR",$K$2:$K$7,$L$2:$L$7,,,"Actual360","LogLinear",TRUE)</f>
        <v/>
      </c>
      <c r="E7222" s="8">
        <f>QS.INSTRUMENT.SWAP("swap.7220",C7222,H7222,B7222,"USD","SOFR",I7222,J7222,0,"Actual360","Simple","Annual","Annual","Annual")</f>
        <v/>
      </c>
      <c r="F7222" s="8">
        <f>QS.TRADE.CREATE("trade.7220",C7222,E7222,A7222,"Receive")</f>
        <v/>
      </c>
      <c r="G7222" s="5"/>
      <c r="H7222" s="7" t="s">
        <v>7263</v>
      </c>
      <c r="I7222" s="9">
        <v>1722000</v>
      </c>
      <c r="J7222" s="10">
        <v>0.03700000000000001</v>
      </c>
    </row>
    <row r="7223" spans="1:10">
      <c r="A7223" s="7" t="s">
        <v>7257</v>
      </c>
      <c r="B7223" s="7" t="s">
        <v>9090</v>
      </c>
      <c r="C7223" s="8">
        <f>QS.CONTEXT.CREATE("market.7221",A7223,"USD","SOFR")</f>
        <v/>
      </c>
      <c r="D7223" s="8">
        <f>QS.CONTEXT.ADD.CURVE(C7223,"SOFR",$K$2:$K$7,$L$2:$L$7,,,"Actual360","LogLinear",TRUE)</f>
        <v/>
      </c>
      <c r="E7223" s="8">
        <f>QS.INSTRUMENT.SWAP("swap.7221",C7223,H7223,B7223,"USD","SOFR",I7223,J7223,0,"Actual360","Simple","Annual","Annual","Annual")</f>
        <v/>
      </c>
      <c r="F7223" s="8">
        <f>QS.TRADE.CREATE("trade.7221",C7223,E7223,A7223,"Receive")</f>
        <v/>
      </c>
      <c r="G7223" s="5"/>
      <c r="H7223" s="7" t="s">
        <v>7264</v>
      </c>
      <c r="I7223" s="9">
        <v>1722100</v>
      </c>
      <c r="J7223" s="10">
        <v>0.0371</v>
      </c>
    </row>
    <row r="7224" spans="1:10">
      <c r="A7224" s="7" t="s">
        <v>7258</v>
      </c>
      <c r="B7224" s="7" t="s">
        <v>9091</v>
      </c>
      <c r="C7224" s="8">
        <f>QS.CONTEXT.CREATE("market.7222",A7224,"USD","SOFR")</f>
        <v/>
      </c>
      <c r="D7224" s="8">
        <f>QS.CONTEXT.ADD.CURVE(C7224,"SOFR",$K$2:$K$7,$L$2:$L$7,,,"Actual360","LogLinear",TRUE)</f>
        <v/>
      </c>
      <c r="E7224" s="8">
        <f>QS.INSTRUMENT.SWAP("swap.7222",C7224,H7224,B7224,"USD","SOFR",I7224,J7224,0,"Actual360","Simple","Annual","Annual","Annual")</f>
        <v/>
      </c>
      <c r="F7224" s="8">
        <f>QS.TRADE.CREATE("trade.7222",C7224,E7224,A7224,"Receive")</f>
        <v/>
      </c>
      <c r="G7224" s="5"/>
      <c r="H7224" s="7" t="s">
        <v>7265</v>
      </c>
      <c r="I7224" s="9">
        <v>1722200</v>
      </c>
      <c r="J7224" s="10">
        <v>0.0372</v>
      </c>
    </row>
    <row r="7225" spans="1:10">
      <c r="A7225" s="7" t="s">
        <v>7259</v>
      </c>
      <c r="B7225" s="7" t="s">
        <v>9092</v>
      </c>
      <c r="C7225" s="8">
        <f>QS.CONTEXT.CREATE("market.7223",A7225,"USD","SOFR")</f>
        <v/>
      </c>
      <c r="D7225" s="8">
        <f>QS.CONTEXT.ADD.CURVE(C7225,"SOFR",$K$2:$K$7,$L$2:$L$7,,,"Actual360","LogLinear",TRUE)</f>
        <v/>
      </c>
      <c r="E7225" s="8">
        <f>QS.INSTRUMENT.SWAP("swap.7223",C7225,H7225,B7225,"USD","SOFR",I7225,J7225,0,"Actual360","Simple","Annual","Annual","Annual")</f>
        <v/>
      </c>
      <c r="F7225" s="8">
        <f>QS.TRADE.CREATE("trade.7223",C7225,E7225,A7225,"Receive")</f>
        <v/>
      </c>
      <c r="G7225" s="5"/>
      <c r="H7225" s="7" t="s">
        <v>7266</v>
      </c>
      <c r="I7225" s="9">
        <v>1722300</v>
      </c>
      <c r="J7225" s="10">
        <v>0.0373</v>
      </c>
    </row>
    <row r="7226" spans="1:10">
      <c r="A7226" s="7" t="s">
        <v>7260</v>
      </c>
      <c r="B7226" s="7" t="s">
        <v>9093</v>
      </c>
      <c r="C7226" s="8">
        <f>QS.CONTEXT.CREATE("market.7224",A7226,"USD","SOFR")</f>
        <v/>
      </c>
      <c r="D7226" s="8">
        <f>QS.CONTEXT.ADD.CURVE(C7226,"SOFR",$K$2:$K$7,$L$2:$L$7,,,"Actual360","LogLinear",TRUE)</f>
        <v/>
      </c>
      <c r="E7226" s="8">
        <f>QS.INSTRUMENT.SWAP("swap.7224",C7226,H7226,B7226,"USD","SOFR",I7226,J7226,0,"Actual360","Simple","Annual","Annual","Annual")</f>
        <v/>
      </c>
      <c r="F7226" s="8">
        <f>QS.TRADE.CREATE("trade.7224",C7226,E7226,A7226,"Receive")</f>
        <v/>
      </c>
      <c r="G7226" s="5"/>
      <c r="H7226" s="7" t="s">
        <v>7267</v>
      </c>
      <c r="I7226" s="9">
        <v>1722400</v>
      </c>
      <c r="J7226" s="10">
        <v>0.0374</v>
      </c>
    </row>
    <row r="7227" spans="1:10">
      <c r="A7227" s="7" t="s">
        <v>7261</v>
      </c>
      <c r="B7227" s="7" t="s">
        <v>9094</v>
      </c>
      <c r="C7227" s="8">
        <f>QS.CONTEXT.CREATE("market.7225",A7227,"USD","SOFR")</f>
        <v/>
      </c>
      <c r="D7227" s="8">
        <f>QS.CONTEXT.ADD.CURVE(C7227,"SOFR",$K$2:$K$7,$L$2:$L$7,,,"Actual360","LogLinear",TRUE)</f>
        <v/>
      </c>
      <c r="E7227" s="8">
        <f>QS.INSTRUMENT.SWAP("swap.7225",C7227,H7227,B7227,"USD","SOFR",I7227,J7227,0,"Actual360","Simple","Annual","Annual","Annual")</f>
        <v/>
      </c>
      <c r="F7227" s="8">
        <f>QS.TRADE.CREATE("trade.7225",C7227,E7227,A7227,"Receive")</f>
        <v/>
      </c>
      <c r="G7227" s="5"/>
      <c r="H7227" s="7" t="s">
        <v>7268</v>
      </c>
      <c r="I7227" s="9">
        <v>1722500</v>
      </c>
      <c r="J7227" s="10">
        <v>0.03750000000000001</v>
      </c>
    </row>
    <row r="7228" spans="1:10">
      <c r="A7228" s="7" t="s">
        <v>7262</v>
      </c>
      <c r="B7228" s="7" t="s">
        <v>9095</v>
      </c>
      <c r="C7228" s="8">
        <f>QS.CONTEXT.CREATE("market.7226",A7228,"USD","SOFR")</f>
        <v/>
      </c>
      <c r="D7228" s="8">
        <f>QS.CONTEXT.ADD.CURVE(C7228,"SOFR",$K$2:$K$7,$L$2:$L$7,,,"Actual360","LogLinear",TRUE)</f>
        <v/>
      </c>
      <c r="E7228" s="8">
        <f>QS.INSTRUMENT.SWAP("swap.7226",C7228,H7228,B7228,"USD","SOFR",I7228,J7228,0,"Actual360","Simple","Annual","Annual","Annual")</f>
        <v/>
      </c>
      <c r="F7228" s="8">
        <f>QS.TRADE.CREATE("trade.7226",C7228,E7228,A7228,"Receive")</f>
        <v/>
      </c>
      <c r="G7228" s="5"/>
      <c r="H7228" s="7" t="s">
        <v>7269</v>
      </c>
      <c r="I7228" s="9">
        <v>1722600</v>
      </c>
      <c r="J7228" s="10">
        <v>0.0376</v>
      </c>
    </row>
    <row r="7229" spans="1:10">
      <c r="A7229" s="7" t="s">
        <v>7263</v>
      </c>
      <c r="B7229" s="7" t="s">
        <v>9096</v>
      </c>
      <c r="C7229" s="8">
        <f>QS.CONTEXT.CREATE("market.7227",A7229,"USD","SOFR")</f>
        <v/>
      </c>
      <c r="D7229" s="8">
        <f>QS.CONTEXT.ADD.CURVE(C7229,"SOFR",$K$2:$K$7,$L$2:$L$7,,,"Actual360","LogLinear",TRUE)</f>
        <v/>
      </c>
      <c r="E7229" s="8">
        <f>QS.INSTRUMENT.SWAP("swap.7227",C7229,H7229,B7229,"USD","SOFR",I7229,J7229,0,"Actual360","Simple","Annual","Annual","Annual")</f>
        <v/>
      </c>
      <c r="F7229" s="8">
        <f>QS.TRADE.CREATE("trade.7227",C7229,E7229,A7229,"Receive")</f>
        <v/>
      </c>
      <c r="G7229" s="5"/>
      <c r="H7229" s="7" t="s">
        <v>7270</v>
      </c>
      <c r="I7229" s="9">
        <v>1722700</v>
      </c>
      <c r="J7229" s="10">
        <v>0.0377</v>
      </c>
    </row>
    <row r="7230" spans="1:10">
      <c r="A7230" s="7" t="s">
        <v>7264</v>
      </c>
      <c r="B7230" s="7" t="s">
        <v>9097</v>
      </c>
      <c r="C7230" s="8">
        <f>QS.CONTEXT.CREATE("market.7228",A7230,"USD","SOFR")</f>
        <v/>
      </c>
      <c r="D7230" s="8">
        <f>QS.CONTEXT.ADD.CURVE(C7230,"SOFR",$K$2:$K$7,$L$2:$L$7,,,"Actual360","LogLinear",TRUE)</f>
        <v/>
      </c>
      <c r="E7230" s="8">
        <f>QS.INSTRUMENT.SWAP("swap.7228",C7230,H7230,B7230,"USD","SOFR",I7230,J7230,0,"Actual360","Simple","Annual","Annual","Annual")</f>
        <v/>
      </c>
      <c r="F7230" s="8">
        <f>QS.TRADE.CREATE("trade.7228",C7230,E7230,A7230,"Receive")</f>
        <v/>
      </c>
      <c r="G7230" s="5"/>
      <c r="H7230" s="7" t="s">
        <v>7271</v>
      </c>
      <c r="I7230" s="9">
        <v>1722800</v>
      </c>
      <c r="J7230" s="10">
        <v>0.0378</v>
      </c>
    </row>
    <row r="7231" spans="1:10">
      <c r="A7231" s="7" t="s">
        <v>7265</v>
      </c>
      <c r="B7231" s="7" t="s">
        <v>9098</v>
      </c>
      <c r="C7231" s="8">
        <f>QS.CONTEXT.CREATE("market.7229",A7231,"USD","SOFR")</f>
        <v/>
      </c>
      <c r="D7231" s="8">
        <f>QS.CONTEXT.ADD.CURVE(C7231,"SOFR",$K$2:$K$7,$L$2:$L$7,,,"Actual360","LogLinear",TRUE)</f>
        <v/>
      </c>
      <c r="E7231" s="8">
        <f>QS.INSTRUMENT.SWAP("swap.7229",C7231,H7231,B7231,"USD","SOFR",I7231,J7231,0,"Actual360","Simple","Annual","Annual","Annual")</f>
        <v/>
      </c>
      <c r="F7231" s="8">
        <f>QS.TRADE.CREATE("trade.7229",C7231,E7231,A7231,"Receive")</f>
        <v/>
      </c>
      <c r="G7231" s="5"/>
      <c r="H7231" s="7" t="s">
        <v>7272</v>
      </c>
      <c r="I7231" s="9">
        <v>1722900</v>
      </c>
      <c r="J7231" s="10">
        <v>0.0379</v>
      </c>
    </row>
    <row r="7232" spans="1:10">
      <c r="A7232" s="7" t="s">
        <v>7266</v>
      </c>
      <c r="B7232" s="7" t="s">
        <v>9099</v>
      </c>
      <c r="C7232" s="8">
        <f>QS.CONTEXT.CREATE("market.7230",A7232,"USD","SOFR")</f>
        <v/>
      </c>
      <c r="D7232" s="8">
        <f>QS.CONTEXT.ADD.CURVE(C7232,"SOFR",$K$2:$K$7,$L$2:$L$7,,,"Actual360","LogLinear",TRUE)</f>
        <v/>
      </c>
      <c r="E7232" s="8">
        <f>QS.INSTRUMENT.SWAP("swap.7230",C7232,H7232,B7232,"USD","SOFR",I7232,J7232,0,"Actual360","Simple","Annual","Annual","Annual")</f>
        <v/>
      </c>
      <c r="F7232" s="8">
        <f>QS.TRADE.CREATE("trade.7230",C7232,E7232,A7232,"Receive")</f>
        <v/>
      </c>
      <c r="G7232" s="5"/>
      <c r="H7232" s="7" t="s">
        <v>7273</v>
      </c>
      <c r="I7232" s="9">
        <v>1723000</v>
      </c>
      <c r="J7232" s="10">
        <v>0.03800000000000001</v>
      </c>
    </row>
    <row r="7233" spans="1:10">
      <c r="A7233" s="7" t="s">
        <v>7267</v>
      </c>
      <c r="B7233" s="7" t="s">
        <v>9100</v>
      </c>
      <c r="C7233" s="8">
        <f>QS.CONTEXT.CREATE("market.7231",A7233,"USD","SOFR")</f>
        <v/>
      </c>
      <c r="D7233" s="8">
        <f>QS.CONTEXT.ADD.CURVE(C7233,"SOFR",$K$2:$K$7,$L$2:$L$7,,,"Actual360","LogLinear",TRUE)</f>
        <v/>
      </c>
      <c r="E7233" s="8">
        <f>QS.INSTRUMENT.SWAP("swap.7231",C7233,H7233,B7233,"USD","SOFR",I7233,J7233,0,"Actual360","Simple","Annual","Annual","Annual")</f>
        <v/>
      </c>
      <c r="F7233" s="8">
        <f>QS.TRADE.CREATE("trade.7231",C7233,E7233,A7233,"Receive")</f>
        <v/>
      </c>
      <c r="G7233" s="5"/>
      <c r="H7233" s="7" t="s">
        <v>7274</v>
      </c>
      <c r="I7233" s="9">
        <v>1723100</v>
      </c>
      <c r="J7233" s="10">
        <v>0.0381</v>
      </c>
    </row>
    <row r="7234" spans="1:10">
      <c r="A7234" s="7" t="s">
        <v>7268</v>
      </c>
      <c r="B7234" s="7" t="s">
        <v>9101</v>
      </c>
      <c r="C7234" s="8">
        <f>QS.CONTEXT.CREATE("market.7232",A7234,"USD","SOFR")</f>
        <v/>
      </c>
      <c r="D7234" s="8">
        <f>QS.CONTEXT.ADD.CURVE(C7234,"SOFR",$K$2:$K$7,$L$2:$L$7,,,"Actual360","LogLinear",TRUE)</f>
        <v/>
      </c>
      <c r="E7234" s="8">
        <f>QS.INSTRUMENT.SWAP("swap.7232",C7234,H7234,B7234,"USD","SOFR",I7234,J7234,0,"Actual360","Simple","Annual","Annual","Annual")</f>
        <v/>
      </c>
      <c r="F7234" s="8">
        <f>QS.TRADE.CREATE("trade.7232",C7234,E7234,A7234,"Receive")</f>
        <v/>
      </c>
      <c r="G7234" s="5"/>
      <c r="H7234" s="7" t="s">
        <v>7275</v>
      </c>
      <c r="I7234" s="9">
        <v>1723200</v>
      </c>
      <c r="J7234" s="10">
        <v>0.0382</v>
      </c>
    </row>
    <row r="7235" spans="1:10">
      <c r="A7235" s="7" t="s">
        <v>7269</v>
      </c>
      <c r="B7235" s="7" t="s">
        <v>9102</v>
      </c>
      <c r="C7235" s="8">
        <f>QS.CONTEXT.CREATE("market.7233",A7235,"USD","SOFR")</f>
        <v/>
      </c>
      <c r="D7235" s="8">
        <f>QS.CONTEXT.ADD.CURVE(C7235,"SOFR",$K$2:$K$7,$L$2:$L$7,,,"Actual360","LogLinear",TRUE)</f>
        <v/>
      </c>
      <c r="E7235" s="8">
        <f>QS.INSTRUMENT.SWAP("swap.7233",C7235,H7235,B7235,"USD","SOFR",I7235,J7235,0,"Actual360","Simple","Annual","Annual","Annual")</f>
        <v/>
      </c>
      <c r="F7235" s="8">
        <f>QS.TRADE.CREATE("trade.7233",C7235,E7235,A7235,"Receive")</f>
        <v/>
      </c>
      <c r="G7235" s="5"/>
      <c r="H7235" s="7" t="s">
        <v>7276</v>
      </c>
      <c r="I7235" s="9">
        <v>1723300</v>
      </c>
      <c r="J7235" s="10">
        <v>0.0383</v>
      </c>
    </row>
    <row r="7236" spans="1:10">
      <c r="A7236" s="7" t="s">
        <v>7270</v>
      </c>
      <c r="B7236" s="7" t="s">
        <v>9103</v>
      </c>
      <c r="C7236" s="8">
        <f>QS.CONTEXT.CREATE("market.7234",A7236,"USD","SOFR")</f>
        <v/>
      </c>
      <c r="D7236" s="8">
        <f>QS.CONTEXT.ADD.CURVE(C7236,"SOFR",$K$2:$K$7,$L$2:$L$7,,,"Actual360","LogLinear",TRUE)</f>
        <v/>
      </c>
      <c r="E7236" s="8">
        <f>QS.INSTRUMENT.SWAP("swap.7234",C7236,H7236,B7236,"USD","SOFR",I7236,J7236,0,"Actual360","Simple","Annual","Annual","Annual")</f>
        <v/>
      </c>
      <c r="F7236" s="8">
        <f>QS.TRADE.CREATE("trade.7234",C7236,E7236,A7236,"Receive")</f>
        <v/>
      </c>
      <c r="G7236" s="5"/>
      <c r="H7236" s="7" t="s">
        <v>7277</v>
      </c>
      <c r="I7236" s="9">
        <v>1723400</v>
      </c>
      <c r="J7236" s="10">
        <v>0.0384</v>
      </c>
    </row>
    <row r="7237" spans="1:10">
      <c r="A7237" s="7" t="s">
        <v>7271</v>
      </c>
      <c r="B7237" s="7" t="s">
        <v>9104</v>
      </c>
      <c r="C7237" s="8">
        <f>QS.CONTEXT.CREATE("market.7235",A7237,"USD","SOFR")</f>
        <v/>
      </c>
      <c r="D7237" s="8">
        <f>QS.CONTEXT.ADD.CURVE(C7237,"SOFR",$K$2:$K$7,$L$2:$L$7,,,"Actual360","LogLinear",TRUE)</f>
        <v/>
      </c>
      <c r="E7237" s="8">
        <f>QS.INSTRUMENT.SWAP("swap.7235",C7237,H7237,B7237,"USD","SOFR",I7237,J7237,0,"Actual360","Simple","Annual","Annual","Annual")</f>
        <v/>
      </c>
      <c r="F7237" s="8">
        <f>QS.TRADE.CREATE("trade.7235",C7237,E7237,A7237,"Receive")</f>
        <v/>
      </c>
      <c r="G7237" s="5"/>
      <c r="H7237" s="7" t="s">
        <v>7278</v>
      </c>
      <c r="I7237" s="9">
        <v>1723500</v>
      </c>
      <c r="J7237" s="10">
        <v>0.03850000000000001</v>
      </c>
    </row>
    <row r="7238" spans="1:10">
      <c r="A7238" s="7" t="s">
        <v>7272</v>
      </c>
      <c r="B7238" s="7" t="s">
        <v>9105</v>
      </c>
      <c r="C7238" s="8">
        <f>QS.CONTEXT.CREATE("market.7236",A7238,"USD","SOFR")</f>
        <v/>
      </c>
      <c r="D7238" s="8">
        <f>QS.CONTEXT.ADD.CURVE(C7238,"SOFR",$K$2:$K$7,$L$2:$L$7,,,"Actual360","LogLinear",TRUE)</f>
        <v/>
      </c>
      <c r="E7238" s="8">
        <f>QS.INSTRUMENT.SWAP("swap.7236",C7238,H7238,B7238,"USD","SOFR",I7238,J7238,0,"Actual360","Simple","Annual","Annual","Annual")</f>
        <v/>
      </c>
      <c r="F7238" s="8">
        <f>QS.TRADE.CREATE("trade.7236",C7238,E7238,A7238,"Receive")</f>
        <v/>
      </c>
      <c r="G7238" s="5"/>
      <c r="H7238" s="7" t="s">
        <v>7279</v>
      </c>
      <c r="I7238" s="9">
        <v>1723600</v>
      </c>
      <c r="J7238" s="10">
        <v>0.0386</v>
      </c>
    </row>
    <row r="7239" spans="1:10">
      <c r="A7239" s="7" t="s">
        <v>7273</v>
      </c>
      <c r="B7239" s="7" t="s">
        <v>9106</v>
      </c>
      <c r="C7239" s="8">
        <f>QS.CONTEXT.CREATE("market.7237",A7239,"USD","SOFR")</f>
        <v/>
      </c>
      <c r="D7239" s="8">
        <f>QS.CONTEXT.ADD.CURVE(C7239,"SOFR",$K$2:$K$7,$L$2:$L$7,,,"Actual360","LogLinear",TRUE)</f>
        <v/>
      </c>
      <c r="E7239" s="8">
        <f>QS.INSTRUMENT.SWAP("swap.7237",C7239,H7239,B7239,"USD","SOFR",I7239,J7239,0,"Actual360","Simple","Annual","Annual","Annual")</f>
        <v/>
      </c>
      <c r="F7239" s="8">
        <f>QS.TRADE.CREATE("trade.7237",C7239,E7239,A7239,"Receive")</f>
        <v/>
      </c>
      <c r="G7239" s="5"/>
      <c r="H7239" s="7" t="s">
        <v>7280</v>
      </c>
      <c r="I7239" s="9">
        <v>1723700</v>
      </c>
      <c r="J7239" s="10">
        <v>0.03870000000000001</v>
      </c>
    </row>
    <row r="7240" spans="1:10">
      <c r="A7240" s="7" t="s">
        <v>7274</v>
      </c>
      <c r="B7240" s="7" t="s">
        <v>9107</v>
      </c>
      <c r="C7240" s="8">
        <f>QS.CONTEXT.CREATE("market.7238",A7240,"USD","SOFR")</f>
        <v/>
      </c>
      <c r="D7240" s="8">
        <f>QS.CONTEXT.ADD.CURVE(C7240,"SOFR",$K$2:$K$7,$L$2:$L$7,,,"Actual360","LogLinear",TRUE)</f>
        <v/>
      </c>
      <c r="E7240" s="8">
        <f>QS.INSTRUMENT.SWAP("swap.7238",C7240,H7240,B7240,"USD","SOFR",I7240,J7240,0,"Actual360","Simple","Annual","Annual","Annual")</f>
        <v/>
      </c>
      <c r="F7240" s="8">
        <f>QS.TRADE.CREATE("trade.7238",C7240,E7240,A7240,"Receive")</f>
        <v/>
      </c>
      <c r="G7240" s="5"/>
      <c r="H7240" s="7" t="s">
        <v>7281</v>
      </c>
      <c r="I7240" s="9">
        <v>1723800</v>
      </c>
      <c r="J7240" s="10">
        <v>0.0388</v>
      </c>
    </row>
    <row r="7241" spans="1:10">
      <c r="A7241" s="7" t="s">
        <v>7275</v>
      </c>
      <c r="B7241" s="7" t="s">
        <v>9108</v>
      </c>
      <c r="C7241" s="8">
        <f>QS.CONTEXT.CREATE("market.7239",A7241,"USD","SOFR")</f>
        <v/>
      </c>
      <c r="D7241" s="8">
        <f>QS.CONTEXT.ADD.CURVE(C7241,"SOFR",$K$2:$K$7,$L$2:$L$7,,,"Actual360","LogLinear",TRUE)</f>
        <v/>
      </c>
      <c r="E7241" s="8">
        <f>QS.INSTRUMENT.SWAP("swap.7239",C7241,H7241,B7241,"USD","SOFR",I7241,J7241,0,"Actual360","Simple","Annual","Annual","Annual")</f>
        <v/>
      </c>
      <c r="F7241" s="8">
        <f>QS.TRADE.CREATE("trade.7239",C7241,E7241,A7241,"Receive")</f>
        <v/>
      </c>
      <c r="G7241" s="5"/>
      <c r="H7241" s="7" t="s">
        <v>7282</v>
      </c>
      <c r="I7241" s="9">
        <v>1723900</v>
      </c>
      <c r="J7241" s="10">
        <v>0.0389</v>
      </c>
    </row>
    <row r="7242" spans="1:10">
      <c r="A7242" s="7" t="s">
        <v>7276</v>
      </c>
      <c r="B7242" s="7" t="s">
        <v>9109</v>
      </c>
      <c r="C7242" s="8">
        <f>QS.CONTEXT.CREATE("market.7240",A7242,"USD","SOFR")</f>
        <v/>
      </c>
      <c r="D7242" s="8">
        <f>QS.CONTEXT.ADD.CURVE(C7242,"SOFR",$K$2:$K$7,$L$2:$L$7,,,"Actual360","LogLinear",TRUE)</f>
        <v/>
      </c>
      <c r="E7242" s="8">
        <f>QS.INSTRUMENT.SWAP("swap.7240",C7242,H7242,B7242,"USD","SOFR",I7242,J7242,0,"Actual360","Simple","Annual","Annual","Annual")</f>
        <v/>
      </c>
      <c r="F7242" s="8">
        <f>QS.TRADE.CREATE("trade.7240",C7242,E7242,A7242,"Receive")</f>
        <v/>
      </c>
      <c r="G7242" s="5"/>
      <c r="H7242" s="7" t="s">
        <v>7283</v>
      </c>
      <c r="I7242" s="9">
        <v>1724000</v>
      </c>
      <c r="J7242" s="10">
        <v>0.03900000000000001</v>
      </c>
    </row>
    <row r="7243" spans="1:10">
      <c r="A7243" s="7" t="s">
        <v>7277</v>
      </c>
      <c r="B7243" s="7" t="s">
        <v>9110</v>
      </c>
      <c r="C7243" s="8">
        <f>QS.CONTEXT.CREATE("market.7241",A7243,"USD","SOFR")</f>
        <v/>
      </c>
      <c r="D7243" s="8">
        <f>QS.CONTEXT.ADD.CURVE(C7243,"SOFR",$K$2:$K$7,$L$2:$L$7,,,"Actual360","LogLinear",TRUE)</f>
        <v/>
      </c>
      <c r="E7243" s="8">
        <f>QS.INSTRUMENT.SWAP("swap.7241",C7243,H7243,B7243,"USD","SOFR",I7243,J7243,0,"Actual360","Simple","Annual","Annual","Annual")</f>
        <v/>
      </c>
      <c r="F7243" s="8">
        <f>QS.TRADE.CREATE("trade.7241",C7243,E7243,A7243,"Receive")</f>
        <v/>
      </c>
      <c r="G7243" s="5"/>
      <c r="H7243" s="7" t="s">
        <v>7284</v>
      </c>
      <c r="I7243" s="9">
        <v>1724100</v>
      </c>
      <c r="J7243" s="10">
        <v>0.0391</v>
      </c>
    </row>
    <row r="7244" spans="1:10">
      <c r="A7244" s="7" t="s">
        <v>7278</v>
      </c>
      <c r="B7244" s="7" t="s">
        <v>9111</v>
      </c>
      <c r="C7244" s="8">
        <f>QS.CONTEXT.CREATE("market.7242",A7244,"USD","SOFR")</f>
        <v/>
      </c>
      <c r="D7244" s="8">
        <f>QS.CONTEXT.ADD.CURVE(C7244,"SOFR",$K$2:$K$7,$L$2:$L$7,,,"Actual360","LogLinear",TRUE)</f>
        <v/>
      </c>
      <c r="E7244" s="8">
        <f>QS.INSTRUMENT.SWAP("swap.7242",C7244,H7244,B7244,"USD","SOFR",I7244,J7244,0,"Actual360","Simple","Annual","Annual","Annual")</f>
        <v/>
      </c>
      <c r="F7244" s="8">
        <f>QS.TRADE.CREATE("trade.7242",C7244,E7244,A7244,"Receive")</f>
        <v/>
      </c>
      <c r="G7244" s="5"/>
      <c r="H7244" s="7" t="s">
        <v>7285</v>
      </c>
      <c r="I7244" s="9">
        <v>1724200</v>
      </c>
      <c r="J7244" s="10">
        <v>0.03920000000000001</v>
      </c>
    </row>
    <row r="7245" spans="1:10">
      <c r="A7245" s="7" t="s">
        <v>7279</v>
      </c>
      <c r="B7245" s="7" t="s">
        <v>9112</v>
      </c>
      <c r="C7245" s="8">
        <f>QS.CONTEXT.CREATE("market.7243",A7245,"USD","SOFR")</f>
        <v/>
      </c>
      <c r="D7245" s="8">
        <f>QS.CONTEXT.ADD.CURVE(C7245,"SOFR",$K$2:$K$7,$L$2:$L$7,,,"Actual360","LogLinear",TRUE)</f>
        <v/>
      </c>
      <c r="E7245" s="8">
        <f>QS.INSTRUMENT.SWAP("swap.7243",C7245,H7245,B7245,"USD","SOFR",I7245,J7245,0,"Actual360","Simple","Annual","Annual","Annual")</f>
        <v/>
      </c>
      <c r="F7245" s="8">
        <f>QS.TRADE.CREATE("trade.7243",C7245,E7245,A7245,"Receive")</f>
        <v/>
      </c>
      <c r="G7245" s="5"/>
      <c r="H7245" s="7" t="s">
        <v>7286</v>
      </c>
      <c r="I7245" s="9">
        <v>1724300</v>
      </c>
      <c r="J7245" s="10">
        <v>0.0393</v>
      </c>
    </row>
    <row r="7246" spans="1:10">
      <c r="A7246" s="7" t="s">
        <v>7280</v>
      </c>
      <c r="B7246" s="7" t="s">
        <v>9113</v>
      </c>
      <c r="C7246" s="8">
        <f>QS.CONTEXT.CREATE("market.7244",A7246,"USD","SOFR")</f>
        <v/>
      </c>
      <c r="D7246" s="8">
        <f>QS.CONTEXT.ADD.CURVE(C7246,"SOFR",$K$2:$K$7,$L$2:$L$7,,,"Actual360","LogLinear",TRUE)</f>
        <v/>
      </c>
      <c r="E7246" s="8">
        <f>QS.INSTRUMENT.SWAP("swap.7244",C7246,H7246,B7246,"USD","SOFR",I7246,J7246,0,"Actual360","Simple","Annual","Annual","Annual")</f>
        <v/>
      </c>
      <c r="F7246" s="8">
        <f>QS.TRADE.CREATE("trade.7244",C7246,E7246,A7246,"Receive")</f>
        <v/>
      </c>
      <c r="G7246" s="5"/>
      <c r="H7246" s="7" t="s">
        <v>7287</v>
      </c>
      <c r="I7246" s="9">
        <v>1724400</v>
      </c>
      <c r="J7246" s="10">
        <v>0.0394</v>
      </c>
    </row>
    <row r="7247" spans="1:10">
      <c r="A7247" s="7" t="s">
        <v>7281</v>
      </c>
      <c r="B7247" s="7" t="s">
        <v>9114</v>
      </c>
      <c r="C7247" s="8">
        <f>QS.CONTEXT.CREATE("market.7245",A7247,"USD","SOFR")</f>
        <v/>
      </c>
      <c r="D7247" s="8">
        <f>QS.CONTEXT.ADD.CURVE(C7247,"SOFR",$K$2:$K$7,$L$2:$L$7,,,"Actual360","LogLinear",TRUE)</f>
        <v/>
      </c>
      <c r="E7247" s="8">
        <f>QS.INSTRUMENT.SWAP("swap.7245",C7247,H7247,B7247,"USD","SOFR",I7247,J7247,0,"Actual360","Simple","Annual","Annual","Annual")</f>
        <v/>
      </c>
      <c r="F7247" s="8">
        <f>QS.TRADE.CREATE("trade.7245",C7247,E7247,A7247,"Receive")</f>
        <v/>
      </c>
      <c r="G7247" s="5"/>
      <c r="H7247" s="7" t="s">
        <v>7288</v>
      </c>
      <c r="I7247" s="9">
        <v>1724500</v>
      </c>
      <c r="J7247" s="10">
        <v>0.03950000000000001</v>
      </c>
    </row>
    <row r="7248" spans="1:10">
      <c r="A7248" s="7" t="s">
        <v>7282</v>
      </c>
      <c r="B7248" s="7" t="s">
        <v>9115</v>
      </c>
      <c r="C7248" s="8">
        <f>QS.CONTEXT.CREATE("market.7246",A7248,"USD","SOFR")</f>
        <v/>
      </c>
      <c r="D7248" s="8">
        <f>QS.CONTEXT.ADD.CURVE(C7248,"SOFR",$K$2:$K$7,$L$2:$L$7,,,"Actual360","LogLinear",TRUE)</f>
        <v/>
      </c>
      <c r="E7248" s="8">
        <f>QS.INSTRUMENT.SWAP("swap.7246",C7248,H7248,B7248,"USD","SOFR",I7248,J7248,0,"Actual360","Simple","Annual","Annual","Annual")</f>
        <v/>
      </c>
      <c r="F7248" s="8">
        <f>QS.TRADE.CREATE("trade.7246",C7248,E7248,A7248,"Receive")</f>
        <v/>
      </c>
      <c r="G7248" s="5"/>
      <c r="H7248" s="7" t="s">
        <v>7289</v>
      </c>
      <c r="I7248" s="9">
        <v>1724600</v>
      </c>
      <c r="J7248" s="10">
        <v>0.0396</v>
      </c>
    </row>
    <row r="7249" spans="1:10">
      <c r="A7249" s="7" t="s">
        <v>7283</v>
      </c>
      <c r="B7249" s="7" t="s">
        <v>9116</v>
      </c>
      <c r="C7249" s="8">
        <f>QS.CONTEXT.CREATE("market.7247",A7249,"USD","SOFR")</f>
        <v/>
      </c>
      <c r="D7249" s="8">
        <f>QS.CONTEXT.ADD.CURVE(C7249,"SOFR",$K$2:$K$7,$L$2:$L$7,,,"Actual360","LogLinear",TRUE)</f>
        <v/>
      </c>
      <c r="E7249" s="8">
        <f>QS.INSTRUMENT.SWAP("swap.7247",C7249,H7249,B7249,"USD","SOFR",I7249,J7249,0,"Actual360","Simple","Annual","Annual","Annual")</f>
        <v/>
      </c>
      <c r="F7249" s="8">
        <f>QS.TRADE.CREATE("trade.7247",C7249,E7249,A7249,"Receive")</f>
        <v/>
      </c>
      <c r="G7249" s="5"/>
      <c r="H7249" s="7" t="s">
        <v>7290</v>
      </c>
      <c r="I7249" s="9">
        <v>1724700</v>
      </c>
      <c r="J7249" s="10">
        <v>0.03970000000000001</v>
      </c>
    </row>
    <row r="7250" spans="1:10">
      <c r="A7250" s="7" t="s">
        <v>7284</v>
      </c>
      <c r="B7250" s="7" t="s">
        <v>9117</v>
      </c>
      <c r="C7250" s="8">
        <f>QS.CONTEXT.CREATE("market.7248",A7250,"USD","SOFR")</f>
        <v/>
      </c>
      <c r="D7250" s="8">
        <f>QS.CONTEXT.ADD.CURVE(C7250,"SOFR",$K$2:$K$7,$L$2:$L$7,,,"Actual360","LogLinear",TRUE)</f>
        <v/>
      </c>
      <c r="E7250" s="8">
        <f>QS.INSTRUMENT.SWAP("swap.7248",C7250,H7250,B7250,"USD","SOFR",I7250,J7250,0,"Actual360","Simple","Annual","Annual","Annual")</f>
        <v/>
      </c>
      <c r="F7250" s="8">
        <f>QS.TRADE.CREATE("trade.7248",C7250,E7250,A7250,"Receive")</f>
        <v/>
      </c>
      <c r="G7250" s="5"/>
      <c r="H7250" s="7" t="s">
        <v>7291</v>
      </c>
      <c r="I7250" s="9">
        <v>1724800</v>
      </c>
      <c r="J7250" s="10">
        <v>0.0398</v>
      </c>
    </row>
    <row r="7251" spans="1:10">
      <c r="A7251" s="7" t="s">
        <v>7285</v>
      </c>
      <c r="B7251" s="7" t="s">
        <v>9118</v>
      </c>
      <c r="C7251" s="8">
        <f>QS.CONTEXT.CREATE("market.7249",A7251,"USD","SOFR")</f>
        <v/>
      </c>
      <c r="D7251" s="8">
        <f>QS.CONTEXT.ADD.CURVE(C7251,"SOFR",$K$2:$K$7,$L$2:$L$7,,,"Actual360","LogLinear",TRUE)</f>
        <v/>
      </c>
      <c r="E7251" s="8">
        <f>QS.INSTRUMENT.SWAP("swap.7249",C7251,H7251,B7251,"USD","SOFR",I7251,J7251,0,"Actual360","Simple","Annual","Annual","Annual")</f>
        <v/>
      </c>
      <c r="F7251" s="8">
        <f>QS.TRADE.CREATE("trade.7249",C7251,E7251,A7251,"Receive")</f>
        <v/>
      </c>
      <c r="G7251" s="5"/>
      <c r="H7251" s="7" t="s">
        <v>7292</v>
      </c>
      <c r="I7251" s="9">
        <v>1724900</v>
      </c>
      <c r="J7251" s="10">
        <v>0.0399</v>
      </c>
    </row>
    <row r="7252" spans="1:10">
      <c r="A7252" s="7" t="s">
        <v>7286</v>
      </c>
      <c r="B7252" s="7" t="s">
        <v>9119</v>
      </c>
      <c r="C7252" s="8">
        <f>QS.CONTEXT.CREATE("market.7250",A7252,"USD","SOFR")</f>
        <v/>
      </c>
      <c r="D7252" s="8">
        <f>QS.CONTEXT.ADD.CURVE(C7252,"SOFR",$K$2:$K$7,$L$2:$L$7,,,"Actual360","LogLinear",TRUE)</f>
        <v/>
      </c>
      <c r="E7252" s="8">
        <f>QS.INSTRUMENT.SWAP("swap.7250",C7252,H7252,B7252,"USD","SOFR",I7252,J7252,0,"Actual360","Simple","Annual","Annual","Annual")</f>
        <v/>
      </c>
      <c r="F7252" s="8">
        <f>QS.TRADE.CREATE("trade.7250",C7252,E7252,A7252,"Receive")</f>
        <v/>
      </c>
      <c r="G7252" s="5"/>
      <c r="H7252" s="7" t="s">
        <v>7293</v>
      </c>
      <c r="I7252" s="9">
        <v>1725000</v>
      </c>
      <c r="J7252" s="10">
        <v>0.035</v>
      </c>
    </row>
    <row r="7253" spans="1:10">
      <c r="A7253" s="7" t="s">
        <v>7287</v>
      </c>
      <c r="B7253" s="7" t="s">
        <v>9120</v>
      </c>
      <c r="C7253" s="8">
        <f>QS.CONTEXT.CREATE("market.7251",A7253,"USD","SOFR")</f>
        <v/>
      </c>
      <c r="D7253" s="8">
        <f>QS.CONTEXT.ADD.CURVE(C7253,"SOFR",$K$2:$K$7,$L$2:$L$7,,,"Actual360","LogLinear",TRUE)</f>
        <v/>
      </c>
      <c r="E7253" s="8">
        <f>QS.INSTRUMENT.SWAP("swap.7251",C7253,H7253,B7253,"USD","SOFR",I7253,J7253,0,"Actual360","Simple","Annual","Annual","Annual")</f>
        <v/>
      </c>
      <c r="F7253" s="8">
        <f>QS.TRADE.CREATE("trade.7251",C7253,E7253,A7253,"Receive")</f>
        <v/>
      </c>
      <c r="G7253" s="5"/>
      <c r="H7253" s="7" t="s">
        <v>7294</v>
      </c>
      <c r="I7253" s="9">
        <v>1725100</v>
      </c>
      <c r="J7253" s="10">
        <v>0.03510000000000001</v>
      </c>
    </row>
    <row r="7254" spans="1:10">
      <c r="A7254" s="7" t="s">
        <v>7288</v>
      </c>
      <c r="B7254" s="7" t="s">
        <v>9121</v>
      </c>
      <c r="C7254" s="8">
        <f>QS.CONTEXT.CREATE("market.7252",A7254,"USD","SOFR")</f>
        <v/>
      </c>
      <c r="D7254" s="8">
        <f>QS.CONTEXT.ADD.CURVE(C7254,"SOFR",$K$2:$K$7,$L$2:$L$7,,,"Actual360","LogLinear",TRUE)</f>
        <v/>
      </c>
      <c r="E7254" s="8">
        <f>QS.INSTRUMENT.SWAP("swap.7252",C7254,H7254,B7254,"USD","SOFR",I7254,J7254,0,"Actual360","Simple","Annual","Annual","Annual")</f>
        <v/>
      </c>
      <c r="F7254" s="8">
        <f>QS.TRADE.CREATE("trade.7252",C7254,E7254,A7254,"Receive")</f>
        <v/>
      </c>
      <c r="G7254" s="5"/>
      <c r="H7254" s="7" t="s">
        <v>7295</v>
      </c>
      <c r="I7254" s="9">
        <v>1725200</v>
      </c>
      <c r="J7254" s="10">
        <v>0.0352</v>
      </c>
    </row>
    <row r="7255" spans="1:10">
      <c r="A7255" s="7" t="s">
        <v>7289</v>
      </c>
      <c r="B7255" s="7" t="s">
        <v>9122</v>
      </c>
      <c r="C7255" s="8">
        <f>QS.CONTEXT.CREATE("market.7253",A7255,"USD","SOFR")</f>
        <v/>
      </c>
      <c r="D7255" s="8">
        <f>QS.CONTEXT.ADD.CURVE(C7255,"SOFR",$K$2:$K$7,$L$2:$L$7,,,"Actual360","LogLinear",TRUE)</f>
        <v/>
      </c>
      <c r="E7255" s="8">
        <f>QS.INSTRUMENT.SWAP("swap.7253",C7255,H7255,B7255,"USD","SOFR",I7255,J7255,0,"Actual360","Simple","Annual","Annual","Annual")</f>
        <v/>
      </c>
      <c r="F7255" s="8">
        <f>QS.TRADE.CREATE("trade.7253",C7255,E7255,A7255,"Receive")</f>
        <v/>
      </c>
      <c r="G7255" s="5"/>
      <c r="H7255" s="7" t="s">
        <v>7296</v>
      </c>
      <c r="I7255" s="9">
        <v>1725300</v>
      </c>
      <c r="J7255" s="10">
        <v>0.0353</v>
      </c>
    </row>
    <row r="7256" spans="1:10">
      <c r="A7256" s="7" t="s">
        <v>7290</v>
      </c>
      <c r="B7256" s="7" t="s">
        <v>9123</v>
      </c>
      <c r="C7256" s="8">
        <f>QS.CONTEXT.CREATE("market.7254",A7256,"USD","SOFR")</f>
        <v/>
      </c>
      <c r="D7256" s="8">
        <f>QS.CONTEXT.ADD.CURVE(C7256,"SOFR",$K$2:$K$7,$L$2:$L$7,,,"Actual360","LogLinear",TRUE)</f>
        <v/>
      </c>
      <c r="E7256" s="8">
        <f>QS.INSTRUMENT.SWAP("swap.7254",C7256,H7256,B7256,"USD","SOFR",I7256,J7256,0,"Actual360","Simple","Annual","Annual","Annual")</f>
        <v/>
      </c>
      <c r="F7256" s="8">
        <f>QS.TRADE.CREATE("trade.7254",C7256,E7256,A7256,"Receive")</f>
        <v/>
      </c>
      <c r="G7256" s="5"/>
      <c r="H7256" s="7" t="s">
        <v>7297</v>
      </c>
      <c r="I7256" s="9">
        <v>1725400</v>
      </c>
      <c r="J7256" s="10">
        <v>0.0354</v>
      </c>
    </row>
    <row r="7257" spans="1:10">
      <c r="A7257" s="7" t="s">
        <v>7291</v>
      </c>
      <c r="B7257" s="7" t="s">
        <v>9124</v>
      </c>
      <c r="C7257" s="8">
        <f>QS.CONTEXT.CREATE("market.7255",A7257,"USD","SOFR")</f>
        <v/>
      </c>
      <c r="D7257" s="8">
        <f>QS.CONTEXT.ADD.CURVE(C7257,"SOFR",$K$2:$K$7,$L$2:$L$7,,,"Actual360","LogLinear",TRUE)</f>
        <v/>
      </c>
      <c r="E7257" s="8">
        <f>QS.INSTRUMENT.SWAP("swap.7255",C7257,H7257,B7257,"USD","SOFR",I7257,J7257,0,"Actual360","Simple","Annual","Annual","Annual")</f>
        <v/>
      </c>
      <c r="F7257" s="8">
        <f>QS.TRADE.CREATE("trade.7255",C7257,E7257,A7257,"Receive")</f>
        <v/>
      </c>
      <c r="G7257" s="5"/>
      <c r="H7257" s="7" t="s">
        <v>7298</v>
      </c>
      <c r="I7257" s="9">
        <v>1725500</v>
      </c>
      <c r="J7257" s="10">
        <v>0.0355</v>
      </c>
    </row>
    <row r="7258" spans="1:10">
      <c r="A7258" s="7" t="s">
        <v>7292</v>
      </c>
      <c r="B7258" s="7" t="s">
        <v>9125</v>
      </c>
      <c r="C7258" s="8">
        <f>QS.CONTEXT.CREATE("market.7256",A7258,"USD","SOFR")</f>
        <v/>
      </c>
      <c r="D7258" s="8">
        <f>QS.CONTEXT.ADD.CURVE(C7258,"SOFR",$K$2:$K$7,$L$2:$L$7,,,"Actual360","LogLinear",TRUE)</f>
        <v/>
      </c>
      <c r="E7258" s="8">
        <f>QS.INSTRUMENT.SWAP("swap.7256",C7258,H7258,B7258,"USD","SOFR",I7258,J7258,0,"Actual360","Simple","Annual","Annual","Annual")</f>
        <v/>
      </c>
      <c r="F7258" s="8">
        <f>QS.TRADE.CREATE("trade.7256",C7258,E7258,A7258,"Receive")</f>
        <v/>
      </c>
      <c r="G7258" s="5"/>
      <c r="H7258" s="7" t="s">
        <v>7299</v>
      </c>
      <c r="I7258" s="9">
        <v>1725600</v>
      </c>
      <c r="J7258" s="10">
        <v>0.03560000000000001</v>
      </c>
    </row>
    <row r="7259" spans="1:10">
      <c r="A7259" s="7" t="s">
        <v>7293</v>
      </c>
      <c r="B7259" s="7" t="s">
        <v>9126</v>
      </c>
      <c r="C7259" s="8">
        <f>QS.CONTEXT.CREATE("market.7257",A7259,"USD","SOFR")</f>
        <v/>
      </c>
      <c r="D7259" s="8">
        <f>QS.CONTEXT.ADD.CURVE(C7259,"SOFR",$K$2:$K$7,$L$2:$L$7,,,"Actual360","LogLinear",TRUE)</f>
        <v/>
      </c>
      <c r="E7259" s="8">
        <f>QS.INSTRUMENT.SWAP("swap.7257",C7259,H7259,B7259,"USD","SOFR",I7259,J7259,0,"Actual360","Simple","Annual","Annual","Annual")</f>
        <v/>
      </c>
      <c r="F7259" s="8">
        <f>QS.TRADE.CREATE("trade.7257",C7259,E7259,A7259,"Receive")</f>
        <v/>
      </c>
      <c r="G7259" s="5"/>
      <c r="H7259" s="7" t="s">
        <v>7300</v>
      </c>
      <c r="I7259" s="9">
        <v>1725700</v>
      </c>
      <c r="J7259" s="10">
        <v>0.0357</v>
      </c>
    </row>
    <row r="7260" spans="1:10">
      <c r="A7260" s="7" t="s">
        <v>7294</v>
      </c>
      <c r="B7260" s="7" t="s">
        <v>9127</v>
      </c>
      <c r="C7260" s="8">
        <f>QS.CONTEXT.CREATE("market.7258",A7260,"USD","SOFR")</f>
        <v/>
      </c>
      <c r="D7260" s="8">
        <f>QS.CONTEXT.ADD.CURVE(C7260,"SOFR",$K$2:$K$7,$L$2:$L$7,,,"Actual360","LogLinear",TRUE)</f>
        <v/>
      </c>
      <c r="E7260" s="8">
        <f>QS.INSTRUMENT.SWAP("swap.7258",C7260,H7260,B7260,"USD","SOFR",I7260,J7260,0,"Actual360","Simple","Annual","Annual","Annual")</f>
        <v/>
      </c>
      <c r="F7260" s="8">
        <f>QS.TRADE.CREATE("trade.7258",C7260,E7260,A7260,"Receive")</f>
        <v/>
      </c>
      <c r="G7260" s="5"/>
      <c r="H7260" s="7" t="s">
        <v>7301</v>
      </c>
      <c r="I7260" s="9">
        <v>1725800</v>
      </c>
      <c r="J7260" s="10">
        <v>0.03580000000000001</v>
      </c>
    </row>
    <row r="7261" spans="1:10">
      <c r="A7261" s="7" t="s">
        <v>7295</v>
      </c>
      <c r="B7261" s="7" t="s">
        <v>9128</v>
      </c>
      <c r="C7261" s="8">
        <f>QS.CONTEXT.CREATE("market.7259",A7261,"USD","SOFR")</f>
        <v/>
      </c>
      <c r="D7261" s="8">
        <f>QS.CONTEXT.ADD.CURVE(C7261,"SOFR",$K$2:$K$7,$L$2:$L$7,,,"Actual360","LogLinear",TRUE)</f>
        <v/>
      </c>
      <c r="E7261" s="8">
        <f>QS.INSTRUMENT.SWAP("swap.7259",C7261,H7261,B7261,"USD","SOFR",I7261,J7261,0,"Actual360","Simple","Annual","Annual","Annual")</f>
        <v/>
      </c>
      <c r="F7261" s="8">
        <f>QS.TRADE.CREATE("trade.7259",C7261,E7261,A7261,"Receive")</f>
        <v/>
      </c>
      <c r="G7261" s="5"/>
      <c r="H7261" s="7" t="s">
        <v>7302</v>
      </c>
      <c r="I7261" s="9">
        <v>1725900</v>
      </c>
      <c r="J7261" s="10">
        <v>0.0359</v>
      </c>
    </row>
    <row r="7262" spans="1:10">
      <c r="A7262" s="7" t="s">
        <v>7296</v>
      </c>
      <c r="B7262" s="7" t="s">
        <v>9129</v>
      </c>
      <c r="C7262" s="8">
        <f>QS.CONTEXT.CREATE("market.7260",A7262,"USD","SOFR")</f>
        <v/>
      </c>
      <c r="D7262" s="8">
        <f>QS.CONTEXT.ADD.CURVE(C7262,"SOFR",$K$2:$K$7,$L$2:$L$7,,,"Actual360","LogLinear",TRUE)</f>
        <v/>
      </c>
      <c r="E7262" s="8">
        <f>QS.INSTRUMENT.SWAP("swap.7260",C7262,H7262,B7262,"USD","SOFR",I7262,J7262,0,"Actual360","Simple","Annual","Annual","Annual")</f>
        <v/>
      </c>
      <c r="F7262" s="8">
        <f>QS.TRADE.CREATE("trade.7260",C7262,E7262,A7262,"Receive")</f>
        <v/>
      </c>
      <c r="G7262" s="5"/>
      <c r="H7262" s="7" t="s">
        <v>7303</v>
      </c>
      <c r="I7262" s="9">
        <v>1726000</v>
      </c>
      <c r="J7262" s="10">
        <v>0.036</v>
      </c>
    </row>
    <row r="7263" spans="1:10">
      <c r="A7263" s="7" t="s">
        <v>7297</v>
      </c>
      <c r="B7263" s="7" t="s">
        <v>9130</v>
      </c>
      <c r="C7263" s="8">
        <f>QS.CONTEXT.CREATE("market.7261",A7263,"USD","SOFR")</f>
        <v/>
      </c>
      <c r="D7263" s="8">
        <f>QS.CONTEXT.ADD.CURVE(C7263,"SOFR",$K$2:$K$7,$L$2:$L$7,,,"Actual360","LogLinear",TRUE)</f>
        <v/>
      </c>
      <c r="E7263" s="8">
        <f>QS.INSTRUMENT.SWAP("swap.7261",C7263,H7263,B7263,"USD","SOFR",I7263,J7263,0,"Actual360","Simple","Annual","Annual","Annual")</f>
        <v/>
      </c>
      <c r="F7263" s="8">
        <f>QS.TRADE.CREATE("trade.7261",C7263,E7263,A7263,"Receive")</f>
        <v/>
      </c>
      <c r="G7263" s="5"/>
      <c r="H7263" s="7" t="s">
        <v>7304</v>
      </c>
      <c r="I7263" s="9">
        <v>1726100</v>
      </c>
      <c r="J7263" s="10">
        <v>0.0361</v>
      </c>
    </row>
    <row r="7264" spans="1:10">
      <c r="A7264" s="7" t="s">
        <v>7298</v>
      </c>
      <c r="B7264" s="7" t="s">
        <v>9131</v>
      </c>
      <c r="C7264" s="8">
        <f>QS.CONTEXT.CREATE("market.7262",A7264,"USD","SOFR")</f>
        <v/>
      </c>
      <c r="D7264" s="8">
        <f>QS.CONTEXT.ADD.CURVE(C7264,"SOFR",$K$2:$K$7,$L$2:$L$7,,,"Actual360","LogLinear",TRUE)</f>
        <v/>
      </c>
      <c r="E7264" s="8">
        <f>QS.INSTRUMENT.SWAP("swap.7262",C7264,H7264,B7264,"USD","SOFR",I7264,J7264,0,"Actual360","Simple","Annual","Annual","Annual")</f>
        <v/>
      </c>
      <c r="F7264" s="8">
        <f>QS.TRADE.CREATE("trade.7262",C7264,E7264,A7264,"Receive")</f>
        <v/>
      </c>
      <c r="G7264" s="5"/>
      <c r="H7264" s="7" t="s">
        <v>7305</v>
      </c>
      <c r="I7264" s="9">
        <v>1726200</v>
      </c>
      <c r="J7264" s="10">
        <v>0.0362</v>
      </c>
    </row>
    <row r="7265" spans="1:10">
      <c r="A7265" s="7" t="s">
        <v>7299</v>
      </c>
      <c r="B7265" s="7" t="s">
        <v>9132</v>
      </c>
      <c r="C7265" s="8">
        <f>QS.CONTEXT.CREATE("market.7263",A7265,"USD","SOFR")</f>
        <v/>
      </c>
      <c r="D7265" s="8">
        <f>QS.CONTEXT.ADD.CURVE(C7265,"SOFR",$K$2:$K$7,$L$2:$L$7,,,"Actual360","LogLinear",TRUE)</f>
        <v/>
      </c>
      <c r="E7265" s="8">
        <f>QS.INSTRUMENT.SWAP("swap.7263",C7265,H7265,B7265,"USD","SOFR",I7265,J7265,0,"Actual360","Simple","Annual","Annual","Annual")</f>
        <v/>
      </c>
      <c r="F7265" s="8">
        <f>QS.TRADE.CREATE("trade.7263",C7265,E7265,A7265,"Receive")</f>
        <v/>
      </c>
      <c r="G7265" s="5"/>
      <c r="H7265" s="7" t="s">
        <v>7306</v>
      </c>
      <c r="I7265" s="9">
        <v>1726300</v>
      </c>
      <c r="J7265" s="10">
        <v>0.03630000000000001</v>
      </c>
    </row>
    <row r="7266" spans="1:10">
      <c r="A7266" s="7" t="s">
        <v>7300</v>
      </c>
      <c r="B7266" s="7" t="s">
        <v>9133</v>
      </c>
      <c r="C7266" s="8">
        <f>QS.CONTEXT.CREATE("market.7264",A7266,"USD","SOFR")</f>
        <v/>
      </c>
      <c r="D7266" s="8">
        <f>QS.CONTEXT.ADD.CURVE(C7266,"SOFR",$K$2:$K$7,$L$2:$L$7,,,"Actual360","LogLinear",TRUE)</f>
        <v/>
      </c>
      <c r="E7266" s="8">
        <f>QS.INSTRUMENT.SWAP("swap.7264",C7266,H7266,B7266,"USD","SOFR",I7266,J7266,0,"Actual360","Simple","Annual","Annual","Annual")</f>
        <v/>
      </c>
      <c r="F7266" s="8">
        <f>QS.TRADE.CREATE("trade.7264",C7266,E7266,A7266,"Receive")</f>
        <v/>
      </c>
      <c r="G7266" s="5"/>
      <c r="H7266" s="7" t="s">
        <v>7307</v>
      </c>
      <c r="I7266" s="9">
        <v>1726400</v>
      </c>
      <c r="J7266" s="10">
        <v>0.0364</v>
      </c>
    </row>
    <row r="7267" spans="1:10">
      <c r="A7267" s="7" t="s">
        <v>7301</v>
      </c>
      <c r="B7267" s="7" t="s">
        <v>9134</v>
      </c>
      <c r="C7267" s="8">
        <f>QS.CONTEXT.CREATE("market.7265",A7267,"USD","SOFR")</f>
        <v/>
      </c>
      <c r="D7267" s="8">
        <f>QS.CONTEXT.ADD.CURVE(C7267,"SOFR",$K$2:$K$7,$L$2:$L$7,,,"Actual360","LogLinear",TRUE)</f>
        <v/>
      </c>
      <c r="E7267" s="8">
        <f>QS.INSTRUMENT.SWAP("swap.7265",C7267,H7267,B7267,"USD","SOFR",I7267,J7267,0,"Actual360","Simple","Annual","Annual","Annual")</f>
        <v/>
      </c>
      <c r="F7267" s="8">
        <f>QS.TRADE.CREATE("trade.7265",C7267,E7267,A7267,"Receive")</f>
        <v/>
      </c>
      <c r="G7267" s="5"/>
      <c r="H7267" s="7" t="s">
        <v>7308</v>
      </c>
      <c r="I7267" s="9">
        <v>1726500</v>
      </c>
      <c r="J7267" s="10">
        <v>0.0365</v>
      </c>
    </row>
    <row r="7268" spans="1:10">
      <c r="A7268" s="7" t="s">
        <v>7302</v>
      </c>
      <c r="B7268" s="7" t="s">
        <v>9135</v>
      </c>
      <c r="C7268" s="8">
        <f>QS.CONTEXT.CREATE("market.7266",A7268,"USD","SOFR")</f>
        <v/>
      </c>
      <c r="D7268" s="8">
        <f>QS.CONTEXT.ADD.CURVE(C7268,"SOFR",$K$2:$K$7,$L$2:$L$7,,,"Actual360","LogLinear",TRUE)</f>
        <v/>
      </c>
      <c r="E7268" s="8">
        <f>QS.INSTRUMENT.SWAP("swap.7266",C7268,H7268,B7268,"USD","SOFR",I7268,J7268,0,"Actual360","Simple","Annual","Annual","Annual")</f>
        <v/>
      </c>
      <c r="F7268" s="8">
        <f>QS.TRADE.CREATE("trade.7266",C7268,E7268,A7268,"Receive")</f>
        <v/>
      </c>
      <c r="G7268" s="5"/>
      <c r="H7268" s="7" t="s">
        <v>7309</v>
      </c>
      <c r="I7268" s="9">
        <v>1726600</v>
      </c>
      <c r="J7268" s="10">
        <v>0.0366</v>
      </c>
    </row>
    <row r="7269" spans="1:10">
      <c r="A7269" s="7" t="s">
        <v>7303</v>
      </c>
      <c r="B7269" s="7" t="s">
        <v>9136</v>
      </c>
      <c r="C7269" s="8">
        <f>QS.CONTEXT.CREATE("market.7267",A7269,"USD","SOFR")</f>
        <v/>
      </c>
      <c r="D7269" s="8">
        <f>QS.CONTEXT.ADD.CURVE(C7269,"SOFR",$K$2:$K$7,$L$2:$L$7,,,"Actual360","LogLinear",TRUE)</f>
        <v/>
      </c>
      <c r="E7269" s="8">
        <f>QS.INSTRUMENT.SWAP("swap.7267",C7269,H7269,B7269,"USD","SOFR",I7269,J7269,0,"Actual360","Simple","Annual","Annual","Annual")</f>
        <v/>
      </c>
      <c r="F7269" s="8">
        <f>QS.TRADE.CREATE("trade.7267",C7269,E7269,A7269,"Receive")</f>
        <v/>
      </c>
      <c r="G7269" s="5"/>
      <c r="H7269" s="7" t="s">
        <v>7310</v>
      </c>
      <c r="I7269" s="9">
        <v>1726700</v>
      </c>
      <c r="J7269" s="10">
        <v>0.0367</v>
      </c>
    </row>
    <row r="7270" spans="1:10">
      <c r="A7270" s="7" t="s">
        <v>7304</v>
      </c>
      <c r="B7270" s="7" t="s">
        <v>9137</v>
      </c>
      <c r="C7270" s="8">
        <f>QS.CONTEXT.CREATE("market.7268",A7270,"USD","SOFR")</f>
        <v/>
      </c>
      <c r="D7270" s="8">
        <f>QS.CONTEXT.ADD.CURVE(C7270,"SOFR",$K$2:$K$7,$L$2:$L$7,,,"Actual360","LogLinear",TRUE)</f>
        <v/>
      </c>
      <c r="E7270" s="8">
        <f>QS.INSTRUMENT.SWAP("swap.7268",C7270,H7270,B7270,"USD","SOFR",I7270,J7270,0,"Actual360","Simple","Annual","Annual","Annual")</f>
        <v/>
      </c>
      <c r="F7270" s="8">
        <f>QS.TRADE.CREATE("trade.7268",C7270,E7270,A7270,"Receive")</f>
        <v/>
      </c>
      <c r="G7270" s="5"/>
      <c r="H7270" s="7" t="s">
        <v>7311</v>
      </c>
      <c r="I7270" s="9">
        <v>1726800</v>
      </c>
      <c r="J7270" s="10">
        <v>0.03680000000000001</v>
      </c>
    </row>
    <row r="7271" spans="1:10">
      <c r="A7271" s="7" t="s">
        <v>7305</v>
      </c>
      <c r="B7271" s="7" t="s">
        <v>9138</v>
      </c>
      <c r="C7271" s="8">
        <f>QS.CONTEXT.CREATE("market.7269",A7271,"USD","SOFR")</f>
        <v/>
      </c>
      <c r="D7271" s="8">
        <f>QS.CONTEXT.ADD.CURVE(C7271,"SOFR",$K$2:$K$7,$L$2:$L$7,,,"Actual360","LogLinear",TRUE)</f>
        <v/>
      </c>
      <c r="E7271" s="8">
        <f>QS.INSTRUMENT.SWAP("swap.7269",C7271,H7271,B7271,"USD","SOFR",I7271,J7271,0,"Actual360","Simple","Annual","Annual","Annual")</f>
        <v/>
      </c>
      <c r="F7271" s="8">
        <f>QS.TRADE.CREATE("trade.7269",C7271,E7271,A7271,"Receive")</f>
        <v/>
      </c>
      <c r="G7271" s="5"/>
      <c r="H7271" s="7" t="s">
        <v>7312</v>
      </c>
      <c r="I7271" s="9">
        <v>1726900</v>
      </c>
      <c r="J7271" s="10">
        <v>0.0369</v>
      </c>
    </row>
    <row r="7272" spans="1:10">
      <c r="A7272" s="7" t="s">
        <v>7306</v>
      </c>
      <c r="B7272" s="7" t="s">
        <v>9139</v>
      </c>
      <c r="C7272" s="8">
        <f>QS.CONTEXT.CREATE("market.7270",A7272,"USD","SOFR")</f>
        <v/>
      </c>
      <c r="D7272" s="8">
        <f>QS.CONTEXT.ADD.CURVE(C7272,"SOFR",$K$2:$K$7,$L$2:$L$7,,,"Actual360","LogLinear",TRUE)</f>
        <v/>
      </c>
      <c r="E7272" s="8">
        <f>QS.INSTRUMENT.SWAP("swap.7270",C7272,H7272,B7272,"USD","SOFR",I7272,J7272,0,"Actual360","Simple","Annual","Annual","Annual")</f>
        <v/>
      </c>
      <c r="F7272" s="8">
        <f>QS.TRADE.CREATE("trade.7270",C7272,E7272,A7272,"Receive")</f>
        <v/>
      </c>
      <c r="G7272" s="5"/>
      <c r="H7272" s="7" t="s">
        <v>7313</v>
      </c>
      <c r="I7272" s="9">
        <v>1727000</v>
      </c>
      <c r="J7272" s="10">
        <v>0.03700000000000001</v>
      </c>
    </row>
    <row r="7273" spans="1:10">
      <c r="A7273" s="7" t="s">
        <v>7307</v>
      </c>
      <c r="B7273" s="7" t="s">
        <v>9140</v>
      </c>
      <c r="C7273" s="8">
        <f>QS.CONTEXT.CREATE("market.7271",A7273,"USD","SOFR")</f>
        <v/>
      </c>
      <c r="D7273" s="8">
        <f>QS.CONTEXT.ADD.CURVE(C7273,"SOFR",$K$2:$K$7,$L$2:$L$7,,,"Actual360","LogLinear",TRUE)</f>
        <v/>
      </c>
      <c r="E7273" s="8">
        <f>QS.INSTRUMENT.SWAP("swap.7271",C7273,H7273,B7273,"USD","SOFR",I7273,J7273,0,"Actual360","Simple","Annual","Annual","Annual")</f>
        <v/>
      </c>
      <c r="F7273" s="8">
        <f>QS.TRADE.CREATE("trade.7271",C7273,E7273,A7273,"Receive")</f>
        <v/>
      </c>
      <c r="G7273" s="5"/>
      <c r="H7273" s="7" t="s">
        <v>7314</v>
      </c>
      <c r="I7273" s="9">
        <v>1727100</v>
      </c>
      <c r="J7273" s="10">
        <v>0.0371</v>
      </c>
    </row>
    <row r="7274" spans="1:10">
      <c r="A7274" s="7" t="s">
        <v>7308</v>
      </c>
      <c r="B7274" s="7" t="s">
        <v>9141</v>
      </c>
      <c r="C7274" s="8">
        <f>QS.CONTEXT.CREATE("market.7272",A7274,"USD","SOFR")</f>
        <v/>
      </c>
      <c r="D7274" s="8">
        <f>QS.CONTEXT.ADD.CURVE(C7274,"SOFR",$K$2:$K$7,$L$2:$L$7,,,"Actual360","LogLinear",TRUE)</f>
        <v/>
      </c>
      <c r="E7274" s="8">
        <f>QS.INSTRUMENT.SWAP("swap.7272",C7274,H7274,B7274,"USD","SOFR",I7274,J7274,0,"Actual360","Simple","Annual","Annual","Annual")</f>
        <v/>
      </c>
      <c r="F7274" s="8">
        <f>QS.TRADE.CREATE("trade.7272",C7274,E7274,A7274,"Receive")</f>
        <v/>
      </c>
      <c r="G7274" s="5"/>
      <c r="H7274" s="7" t="s">
        <v>7315</v>
      </c>
      <c r="I7274" s="9">
        <v>1727200</v>
      </c>
      <c r="J7274" s="10">
        <v>0.0372</v>
      </c>
    </row>
    <row r="7275" spans="1:10">
      <c r="A7275" s="7" t="s">
        <v>7309</v>
      </c>
      <c r="B7275" s="7" t="s">
        <v>9142</v>
      </c>
      <c r="C7275" s="8">
        <f>QS.CONTEXT.CREATE("market.7273",A7275,"USD","SOFR")</f>
        <v/>
      </c>
      <c r="D7275" s="8">
        <f>QS.CONTEXT.ADD.CURVE(C7275,"SOFR",$K$2:$K$7,$L$2:$L$7,,,"Actual360","LogLinear",TRUE)</f>
        <v/>
      </c>
      <c r="E7275" s="8">
        <f>QS.INSTRUMENT.SWAP("swap.7273",C7275,H7275,B7275,"USD","SOFR",I7275,J7275,0,"Actual360","Simple","Annual","Annual","Annual")</f>
        <v/>
      </c>
      <c r="F7275" s="8">
        <f>QS.TRADE.CREATE("trade.7273",C7275,E7275,A7275,"Receive")</f>
        <v/>
      </c>
      <c r="G7275" s="5"/>
      <c r="H7275" s="7" t="s">
        <v>7316</v>
      </c>
      <c r="I7275" s="9">
        <v>1727300</v>
      </c>
      <c r="J7275" s="10">
        <v>0.0373</v>
      </c>
    </row>
    <row r="7276" spans="1:10">
      <c r="A7276" s="7" t="s">
        <v>7310</v>
      </c>
      <c r="B7276" s="7" t="s">
        <v>9143</v>
      </c>
      <c r="C7276" s="8">
        <f>QS.CONTEXT.CREATE("market.7274",A7276,"USD","SOFR")</f>
        <v/>
      </c>
      <c r="D7276" s="8">
        <f>QS.CONTEXT.ADD.CURVE(C7276,"SOFR",$K$2:$K$7,$L$2:$L$7,,,"Actual360","LogLinear",TRUE)</f>
        <v/>
      </c>
      <c r="E7276" s="8">
        <f>QS.INSTRUMENT.SWAP("swap.7274",C7276,H7276,B7276,"USD","SOFR",I7276,J7276,0,"Actual360","Simple","Annual","Annual","Annual")</f>
        <v/>
      </c>
      <c r="F7276" s="8">
        <f>QS.TRADE.CREATE("trade.7274",C7276,E7276,A7276,"Receive")</f>
        <v/>
      </c>
      <c r="G7276" s="5"/>
      <c r="H7276" s="7" t="s">
        <v>7317</v>
      </c>
      <c r="I7276" s="9">
        <v>1727400</v>
      </c>
      <c r="J7276" s="10">
        <v>0.0374</v>
      </c>
    </row>
    <row r="7277" spans="1:10">
      <c r="A7277" s="7" t="s">
        <v>7311</v>
      </c>
      <c r="B7277" s="7" t="s">
        <v>9144</v>
      </c>
      <c r="C7277" s="8">
        <f>QS.CONTEXT.CREATE("market.7275",A7277,"USD","SOFR")</f>
        <v/>
      </c>
      <c r="D7277" s="8">
        <f>QS.CONTEXT.ADD.CURVE(C7277,"SOFR",$K$2:$K$7,$L$2:$L$7,,,"Actual360","LogLinear",TRUE)</f>
        <v/>
      </c>
      <c r="E7277" s="8">
        <f>QS.INSTRUMENT.SWAP("swap.7275",C7277,H7277,B7277,"USD","SOFR",I7277,J7277,0,"Actual360","Simple","Annual","Annual","Annual")</f>
        <v/>
      </c>
      <c r="F7277" s="8">
        <f>QS.TRADE.CREATE("trade.7275",C7277,E7277,A7277,"Receive")</f>
        <v/>
      </c>
      <c r="G7277" s="5"/>
      <c r="H7277" s="7" t="s">
        <v>7318</v>
      </c>
      <c r="I7277" s="9">
        <v>1727500</v>
      </c>
      <c r="J7277" s="10">
        <v>0.03750000000000001</v>
      </c>
    </row>
    <row r="7278" spans="1:10">
      <c r="A7278" s="7" t="s">
        <v>7312</v>
      </c>
      <c r="B7278" s="7" t="s">
        <v>9145</v>
      </c>
      <c r="C7278" s="8">
        <f>QS.CONTEXT.CREATE("market.7276",A7278,"USD","SOFR")</f>
        <v/>
      </c>
      <c r="D7278" s="8">
        <f>QS.CONTEXT.ADD.CURVE(C7278,"SOFR",$K$2:$K$7,$L$2:$L$7,,,"Actual360","LogLinear",TRUE)</f>
        <v/>
      </c>
      <c r="E7278" s="8">
        <f>QS.INSTRUMENT.SWAP("swap.7276",C7278,H7278,B7278,"USD","SOFR",I7278,J7278,0,"Actual360","Simple","Annual","Annual","Annual")</f>
        <v/>
      </c>
      <c r="F7278" s="8">
        <f>QS.TRADE.CREATE("trade.7276",C7278,E7278,A7278,"Receive")</f>
        <v/>
      </c>
      <c r="G7278" s="5"/>
      <c r="H7278" s="7" t="s">
        <v>7319</v>
      </c>
      <c r="I7278" s="9">
        <v>1727600</v>
      </c>
      <c r="J7278" s="10">
        <v>0.0376</v>
      </c>
    </row>
    <row r="7279" spans="1:10">
      <c r="A7279" s="7" t="s">
        <v>7313</v>
      </c>
      <c r="B7279" s="7" t="s">
        <v>9146</v>
      </c>
      <c r="C7279" s="8">
        <f>QS.CONTEXT.CREATE("market.7277",A7279,"USD","SOFR")</f>
        <v/>
      </c>
      <c r="D7279" s="8">
        <f>QS.CONTEXT.ADD.CURVE(C7279,"SOFR",$K$2:$K$7,$L$2:$L$7,,,"Actual360","LogLinear",TRUE)</f>
        <v/>
      </c>
      <c r="E7279" s="8">
        <f>QS.INSTRUMENT.SWAP("swap.7277",C7279,H7279,B7279,"USD","SOFR",I7279,J7279,0,"Actual360","Simple","Annual","Annual","Annual")</f>
        <v/>
      </c>
      <c r="F7279" s="8">
        <f>QS.TRADE.CREATE("trade.7277",C7279,E7279,A7279,"Receive")</f>
        <v/>
      </c>
      <c r="G7279" s="5"/>
      <c r="H7279" s="7" t="s">
        <v>7320</v>
      </c>
      <c r="I7279" s="9">
        <v>1727700</v>
      </c>
      <c r="J7279" s="10">
        <v>0.0377</v>
      </c>
    </row>
    <row r="7280" spans="1:10">
      <c r="A7280" s="7" t="s">
        <v>7314</v>
      </c>
      <c r="B7280" s="7" t="s">
        <v>9147</v>
      </c>
      <c r="C7280" s="8">
        <f>QS.CONTEXT.CREATE("market.7278",A7280,"USD","SOFR")</f>
        <v/>
      </c>
      <c r="D7280" s="8">
        <f>QS.CONTEXT.ADD.CURVE(C7280,"SOFR",$K$2:$K$7,$L$2:$L$7,,,"Actual360","LogLinear",TRUE)</f>
        <v/>
      </c>
      <c r="E7280" s="8">
        <f>QS.INSTRUMENT.SWAP("swap.7278",C7280,H7280,B7280,"USD","SOFR",I7280,J7280,0,"Actual360","Simple","Annual","Annual","Annual")</f>
        <v/>
      </c>
      <c r="F7280" s="8">
        <f>QS.TRADE.CREATE("trade.7278",C7280,E7280,A7280,"Receive")</f>
        <v/>
      </c>
      <c r="G7280" s="5"/>
      <c r="H7280" s="7" t="s">
        <v>7321</v>
      </c>
      <c r="I7280" s="9">
        <v>1727800</v>
      </c>
      <c r="J7280" s="10">
        <v>0.0378</v>
      </c>
    </row>
    <row r="7281" spans="1:10">
      <c r="A7281" s="7" t="s">
        <v>7315</v>
      </c>
      <c r="B7281" s="7" t="s">
        <v>9148</v>
      </c>
      <c r="C7281" s="8">
        <f>QS.CONTEXT.CREATE("market.7279",A7281,"USD","SOFR")</f>
        <v/>
      </c>
      <c r="D7281" s="8">
        <f>QS.CONTEXT.ADD.CURVE(C7281,"SOFR",$K$2:$K$7,$L$2:$L$7,,,"Actual360","LogLinear",TRUE)</f>
        <v/>
      </c>
      <c r="E7281" s="8">
        <f>QS.INSTRUMENT.SWAP("swap.7279",C7281,H7281,B7281,"USD","SOFR",I7281,J7281,0,"Actual360","Simple","Annual","Annual","Annual")</f>
        <v/>
      </c>
      <c r="F7281" s="8">
        <f>QS.TRADE.CREATE("trade.7279",C7281,E7281,A7281,"Receive")</f>
        <v/>
      </c>
      <c r="G7281" s="5"/>
      <c r="H7281" s="7" t="s">
        <v>7322</v>
      </c>
      <c r="I7281" s="9">
        <v>1727900</v>
      </c>
      <c r="J7281" s="10">
        <v>0.0379</v>
      </c>
    </row>
    <row r="7282" spans="1:10">
      <c r="A7282" s="7" t="s">
        <v>7316</v>
      </c>
      <c r="B7282" s="7" t="s">
        <v>9149</v>
      </c>
      <c r="C7282" s="8">
        <f>QS.CONTEXT.CREATE("market.7280",A7282,"USD","SOFR")</f>
        <v/>
      </c>
      <c r="D7282" s="8">
        <f>QS.CONTEXT.ADD.CURVE(C7282,"SOFR",$K$2:$K$7,$L$2:$L$7,,,"Actual360","LogLinear",TRUE)</f>
        <v/>
      </c>
      <c r="E7282" s="8">
        <f>QS.INSTRUMENT.SWAP("swap.7280",C7282,H7282,B7282,"USD","SOFR",I7282,J7282,0,"Actual360","Simple","Annual","Annual","Annual")</f>
        <v/>
      </c>
      <c r="F7282" s="8">
        <f>QS.TRADE.CREATE("trade.7280",C7282,E7282,A7282,"Receive")</f>
        <v/>
      </c>
      <c r="G7282" s="5"/>
      <c r="H7282" s="7" t="s">
        <v>7323</v>
      </c>
      <c r="I7282" s="9">
        <v>1728000</v>
      </c>
      <c r="J7282" s="10">
        <v>0.03800000000000001</v>
      </c>
    </row>
    <row r="7283" spans="1:10">
      <c r="A7283" s="7" t="s">
        <v>7317</v>
      </c>
      <c r="B7283" s="7" t="s">
        <v>9150</v>
      </c>
      <c r="C7283" s="8">
        <f>QS.CONTEXT.CREATE("market.7281",A7283,"USD","SOFR")</f>
        <v/>
      </c>
      <c r="D7283" s="8">
        <f>QS.CONTEXT.ADD.CURVE(C7283,"SOFR",$K$2:$K$7,$L$2:$L$7,,,"Actual360","LogLinear",TRUE)</f>
        <v/>
      </c>
      <c r="E7283" s="8">
        <f>QS.INSTRUMENT.SWAP("swap.7281",C7283,H7283,B7283,"USD","SOFR",I7283,J7283,0,"Actual360","Simple","Annual","Annual","Annual")</f>
        <v/>
      </c>
      <c r="F7283" s="8">
        <f>QS.TRADE.CREATE("trade.7281",C7283,E7283,A7283,"Receive")</f>
        <v/>
      </c>
      <c r="G7283" s="5"/>
      <c r="H7283" s="7" t="s">
        <v>7324</v>
      </c>
      <c r="I7283" s="9">
        <v>1728100</v>
      </c>
      <c r="J7283" s="10">
        <v>0.0381</v>
      </c>
    </row>
    <row r="7284" spans="1:10">
      <c r="A7284" s="7" t="s">
        <v>7318</v>
      </c>
      <c r="B7284" s="7" t="s">
        <v>9151</v>
      </c>
      <c r="C7284" s="8">
        <f>QS.CONTEXT.CREATE("market.7282",A7284,"USD","SOFR")</f>
        <v/>
      </c>
      <c r="D7284" s="8">
        <f>QS.CONTEXT.ADD.CURVE(C7284,"SOFR",$K$2:$K$7,$L$2:$L$7,,,"Actual360","LogLinear",TRUE)</f>
        <v/>
      </c>
      <c r="E7284" s="8">
        <f>QS.INSTRUMENT.SWAP("swap.7282",C7284,H7284,B7284,"USD","SOFR",I7284,J7284,0,"Actual360","Simple","Annual","Annual","Annual")</f>
        <v/>
      </c>
      <c r="F7284" s="8">
        <f>QS.TRADE.CREATE("trade.7282",C7284,E7284,A7284,"Receive")</f>
        <v/>
      </c>
      <c r="G7284" s="5"/>
      <c r="H7284" s="7" t="s">
        <v>7325</v>
      </c>
      <c r="I7284" s="9">
        <v>1728200</v>
      </c>
      <c r="J7284" s="10">
        <v>0.0382</v>
      </c>
    </row>
    <row r="7285" spans="1:10">
      <c r="A7285" s="7" t="s">
        <v>7319</v>
      </c>
      <c r="B7285" s="7" t="s">
        <v>9152</v>
      </c>
      <c r="C7285" s="8">
        <f>QS.CONTEXT.CREATE("market.7283",A7285,"USD","SOFR")</f>
        <v/>
      </c>
      <c r="D7285" s="8">
        <f>QS.CONTEXT.ADD.CURVE(C7285,"SOFR",$K$2:$K$7,$L$2:$L$7,,,"Actual360","LogLinear",TRUE)</f>
        <v/>
      </c>
      <c r="E7285" s="8">
        <f>QS.INSTRUMENT.SWAP("swap.7283",C7285,H7285,B7285,"USD","SOFR",I7285,J7285,0,"Actual360","Simple","Annual","Annual","Annual")</f>
        <v/>
      </c>
      <c r="F7285" s="8">
        <f>QS.TRADE.CREATE("trade.7283",C7285,E7285,A7285,"Receive")</f>
        <v/>
      </c>
      <c r="G7285" s="5"/>
      <c r="H7285" s="7" t="s">
        <v>7326</v>
      </c>
      <c r="I7285" s="9">
        <v>1728300</v>
      </c>
      <c r="J7285" s="10">
        <v>0.0383</v>
      </c>
    </row>
    <row r="7286" spans="1:10">
      <c r="A7286" s="7" t="s">
        <v>7320</v>
      </c>
      <c r="B7286" s="7" t="s">
        <v>9153</v>
      </c>
      <c r="C7286" s="8">
        <f>QS.CONTEXT.CREATE("market.7284",A7286,"USD","SOFR")</f>
        <v/>
      </c>
      <c r="D7286" s="8">
        <f>QS.CONTEXT.ADD.CURVE(C7286,"SOFR",$K$2:$K$7,$L$2:$L$7,,,"Actual360","LogLinear",TRUE)</f>
        <v/>
      </c>
      <c r="E7286" s="8">
        <f>QS.INSTRUMENT.SWAP("swap.7284",C7286,H7286,B7286,"USD","SOFR",I7286,J7286,0,"Actual360","Simple","Annual","Annual","Annual")</f>
        <v/>
      </c>
      <c r="F7286" s="8">
        <f>QS.TRADE.CREATE("trade.7284",C7286,E7286,A7286,"Receive")</f>
        <v/>
      </c>
      <c r="G7286" s="5"/>
      <c r="H7286" s="7" t="s">
        <v>7327</v>
      </c>
      <c r="I7286" s="9">
        <v>1728400</v>
      </c>
      <c r="J7286" s="10">
        <v>0.0384</v>
      </c>
    </row>
    <row r="7287" spans="1:10">
      <c r="A7287" s="7" t="s">
        <v>7321</v>
      </c>
      <c r="B7287" s="7" t="s">
        <v>9154</v>
      </c>
      <c r="C7287" s="8">
        <f>QS.CONTEXT.CREATE("market.7285",A7287,"USD","SOFR")</f>
        <v/>
      </c>
      <c r="D7287" s="8">
        <f>QS.CONTEXT.ADD.CURVE(C7287,"SOFR",$K$2:$K$7,$L$2:$L$7,,,"Actual360","LogLinear",TRUE)</f>
        <v/>
      </c>
      <c r="E7287" s="8">
        <f>QS.INSTRUMENT.SWAP("swap.7285",C7287,H7287,B7287,"USD","SOFR",I7287,J7287,0,"Actual360","Simple","Annual","Annual","Annual")</f>
        <v/>
      </c>
      <c r="F7287" s="8">
        <f>QS.TRADE.CREATE("trade.7285",C7287,E7287,A7287,"Receive")</f>
        <v/>
      </c>
      <c r="G7287" s="5"/>
      <c r="H7287" s="7" t="s">
        <v>7328</v>
      </c>
      <c r="I7287" s="9">
        <v>1728500</v>
      </c>
      <c r="J7287" s="10">
        <v>0.03850000000000001</v>
      </c>
    </row>
    <row r="7288" spans="1:10">
      <c r="A7288" s="7" t="s">
        <v>7322</v>
      </c>
      <c r="B7288" s="7" t="s">
        <v>9155</v>
      </c>
      <c r="C7288" s="8">
        <f>QS.CONTEXT.CREATE("market.7286",A7288,"USD","SOFR")</f>
        <v/>
      </c>
      <c r="D7288" s="8">
        <f>QS.CONTEXT.ADD.CURVE(C7288,"SOFR",$K$2:$K$7,$L$2:$L$7,,,"Actual360","LogLinear",TRUE)</f>
        <v/>
      </c>
      <c r="E7288" s="8">
        <f>QS.INSTRUMENT.SWAP("swap.7286",C7288,H7288,B7288,"USD","SOFR",I7288,J7288,0,"Actual360","Simple","Annual","Annual","Annual")</f>
        <v/>
      </c>
      <c r="F7288" s="8">
        <f>QS.TRADE.CREATE("trade.7286",C7288,E7288,A7288,"Receive")</f>
        <v/>
      </c>
      <c r="G7288" s="5"/>
      <c r="H7288" s="7" t="s">
        <v>7329</v>
      </c>
      <c r="I7288" s="9">
        <v>1728600</v>
      </c>
      <c r="J7288" s="10">
        <v>0.0386</v>
      </c>
    </row>
    <row r="7289" spans="1:10">
      <c r="A7289" s="7" t="s">
        <v>7323</v>
      </c>
      <c r="B7289" s="7" t="s">
        <v>9156</v>
      </c>
      <c r="C7289" s="8">
        <f>QS.CONTEXT.CREATE("market.7287",A7289,"USD","SOFR")</f>
        <v/>
      </c>
      <c r="D7289" s="8">
        <f>QS.CONTEXT.ADD.CURVE(C7289,"SOFR",$K$2:$K$7,$L$2:$L$7,,,"Actual360","LogLinear",TRUE)</f>
        <v/>
      </c>
      <c r="E7289" s="8">
        <f>QS.INSTRUMENT.SWAP("swap.7287",C7289,H7289,B7289,"USD","SOFR",I7289,J7289,0,"Actual360","Simple","Annual","Annual","Annual")</f>
        <v/>
      </c>
      <c r="F7289" s="8">
        <f>QS.TRADE.CREATE("trade.7287",C7289,E7289,A7289,"Receive")</f>
        <v/>
      </c>
      <c r="G7289" s="5"/>
      <c r="H7289" s="7" t="s">
        <v>7330</v>
      </c>
      <c r="I7289" s="9">
        <v>1728700</v>
      </c>
      <c r="J7289" s="10">
        <v>0.03870000000000001</v>
      </c>
    </row>
    <row r="7290" spans="1:10">
      <c r="A7290" s="7" t="s">
        <v>7324</v>
      </c>
      <c r="B7290" s="7" t="s">
        <v>9157</v>
      </c>
      <c r="C7290" s="8">
        <f>QS.CONTEXT.CREATE("market.7288",A7290,"USD","SOFR")</f>
        <v/>
      </c>
      <c r="D7290" s="8">
        <f>QS.CONTEXT.ADD.CURVE(C7290,"SOFR",$K$2:$K$7,$L$2:$L$7,,,"Actual360","LogLinear",TRUE)</f>
        <v/>
      </c>
      <c r="E7290" s="8">
        <f>QS.INSTRUMENT.SWAP("swap.7288",C7290,H7290,B7290,"USD","SOFR",I7290,J7290,0,"Actual360","Simple","Annual","Annual","Annual")</f>
        <v/>
      </c>
      <c r="F7290" s="8">
        <f>QS.TRADE.CREATE("trade.7288",C7290,E7290,A7290,"Receive")</f>
        <v/>
      </c>
      <c r="G7290" s="5"/>
      <c r="H7290" s="7" t="s">
        <v>7331</v>
      </c>
      <c r="I7290" s="9">
        <v>1728800</v>
      </c>
      <c r="J7290" s="10">
        <v>0.0388</v>
      </c>
    </row>
    <row r="7291" spans="1:10">
      <c r="A7291" s="7" t="s">
        <v>7325</v>
      </c>
      <c r="B7291" s="7" t="s">
        <v>9158</v>
      </c>
      <c r="C7291" s="8">
        <f>QS.CONTEXT.CREATE("market.7289",A7291,"USD","SOFR")</f>
        <v/>
      </c>
      <c r="D7291" s="8">
        <f>QS.CONTEXT.ADD.CURVE(C7291,"SOFR",$K$2:$K$7,$L$2:$L$7,,,"Actual360","LogLinear",TRUE)</f>
        <v/>
      </c>
      <c r="E7291" s="8">
        <f>QS.INSTRUMENT.SWAP("swap.7289",C7291,H7291,B7291,"USD","SOFR",I7291,J7291,0,"Actual360","Simple","Annual","Annual","Annual")</f>
        <v/>
      </c>
      <c r="F7291" s="8">
        <f>QS.TRADE.CREATE("trade.7289",C7291,E7291,A7291,"Receive")</f>
        <v/>
      </c>
      <c r="G7291" s="5"/>
      <c r="H7291" s="7" t="s">
        <v>7332</v>
      </c>
      <c r="I7291" s="9">
        <v>1728900</v>
      </c>
      <c r="J7291" s="10">
        <v>0.0389</v>
      </c>
    </row>
    <row r="7292" spans="1:10">
      <c r="A7292" s="7" t="s">
        <v>7326</v>
      </c>
      <c r="B7292" s="7" t="s">
        <v>9159</v>
      </c>
      <c r="C7292" s="8">
        <f>QS.CONTEXT.CREATE("market.7290",A7292,"USD","SOFR")</f>
        <v/>
      </c>
      <c r="D7292" s="8">
        <f>QS.CONTEXT.ADD.CURVE(C7292,"SOFR",$K$2:$K$7,$L$2:$L$7,,,"Actual360","LogLinear",TRUE)</f>
        <v/>
      </c>
      <c r="E7292" s="8">
        <f>QS.INSTRUMENT.SWAP("swap.7290",C7292,H7292,B7292,"USD","SOFR",I7292,J7292,0,"Actual360","Simple","Annual","Annual","Annual")</f>
        <v/>
      </c>
      <c r="F7292" s="8">
        <f>QS.TRADE.CREATE("trade.7290",C7292,E7292,A7292,"Receive")</f>
        <v/>
      </c>
      <c r="G7292" s="5"/>
      <c r="H7292" s="7" t="s">
        <v>7333</v>
      </c>
      <c r="I7292" s="9">
        <v>1729000</v>
      </c>
      <c r="J7292" s="10">
        <v>0.03900000000000001</v>
      </c>
    </row>
    <row r="7293" spans="1:10">
      <c r="A7293" s="7" t="s">
        <v>7327</v>
      </c>
      <c r="B7293" s="7" t="s">
        <v>9160</v>
      </c>
      <c r="C7293" s="8">
        <f>QS.CONTEXT.CREATE("market.7291",A7293,"USD","SOFR")</f>
        <v/>
      </c>
      <c r="D7293" s="8">
        <f>QS.CONTEXT.ADD.CURVE(C7293,"SOFR",$K$2:$K$7,$L$2:$L$7,,,"Actual360","LogLinear",TRUE)</f>
        <v/>
      </c>
      <c r="E7293" s="8">
        <f>QS.INSTRUMENT.SWAP("swap.7291",C7293,H7293,B7293,"USD","SOFR",I7293,J7293,0,"Actual360","Simple","Annual","Annual","Annual")</f>
        <v/>
      </c>
      <c r="F7293" s="8">
        <f>QS.TRADE.CREATE("trade.7291",C7293,E7293,A7293,"Receive")</f>
        <v/>
      </c>
      <c r="G7293" s="5"/>
      <c r="H7293" s="7" t="s">
        <v>7334</v>
      </c>
      <c r="I7293" s="9">
        <v>1729100</v>
      </c>
      <c r="J7293" s="10">
        <v>0.0391</v>
      </c>
    </row>
    <row r="7294" spans="1:10">
      <c r="A7294" s="7" t="s">
        <v>7328</v>
      </c>
      <c r="B7294" s="7" t="s">
        <v>9161</v>
      </c>
      <c r="C7294" s="8">
        <f>QS.CONTEXT.CREATE("market.7292",A7294,"USD","SOFR")</f>
        <v/>
      </c>
      <c r="D7294" s="8">
        <f>QS.CONTEXT.ADD.CURVE(C7294,"SOFR",$K$2:$K$7,$L$2:$L$7,,,"Actual360","LogLinear",TRUE)</f>
        <v/>
      </c>
      <c r="E7294" s="8">
        <f>QS.INSTRUMENT.SWAP("swap.7292",C7294,H7294,B7294,"USD","SOFR",I7294,J7294,0,"Actual360","Simple","Annual","Annual","Annual")</f>
        <v/>
      </c>
      <c r="F7294" s="8">
        <f>QS.TRADE.CREATE("trade.7292",C7294,E7294,A7294,"Receive")</f>
        <v/>
      </c>
      <c r="G7294" s="5"/>
      <c r="H7294" s="7" t="s">
        <v>7335</v>
      </c>
      <c r="I7294" s="9">
        <v>1729200</v>
      </c>
      <c r="J7294" s="10">
        <v>0.03920000000000001</v>
      </c>
    </row>
    <row r="7295" spans="1:10">
      <c r="A7295" s="7" t="s">
        <v>7329</v>
      </c>
      <c r="B7295" s="7" t="s">
        <v>9162</v>
      </c>
      <c r="C7295" s="8">
        <f>QS.CONTEXT.CREATE("market.7293",A7295,"USD","SOFR")</f>
        <v/>
      </c>
      <c r="D7295" s="8">
        <f>QS.CONTEXT.ADD.CURVE(C7295,"SOFR",$K$2:$K$7,$L$2:$L$7,,,"Actual360","LogLinear",TRUE)</f>
        <v/>
      </c>
      <c r="E7295" s="8">
        <f>QS.INSTRUMENT.SWAP("swap.7293",C7295,H7295,B7295,"USD","SOFR",I7295,J7295,0,"Actual360","Simple","Annual","Annual","Annual")</f>
        <v/>
      </c>
      <c r="F7295" s="8">
        <f>QS.TRADE.CREATE("trade.7293",C7295,E7295,A7295,"Receive")</f>
        <v/>
      </c>
      <c r="G7295" s="5"/>
      <c r="H7295" s="7" t="s">
        <v>7336</v>
      </c>
      <c r="I7295" s="9">
        <v>1729300</v>
      </c>
      <c r="J7295" s="10">
        <v>0.0393</v>
      </c>
    </row>
    <row r="7296" spans="1:10">
      <c r="A7296" s="7" t="s">
        <v>7330</v>
      </c>
      <c r="B7296" s="7" t="s">
        <v>9163</v>
      </c>
      <c r="C7296" s="8">
        <f>QS.CONTEXT.CREATE("market.7294",A7296,"USD","SOFR")</f>
        <v/>
      </c>
      <c r="D7296" s="8">
        <f>QS.CONTEXT.ADD.CURVE(C7296,"SOFR",$K$2:$K$7,$L$2:$L$7,,,"Actual360","LogLinear",TRUE)</f>
        <v/>
      </c>
      <c r="E7296" s="8">
        <f>QS.INSTRUMENT.SWAP("swap.7294",C7296,H7296,B7296,"USD","SOFR",I7296,J7296,0,"Actual360","Simple","Annual","Annual","Annual")</f>
        <v/>
      </c>
      <c r="F7296" s="8">
        <f>QS.TRADE.CREATE("trade.7294",C7296,E7296,A7296,"Receive")</f>
        <v/>
      </c>
      <c r="G7296" s="5"/>
      <c r="H7296" s="7" t="s">
        <v>7337</v>
      </c>
      <c r="I7296" s="9">
        <v>1729400</v>
      </c>
      <c r="J7296" s="10">
        <v>0.0394</v>
      </c>
    </row>
    <row r="7297" spans="1:10">
      <c r="A7297" s="7" t="s">
        <v>7331</v>
      </c>
      <c r="B7297" s="7" t="s">
        <v>9164</v>
      </c>
      <c r="C7297" s="8">
        <f>QS.CONTEXT.CREATE("market.7295",A7297,"USD","SOFR")</f>
        <v/>
      </c>
      <c r="D7297" s="8">
        <f>QS.CONTEXT.ADD.CURVE(C7297,"SOFR",$K$2:$K$7,$L$2:$L$7,,,"Actual360","LogLinear",TRUE)</f>
        <v/>
      </c>
      <c r="E7297" s="8">
        <f>QS.INSTRUMENT.SWAP("swap.7295",C7297,H7297,B7297,"USD","SOFR",I7297,J7297,0,"Actual360","Simple","Annual","Annual","Annual")</f>
        <v/>
      </c>
      <c r="F7297" s="8">
        <f>QS.TRADE.CREATE("trade.7295",C7297,E7297,A7297,"Receive")</f>
        <v/>
      </c>
      <c r="G7297" s="5"/>
      <c r="H7297" s="7" t="s">
        <v>7338</v>
      </c>
      <c r="I7297" s="9">
        <v>1729500</v>
      </c>
      <c r="J7297" s="10">
        <v>0.03950000000000001</v>
      </c>
    </row>
    <row r="7298" spans="1:10">
      <c r="A7298" s="7" t="s">
        <v>7332</v>
      </c>
      <c r="B7298" s="7" t="s">
        <v>9165</v>
      </c>
      <c r="C7298" s="8">
        <f>QS.CONTEXT.CREATE("market.7296",A7298,"USD","SOFR")</f>
        <v/>
      </c>
      <c r="D7298" s="8">
        <f>QS.CONTEXT.ADD.CURVE(C7298,"SOFR",$K$2:$K$7,$L$2:$L$7,,,"Actual360","LogLinear",TRUE)</f>
        <v/>
      </c>
      <c r="E7298" s="8">
        <f>QS.INSTRUMENT.SWAP("swap.7296",C7298,H7298,B7298,"USD","SOFR",I7298,J7298,0,"Actual360","Simple","Annual","Annual","Annual")</f>
        <v/>
      </c>
      <c r="F7298" s="8">
        <f>QS.TRADE.CREATE("trade.7296",C7298,E7298,A7298,"Receive")</f>
        <v/>
      </c>
      <c r="G7298" s="5"/>
      <c r="H7298" s="7" t="s">
        <v>7339</v>
      </c>
      <c r="I7298" s="9">
        <v>1729600</v>
      </c>
      <c r="J7298" s="10">
        <v>0.0396</v>
      </c>
    </row>
    <row r="7299" spans="1:10">
      <c r="A7299" s="7" t="s">
        <v>7333</v>
      </c>
      <c r="B7299" s="7" t="s">
        <v>9166</v>
      </c>
      <c r="C7299" s="8">
        <f>QS.CONTEXT.CREATE("market.7297",A7299,"USD","SOFR")</f>
        <v/>
      </c>
      <c r="D7299" s="8">
        <f>QS.CONTEXT.ADD.CURVE(C7299,"SOFR",$K$2:$K$7,$L$2:$L$7,,,"Actual360","LogLinear",TRUE)</f>
        <v/>
      </c>
      <c r="E7299" s="8">
        <f>QS.INSTRUMENT.SWAP("swap.7297",C7299,H7299,B7299,"USD","SOFR",I7299,J7299,0,"Actual360","Simple","Annual","Annual","Annual")</f>
        <v/>
      </c>
      <c r="F7299" s="8">
        <f>QS.TRADE.CREATE("trade.7297",C7299,E7299,A7299,"Receive")</f>
        <v/>
      </c>
      <c r="G7299" s="5"/>
      <c r="H7299" s="7" t="s">
        <v>7340</v>
      </c>
      <c r="I7299" s="9">
        <v>1729700</v>
      </c>
      <c r="J7299" s="10">
        <v>0.03970000000000001</v>
      </c>
    </row>
    <row r="7300" spans="1:10">
      <c r="A7300" s="7" t="s">
        <v>7334</v>
      </c>
      <c r="B7300" s="7" t="s">
        <v>9167</v>
      </c>
      <c r="C7300" s="8">
        <f>QS.CONTEXT.CREATE("market.7298",A7300,"USD","SOFR")</f>
        <v/>
      </c>
      <c r="D7300" s="8">
        <f>QS.CONTEXT.ADD.CURVE(C7300,"SOFR",$K$2:$K$7,$L$2:$L$7,,,"Actual360","LogLinear",TRUE)</f>
        <v/>
      </c>
      <c r="E7300" s="8">
        <f>QS.INSTRUMENT.SWAP("swap.7298",C7300,H7300,B7300,"USD","SOFR",I7300,J7300,0,"Actual360","Simple","Annual","Annual","Annual")</f>
        <v/>
      </c>
      <c r="F7300" s="8">
        <f>QS.TRADE.CREATE("trade.7298",C7300,E7300,A7300,"Receive")</f>
        <v/>
      </c>
      <c r="G7300" s="5"/>
      <c r="H7300" s="7" t="s">
        <v>7341</v>
      </c>
      <c r="I7300" s="9">
        <v>1729800</v>
      </c>
      <c r="J7300" s="10">
        <v>0.0398</v>
      </c>
    </row>
    <row r="7301" spans="1:10">
      <c r="A7301" s="7" t="s">
        <v>7335</v>
      </c>
      <c r="B7301" s="7" t="s">
        <v>9168</v>
      </c>
      <c r="C7301" s="8">
        <f>QS.CONTEXT.CREATE("market.7299",A7301,"USD","SOFR")</f>
        <v/>
      </c>
      <c r="D7301" s="8">
        <f>QS.CONTEXT.ADD.CURVE(C7301,"SOFR",$K$2:$K$7,$L$2:$L$7,,,"Actual360","LogLinear",TRUE)</f>
        <v/>
      </c>
      <c r="E7301" s="8">
        <f>QS.INSTRUMENT.SWAP("swap.7299",C7301,H7301,B7301,"USD","SOFR",I7301,J7301,0,"Actual360","Simple","Annual","Annual","Annual")</f>
        <v/>
      </c>
      <c r="F7301" s="8">
        <f>QS.TRADE.CREATE("trade.7299",C7301,E7301,A7301,"Receive")</f>
        <v/>
      </c>
      <c r="G7301" s="5"/>
      <c r="H7301" s="7" t="s">
        <v>7342</v>
      </c>
      <c r="I7301" s="9">
        <v>1729900</v>
      </c>
      <c r="J7301" s="10">
        <v>0.0399</v>
      </c>
    </row>
    <row r="7302" spans="1:10">
      <c r="A7302" s="7" t="s">
        <v>7336</v>
      </c>
      <c r="B7302" s="7" t="s">
        <v>9169</v>
      </c>
      <c r="C7302" s="8">
        <f>QS.CONTEXT.CREATE("market.7300",A7302,"USD","SOFR")</f>
        <v/>
      </c>
      <c r="D7302" s="8">
        <f>QS.CONTEXT.ADD.CURVE(C7302,"SOFR",$K$2:$K$7,$L$2:$L$7,,,"Actual360","LogLinear",TRUE)</f>
        <v/>
      </c>
      <c r="E7302" s="8">
        <f>QS.INSTRUMENT.SWAP("swap.7300",C7302,H7302,B7302,"USD","SOFR",I7302,J7302,0,"Actual360","Simple","Annual","Annual","Annual")</f>
        <v/>
      </c>
      <c r="F7302" s="8">
        <f>QS.TRADE.CREATE("trade.7300",C7302,E7302,A7302,"Receive")</f>
        <v/>
      </c>
      <c r="G7302" s="5"/>
      <c r="H7302" s="7" t="s">
        <v>7343</v>
      </c>
      <c r="I7302" s="9">
        <v>1730000</v>
      </c>
      <c r="J7302" s="10">
        <v>0.035</v>
      </c>
    </row>
    <row r="7303" spans="1:10">
      <c r="A7303" s="7" t="s">
        <v>7337</v>
      </c>
      <c r="B7303" s="7" t="s">
        <v>9170</v>
      </c>
      <c r="C7303" s="8">
        <f>QS.CONTEXT.CREATE("market.7301",A7303,"USD","SOFR")</f>
        <v/>
      </c>
      <c r="D7303" s="8">
        <f>QS.CONTEXT.ADD.CURVE(C7303,"SOFR",$K$2:$K$7,$L$2:$L$7,,,"Actual360","LogLinear",TRUE)</f>
        <v/>
      </c>
      <c r="E7303" s="8">
        <f>QS.INSTRUMENT.SWAP("swap.7301",C7303,H7303,B7303,"USD","SOFR",I7303,J7303,0,"Actual360","Simple","Annual","Annual","Annual")</f>
        <v/>
      </c>
      <c r="F7303" s="8">
        <f>QS.TRADE.CREATE("trade.7301",C7303,E7303,A7303,"Receive")</f>
        <v/>
      </c>
      <c r="G7303" s="5"/>
      <c r="H7303" s="7" t="s">
        <v>7344</v>
      </c>
      <c r="I7303" s="9">
        <v>1730100</v>
      </c>
      <c r="J7303" s="10">
        <v>0.03510000000000001</v>
      </c>
    </row>
    <row r="7304" spans="1:10">
      <c r="A7304" s="7" t="s">
        <v>7338</v>
      </c>
      <c r="B7304" s="7" t="s">
        <v>9171</v>
      </c>
      <c r="C7304" s="8">
        <f>QS.CONTEXT.CREATE("market.7302",A7304,"USD","SOFR")</f>
        <v/>
      </c>
      <c r="D7304" s="8">
        <f>QS.CONTEXT.ADD.CURVE(C7304,"SOFR",$K$2:$K$7,$L$2:$L$7,,,"Actual360","LogLinear",TRUE)</f>
        <v/>
      </c>
      <c r="E7304" s="8">
        <f>QS.INSTRUMENT.SWAP("swap.7302",C7304,H7304,B7304,"USD","SOFR",I7304,J7304,0,"Actual360","Simple","Annual","Annual","Annual")</f>
        <v/>
      </c>
      <c r="F7304" s="8">
        <f>QS.TRADE.CREATE("trade.7302",C7304,E7304,A7304,"Receive")</f>
        <v/>
      </c>
      <c r="G7304" s="5"/>
      <c r="H7304" s="7" t="s">
        <v>7345</v>
      </c>
      <c r="I7304" s="9">
        <v>1730200</v>
      </c>
      <c r="J7304" s="10">
        <v>0.0352</v>
      </c>
    </row>
    <row r="7305" spans="1:10">
      <c r="A7305" s="7" t="s">
        <v>7339</v>
      </c>
      <c r="B7305" s="7" t="s">
        <v>9172</v>
      </c>
      <c r="C7305" s="8">
        <f>QS.CONTEXT.CREATE("market.7303",A7305,"USD","SOFR")</f>
        <v/>
      </c>
      <c r="D7305" s="8">
        <f>QS.CONTEXT.ADD.CURVE(C7305,"SOFR",$K$2:$K$7,$L$2:$L$7,,,"Actual360","LogLinear",TRUE)</f>
        <v/>
      </c>
      <c r="E7305" s="8">
        <f>QS.INSTRUMENT.SWAP("swap.7303",C7305,H7305,B7305,"USD","SOFR",I7305,J7305,0,"Actual360","Simple","Annual","Annual","Annual")</f>
        <v/>
      </c>
      <c r="F7305" s="8">
        <f>QS.TRADE.CREATE("trade.7303",C7305,E7305,A7305,"Receive")</f>
        <v/>
      </c>
      <c r="G7305" s="5"/>
      <c r="H7305" s="7" t="s">
        <v>7346</v>
      </c>
      <c r="I7305" s="9">
        <v>1730300</v>
      </c>
      <c r="J7305" s="10">
        <v>0.0353</v>
      </c>
    </row>
    <row r="7306" spans="1:10">
      <c r="A7306" s="7" t="s">
        <v>7340</v>
      </c>
      <c r="B7306" s="7" t="s">
        <v>9173</v>
      </c>
      <c r="C7306" s="8">
        <f>QS.CONTEXT.CREATE("market.7304",A7306,"USD","SOFR")</f>
        <v/>
      </c>
      <c r="D7306" s="8">
        <f>QS.CONTEXT.ADD.CURVE(C7306,"SOFR",$K$2:$K$7,$L$2:$L$7,,,"Actual360","LogLinear",TRUE)</f>
        <v/>
      </c>
      <c r="E7306" s="8">
        <f>QS.INSTRUMENT.SWAP("swap.7304",C7306,H7306,B7306,"USD","SOFR",I7306,J7306,0,"Actual360","Simple","Annual","Annual","Annual")</f>
        <v/>
      </c>
      <c r="F7306" s="8">
        <f>QS.TRADE.CREATE("trade.7304",C7306,E7306,A7306,"Receive")</f>
        <v/>
      </c>
      <c r="G7306" s="5"/>
      <c r="H7306" s="7" t="s">
        <v>7347</v>
      </c>
      <c r="I7306" s="9">
        <v>1730400</v>
      </c>
      <c r="J7306" s="10">
        <v>0.0354</v>
      </c>
    </row>
    <row r="7307" spans="1:10">
      <c r="A7307" s="7" t="s">
        <v>7341</v>
      </c>
      <c r="B7307" s="7" t="s">
        <v>9174</v>
      </c>
      <c r="C7307" s="8">
        <f>QS.CONTEXT.CREATE("market.7305",A7307,"USD","SOFR")</f>
        <v/>
      </c>
      <c r="D7307" s="8">
        <f>QS.CONTEXT.ADD.CURVE(C7307,"SOFR",$K$2:$K$7,$L$2:$L$7,,,"Actual360","LogLinear",TRUE)</f>
        <v/>
      </c>
      <c r="E7307" s="8">
        <f>QS.INSTRUMENT.SWAP("swap.7305",C7307,H7307,B7307,"USD","SOFR",I7307,J7307,0,"Actual360","Simple","Annual","Annual","Annual")</f>
        <v/>
      </c>
      <c r="F7307" s="8">
        <f>QS.TRADE.CREATE("trade.7305",C7307,E7307,A7307,"Receive")</f>
        <v/>
      </c>
      <c r="G7307" s="5"/>
      <c r="H7307" s="7" t="s">
        <v>7348</v>
      </c>
      <c r="I7307" s="9">
        <v>1730500</v>
      </c>
      <c r="J7307" s="10">
        <v>0.0355</v>
      </c>
    </row>
    <row r="7308" spans="1:10">
      <c r="A7308" s="7" t="s">
        <v>7342</v>
      </c>
      <c r="B7308" s="7" t="s">
        <v>9175</v>
      </c>
      <c r="C7308" s="8">
        <f>QS.CONTEXT.CREATE("market.7306",A7308,"USD","SOFR")</f>
        <v/>
      </c>
      <c r="D7308" s="8">
        <f>QS.CONTEXT.ADD.CURVE(C7308,"SOFR",$K$2:$K$7,$L$2:$L$7,,,"Actual360","LogLinear",TRUE)</f>
        <v/>
      </c>
      <c r="E7308" s="8">
        <f>QS.INSTRUMENT.SWAP("swap.7306",C7308,H7308,B7308,"USD","SOFR",I7308,J7308,0,"Actual360","Simple","Annual","Annual","Annual")</f>
        <v/>
      </c>
      <c r="F7308" s="8">
        <f>QS.TRADE.CREATE("trade.7306",C7308,E7308,A7308,"Receive")</f>
        <v/>
      </c>
      <c r="G7308" s="5"/>
      <c r="H7308" s="7" t="s">
        <v>7349</v>
      </c>
      <c r="I7308" s="9">
        <v>1730600</v>
      </c>
      <c r="J7308" s="10">
        <v>0.03560000000000001</v>
      </c>
    </row>
    <row r="7309" spans="1:10">
      <c r="A7309" s="7" t="s">
        <v>7343</v>
      </c>
      <c r="B7309" s="7" t="s">
        <v>9176</v>
      </c>
      <c r="C7309" s="8">
        <f>QS.CONTEXT.CREATE("market.7307",A7309,"USD","SOFR")</f>
        <v/>
      </c>
      <c r="D7309" s="8">
        <f>QS.CONTEXT.ADD.CURVE(C7309,"SOFR",$K$2:$K$7,$L$2:$L$7,,,"Actual360","LogLinear",TRUE)</f>
        <v/>
      </c>
      <c r="E7309" s="8">
        <f>QS.INSTRUMENT.SWAP("swap.7307",C7309,H7309,B7309,"USD","SOFR",I7309,J7309,0,"Actual360","Simple","Annual","Annual","Annual")</f>
        <v/>
      </c>
      <c r="F7309" s="8">
        <f>QS.TRADE.CREATE("trade.7307",C7309,E7309,A7309,"Receive")</f>
        <v/>
      </c>
      <c r="G7309" s="5"/>
      <c r="H7309" s="7" t="s">
        <v>7350</v>
      </c>
      <c r="I7309" s="9">
        <v>1730700</v>
      </c>
      <c r="J7309" s="10">
        <v>0.0357</v>
      </c>
    </row>
    <row r="7310" spans="1:10">
      <c r="A7310" s="7" t="s">
        <v>7344</v>
      </c>
      <c r="B7310" s="7" t="s">
        <v>9177</v>
      </c>
      <c r="C7310" s="8">
        <f>QS.CONTEXT.CREATE("market.7308",A7310,"USD","SOFR")</f>
        <v/>
      </c>
      <c r="D7310" s="8">
        <f>QS.CONTEXT.ADD.CURVE(C7310,"SOFR",$K$2:$K$7,$L$2:$L$7,,,"Actual360","LogLinear",TRUE)</f>
        <v/>
      </c>
      <c r="E7310" s="8">
        <f>QS.INSTRUMENT.SWAP("swap.7308",C7310,H7310,B7310,"USD","SOFR",I7310,J7310,0,"Actual360","Simple","Annual","Annual","Annual")</f>
        <v/>
      </c>
      <c r="F7310" s="8">
        <f>QS.TRADE.CREATE("trade.7308",C7310,E7310,A7310,"Receive")</f>
        <v/>
      </c>
      <c r="G7310" s="5"/>
      <c r="H7310" s="7" t="s">
        <v>7351</v>
      </c>
      <c r="I7310" s="9">
        <v>1730800</v>
      </c>
      <c r="J7310" s="10">
        <v>0.03580000000000001</v>
      </c>
    </row>
    <row r="7311" spans="1:10">
      <c r="A7311" s="7" t="s">
        <v>7345</v>
      </c>
      <c r="B7311" s="7" t="s">
        <v>9178</v>
      </c>
      <c r="C7311" s="8">
        <f>QS.CONTEXT.CREATE("market.7309",A7311,"USD","SOFR")</f>
        <v/>
      </c>
      <c r="D7311" s="8">
        <f>QS.CONTEXT.ADD.CURVE(C7311,"SOFR",$K$2:$K$7,$L$2:$L$7,,,"Actual360","LogLinear",TRUE)</f>
        <v/>
      </c>
      <c r="E7311" s="8">
        <f>QS.INSTRUMENT.SWAP("swap.7309",C7311,H7311,B7311,"USD","SOFR",I7311,J7311,0,"Actual360","Simple","Annual","Annual","Annual")</f>
        <v/>
      </c>
      <c r="F7311" s="8">
        <f>QS.TRADE.CREATE("trade.7309",C7311,E7311,A7311,"Receive")</f>
        <v/>
      </c>
      <c r="G7311" s="5"/>
      <c r="H7311" s="7" t="s">
        <v>7352</v>
      </c>
      <c r="I7311" s="9">
        <v>1730900</v>
      </c>
      <c r="J7311" s="10">
        <v>0.0359</v>
      </c>
    </row>
    <row r="7312" spans="1:10">
      <c r="A7312" s="7" t="s">
        <v>7346</v>
      </c>
      <c r="B7312" s="7" t="s">
        <v>9179</v>
      </c>
      <c r="C7312" s="8">
        <f>QS.CONTEXT.CREATE("market.7310",A7312,"USD","SOFR")</f>
        <v/>
      </c>
      <c r="D7312" s="8">
        <f>QS.CONTEXT.ADD.CURVE(C7312,"SOFR",$K$2:$K$7,$L$2:$L$7,,,"Actual360","LogLinear",TRUE)</f>
        <v/>
      </c>
      <c r="E7312" s="8">
        <f>QS.INSTRUMENT.SWAP("swap.7310",C7312,H7312,B7312,"USD","SOFR",I7312,J7312,0,"Actual360","Simple","Annual","Annual","Annual")</f>
        <v/>
      </c>
      <c r="F7312" s="8">
        <f>QS.TRADE.CREATE("trade.7310",C7312,E7312,A7312,"Receive")</f>
        <v/>
      </c>
      <c r="G7312" s="5"/>
      <c r="H7312" s="7" t="s">
        <v>7353</v>
      </c>
      <c r="I7312" s="9">
        <v>1731000</v>
      </c>
      <c r="J7312" s="10">
        <v>0.036</v>
      </c>
    </row>
    <row r="7313" spans="1:10">
      <c r="A7313" s="7" t="s">
        <v>7347</v>
      </c>
      <c r="B7313" s="7" t="s">
        <v>9180</v>
      </c>
      <c r="C7313" s="8">
        <f>QS.CONTEXT.CREATE("market.7311",A7313,"USD","SOFR")</f>
        <v/>
      </c>
      <c r="D7313" s="8">
        <f>QS.CONTEXT.ADD.CURVE(C7313,"SOFR",$K$2:$K$7,$L$2:$L$7,,,"Actual360","LogLinear",TRUE)</f>
        <v/>
      </c>
      <c r="E7313" s="8">
        <f>QS.INSTRUMENT.SWAP("swap.7311",C7313,H7313,B7313,"USD","SOFR",I7313,J7313,0,"Actual360","Simple","Annual","Annual","Annual")</f>
        <v/>
      </c>
      <c r="F7313" s="8">
        <f>QS.TRADE.CREATE("trade.7311",C7313,E7313,A7313,"Receive")</f>
        <v/>
      </c>
      <c r="G7313" s="5"/>
      <c r="H7313" s="7" t="s">
        <v>7354</v>
      </c>
      <c r="I7313" s="9">
        <v>1731100</v>
      </c>
      <c r="J7313" s="10">
        <v>0.0361</v>
      </c>
    </row>
    <row r="7314" spans="1:10">
      <c r="A7314" s="7" t="s">
        <v>7348</v>
      </c>
      <c r="B7314" s="7" t="s">
        <v>9181</v>
      </c>
      <c r="C7314" s="8">
        <f>QS.CONTEXT.CREATE("market.7312",A7314,"USD","SOFR")</f>
        <v/>
      </c>
      <c r="D7314" s="8">
        <f>QS.CONTEXT.ADD.CURVE(C7314,"SOFR",$K$2:$K$7,$L$2:$L$7,,,"Actual360","LogLinear",TRUE)</f>
        <v/>
      </c>
      <c r="E7314" s="8">
        <f>QS.INSTRUMENT.SWAP("swap.7312",C7314,H7314,B7314,"USD","SOFR",I7314,J7314,0,"Actual360","Simple","Annual","Annual","Annual")</f>
        <v/>
      </c>
      <c r="F7314" s="8">
        <f>QS.TRADE.CREATE("trade.7312",C7314,E7314,A7314,"Receive")</f>
        <v/>
      </c>
      <c r="G7314" s="5"/>
      <c r="H7314" s="7" t="s">
        <v>7355</v>
      </c>
      <c r="I7314" s="9">
        <v>1731200</v>
      </c>
      <c r="J7314" s="10">
        <v>0.0362</v>
      </c>
    </row>
    <row r="7315" spans="1:10">
      <c r="A7315" s="7" t="s">
        <v>7349</v>
      </c>
      <c r="B7315" s="7" t="s">
        <v>9182</v>
      </c>
      <c r="C7315" s="8">
        <f>QS.CONTEXT.CREATE("market.7313",A7315,"USD","SOFR")</f>
        <v/>
      </c>
      <c r="D7315" s="8">
        <f>QS.CONTEXT.ADD.CURVE(C7315,"SOFR",$K$2:$K$7,$L$2:$L$7,,,"Actual360","LogLinear",TRUE)</f>
        <v/>
      </c>
      <c r="E7315" s="8">
        <f>QS.INSTRUMENT.SWAP("swap.7313",C7315,H7315,B7315,"USD","SOFR",I7315,J7315,0,"Actual360","Simple","Annual","Annual","Annual")</f>
        <v/>
      </c>
      <c r="F7315" s="8">
        <f>QS.TRADE.CREATE("trade.7313",C7315,E7315,A7315,"Receive")</f>
        <v/>
      </c>
      <c r="G7315" s="5"/>
      <c r="H7315" s="7" t="s">
        <v>7356</v>
      </c>
      <c r="I7315" s="9">
        <v>1731300</v>
      </c>
      <c r="J7315" s="10">
        <v>0.03630000000000001</v>
      </c>
    </row>
    <row r="7316" spans="1:10">
      <c r="A7316" s="7" t="s">
        <v>7350</v>
      </c>
      <c r="B7316" s="7" t="s">
        <v>9183</v>
      </c>
      <c r="C7316" s="8">
        <f>QS.CONTEXT.CREATE("market.7314",A7316,"USD","SOFR")</f>
        <v/>
      </c>
      <c r="D7316" s="8">
        <f>QS.CONTEXT.ADD.CURVE(C7316,"SOFR",$K$2:$K$7,$L$2:$L$7,,,"Actual360","LogLinear",TRUE)</f>
        <v/>
      </c>
      <c r="E7316" s="8">
        <f>QS.INSTRUMENT.SWAP("swap.7314",C7316,H7316,B7316,"USD","SOFR",I7316,J7316,0,"Actual360","Simple","Annual","Annual","Annual")</f>
        <v/>
      </c>
      <c r="F7316" s="8">
        <f>QS.TRADE.CREATE("trade.7314",C7316,E7316,A7316,"Receive")</f>
        <v/>
      </c>
      <c r="G7316" s="5"/>
      <c r="H7316" s="7" t="s">
        <v>7357</v>
      </c>
      <c r="I7316" s="9">
        <v>1731400</v>
      </c>
      <c r="J7316" s="10">
        <v>0.0364</v>
      </c>
    </row>
    <row r="7317" spans="1:10">
      <c r="A7317" s="7" t="s">
        <v>7351</v>
      </c>
      <c r="B7317" s="7" t="s">
        <v>9184</v>
      </c>
      <c r="C7317" s="8">
        <f>QS.CONTEXT.CREATE("market.7315",A7317,"USD","SOFR")</f>
        <v/>
      </c>
      <c r="D7317" s="8">
        <f>QS.CONTEXT.ADD.CURVE(C7317,"SOFR",$K$2:$K$7,$L$2:$L$7,,,"Actual360","LogLinear",TRUE)</f>
        <v/>
      </c>
      <c r="E7317" s="8">
        <f>QS.INSTRUMENT.SWAP("swap.7315",C7317,H7317,B7317,"USD","SOFR",I7317,J7317,0,"Actual360","Simple","Annual","Annual","Annual")</f>
        <v/>
      </c>
      <c r="F7317" s="8">
        <f>QS.TRADE.CREATE("trade.7315",C7317,E7317,A7317,"Receive")</f>
        <v/>
      </c>
      <c r="G7317" s="5"/>
      <c r="H7317" s="7" t="s">
        <v>7358</v>
      </c>
      <c r="I7317" s="9">
        <v>1731500</v>
      </c>
      <c r="J7317" s="10">
        <v>0.0365</v>
      </c>
    </row>
    <row r="7318" spans="1:10">
      <c r="A7318" s="7" t="s">
        <v>7352</v>
      </c>
      <c r="B7318" s="7" t="s">
        <v>9185</v>
      </c>
      <c r="C7318" s="8">
        <f>QS.CONTEXT.CREATE("market.7316",A7318,"USD","SOFR")</f>
        <v/>
      </c>
      <c r="D7318" s="8">
        <f>QS.CONTEXT.ADD.CURVE(C7318,"SOFR",$K$2:$K$7,$L$2:$L$7,,,"Actual360","LogLinear",TRUE)</f>
        <v/>
      </c>
      <c r="E7318" s="8">
        <f>QS.INSTRUMENT.SWAP("swap.7316",C7318,H7318,B7318,"USD","SOFR",I7318,J7318,0,"Actual360","Simple","Annual","Annual","Annual")</f>
        <v/>
      </c>
      <c r="F7318" s="8">
        <f>QS.TRADE.CREATE("trade.7316",C7318,E7318,A7318,"Receive")</f>
        <v/>
      </c>
      <c r="G7318" s="5"/>
      <c r="H7318" s="7" t="s">
        <v>7359</v>
      </c>
      <c r="I7318" s="9">
        <v>1731600</v>
      </c>
      <c r="J7318" s="10">
        <v>0.0366</v>
      </c>
    </row>
    <row r="7319" spans="1:10">
      <c r="A7319" s="7" t="s">
        <v>7353</v>
      </c>
      <c r="B7319" s="7" t="s">
        <v>9186</v>
      </c>
      <c r="C7319" s="8">
        <f>QS.CONTEXT.CREATE("market.7317",A7319,"USD","SOFR")</f>
        <v/>
      </c>
      <c r="D7319" s="8">
        <f>QS.CONTEXT.ADD.CURVE(C7319,"SOFR",$K$2:$K$7,$L$2:$L$7,,,"Actual360","LogLinear",TRUE)</f>
        <v/>
      </c>
      <c r="E7319" s="8">
        <f>QS.INSTRUMENT.SWAP("swap.7317",C7319,H7319,B7319,"USD","SOFR",I7319,J7319,0,"Actual360","Simple","Annual","Annual","Annual")</f>
        <v/>
      </c>
      <c r="F7319" s="8">
        <f>QS.TRADE.CREATE("trade.7317",C7319,E7319,A7319,"Receive")</f>
        <v/>
      </c>
      <c r="G7319" s="5"/>
      <c r="H7319" s="7" t="s">
        <v>7360</v>
      </c>
      <c r="I7319" s="9">
        <v>1731700</v>
      </c>
      <c r="J7319" s="10">
        <v>0.0367</v>
      </c>
    </row>
    <row r="7320" spans="1:10">
      <c r="A7320" s="7" t="s">
        <v>7354</v>
      </c>
      <c r="B7320" s="7" t="s">
        <v>9187</v>
      </c>
      <c r="C7320" s="8">
        <f>QS.CONTEXT.CREATE("market.7318",A7320,"USD","SOFR")</f>
        <v/>
      </c>
      <c r="D7320" s="8">
        <f>QS.CONTEXT.ADD.CURVE(C7320,"SOFR",$K$2:$K$7,$L$2:$L$7,,,"Actual360","LogLinear",TRUE)</f>
        <v/>
      </c>
      <c r="E7320" s="8">
        <f>QS.INSTRUMENT.SWAP("swap.7318",C7320,H7320,B7320,"USD","SOFR",I7320,J7320,0,"Actual360","Simple","Annual","Annual","Annual")</f>
        <v/>
      </c>
      <c r="F7320" s="8">
        <f>QS.TRADE.CREATE("trade.7318",C7320,E7320,A7320,"Receive")</f>
        <v/>
      </c>
      <c r="G7320" s="5"/>
      <c r="H7320" s="7" t="s">
        <v>7361</v>
      </c>
      <c r="I7320" s="9">
        <v>1731800</v>
      </c>
      <c r="J7320" s="10">
        <v>0.03680000000000001</v>
      </c>
    </row>
    <row r="7321" spans="1:10">
      <c r="A7321" s="7" t="s">
        <v>7355</v>
      </c>
      <c r="B7321" s="7" t="s">
        <v>9188</v>
      </c>
      <c r="C7321" s="8">
        <f>QS.CONTEXT.CREATE("market.7319",A7321,"USD","SOFR")</f>
        <v/>
      </c>
      <c r="D7321" s="8">
        <f>QS.CONTEXT.ADD.CURVE(C7321,"SOFR",$K$2:$K$7,$L$2:$L$7,,,"Actual360","LogLinear",TRUE)</f>
        <v/>
      </c>
      <c r="E7321" s="8">
        <f>QS.INSTRUMENT.SWAP("swap.7319",C7321,H7321,B7321,"USD","SOFR",I7321,J7321,0,"Actual360","Simple","Annual","Annual","Annual")</f>
        <v/>
      </c>
      <c r="F7321" s="8">
        <f>QS.TRADE.CREATE("trade.7319",C7321,E7321,A7321,"Receive")</f>
        <v/>
      </c>
      <c r="G7321" s="5"/>
      <c r="H7321" s="7" t="s">
        <v>7362</v>
      </c>
      <c r="I7321" s="9">
        <v>1731900</v>
      </c>
      <c r="J7321" s="10">
        <v>0.0369</v>
      </c>
    </row>
    <row r="7322" spans="1:10">
      <c r="A7322" s="7" t="s">
        <v>7356</v>
      </c>
      <c r="B7322" s="7" t="s">
        <v>9189</v>
      </c>
      <c r="C7322" s="8">
        <f>QS.CONTEXT.CREATE("market.7320",A7322,"USD","SOFR")</f>
        <v/>
      </c>
      <c r="D7322" s="8">
        <f>QS.CONTEXT.ADD.CURVE(C7322,"SOFR",$K$2:$K$7,$L$2:$L$7,,,"Actual360","LogLinear",TRUE)</f>
        <v/>
      </c>
      <c r="E7322" s="8">
        <f>QS.INSTRUMENT.SWAP("swap.7320",C7322,H7322,B7322,"USD","SOFR",I7322,J7322,0,"Actual360","Simple","Annual","Annual","Annual")</f>
        <v/>
      </c>
      <c r="F7322" s="8">
        <f>QS.TRADE.CREATE("trade.7320",C7322,E7322,A7322,"Receive")</f>
        <v/>
      </c>
      <c r="G7322" s="5"/>
      <c r="H7322" s="7" t="s">
        <v>7363</v>
      </c>
      <c r="I7322" s="9">
        <v>1732000</v>
      </c>
      <c r="J7322" s="10">
        <v>0.03700000000000001</v>
      </c>
    </row>
    <row r="7323" spans="1:10">
      <c r="A7323" s="7" t="s">
        <v>7357</v>
      </c>
      <c r="B7323" s="7" t="s">
        <v>9190</v>
      </c>
      <c r="C7323" s="8">
        <f>QS.CONTEXT.CREATE("market.7321",A7323,"USD","SOFR")</f>
        <v/>
      </c>
      <c r="D7323" s="8">
        <f>QS.CONTEXT.ADD.CURVE(C7323,"SOFR",$K$2:$K$7,$L$2:$L$7,,,"Actual360","LogLinear",TRUE)</f>
        <v/>
      </c>
      <c r="E7323" s="8">
        <f>QS.INSTRUMENT.SWAP("swap.7321",C7323,H7323,B7323,"USD","SOFR",I7323,J7323,0,"Actual360","Simple","Annual","Annual","Annual")</f>
        <v/>
      </c>
      <c r="F7323" s="8">
        <f>QS.TRADE.CREATE("trade.7321",C7323,E7323,A7323,"Receive")</f>
        <v/>
      </c>
      <c r="G7323" s="5"/>
      <c r="H7323" s="7" t="s">
        <v>7364</v>
      </c>
      <c r="I7323" s="9">
        <v>1732100</v>
      </c>
      <c r="J7323" s="10">
        <v>0.0371</v>
      </c>
    </row>
    <row r="7324" spans="1:10">
      <c r="A7324" s="7" t="s">
        <v>7358</v>
      </c>
      <c r="B7324" s="7" t="s">
        <v>9191</v>
      </c>
      <c r="C7324" s="8">
        <f>QS.CONTEXT.CREATE("market.7322",A7324,"USD","SOFR")</f>
        <v/>
      </c>
      <c r="D7324" s="8">
        <f>QS.CONTEXT.ADD.CURVE(C7324,"SOFR",$K$2:$K$7,$L$2:$L$7,,,"Actual360","LogLinear",TRUE)</f>
        <v/>
      </c>
      <c r="E7324" s="8">
        <f>QS.INSTRUMENT.SWAP("swap.7322",C7324,H7324,B7324,"USD","SOFR",I7324,J7324,0,"Actual360","Simple","Annual","Annual","Annual")</f>
        <v/>
      </c>
      <c r="F7324" s="8">
        <f>QS.TRADE.CREATE("trade.7322",C7324,E7324,A7324,"Receive")</f>
        <v/>
      </c>
      <c r="G7324" s="5"/>
      <c r="H7324" s="7" t="s">
        <v>7365</v>
      </c>
      <c r="I7324" s="9">
        <v>1732200</v>
      </c>
      <c r="J7324" s="10">
        <v>0.0372</v>
      </c>
    </row>
    <row r="7325" spans="1:10">
      <c r="A7325" s="7" t="s">
        <v>7359</v>
      </c>
      <c r="B7325" s="7" t="s">
        <v>9192</v>
      </c>
      <c r="C7325" s="8">
        <f>QS.CONTEXT.CREATE("market.7323",A7325,"USD","SOFR")</f>
        <v/>
      </c>
      <c r="D7325" s="8">
        <f>QS.CONTEXT.ADD.CURVE(C7325,"SOFR",$K$2:$K$7,$L$2:$L$7,,,"Actual360","LogLinear",TRUE)</f>
        <v/>
      </c>
      <c r="E7325" s="8">
        <f>QS.INSTRUMENT.SWAP("swap.7323",C7325,H7325,B7325,"USD","SOFR",I7325,J7325,0,"Actual360","Simple","Annual","Annual","Annual")</f>
        <v/>
      </c>
      <c r="F7325" s="8">
        <f>QS.TRADE.CREATE("trade.7323",C7325,E7325,A7325,"Receive")</f>
        <v/>
      </c>
      <c r="G7325" s="5"/>
      <c r="H7325" s="7" t="s">
        <v>7366</v>
      </c>
      <c r="I7325" s="9">
        <v>1732300</v>
      </c>
      <c r="J7325" s="10">
        <v>0.0373</v>
      </c>
    </row>
    <row r="7326" spans="1:10">
      <c r="A7326" s="7" t="s">
        <v>7360</v>
      </c>
      <c r="B7326" s="7" t="s">
        <v>9193</v>
      </c>
      <c r="C7326" s="8">
        <f>QS.CONTEXT.CREATE("market.7324",A7326,"USD","SOFR")</f>
        <v/>
      </c>
      <c r="D7326" s="8">
        <f>QS.CONTEXT.ADD.CURVE(C7326,"SOFR",$K$2:$K$7,$L$2:$L$7,,,"Actual360","LogLinear",TRUE)</f>
        <v/>
      </c>
      <c r="E7326" s="8">
        <f>QS.INSTRUMENT.SWAP("swap.7324",C7326,H7326,B7326,"USD","SOFR",I7326,J7326,0,"Actual360","Simple","Annual","Annual","Annual")</f>
        <v/>
      </c>
      <c r="F7326" s="8">
        <f>QS.TRADE.CREATE("trade.7324",C7326,E7326,A7326,"Receive")</f>
        <v/>
      </c>
      <c r="G7326" s="5"/>
      <c r="H7326" s="7" t="s">
        <v>7367</v>
      </c>
      <c r="I7326" s="9">
        <v>1732400</v>
      </c>
      <c r="J7326" s="10">
        <v>0.0374</v>
      </c>
    </row>
    <row r="7327" spans="1:10">
      <c r="A7327" s="7" t="s">
        <v>7361</v>
      </c>
      <c r="B7327" s="7" t="s">
        <v>9194</v>
      </c>
      <c r="C7327" s="8">
        <f>QS.CONTEXT.CREATE("market.7325",A7327,"USD","SOFR")</f>
        <v/>
      </c>
      <c r="D7327" s="8">
        <f>QS.CONTEXT.ADD.CURVE(C7327,"SOFR",$K$2:$K$7,$L$2:$L$7,,,"Actual360","LogLinear",TRUE)</f>
        <v/>
      </c>
      <c r="E7327" s="8">
        <f>QS.INSTRUMENT.SWAP("swap.7325",C7327,H7327,B7327,"USD","SOFR",I7327,J7327,0,"Actual360","Simple","Annual","Annual","Annual")</f>
        <v/>
      </c>
      <c r="F7327" s="8">
        <f>QS.TRADE.CREATE("trade.7325",C7327,E7327,A7327,"Receive")</f>
        <v/>
      </c>
      <c r="G7327" s="5"/>
      <c r="H7327" s="7" t="s">
        <v>7368</v>
      </c>
      <c r="I7327" s="9">
        <v>1732500</v>
      </c>
      <c r="J7327" s="10">
        <v>0.03750000000000001</v>
      </c>
    </row>
    <row r="7328" spans="1:10">
      <c r="A7328" s="7" t="s">
        <v>7362</v>
      </c>
      <c r="B7328" s="7" t="s">
        <v>9195</v>
      </c>
      <c r="C7328" s="8">
        <f>QS.CONTEXT.CREATE("market.7326",A7328,"USD","SOFR")</f>
        <v/>
      </c>
      <c r="D7328" s="8">
        <f>QS.CONTEXT.ADD.CURVE(C7328,"SOFR",$K$2:$K$7,$L$2:$L$7,,,"Actual360","LogLinear",TRUE)</f>
        <v/>
      </c>
      <c r="E7328" s="8">
        <f>QS.INSTRUMENT.SWAP("swap.7326",C7328,H7328,B7328,"USD","SOFR",I7328,J7328,0,"Actual360","Simple","Annual","Annual","Annual")</f>
        <v/>
      </c>
      <c r="F7328" s="8">
        <f>QS.TRADE.CREATE("trade.7326",C7328,E7328,A7328,"Receive")</f>
        <v/>
      </c>
      <c r="G7328" s="5"/>
      <c r="H7328" s="7" t="s">
        <v>7369</v>
      </c>
      <c r="I7328" s="9">
        <v>1732600</v>
      </c>
      <c r="J7328" s="10">
        <v>0.0376</v>
      </c>
    </row>
    <row r="7329" spans="1:10">
      <c r="A7329" s="7" t="s">
        <v>7363</v>
      </c>
      <c r="B7329" s="7" t="s">
        <v>9196</v>
      </c>
      <c r="C7329" s="8">
        <f>QS.CONTEXT.CREATE("market.7327",A7329,"USD","SOFR")</f>
        <v/>
      </c>
      <c r="D7329" s="8">
        <f>QS.CONTEXT.ADD.CURVE(C7329,"SOFR",$K$2:$K$7,$L$2:$L$7,,,"Actual360","LogLinear",TRUE)</f>
        <v/>
      </c>
      <c r="E7329" s="8">
        <f>QS.INSTRUMENT.SWAP("swap.7327",C7329,H7329,B7329,"USD","SOFR",I7329,J7329,0,"Actual360","Simple","Annual","Annual","Annual")</f>
        <v/>
      </c>
      <c r="F7329" s="8">
        <f>QS.TRADE.CREATE("trade.7327",C7329,E7329,A7329,"Receive")</f>
        <v/>
      </c>
      <c r="G7329" s="5"/>
      <c r="H7329" s="7" t="s">
        <v>7370</v>
      </c>
      <c r="I7329" s="9">
        <v>1732700</v>
      </c>
      <c r="J7329" s="10">
        <v>0.0377</v>
      </c>
    </row>
    <row r="7330" spans="1:10">
      <c r="A7330" s="7" t="s">
        <v>7364</v>
      </c>
      <c r="B7330" s="7" t="s">
        <v>9197</v>
      </c>
      <c r="C7330" s="8">
        <f>QS.CONTEXT.CREATE("market.7328",A7330,"USD","SOFR")</f>
        <v/>
      </c>
      <c r="D7330" s="8">
        <f>QS.CONTEXT.ADD.CURVE(C7330,"SOFR",$K$2:$K$7,$L$2:$L$7,,,"Actual360","LogLinear",TRUE)</f>
        <v/>
      </c>
      <c r="E7330" s="8">
        <f>QS.INSTRUMENT.SWAP("swap.7328",C7330,H7330,B7330,"USD","SOFR",I7330,J7330,0,"Actual360","Simple","Annual","Annual","Annual")</f>
        <v/>
      </c>
      <c r="F7330" s="8">
        <f>QS.TRADE.CREATE("trade.7328",C7330,E7330,A7330,"Receive")</f>
        <v/>
      </c>
      <c r="G7330" s="5"/>
      <c r="H7330" s="7" t="s">
        <v>7371</v>
      </c>
      <c r="I7330" s="9">
        <v>1732800</v>
      </c>
      <c r="J7330" s="10">
        <v>0.0378</v>
      </c>
    </row>
    <row r="7331" spans="1:10">
      <c r="A7331" s="7" t="s">
        <v>7365</v>
      </c>
      <c r="B7331" s="7" t="s">
        <v>9198</v>
      </c>
      <c r="C7331" s="8">
        <f>QS.CONTEXT.CREATE("market.7329",A7331,"USD","SOFR")</f>
        <v/>
      </c>
      <c r="D7331" s="8">
        <f>QS.CONTEXT.ADD.CURVE(C7331,"SOFR",$K$2:$K$7,$L$2:$L$7,,,"Actual360","LogLinear",TRUE)</f>
        <v/>
      </c>
      <c r="E7331" s="8">
        <f>QS.INSTRUMENT.SWAP("swap.7329",C7331,H7331,B7331,"USD","SOFR",I7331,J7331,0,"Actual360","Simple","Annual","Annual","Annual")</f>
        <v/>
      </c>
      <c r="F7331" s="8">
        <f>QS.TRADE.CREATE("trade.7329",C7331,E7331,A7331,"Receive")</f>
        <v/>
      </c>
      <c r="G7331" s="5"/>
      <c r="H7331" s="7" t="s">
        <v>7372</v>
      </c>
      <c r="I7331" s="9">
        <v>1732900</v>
      </c>
      <c r="J7331" s="10">
        <v>0.0379</v>
      </c>
    </row>
    <row r="7332" spans="1:10">
      <c r="A7332" s="7" t="s">
        <v>7366</v>
      </c>
      <c r="B7332" s="7" t="s">
        <v>9199</v>
      </c>
      <c r="C7332" s="8">
        <f>QS.CONTEXT.CREATE("market.7330",A7332,"USD","SOFR")</f>
        <v/>
      </c>
      <c r="D7332" s="8">
        <f>QS.CONTEXT.ADD.CURVE(C7332,"SOFR",$K$2:$K$7,$L$2:$L$7,,,"Actual360","LogLinear",TRUE)</f>
        <v/>
      </c>
      <c r="E7332" s="8">
        <f>QS.INSTRUMENT.SWAP("swap.7330",C7332,H7332,B7332,"USD","SOFR",I7332,J7332,0,"Actual360","Simple","Annual","Annual","Annual")</f>
        <v/>
      </c>
      <c r="F7332" s="8">
        <f>QS.TRADE.CREATE("trade.7330",C7332,E7332,A7332,"Receive")</f>
        <v/>
      </c>
      <c r="G7332" s="5"/>
      <c r="H7332" s="7" t="s">
        <v>7373</v>
      </c>
      <c r="I7332" s="9">
        <v>1733000</v>
      </c>
      <c r="J7332" s="10">
        <v>0.03800000000000001</v>
      </c>
    </row>
    <row r="7333" spans="1:10">
      <c r="A7333" s="7" t="s">
        <v>7367</v>
      </c>
      <c r="B7333" s="7" t="s">
        <v>9200</v>
      </c>
      <c r="C7333" s="8">
        <f>QS.CONTEXT.CREATE("market.7331",A7333,"USD","SOFR")</f>
        <v/>
      </c>
      <c r="D7333" s="8">
        <f>QS.CONTEXT.ADD.CURVE(C7333,"SOFR",$K$2:$K$7,$L$2:$L$7,,,"Actual360","LogLinear",TRUE)</f>
        <v/>
      </c>
      <c r="E7333" s="8">
        <f>QS.INSTRUMENT.SWAP("swap.7331",C7333,H7333,B7333,"USD","SOFR",I7333,J7333,0,"Actual360","Simple","Annual","Annual","Annual")</f>
        <v/>
      </c>
      <c r="F7333" s="8">
        <f>QS.TRADE.CREATE("trade.7331",C7333,E7333,A7333,"Receive")</f>
        <v/>
      </c>
      <c r="G7333" s="5"/>
      <c r="H7333" s="7" t="s">
        <v>7374</v>
      </c>
      <c r="I7333" s="9">
        <v>1733100</v>
      </c>
      <c r="J7333" s="10">
        <v>0.0381</v>
      </c>
    </row>
    <row r="7334" spans="1:10">
      <c r="A7334" s="7" t="s">
        <v>7368</v>
      </c>
      <c r="B7334" s="7" t="s">
        <v>9201</v>
      </c>
      <c r="C7334" s="8">
        <f>QS.CONTEXT.CREATE("market.7332",A7334,"USD","SOFR")</f>
        <v/>
      </c>
      <c r="D7334" s="8">
        <f>QS.CONTEXT.ADD.CURVE(C7334,"SOFR",$K$2:$K$7,$L$2:$L$7,,,"Actual360","LogLinear",TRUE)</f>
        <v/>
      </c>
      <c r="E7334" s="8">
        <f>QS.INSTRUMENT.SWAP("swap.7332",C7334,H7334,B7334,"USD","SOFR",I7334,J7334,0,"Actual360","Simple","Annual","Annual","Annual")</f>
        <v/>
      </c>
      <c r="F7334" s="8">
        <f>QS.TRADE.CREATE("trade.7332",C7334,E7334,A7334,"Receive")</f>
        <v/>
      </c>
      <c r="G7334" s="5"/>
      <c r="H7334" s="7" t="s">
        <v>7375</v>
      </c>
      <c r="I7334" s="9">
        <v>1733200</v>
      </c>
      <c r="J7334" s="10">
        <v>0.0382</v>
      </c>
    </row>
    <row r="7335" spans="1:10">
      <c r="A7335" s="7" t="s">
        <v>7369</v>
      </c>
      <c r="B7335" s="7" t="s">
        <v>9202</v>
      </c>
      <c r="C7335" s="8">
        <f>QS.CONTEXT.CREATE("market.7333",A7335,"USD","SOFR")</f>
        <v/>
      </c>
      <c r="D7335" s="8">
        <f>QS.CONTEXT.ADD.CURVE(C7335,"SOFR",$K$2:$K$7,$L$2:$L$7,,,"Actual360","LogLinear",TRUE)</f>
        <v/>
      </c>
      <c r="E7335" s="8">
        <f>QS.INSTRUMENT.SWAP("swap.7333",C7335,H7335,B7335,"USD","SOFR",I7335,J7335,0,"Actual360","Simple","Annual","Annual","Annual")</f>
        <v/>
      </c>
      <c r="F7335" s="8">
        <f>QS.TRADE.CREATE("trade.7333",C7335,E7335,A7335,"Receive")</f>
        <v/>
      </c>
      <c r="G7335" s="5"/>
      <c r="H7335" s="7" t="s">
        <v>7376</v>
      </c>
      <c r="I7335" s="9">
        <v>1733300</v>
      </c>
      <c r="J7335" s="10">
        <v>0.0383</v>
      </c>
    </row>
    <row r="7336" spans="1:10">
      <c r="A7336" s="7" t="s">
        <v>7370</v>
      </c>
      <c r="B7336" s="7" t="s">
        <v>9203</v>
      </c>
      <c r="C7336" s="8">
        <f>QS.CONTEXT.CREATE("market.7334",A7336,"USD","SOFR")</f>
        <v/>
      </c>
      <c r="D7336" s="8">
        <f>QS.CONTEXT.ADD.CURVE(C7336,"SOFR",$K$2:$K$7,$L$2:$L$7,,,"Actual360","LogLinear",TRUE)</f>
        <v/>
      </c>
      <c r="E7336" s="8">
        <f>QS.INSTRUMENT.SWAP("swap.7334",C7336,H7336,B7336,"USD","SOFR",I7336,J7336,0,"Actual360","Simple","Annual","Annual","Annual")</f>
        <v/>
      </c>
      <c r="F7336" s="8">
        <f>QS.TRADE.CREATE("trade.7334",C7336,E7336,A7336,"Receive")</f>
        <v/>
      </c>
      <c r="G7336" s="5"/>
      <c r="H7336" s="7" t="s">
        <v>7377</v>
      </c>
      <c r="I7336" s="9">
        <v>1733400</v>
      </c>
      <c r="J7336" s="10">
        <v>0.0384</v>
      </c>
    </row>
    <row r="7337" spans="1:10">
      <c r="A7337" s="7" t="s">
        <v>7371</v>
      </c>
      <c r="B7337" s="7" t="s">
        <v>9204</v>
      </c>
      <c r="C7337" s="8">
        <f>QS.CONTEXT.CREATE("market.7335",A7337,"USD","SOFR")</f>
        <v/>
      </c>
      <c r="D7337" s="8">
        <f>QS.CONTEXT.ADD.CURVE(C7337,"SOFR",$K$2:$K$7,$L$2:$L$7,,,"Actual360","LogLinear",TRUE)</f>
        <v/>
      </c>
      <c r="E7337" s="8">
        <f>QS.INSTRUMENT.SWAP("swap.7335",C7337,H7337,B7337,"USD","SOFR",I7337,J7337,0,"Actual360","Simple","Annual","Annual","Annual")</f>
        <v/>
      </c>
      <c r="F7337" s="8">
        <f>QS.TRADE.CREATE("trade.7335",C7337,E7337,A7337,"Receive")</f>
        <v/>
      </c>
      <c r="G7337" s="5"/>
      <c r="H7337" s="7" t="s">
        <v>7378</v>
      </c>
      <c r="I7337" s="9">
        <v>1733500</v>
      </c>
      <c r="J7337" s="10">
        <v>0.03850000000000001</v>
      </c>
    </row>
    <row r="7338" spans="1:10">
      <c r="A7338" s="7" t="s">
        <v>7372</v>
      </c>
      <c r="B7338" s="7" t="s">
        <v>9205</v>
      </c>
      <c r="C7338" s="8">
        <f>QS.CONTEXT.CREATE("market.7336",A7338,"USD","SOFR")</f>
        <v/>
      </c>
      <c r="D7338" s="8">
        <f>QS.CONTEXT.ADD.CURVE(C7338,"SOFR",$K$2:$K$7,$L$2:$L$7,,,"Actual360","LogLinear",TRUE)</f>
        <v/>
      </c>
      <c r="E7338" s="8">
        <f>QS.INSTRUMENT.SWAP("swap.7336",C7338,H7338,B7338,"USD","SOFR",I7338,J7338,0,"Actual360","Simple","Annual","Annual","Annual")</f>
        <v/>
      </c>
      <c r="F7338" s="8">
        <f>QS.TRADE.CREATE("trade.7336",C7338,E7338,A7338,"Receive")</f>
        <v/>
      </c>
      <c r="G7338" s="5"/>
      <c r="H7338" s="7" t="s">
        <v>7379</v>
      </c>
      <c r="I7338" s="9">
        <v>1733600</v>
      </c>
      <c r="J7338" s="10">
        <v>0.0386</v>
      </c>
    </row>
    <row r="7339" spans="1:10">
      <c r="A7339" s="7" t="s">
        <v>7373</v>
      </c>
      <c r="B7339" s="7" t="s">
        <v>9206</v>
      </c>
      <c r="C7339" s="8">
        <f>QS.CONTEXT.CREATE("market.7337",A7339,"USD","SOFR")</f>
        <v/>
      </c>
      <c r="D7339" s="8">
        <f>QS.CONTEXT.ADD.CURVE(C7339,"SOFR",$K$2:$K$7,$L$2:$L$7,,,"Actual360","LogLinear",TRUE)</f>
        <v/>
      </c>
      <c r="E7339" s="8">
        <f>QS.INSTRUMENT.SWAP("swap.7337",C7339,H7339,B7339,"USD","SOFR",I7339,J7339,0,"Actual360","Simple","Annual","Annual","Annual")</f>
        <v/>
      </c>
      <c r="F7339" s="8">
        <f>QS.TRADE.CREATE("trade.7337",C7339,E7339,A7339,"Receive")</f>
        <v/>
      </c>
      <c r="G7339" s="5"/>
      <c r="H7339" s="7" t="s">
        <v>7380</v>
      </c>
      <c r="I7339" s="9">
        <v>1733700</v>
      </c>
      <c r="J7339" s="10">
        <v>0.03870000000000001</v>
      </c>
    </row>
    <row r="7340" spans="1:10">
      <c r="A7340" s="7" t="s">
        <v>7374</v>
      </c>
      <c r="B7340" s="7" t="s">
        <v>9207</v>
      </c>
      <c r="C7340" s="8">
        <f>QS.CONTEXT.CREATE("market.7338",A7340,"USD","SOFR")</f>
        <v/>
      </c>
      <c r="D7340" s="8">
        <f>QS.CONTEXT.ADD.CURVE(C7340,"SOFR",$K$2:$K$7,$L$2:$L$7,,,"Actual360","LogLinear",TRUE)</f>
        <v/>
      </c>
      <c r="E7340" s="8">
        <f>QS.INSTRUMENT.SWAP("swap.7338",C7340,H7340,B7340,"USD","SOFR",I7340,J7340,0,"Actual360","Simple","Annual","Annual","Annual")</f>
        <v/>
      </c>
      <c r="F7340" s="8">
        <f>QS.TRADE.CREATE("trade.7338",C7340,E7340,A7340,"Receive")</f>
        <v/>
      </c>
      <c r="G7340" s="5"/>
      <c r="H7340" s="7" t="s">
        <v>7381</v>
      </c>
      <c r="I7340" s="9">
        <v>1733800</v>
      </c>
      <c r="J7340" s="10">
        <v>0.0388</v>
      </c>
    </row>
    <row r="7341" spans="1:10">
      <c r="A7341" s="7" t="s">
        <v>7375</v>
      </c>
      <c r="B7341" s="7" t="s">
        <v>9208</v>
      </c>
      <c r="C7341" s="8">
        <f>QS.CONTEXT.CREATE("market.7339",A7341,"USD","SOFR")</f>
        <v/>
      </c>
      <c r="D7341" s="8">
        <f>QS.CONTEXT.ADD.CURVE(C7341,"SOFR",$K$2:$K$7,$L$2:$L$7,,,"Actual360","LogLinear",TRUE)</f>
        <v/>
      </c>
      <c r="E7341" s="8">
        <f>QS.INSTRUMENT.SWAP("swap.7339",C7341,H7341,B7341,"USD","SOFR",I7341,J7341,0,"Actual360","Simple","Annual","Annual","Annual")</f>
        <v/>
      </c>
      <c r="F7341" s="8">
        <f>QS.TRADE.CREATE("trade.7339",C7341,E7341,A7341,"Receive")</f>
        <v/>
      </c>
      <c r="G7341" s="5"/>
      <c r="H7341" s="7" t="s">
        <v>7382</v>
      </c>
      <c r="I7341" s="9">
        <v>1733900</v>
      </c>
      <c r="J7341" s="10">
        <v>0.0389</v>
      </c>
    </row>
    <row r="7342" spans="1:10">
      <c r="A7342" s="7" t="s">
        <v>7376</v>
      </c>
      <c r="B7342" s="7" t="s">
        <v>9209</v>
      </c>
      <c r="C7342" s="8">
        <f>QS.CONTEXT.CREATE("market.7340",A7342,"USD","SOFR")</f>
        <v/>
      </c>
      <c r="D7342" s="8">
        <f>QS.CONTEXT.ADD.CURVE(C7342,"SOFR",$K$2:$K$7,$L$2:$L$7,,,"Actual360","LogLinear",TRUE)</f>
        <v/>
      </c>
      <c r="E7342" s="8">
        <f>QS.INSTRUMENT.SWAP("swap.7340",C7342,H7342,B7342,"USD","SOFR",I7342,J7342,0,"Actual360","Simple","Annual","Annual","Annual")</f>
        <v/>
      </c>
      <c r="F7342" s="8">
        <f>QS.TRADE.CREATE("trade.7340",C7342,E7342,A7342,"Receive")</f>
        <v/>
      </c>
      <c r="G7342" s="5"/>
      <c r="H7342" s="7" t="s">
        <v>7383</v>
      </c>
      <c r="I7342" s="9">
        <v>1734000</v>
      </c>
      <c r="J7342" s="10">
        <v>0.03900000000000001</v>
      </c>
    </row>
    <row r="7343" spans="1:10">
      <c r="A7343" s="7" t="s">
        <v>7377</v>
      </c>
      <c r="B7343" s="7" t="s">
        <v>9210</v>
      </c>
      <c r="C7343" s="8">
        <f>QS.CONTEXT.CREATE("market.7341",A7343,"USD","SOFR")</f>
        <v/>
      </c>
      <c r="D7343" s="8">
        <f>QS.CONTEXT.ADD.CURVE(C7343,"SOFR",$K$2:$K$7,$L$2:$L$7,,,"Actual360","LogLinear",TRUE)</f>
        <v/>
      </c>
      <c r="E7343" s="8">
        <f>QS.INSTRUMENT.SWAP("swap.7341",C7343,H7343,B7343,"USD","SOFR",I7343,J7343,0,"Actual360","Simple","Annual","Annual","Annual")</f>
        <v/>
      </c>
      <c r="F7343" s="8">
        <f>QS.TRADE.CREATE("trade.7341",C7343,E7343,A7343,"Receive")</f>
        <v/>
      </c>
      <c r="G7343" s="5"/>
      <c r="H7343" s="7" t="s">
        <v>7384</v>
      </c>
      <c r="I7343" s="9">
        <v>1734100</v>
      </c>
      <c r="J7343" s="10">
        <v>0.0391</v>
      </c>
    </row>
    <row r="7344" spans="1:10">
      <c r="A7344" s="7" t="s">
        <v>7378</v>
      </c>
      <c r="B7344" s="7" t="s">
        <v>9211</v>
      </c>
      <c r="C7344" s="8">
        <f>QS.CONTEXT.CREATE("market.7342",A7344,"USD","SOFR")</f>
        <v/>
      </c>
      <c r="D7344" s="8">
        <f>QS.CONTEXT.ADD.CURVE(C7344,"SOFR",$K$2:$K$7,$L$2:$L$7,,,"Actual360","LogLinear",TRUE)</f>
        <v/>
      </c>
      <c r="E7344" s="8">
        <f>QS.INSTRUMENT.SWAP("swap.7342",C7344,H7344,B7344,"USD","SOFR",I7344,J7344,0,"Actual360","Simple","Annual","Annual","Annual")</f>
        <v/>
      </c>
      <c r="F7344" s="8">
        <f>QS.TRADE.CREATE("trade.7342",C7344,E7344,A7344,"Receive")</f>
        <v/>
      </c>
      <c r="G7344" s="5"/>
      <c r="H7344" s="7" t="s">
        <v>7385</v>
      </c>
      <c r="I7344" s="9">
        <v>1734200</v>
      </c>
      <c r="J7344" s="10">
        <v>0.03920000000000001</v>
      </c>
    </row>
    <row r="7345" spans="1:10">
      <c r="A7345" s="7" t="s">
        <v>7379</v>
      </c>
      <c r="B7345" s="7" t="s">
        <v>9212</v>
      </c>
      <c r="C7345" s="8">
        <f>QS.CONTEXT.CREATE("market.7343",A7345,"USD","SOFR")</f>
        <v/>
      </c>
      <c r="D7345" s="8">
        <f>QS.CONTEXT.ADD.CURVE(C7345,"SOFR",$K$2:$K$7,$L$2:$L$7,,,"Actual360","LogLinear",TRUE)</f>
        <v/>
      </c>
      <c r="E7345" s="8">
        <f>QS.INSTRUMENT.SWAP("swap.7343",C7345,H7345,B7345,"USD","SOFR",I7345,J7345,0,"Actual360","Simple","Annual","Annual","Annual")</f>
        <v/>
      </c>
      <c r="F7345" s="8">
        <f>QS.TRADE.CREATE("trade.7343",C7345,E7345,A7345,"Receive")</f>
        <v/>
      </c>
      <c r="G7345" s="5"/>
      <c r="H7345" s="7" t="s">
        <v>7386</v>
      </c>
      <c r="I7345" s="9">
        <v>1734300</v>
      </c>
      <c r="J7345" s="10">
        <v>0.0393</v>
      </c>
    </row>
    <row r="7346" spans="1:10">
      <c r="A7346" s="7" t="s">
        <v>7380</v>
      </c>
      <c r="B7346" s="7" t="s">
        <v>9213</v>
      </c>
      <c r="C7346" s="8">
        <f>QS.CONTEXT.CREATE("market.7344",A7346,"USD","SOFR")</f>
        <v/>
      </c>
      <c r="D7346" s="8">
        <f>QS.CONTEXT.ADD.CURVE(C7346,"SOFR",$K$2:$K$7,$L$2:$L$7,,,"Actual360","LogLinear",TRUE)</f>
        <v/>
      </c>
      <c r="E7346" s="8">
        <f>QS.INSTRUMENT.SWAP("swap.7344",C7346,H7346,B7346,"USD","SOFR",I7346,J7346,0,"Actual360","Simple","Annual","Annual","Annual")</f>
        <v/>
      </c>
      <c r="F7346" s="8">
        <f>QS.TRADE.CREATE("trade.7344",C7346,E7346,A7346,"Receive")</f>
        <v/>
      </c>
      <c r="G7346" s="5"/>
      <c r="H7346" s="7" t="s">
        <v>7387</v>
      </c>
      <c r="I7346" s="9">
        <v>1734400</v>
      </c>
      <c r="J7346" s="10">
        <v>0.0394</v>
      </c>
    </row>
    <row r="7347" spans="1:10">
      <c r="A7347" s="7" t="s">
        <v>7381</v>
      </c>
      <c r="B7347" s="7" t="s">
        <v>9214</v>
      </c>
      <c r="C7347" s="8">
        <f>QS.CONTEXT.CREATE("market.7345",A7347,"USD","SOFR")</f>
        <v/>
      </c>
      <c r="D7347" s="8">
        <f>QS.CONTEXT.ADD.CURVE(C7347,"SOFR",$K$2:$K$7,$L$2:$L$7,,,"Actual360","LogLinear",TRUE)</f>
        <v/>
      </c>
      <c r="E7347" s="8">
        <f>QS.INSTRUMENT.SWAP("swap.7345",C7347,H7347,B7347,"USD","SOFR",I7347,J7347,0,"Actual360","Simple","Annual","Annual","Annual")</f>
        <v/>
      </c>
      <c r="F7347" s="8">
        <f>QS.TRADE.CREATE("trade.7345",C7347,E7347,A7347,"Receive")</f>
        <v/>
      </c>
      <c r="G7347" s="5"/>
      <c r="H7347" s="7" t="s">
        <v>7388</v>
      </c>
      <c r="I7347" s="9">
        <v>1734500</v>
      </c>
      <c r="J7347" s="10">
        <v>0.03950000000000001</v>
      </c>
    </row>
    <row r="7348" spans="1:10">
      <c r="A7348" s="7" t="s">
        <v>7382</v>
      </c>
      <c r="B7348" s="7" t="s">
        <v>9215</v>
      </c>
      <c r="C7348" s="8">
        <f>QS.CONTEXT.CREATE("market.7346",A7348,"USD","SOFR")</f>
        <v/>
      </c>
      <c r="D7348" s="8">
        <f>QS.CONTEXT.ADD.CURVE(C7348,"SOFR",$K$2:$K$7,$L$2:$L$7,,,"Actual360","LogLinear",TRUE)</f>
        <v/>
      </c>
      <c r="E7348" s="8">
        <f>QS.INSTRUMENT.SWAP("swap.7346",C7348,H7348,B7348,"USD","SOFR",I7348,J7348,0,"Actual360","Simple","Annual","Annual","Annual")</f>
        <v/>
      </c>
      <c r="F7348" s="8">
        <f>QS.TRADE.CREATE("trade.7346",C7348,E7348,A7348,"Receive")</f>
        <v/>
      </c>
      <c r="G7348" s="5"/>
      <c r="H7348" s="7" t="s">
        <v>7389</v>
      </c>
      <c r="I7348" s="9">
        <v>1734600</v>
      </c>
      <c r="J7348" s="10">
        <v>0.0396</v>
      </c>
    </row>
    <row r="7349" spans="1:10">
      <c r="A7349" s="7" t="s">
        <v>7383</v>
      </c>
      <c r="B7349" s="7" t="s">
        <v>9216</v>
      </c>
      <c r="C7349" s="8">
        <f>QS.CONTEXT.CREATE("market.7347",A7349,"USD","SOFR")</f>
        <v/>
      </c>
      <c r="D7349" s="8">
        <f>QS.CONTEXT.ADD.CURVE(C7349,"SOFR",$K$2:$K$7,$L$2:$L$7,,,"Actual360","LogLinear",TRUE)</f>
        <v/>
      </c>
      <c r="E7349" s="8">
        <f>QS.INSTRUMENT.SWAP("swap.7347",C7349,H7349,B7349,"USD","SOFR",I7349,J7349,0,"Actual360","Simple","Annual","Annual","Annual")</f>
        <v/>
      </c>
      <c r="F7349" s="8">
        <f>QS.TRADE.CREATE("trade.7347",C7349,E7349,A7349,"Receive")</f>
        <v/>
      </c>
      <c r="G7349" s="5"/>
      <c r="H7349" s="7" t="s">
        <v>7390</v>
      </c>
      <c r="I7349" s="9">
        <v>1734700</v>
      </c>
      <c r="J7349" s="10">
        <v>0.03970000000000001</v>
      </c>
    </row>
    <row r="7350" spans="1:10">
      <c r="A7350" s="7" t="s">
        <v>7384</v>
      </c>
      <c r="B7350" s="7" t="s">
        <v>9217</v>
      </c>
      <c r="C7350" s="8">
        <f>QS.CONTEXT.CREATE("market.7348",A7350,"USD","SOFR")</f>
        <v/>
      </c>
      <c r="D7350" s="8">
        <f>QS.CONTEXT.ADD.CURVE(C7350,"SOFR",$K$2:$K$7,$L$2:$L$7,,,"Actual360","LogLinear",TRUE)</f>
        <v/>
      </c>
      <c r="E7350" s="8">
        <f>QS.INSTRUMENT.SWAP("swap.7348",C7350,H7350,B7350,"USD","SOFR",I7350,J7350,0,"Actual360","Simple","Annual","Annual","Annual")</f>
        <v/>
      </c>
      <c r="F7350" s="8">
        <f>QS.TRADE.CREATE("trade.7348",C7350,E7350,A7350,"Receive")</f>
        <v/>
      </c>
      <c r="G7350" s="5"/>
      <c r="H7350" s="7" t="s">
        <v>7391</v>
      </c>
      <c r="I7350" s="9">
        <v>1734800</v>
      </c>
      <c r="J7350" s="10">
        <v>0.0398</v>
      </c>
    </row>
    <row r="7351" spans="1:10">
      <c r="A7351" s="7" t="s">
        <v>7385</v>
      </c>
      <c r="B7351" s="7" t="s">
        <v>9218</v>
      </c>
      <c r="C7351" s="8">
        <f>QS.CONTEXT.CREATE("market.7349",A7351,"USD","SOFR")</f>
        <v/>
      </c>
      <c r="D7351" s="8">
        <f>QS.CONTEXT.ADD.CURVE(C7351,"SOFR",$K$2:$K$7,$L$2:$L$7,,,"Actual360","LogLinear",TRUE)</f>
        <v/>
      </c>
      <c r="E7351" s="8">
        <f>QS.INSTRUMENT.SWAP("swap.7349",C7351,H7351,B7351,"USD","SOFR",I7351,J7351,0,"Actual360","Simple","Annual","Annual","Annual")</f>
        <v/>
      </c>
      <c r="F7351" s="8">
        <f>QS.TRADE.CREATE("trade.7349",C7351,E7351,A7351,"Receive")</f>
        <v/>
      </c>
      <c r="G7351" s="5"/>
      <c r="H7351" s="7" t="s">
        <v>7392</v>
      </c>
      <c r="I7351" s="9">
        <v>1734900</v>
      </c>
      <c r="J7351" s="10">
        <v>0.0399</v>
      </c>
    </row>
    <row r="7352" spans="1:10">
      <c r="A7352" s="7" t="s">
        <v>7386</v>
      </c>
      <c r="B7352" s="7" t="s">
        <v>9219</v>
      </c>
      <c r="C7352" s="8">
        <f>QS.CONTEXT.CREATE("market.7350",A7352,"USD","SOFR")</f>
        <v/>
      </c>
      <c r="D7352" s="8">
        <f>QS.CONTEXT.ADD.CURVE(C7352,"SOFR",$K$2:$K$7,$L$2:$L$7,,,"Actual360","LogLinear",TRUE)</f>
        <v/>
      </c>
      <c r="E7352" s="8">
        <f>QS.INSTRUMENT.SWAP("swap.7350",C7352,H7352,B7352,"USD","SOFR",I7352,J7352,0,"Actual360","Simple","Annual","Annual","Annual")</f>
        <v/>
      </c>
      <c r="F7352" s="8">
        <f>QS.TRADE.CREATE("trade.7350",C7352,E7352,A7352,"Receive")</f>
        <v/>
      </c>
      <c r="G7352" s="5"/>
      <c r="H7352" s="7" t="s">
        <v>7393</v>
      </c>
      <c r="I7352" s="9">
        <v>1735000</v>
      </c>
      <c r="J7352" s="10">
        <v>0.035</v>
      </c>
    </row>
    <row r="7353" spans="1:10">
      <c r="A7353" s="7" t="s">
        <v>7387</v>
      </c>
      <c r="B7353" s="7" t="s">
        <v>9220</v>
      </c>
      <c r="C7353" s="8">
        <f>QS.CONTEXT.CREATE("market.7351",A7353,"USD","SOFR")</f>
        <v/>
      </c>
      <c r="D7353" s="8">
        <f>QS.CONTEXT.ADD.CURVE(C7353,"SOFR",$K$2:$K$7,$L$2:$L$7,,,"Actual360","LogLinear",TRUE)</f>
        <v/>
      </c>
      <c r="E7353" s="8">
        <f>QS.INSTRUMENT.SWAP("swap.7351",C7353,H7353,B7353,"USD","SOFR",I7353,J7353,0,"Actual360","Simple","Annual","Annual","Annual")</f>
        <v/>
      </c>
      <c r="F7353" s="8">
        <f>QS.TRADE.CREATE("trade.7351",C7353,E7353,A7353,"Receive")</f>
        <v/>
      </c>
      <c r="G7353" s="5"/>
      <c r="H7353" s="7" t="s">
        <v>7394</v>
      </c>
      <c r="I7353" s="9">
        <v>1735100</v>
      </c>
      <c r="J7353" s="10">
        <v>0.03510000000000001</v>
      </c>
    </row>
    <row r="7354" spans="1:10">
      <c r="A7354" s="7" t="s">
        <v>7388</v>
      </c>
      <c r="B7354" s="7" t="s">
        <v>9221</v>
      </c>
      <c r="C7354" s="8">
        <f>QS.CONTEXT.CREATE("market.7352",A7354,"USD","SOFR")</f>
        <v/>
      </c>
      <c r="D7354" s="8">
        <f>QS.CONTEXT.ADD.CURVE(C7354,"SOFR",$K$2:$K$7,$L$2:$L$7,,,"Actual360","LogLinear",TRUE)</f>
        <v/>
      </c>
      <c r="E7354" s="8">
        <f>QS.INSTRUMENT.SWAP("swap.7352",C7354,H7354,B7354,"USD","SOFR",I7354,J7354,0,"Actual360","Simple","Annual","Annual","Annual")</f>
        <v/>
      </c>
      <c r="F7354" s="8">
        <f>QS.TRADE.CREATE("trade.7352",C7354,E7354,A7354,"Receive")</f>
        <v/>
      </c>
      <c r="G7354" s="5"/>
      <c r="H7354" s="7" t="s">
        <v>7395</v>
      </c>
      <c r="I7354" s="9">
        <v>1735200</v>
      </c>
      <c r="J7354" s="10">
        <v>0.0352</v>
      </c>
    </row>
    <row r="7355" spans="1:10">
      <c r="A7355" s="7" t="s">
        <v>7389</v>
      </c>
      <c r="B7355" s="7" t="s">
        <v>9222</v>
      </c>
      <c r="C7355" s="8">
        <f>QS.CONTEXT.CREATE("market.7353",A7355,"USD","SOFR")</f>
        <v/>
      </c>
      <c r="D7355" s="8">
        <f>QS.CONTEXT.ADD.CURVE(C7355,"SOFR",$K$2:$K$7,$L$2:$L$7,,,"Actual360","LogLinear",TRUE)</f>
        <v/>
      </c>
      <c r="E7355" s="8">
        <f>QS.INSTRUMENT.SWAP("swap.7353",C7355,H7355,B7355,"USD","SOFR",I7355,J7355,0,"Actual360","Simple","Annual","Annual","Annual")</f>
        <v/>
      </c>
      <c r="F7355" s="8">
        <f>QS.TRADE.CREATE("trade.7353",C7355,E7355,A7355,"Receive")</f>
        <v/>
      </c>
      <c r="G7355" s="5"/>
      <c r="H7355" s="7" t="s">
        <v>7396</v>
      </c>
      <c r="I7355" s="9">
        <v>1735300</v>
      </c>
      <c r="J7355" s="10">
        <v>0.0353</v>
      </c>
    </row>
    <row r="7356" spans="1:10">
      <c r="A7356" s="7" t="s">
        <v>7390</v>
      </c>
      <c r="B7356" s="7" t="s">
        <v>9223</v>
      </c>
      <c r="C7356" s="8">
        <f>QS.CONTEXT.CREATE("market.7354",A7356,"USD","SOFR")</f>
        <v/>
      </c>
      <c r="D7356" s="8">
        <f>QS.CONTEXT.ADD.CURVE(C7356,"SOFR",$K$2:$K$7,$L$2:$L$7,,,"Actual360","LogLinear",TRUE)</f>
        <v/>
      </c>
      <c r="E7356" s="8">
        <f>QS.INSTRUMENT.SWAP("swap.7354",C7356,H7356,B7356,"USD","SOFR",I7356,J7356,0,"Actual360","Simple","Annual","Annual","Annual")</f>
        <v/>
      </c>
      <c r="F7356" s="8">
        <f>QS.TRADE.CREATE("trade.7354",C7356,E7356,A7356,"Receive")</f>
        <v/>
      </c>
      <c r="G7356" s="5"/>
      <c r="H7356" s="7" t="s">
        <v>7397</v>
      </c>
      <c r="I7356" s="9">
        <v>1735400</v>
      </c>
      <c r="J7356" s="10">
        <v>0.0354</v>
      </c>
    </row>
    <row r="7357" spans="1:10">
      <c r="A7357" s="7" t="s">
        <v>7391</v>
      </c>
      <c r="B7357" s="7" t="s">
        <v>9224</v>
      </c>
      <c r="C7357" s="8">
        <f>QS.CONTEXT.CREATE("market.7355",A7357,"USD","SOFR")</f>
        <v/>
      </c>
      <c r="D7357" s="8">
        <f>QS.CONTEXT.ADD.CURVE(C7357,"SOFR",$K$2:$K$7,$L$2:$L$7,,,"Actual360","LogLinear",TRUE)</f>
        <v/>
      </c>
      <c r="E7357" s="8">
        <f>QS.INSTRUMENT.SWAP("swap.7355",C7357,H7357,B7357,"USD","SOFR",I7357,J7357,0,"Actual360","Simple","Annual","Annual","Annual")</f>
        <v/>
      </c>
      <c r="F7357" s="8">
        <f>QS.TRADE.CREATE("trade.7355",C7357,E7357,A7357,"Receive")</f>
        <v/>
      </c>
      <c r="G7357" s="5"/>
      <c r="H7357" s="7" t="s">
        <v>7398</v>
      </c>
      <c r="I7357" s="9">
        <v>1735500</v>
      </c>
      <c r="J7357" s="10">
        <v>0.0355</v>
      </c>
    </row>
    <row r="7358" spans="1:10">
      <c r="A7358" s="7" t="s">
        <v>7392</v>
      </c>
      <c r="B7358" s="7" t="s">
        <v>9225</v>
      </c>
      <c r="C7358" s="8">
        <f>QS.CONTEXT.CREATE("market.7356",A7358,"USD","SOFR")</f>
        <v/>
      </c>
      <c r="D7358" s="8">
        <f>QS.CONTEXT.ADD.CURVE(C7358,"SOFR",$K$2:$K$7,$L$2:$L$7,,,"Actual360","LogLinear",TRUE)</f>
        <v/>
      </c>
      <c r="E7358" s="8">
        <f>QS.INSTRUMENT.SWAP("swap.7356",C7358,H7358,B7358,"USD","SOFR",I7358,J7358,0,"Actual360","Simple","Annual","Annual","Annual")</f>
        <v/>
      </c>
      <c r="F7358" s="8">
        <f>QS.TRADE.CREATE("trade.7356",C7358,E7358,A7358,"Receive")</f>
        <v/>
      </c>
      <c r="G7358" s="5"/>
      <c r="H7358" s="7" t="s">
        <v>7399</v>
      </c>
      <c r="I7358" s="9">
        <v>1735600</v>
      </c>
      <c r="J7358" s="10">
        <v>0.03560000000000001</v>
      </c>
    </row>
    <row r="7359" spans="1:10">
      <c r="A7359" s="7" t="s">
        <v>7393</v>
      </c>
      <c r="B7359" s="7" t="s">
        <v>9226</v>
      </c>
      <c r="C7359" s="8">
        <f>QS.CONTEXT.CREATE("market.7357",A7359,"USD","SOFR")</f>
        <v/>
      </c>
      <c r="D7359" s="8">
        <f>QS.CONTEXT.ADD.CURVE(C7359,"SOFR",$K$2:$K$7,$L$2:$L$7,,,"Actual360","LogLinear",TRUE)</f>
        <v/>
      </c>
      <c r="E7359" s="8">
        <f>QS.INSTRUMENT.SWAP("swap.7357",C7359,H7359,B7359,"USD","SOFR",I7359,J7359,0,"Actual360","Simple","Annual","Annual","Annual")</f>
        <v/>
      </c>
      <c r="F7359" s="8">
        <f>QS.TRADE.CREATE("trade.7357",C7359,E7359,A7359,"Receive")</f>
        <v/>
      </c>
      <c r="G7359" s="5"/>
      <c r="H7359" s="7" t="s">
        <v>7400</v>
      </c>
      <c r="I7359" s="9">
        <v>1735700</v>
      </c>
      <c r="J7359" s="10">
        <v>0.0357</v>
      </c>
    </row>
    <row r="7360" spans="1:10">
      <c r="A7360" s="7" t="s">
        <v>7394</v>
      </c>
      <c r="B7360" s="7" t="s">
        <v>9227</v>
      </c>
      <c r="C7360" s="8">
        <f>QS.CONTEXT.CREATE("market.7358",A7360,"USD","SOFR")</f>
        <v/>
      </c>
      <c r="D7360" s="8">
        <f>QS.CONTEXT.ADD.CURVE(C7360,"SOFR",$K$2:$K$7,$L$2:$L$7,,,"Actual360","LogLinear",TRUE)</f>
        <v/>
      </c>
      <c r="E7360" s="8">
        <f>QS.INSTRUMENT.SWAP("swap.7358",C7360,H7360,B7360,"USD","SOFR",I7360,J7360,0,"Actual360","Simple","Annual","Annual","Annual")</f>
        <v/>
      </c>
      <c r="F7360" s="8">
        <f>QS.TRADE.CREATE("trade.7358",C7360,E7360,A7360,"Receive")</f>
        <v/>
      </c>
      <c r="G7360" s="5"/>
      <c r="H7360" s="7" t="s">
        <v>7401</v>
      </c>
      <c r="I7360" s="9">
        <v>1735800</v>
      </c>
      <c r="J7360" s="10">
        <v>0.03580000000000001</v>
      </c>
    </row>
    <row r="7361" spans="1:10">
      <c r="A7361" s="7" t="s">
        <v>7395</v>
      </c>
      <c r="B7361" s="7" t="s">
        <v>9228</v>
      </c>
      <c r="C7361" s="8">
        <f>QS.CONTEXT.CREATE("market.7359",A7361,"USD","SOFR")</f>
        <v/>
      </c>
      <c r="D7361" s="8">
        <f>QS.CONTEXT.ADD.CURVE(C7361,"SOFR",$K$2:$K$7,$L$2:$L$7,,,"Actual360","LogLinear",TRUE)</f>
        <v/>
      </c>
      <c r="E7361" s="8">
        <f>QS.INSTRUMENT.SWAP("swap.7359",C7361,H7361,B7361,"USD","SOFR",I7361,J7361,0,"Actual360","Simple","Annual","Annual","Annual")</f>
        <v/>
      </c>
      <c r="F7361" s="8">
        <f>QS.TRADE.CREATE("trade.7359",C7361,E7361,A7361,"Receive")</f>
        <v/>
      </c>
      <c r="G7361" s="5"/>
      <c r="H7361" s="7" t="s">
        <v>7402</v>
      </c>
      <c r="I7361" s="9">
        <v>1735900</v>
      </c>
      <c r="J7361" s="10">
        <v>0.0359</v>
      </c>
    </row>
    <row r="7362" spans="1:10">
      <c r="A7362" s="7" t="s">
        <v>7396</v>
      </c>
      <c r="B7362" s="7" t="s">
        <v>9229</v>
      </c>
      <c r="C7362" s="8">
        <f>QS.CONTEXT.CREATE("market.7360",A7362,"USD","SOFR")</f>
        <v/>
      </c>
      <c r="D7362" s="8">
        <f>QS.CONTEXT.ADD.CURVE(C7362,"SOFR",$K$2:$K$7,$L$2:$L$7,,,"Actual360","LogLinear",TRUE)</f>
        <v/>
      </c>
      <c r="E7362" s="8">
        <f>QS.INSTRUMENT.SWAP("swap.7360",C7362,H7362,B7362,"USD","SOFR",I7362,J7362,0,"Actual360","Simple","Annual","Annual","Annual")</f>
        <v/>
      </c>
      <c r="F7362" s="8">
        <f>QS.TRADE.CREATE("trade.7360",C7362,E7362,A7362,"Receive")</f>
        <v/>
      </c>
      <c r="G7362" s="5"/>
      <c r="H7362" s="7" t="s">
        <v>7403</v>
      </c>
      <c r="I7362" s="9">
        <v>1736000</v>
      </c>
      <c r="J7362" s="10">
        <v>0.036</v>
      </c>
    </row>
    <row r="7363" spans="1:10">
      <c r="A7363" s="7" t="s">
        <v>7397</v>
      </c>
      <c r="B7363" s="7" t="s">
        <v>9230</v>
      </c>
      <c r="C7363" s="8">
        <f>QS.CONTEXT.CREATE("market.7361",A7363,"USD","SOFR")</f>
        <v/>
      </c>
      <c r="D7363" s="8">
        <f>QS.CONTEXT.ADD.CURVE(C7363,"SOFR",$K$2:$K$7,$L$2:$L$7,,,"Actual360","LogLinear",TRUE)</f>
        <v/>
      </c>
      <c r="E7363" s="8">
        <f>QS.INSTRUMENT.SWAP("swap.7361",C7363,H7363,B7363,"USD","SOFR",I7363,J7363,0,"Actual360","Simple","Annual","Annual","Annual")</f>
        <v/>
      </c>
      <c r="F7363" s="8">
        <f>QS.TRADE.CREATE("trade.7361",C7363,E7363,A7363,"Receive")</f>
        <v/>
      </c>
      <c r="G7363" s="5"/>
      <c r="H7363" s="7" t="s">
        <v>7404</v>
      </c>
      <c r="I7363" s="9">
        <v>1736100</v>
      </c>
      <c r="J7363" s="10">
        <v>0.0361</v>
      </c>
    </row>
    <row r="7364" spans="1:10">
      <c r="A7364" s="7" t="s">
        <v>7398</v>
      </c>
      <c r="B7364" s="7" t="s">
        <v>9231</v>
      </c>
      <c r="C7364" s="8">
        <f>QS.CONTEXT.CREATE("market.7362",A7364,"USD","SOFR")</f>
        <v/>
      </c>
      <c r="D7364" s="8">
        <f>QS.CONTEXT.ADD.CURVE(C7364,"SOFR",$K$2:$K$7,$L$2:$L$7,,,"Actual360","LogLinear",TRUE)</f>
        <v/>
      </c>
      <c r="E7364" s="8">
        <f>QS.INSTRUMENT.SWAP("swap.7362",C7364,H7364,B7364,"USD","SOFR",I7364,J7364,0,"Actual360","Simple","Annual","Annual","Annual")</f>
        <v/>
      </c>
      <c r="F7364" s="8">
        <f>QS.TRADE.CREATE("trade.7362",C7364,E7364,A7364,"Receive")</f>
        <v/>
      </c>
      <c r="G7364" s="5"/>
      <c r="H7364" s="7" t="s">
        <v>7405</v>
      </c>
      <c r="I7364" s="9">
        <v>1736200</v>
      </c>
      <c r="J7364" s="10">
        <v>0.0362</v>
      </c>
    </row>
    <row r="7365" spans="1:10">
      <c r="A7365" s="7" t="s">
        <v>7399</v>
      </c>
      <c r="B7365" s="7" t="s">
        <v>9232</v>
      </c>
      <c r="C7365" s="8">
        <f>QS.CONTEXT.CREATE("market.7363",A7365,"USD","SOFR")</f>
        <v/>
      </c>
      <c r="D7365" s="8">
        <f>QS.CONTEXT.ADD.CURVE(C7365,"SOFR",$K$2:$K$7,$L$2:$L$7,,,"Actual360","LogLinear",TRUE)</f>
        <v/>
      </c>
      <c r="E7365" s="8">
        <f>QS.INSTRUMENT.SWAP("swap.7363",C7365,H7365,B7365,"USD","SOFR",I7365,J7365,0,"Actual360","Simple","Annual","Annual","Annual")</f>
        <v/>
      </c>
      <c r="F7365" s="8">
        <f>QS.TRADE.CREATE("trade.7363",C7365,E7365,A7365,"Receive")</f>
        <v/>
      </c>
      <c r="G7365" s="5"/>
      <c r="H7365" s="7" t="s">
        <v>7406</v>
      </c>
      <c r="I7365" s="9">
        <v>1736300</v>
      </c>
      <c r="J7365" s="10">
        <v>0.03630000000000001</v>
      </c>
    </row>
    <row r="7366" spans="1:10">
      <c r="A7366" s="7" t="s">
        <v>7400</v>
      </c>
      <c r="B7366" s="7" t="s">
        <v>9233</v>
      </c>
      <c r="C7366" s="8">
        <f>QS.CONTEXT.CREATE("market.7364",A7366,"USD","SOFR")</f>
        <v/>
      </c>
      <c r="D7366" s="8">
        <f>QS.CONTEXT.ADD.CURVE(C7366,"SOFR",$K$2:$K$7,$L$2:$L$7,,,"Actual360","LogLinear",TRUE)</f>
        <v/>
      </c>
      <c r="E7366" s="8">
        <f>QS.INSTRUMENT.SWAP("swap.7364",C7366,H7366,B7366,"USD","SOFR",I7366,J7366,0,"Actual360","Simple","Annual","Annual","Annual")</f>
        <v/>
      </c>
      <c r="F7366" s="8">
        <f>QS.TRADE.CREATE("trade.7364",C7366,E7366,A7366,"Receive")</f>
        <v/>
      </c>
      <c r="G7366" s="5"/>
      <c r="H7366" s="7" t="s">
        <v>7407</v>
      </c>
      <c r="I7366" s="9">
        <v>1736400</v>
      </c>
      <c r="J7366" s="10">
        <v>0.0364</v>
      </c>
    </row>
    <row r="7367" spans="1:10">
      <c r="A7367" s="7" t="s">
        <v>7401</v>
      </c>
      <c r="B7367" s="7" t="s">
        <v>9234</v>
      </c>
      <c r="C7367" s="8">
        <f>QS.CONTEXT.CREATE("market.7365",A7367,"USD","SOFR")</f>
        <v/>
      </c>
      <c r="D7367" s="8">
        <f>QS.CONTEXT.ADD.CURVE(C7367,"SOFR",$K$2:$K$7,$L$2:$L$7,,,"Actual360","LogLinear",TRUE)</f>
        <v/>
      </c>
      <c r="E7367" s="8">
        <f>QS.INSTRUMENT.SWAP("swap.7365",C7367,H7367,B7367,"USD","SOFR",I7367,J7367,0,"Actual360","Simple","Annual","Annual","Annual")</f>
        <v/>
      </c>
      <c r="F7367" s="8">
        <f>QS.TRADE.CREATE("trade.7365",C7367,E7367,A7367,"Receive")</f>
        <v/>
      </c>
      <c r="G7367" s="5"/>
      <c r="H7367" s="7" t="s">
        <v>7408</v>
      </c>
      <c r="I7367" s="9">
        <v>1736500</v>
      </c>
      <c r="J7367" s="10">
        <v>0.0365</v>
      </c>
    </row>
    <row r="7368" spans="1:10">
      <c r="A7368" s="7" t="s">
        <v>7402</v>
      </c>
      <c r="B7368" s="7" t="s">
        <v>9235</v>
      </c>
      <c r="C7368" s="8">
        <f>QS.CONTEXT.CREATE("market.7366",A7368,"USD","SOFR")</f>
        <v/>
      </c>
      <c r="D7368" s="8">
        <f>QS.CONTEXT.ADD.CURVE(C7368,"SOFR",$K$2:$K$7,$L$2:$L$7,,,"Actual360","LogLinear",TRUE)</f>
        <v/>
      </c>
      <c r="E7368" s="8">
        <f>QS.INSTRUMENT.SWAP("swap.7366",C7368,H7368,B7368,"USD","SOFR",I7368,J7368,0,"Actual360","Simple","Annual","Annual","Annual")</f>
        <v/>
      </c>
      <c r="F7368" s="8">
        <f>QS.TRADE.CREATE("trade.7366",C7368,E7368,A7368,"Receive")</f>
        <v/>
      </c>
      <c r="G7368" s="5"/>
      <c r="H7368" s="7" t="s">
        <v>7409</v>
      </c>
      <c r="I7368" s="9">
        <v>1736600</v>
      </c>
      <c r="J7368" s="10">
        <v>0.0366</v>
      </c>
    </row>
    <row r="7369" spans="1:10">
      <c r="A7369" s="7" t="s">
        <v>7403</v>
      </c>
      <c r="B7369" s="7" t="s">
        <v>9236</v>
      </c>
      <c r="C7369" s="8">
        <f>QS.CONTEXT.CREATE("market.7367",A7369,"USD","SOFR")</f>
        <v/>
      </c>
      <c r="D7369" s="8">
        <f>QS.CONTEXT.ADD.CURVE(C7369,"SOFR",$K$2:$K$7,$L$2:$L$7,,,"Actual360","LogLinear",TRUE)</f>
        <v/>
      </c>
      <c r="E7369" s="8">
        <f>QS.INSTRUMENT.SWAP("swap.7367",C7369,H7369,B7369,"USD","SOFR",I7369,J7369,0,"Actual360","Simple","Annual","Annual","Annual")</f>
        <v/>
      </c>
      <c r="F7369" s="8">
        <f>QS.TRADE.CREATE("trade.7367",C7369,E7369,A7369,"Receive")</f>
        <v/>
      </c>
      <c r="G7369" s="5"/>
      <c r="H7369" s="7" t="s">
        <v>7410</v>
      </c>
      <c r="I7369" s="9">
        <v>1736700</v>
      </c>
      <c r="J7369" s="10">
        <v>0.0367</v>
      </c>
    </row>
    <row r="7370" spans="1:10">
      <c r="A7370" s="7" t="s">
        <v>7404</v>
      </c>
      <c r="B7370" s="7" t="s">
        <v>9237</v>
      </c>
      <c r="C7370" s="8">
        <f>QS.CONTEXT.CREATE("market.7368",A7370,"USD","SOFR")</f>
        <v/>
      </c>
      <c r="D7370" s="8">
        <f>QS.CONTEXT.ADD.CURVE(C7370,"SOFR",$K$2:$K$7,$L$2:$L$7,,,"Actual360","LogLinear",TRUE)</f>
        <v/>
      </c>
      <c r="E7370" s="8">
        <f>QS.INSTRUMENT.SWAP("swap.7368",C7370,H7370,B7370,"USD","SOFR",I7370,J7370,0,"Actual360","Simple","Annual","Annual","Annual")</f>
        <v/>
      </c>
      <c r="F7370" s="8">
        <f>QS.TRADE.CREATE("trade.7368",C7370,E7370,A7370,"Receive")</f>
        <v/>
      </c>
      <c r="G7370" s="5"/>
      <c r="H7370" s="7" t="s">
        <v>7411</v>
      </c>
      <c r="I7370" s="9">
        <v>1736800</v>
      </c>
      <c r="J7370" s="10">
        <v>0.03680000000000001</v>
      </c>
    </row>
    <row r="7371" spans="1:10">
      <c r="A7371" s="7" t="s">
        <v>7405</v>
      </c>
      <c r="B7371" s="7" t="s">
        <v>9238</v>
      </c>
      <c r="C7371" s="8">
        <f>QS.CONTEXT.CREATE("market.7369",A7371,"USD","SOFR")</f>
        <v/>
      </c>
      <c r="D7371" s="8">
        <f>QS.CONTEXT.ADD.CURVE(C7371,"SOFR",$K$2:$K$7,$L$2:$L$7,,,"Actual360","LogLinear",TRUE)</f>
        <v/>
      </c>
      <c r="E7371" s="8">
        <f>QS.INSTRUMENT.SWAP("swap.7369",C7371,H7371,B7371,"USD","SOFR",I7371,J7371,0,"Actual360","Simple","Annual","Annual","Annual")</f>
        <v/>
      </c>
      <c r="F7371" s="8">
        <f>QS.TRADE.CREATE("trade.7369",C7371,E7371,A7371,"Receive")</f>
        <v/>
      </c>
      <c r="G7371" s="5"/>
      <c r="H7371" s="7" t="s">
        <v>7412</v>
      </c>
      <c r="I7371" s="9">
        <v>1736900</v>
      </c>
      <c r="J7371" s="10">
        <v>0.0369</v>
      </c>
    </row>
    <row r="7372" spans="1:10">
      <c r="A7372" s="7" t="s">
        <v>7406</v>
      </c>
      <c r="B7372" s="7" t="s">
        <v>9239</v>
      </c>
      <c r="C7372" s="8">
        <f>QS.CONTEXT.CREATE("market.7370",A7372,"USD","SOFR")</f>
        <v/>
      </c>
      <c r="D7372" s="8">
        <f>QS.CONTEXT.ADD.CURVE(C7372,"SOFR",$K$2:$K$7,$L$2:$L$7,,,"Actual360","LogLinear",TRUE)</f>
        <v/>
      </c>
      <c r="E7372" s="8">
        <f>QS.INSTRUMENT.SWAP("swap.7370",C7372,H7372,B7372,"USD","SOFR",I7372,J7372,0,"Actual360","Simple","Annual","Annual","Annual")</f>
        <v/>
      </c>
      <c r="F7372" s="8">
        <f>QS.TRADE.CREATE("trade.7370",C7372,E7372,A7372,"Receive")</f>
        <v/>
      </c>
      <c r="G7372" s="5"/>
      <c r="H7372" s="7" t="s">
        <v>7413</v>
      </c>
      <c r="I7372" s="9">
        <v>1737000</v>
      </c>
      <c r="J7372" s="10">
        <v>0.03700000000000001</v>
      </c>
    </row>
    <row r="7373" spans="1:10">
      <c r="A7373" s="7" t="s">
        <v>7407</v>
      </c>
      <c r="B7373" s="7" t="s">
        <v>9240</v>
      </c>
      <c r="C7373" s="8">
        <f>QS.CONTEXT.CREATE("market.7371",A7373,"USD","SOFR")</f>
        <v/>
      </c>
      <c r="D7373" s="8">
        <f>QS.CONTEXT.ADD.CURVE(C7373,"SOFR",$K$2:$K$7,$L$2:$L$7,,,"Actual360","LogLinear",TRUE)</f>
        <v/>
      </c>
      <c r="E7373" s="8">
        <f>QS.INSTRUMENT.SWAP("swap.7371",C7373,H7373,B7373,"USD","SOFR",I7373,J7373,0,"Actual360","Simple","Annual","Annual","Annual")</f>
        <v/>
      </c>
      <c r="F7373" s="8">
        <f>QS.TRADE.CREATE("trade.7371",C7373,E7373,A7373,"Receive")</f>
        <v/>
      </c>
      <c r="G7373" s="5"/>
      <c r="H7373" s="7" t="s">
        <v>7414</v>
      </c>
      <c r="I7373" s="9">
        <v>1737100</v>
      </c>
      <c r="J7373" s="10">
        <v>0.0371</v>
      </c>
    </row>
    <row r="7374" spans="1:10">
      <c r="A7374" s="7" t="s">
        <v>7408</v>
      </c>
      <c r="B7374" s="7" t="s">
        <v>9241</v>
      </c>
      <c r="C7374" s="8">
        <f>QS.CONTEXT.CREATE("market.7372",A7374,"USD","SOFR")</f>
        <v/>
      </c>
      <c r="D7374" s="8">
        <f>QS.CONTEXT.ADD.CURVE(C7374,"SOFR",$K$2:$K$7,$L$2:$L$7,,,"Actual360","LogLinear",TRUE)</f>
        <v/>
      </c>
      <c r="E7374" s="8">
        <f>QS.INSTRUMENT.SWAP("swap.7372",C7374,H7374,B7374,"USD","SOFR",I7374,J7374,0,"Actual360","Simple","Annual","Annual","Annual")</f>
        <v/>
      </c>
      <c r="F7374" s="8">
        <f>QS.TRADE.CREATE("trade.7372",C7374,E7374,A7374,"Receive")</f>
        <v/>
      </c>
      <c r="G7374" s="5"/>
      <c r="H7374" s="7" t="s">
        <v>7415</v>
      </c>
      <c r="I7374" s="9">
        <v>1737200</v>
      </c>
      <c r="J7374" s="10">
        <v>0.0372</v>
      </c>
    </row>
    <row r="7375" spans="1:10">
      <c r="A7375" s="7" t="s">
        <v>7409</v>
      </c>
      <c r="B7375" s="7" t="s">
        <v>9242</v>
      </c>
      <c r="C7375" s="8">
        <f>QS.CONTEXT.CREATE("market.7373",A7375,"USD","SOFR")</f>
        <v/>
      </c>
      <c r="D7375" s="8">
        <f>QS.CONTEXT.ADD.CURVE(C7375,"SOFR",$K$2:$K$7,$L$2:$L$7,,,"Actual360","LogLinear",TRUE)</f>
        <v/>
      </c>
      <c r="E7375" s="8">
        <f>QS.INSTRUMENT.SWAP("swap.7373",C7375,H7375,B7375,"USD","SOFR",I7375,J7375,0,"Actual360","Simple","Annual","Annual","Annual")</f>
        <v/>
      </c>
      <c r="F7375" s="8">
        <f>QS.TRADE.CREATE("trade.7373",C7375,E7375,A7375,"Receive")</f>
        <v/>
      </c>
      <c r="G7375" s="5"/>
      <c r="H7375" s="7" t="s">
        <v>7416</v>
      </c>
      <c r="I7375" s="9">
        <v>1737300</v>
      </c>
      <c r="J7375" s="10">
        <v>0.0373</v>
      </c>
    </row>
    <row r="7376" spans="1:10">
      <c r="A7376" s="7" t="s">
        <v>7410</v>
      </c>
      <c r="B7376" s="7" t="s">
        <v>9243</v>
      </c>
      <c r="C7376" s="8">
        <f>QS.CONTEXT.CREATE("market.7374",A7376,"USD","SOFR")</f>
        <v/>
      </c>
      <c r="D7376" s="8">
        <f>QS.CONTEXT.ADD.CURVE(C7376,"SOFR",$K$2:$K$7,$L$2:$L$7,,,"Actual360","LogLinear",TRUE)</f>
        <v/>
      </c>
      <c r="E7376" s="8">
        <f>QS.INSTRUMENT.SWAP("swap.7374",C7376,H7376,B7376,"USD","SOFR",I7376,J7376,0,"Actual360","Simple","Annual","Annual","Annual")</f>
        <v/>
      </c>
      <c r="F7376" s="8">
        <f>QS.TRADE.CREATE("trade.7374",C7376,E7376,A7376,"Receive")</f>
        <v/>
      </c>
      <c r="G7376" s="5"/>
      <c r="H7376" s="7" t="s">
        <v>7417</v>
      </c>
      <c r="I7376" s="9">
        <v>1737400</v>
      </c>
      <c r="J7376" s="10">
        <v>0.0374</v>
      </c>
    </row>
    <row r="7377" spans="1:10">
      <c r="A7377" s="7" t="s">
        <v>7411</v>
      </c>
      <c r="B7377" s="7" t="s">
        <v>9244</v>
      </c>
      <c r="C7377" s="8">
        <f>QS.CONTEXT.CREATE("market.7375",A7377,"USD","SOFR")</f>
        <v/>
      </c>
      <c r="D7377" s="8">
        <f>QS.CONTEXT.ADD.CURVE(C7377,"SOFR",$K$2:$K$7,$L$2:$L$7,,,"Actual360","LogLinear",TRUE)</f>
        <v/>
      </c>
      <c r="E7377" s="8">
        <f>QS.INSTRUMENT.SWAP("swap.7375",C7377,H7377,B7377,"USD","SOFR",I7377,J7377,0,"Actual360","Simple","Annual","Annual","Annual")</f>
        <v/>
      </c>
      <c r="F7377" s="8">
        <f>QS.TRADE.CREATE("trade.7375",C7377,E7377,A7377,"Receive")</f>
        <v/>
      </c>
      <c r="G7377" s="5"/>
      <c r="H7377" s="7" t="s">
        <v>7418</v>
      </c>
      <c r="I7377" s="9">
        <v>1737500</v>
      </c>
      <c r="J7377" s="10">
        <v>0.03750000000000001</v>
      </c>
    </row>
    <row r="7378" spans="1:10">
      <c r="A7378" s="7" t="s">
        <v>7412</v>
      </c>
      <c r="B7378" s="7" t="s">
        <v>9245</v>
      </c>
      <c r="C7378" s="8">
        <f>QS.CONTEXT.CREATE("market.7376",A7378,"USD","SOFR")</f>
        <v/>
      </c>
      <c r="D7378" s="8">
        <f>QS.CONTEXT.ADD.CURVE(C7378,"SOFR",$K$2:$K$7,$L$2:$L$7,,,"Actual360","LogLinear",TRUE)</f>
        <v/>
      </c>
      <c r="E7378" s="8">
        <f>QS.INSTRUMENT.SWAP("swap.7376",C7378,H7378,B7378,"USD","SOFR",I7378,J7378,0,"Actual360","Simple","Annual","Annual","Annual")</f>
        <v/>
      </c>
      <c r="F7378" s="8">
        <f>QS.TRADE.CREATE("trade.7376",C7378,E7378,A7378,"Receive")</f>
        <v/>
      </c>
      <c r="G7378" s="5"/>
      <c r="H7378" s="7" t="s">
        <v>7419</v>
      </c>
      <c r="I7378" s="9">
        <v>1737600</v>
      </c>
      <c r="J7378" s="10">
        <v>0.0376</v>
      </c>
    </row>
    <row r="7379" spans="1:10">
      <c r="A7379" s="7" t="s">
        <v>7413</v>
      </c>
      <c r="B7379" s="7" t="s">
        <v>9246</v>
      </c>
      <c r="C7379" s="8">
        <f>QS.CONTEXT.CREATE("market.7377",A7379,"USD","SOFR")</f>
        <v/>
      </c>
      <c r="D7379" s="8">
        <f>QS.CONTEXT.ADD.CURVE(C7379,"SOFR",$K$2:$K$7,$L$2:$L$7,,,"Actual360","LogLinear",TRUE)</f>
        <v/>
      </c>
      <c r="E7379" s="8">
        <f>QS.INSTRUMENT.SWAP("swap.7377",C7379,H7379,B7379,"USD","SOFR",I7379,J7379,0,"Actual360","Simple","Annual","Annual","Annual")</f>
        <v/>
      </c>
      <c r="F7379" s="8">
        <f>QS.TRADE.CREATE("trade.7377",C7379,E7379,A7379,"Receive")</f>
        <v/>
      </c>
      <c r="G7379" s="5"/>
      <c r="H7379" s="7" t="s">
        <v>7420</v>
      </c>
      <c r="I7379" s="9">
        <v>1737700</v>
      </c>
      <c r="J7379" s="10">
        <v>0.0377</v>
      </c>
    </row>
    <row r="7380" spans="1:10">
      <c r="A7380" s="7" t="s">
        <v>7414</v>
      </c>
      <c r="B7380" s="7" t="s">
        <v>9247</v>
      </c>
      <c r="C7380" s="8">
        <f>QS.CONTEXT.CREATE("market.7378",A7380,"USD","SOFR")</f>
        <v/>
      </c>
      <c r="D7380" s="8">
        <f>QS.CONTEXT.ADD.CURVE(C7380,"SOFR",$K$2:$K$7,$L$2:$L$7,,,"Actual360","LogLinear",TRUE)</f>
        <v/>
      </c>
      <c r="E7380" s="8">
        <f>QS.INSTRUMENT.SWAP("swap.7378",C7380,H7380,B7380,"USD","SOFR",I7380,J7380,0,"Actual360","Simple","Annual","Annual","Annual")</f>
        <v/>
      </c>
      <c r="F7380" s="8">
        <f>QS.TRADE.CREATE("trade.7378",C7380,E7380,A7380,"Receive")</f>
        <v/>
      </c>
      <c r="G7380" s="5"/>
      <c r="H7380" s="7" t="s">
        <v>7421</v>
      </c>
      <c r="I7380" s="9">
        <v>1737800</v>
      </c>
      <c r="J7380" s="10">
        <v>0.0378</v>
      </c>
    </row>
    <row r="7381" spans="1:10">
      <c r="A7381" s="7" t="s">
        <v>7415</v>
      </c>
      <c r="B7381" s="7" t="s">
        <v>9248</v>
      </c>
      <c r="C7381" s="8">
        <f>QS.CONTEXT.CREATE("market.7379",A7381,"USD","SOFR")</f>
        <v/>
      </c>
      <c r="D7381" s="8">
        <f>QS.CONTEXT.ADD.CURVE(C7381,"SOFR",$K$2:$K$7,$L$2:$L$7,,,"Actual360","LogLinear",TRUE)</f>
        <v/>
      </c>
      <c r="E7381" s="8">
        <f>QS.INSTRUMENT.SWAP("swap.7379",C7381,H7381,B7381,"USD","SOFR",I7381,J7381,0,"Actual360","Simple","Annual","Annual","Annual")</f>
        <v/>
      </c>
      <c r="F7381" s="8">
        <f>QS.TRADE.CREATE("trade.7379",C7381,E7381,A7381,"Receive")</f>
        <v/>
      </c>
      <c r="G7381" s="5"/>
      <c r="H7381" s="7" t="s">
        <v>7422</v>
      </c>
      <c r="I7381" s="9">
        <v>1737900</v>
      </c>
      <c r="J7381" s="10">
        <v>0.0379</v>
      </c>
    </row>
    <row r="7382" spans="1:10">
      <c r="A7382" s="7" t="s">
        <v>7416</v>
      </c>
      <c r="B7382" s="7" t="s">
        <v>9249</v>
      </c>
      <c r="C7382" s="8">
        <f>QS.CONTEXT.CREATE("market.7380",A7382,"USD","SOFR")</f>
        <v/>
      </c>
      <c r="D7382" s="8">
        <f>QS.CONTEXT.ADD.CURVE(C7382,"SOFR",$K$2:$K$7,$L$2:$L$7,,,"Actual360","LogLinear",TRUE)</f>
        <v/>
      </c>
      <c r="E7382" s="8">
        <f>QS.INSTRUMENT.SWAP("swap.7380",C7382,H7382,B7382,"USD","SOFR",I7382,J7382,0,"Actual360","Simple","Annual","Annual","Annual")</f>
        <v/>
      </c>
      <c r="F7382" s="8">
        <f>QS.TRADE.CREATE("trade.7380",C7382,E7382,A7382,"Receive")</f>
        <v/>
      </c>
      <c r="G7382" s="5"/>
      <c r="H7382" s="7" t="s">
        <v>7423</v>
      </c>
      <c r="I7382" s="9">
        <v>1738000</v>
      </c>
      <c r="J7382" s="10">
        <v>0.03800000000000001</v>
      </c>
    </row>
    <row r="7383" spans="1:10">
      <c r="A7383" s="7" t="s">
        <v>7417</v>
      </c>
      <c r="B7383" s="7" t="s">
        <v>9250</v>
      </c>
      <c r="C7383" s="8">
        <f>QS.CONTEXT.CREATE("market.7381",A7383,"USD","SOFR")</f>
        <v/>
      </c>
      <c r="D7383" s="8">
        <f>QS.CONTEXT.ADD.CURVE(C7383,"SOFR",$K$2:$K$7,$L$2:$L$7,,,"Actual360","LogLinear",TRUE)</f>
        <v/>
      </c>
      <c r="E7383" s="8">
        <f>QS.INSTRUMENT.SWAP("swap.7381",C7383,H7383,B7383,"USD","SOFR",I7383,J7383,0,"Actual360","Simple","Annual","Annual","Annual")</f>
        <v/>
      </c>
      <c r="F7383" s="8">
        <f>QS.TRADE.CREATE("trade.7381",C7383,E7383,A7383,"Receive")</f>
        <v/>
      </c>
      <c r="G7383" s="5"/>
      <c r="H7383" s="7" t="s">
        <v>7424</v>
      </c>
      <c r="I7383" s="9">
        <v>1738100</v>
      </c>
      <c r="J7383" s="10">
        <v>0.0381</v>
      </c>
    </row>
    <row r="7384" spans="1:10">
      <c r="A7384" s="7" t="s">
        <v>7418</v>
      </c>
      <c r="B7384" s="7" t="s">
        <v>9251</v>
      </c>
      <c r="C7384" s="8">
        <f>QS.CONTEXT.CREATE("market.7382",A7384,"USD","SOFR")</f>
        <v/>
      </c>
      <c r="D7384" s="8">
        <f>QS.CONTEXT.ADD.CURVE(C7384,"SOFR",$K$2:$K$7,$L$2:$L$7,,,"Actual360","LogLinear",TRUE)</f>
        <v/>
      </c>
      <c r="E7384" s="8">
        <f>QS.INSTRUMENT.SWAP("swap.7382",C7384,H7384,B7384,"USD","SOFR",I7384,J7384,0,"Actual360","Simple","Annual","Annual","Annual")</f>
        <v/>
      </c>
      <c r="F7384" s="8">
        <f>QS.TRADE.CREATE("trade.7382",C7384,E7384,A7384,"Receive")</f>
        <v/>
      </c>
      <c r="G7384" s="5"/>
      <c r="H7384" s="7" t="s">
        <v>7425</v>
      </c>
      <c r="I7384" s="9">
        <v>1738200</v>
      </c>
      <c r="J7384" s="10">
        <v>0.0382</v>
      </c>
    </row>
    <row r="7385" spans="1:10">
      <c r="A7385" s="7" t="s">
        <v>7419</v>
      </c>
      <c r="B7385" s="7" t="s">
        <v>9252</v>
      </c>
      <c r="C7385" s="8">
        <f>QS.CONTEXT.CREATE("market.7383",A7385,"USD","SOFR")</f>
        <v/>
      </c>
      <c r="D7385" s="8">
        <f>QS.CONTEXT.ADD.CURVE(C7385,"SOFR",$K$2:$K$7,$L$2:$L$7,,,"Actual360","LogLinear",TRUE)</f>
        <v/>
      </c>
      <c r="E7385" s="8">
        <f>QS.INSTRUMENT.SWAP("swap.7383",C7385,H7385,B7385,"USD","SOFR",I7385,J7385,0,"Actual360","Simple","Annual","Annual","Annual")</f>
        <v/>
      </c>
      <c r="F7385" s="8">
        <f>QS.TRADE.CREATE("trade.7383",C7385,E7385,A7385,"Receive")</f>
        <v/>
      </c>
      <c r="G7385" s="5"/>
      <c r="H7385" s="7" t="s">
        <v>7426</v>
      </c>
      <c r="I7385" s="9">
        <v>1738300</v>
      </c>
      <c r="J7385" s="10">
        <v>0.0383</v>
      </c>
    </row>
    <row r="7386" spans="1:10">
      <c r="A7386" s="7" t="s">
        <v>7420</v>
      </c>
      <c r="B7386" s="7" t="s">
        <v>9253</v>
      </c>
      <c r="C7386" s="8">
        <f>QS.CONTEXT.CREATE("market.7384",A7386,"USD","SOFR")</f>
        <v/>
      </c>
      <c r="D7386" s="8">
        <f>QS.CONTEXT.ADD.CURVE(C7386,"SOFR",$K$2:$K$7,$L$2:$L$7,,,"Actual360","LogLinear",TRUE)</f>
        <v/>
      </c>
      <c r="E7386" s="8">
        <f>QS.INSTRUMENT.SWAP("swap.7384",C7386,H7386,B7386,"USD","SOFR",I7386,J7386,0,"Actual360","Simple","Annual","Annual","Annual")</f>
        <v/>
      </c>
      <c r="F7386" s="8">
        <f>QS.TRADE.CREATE("trade.7384",C7386,E7386,A7386,"Receive")</f>
        <v/>
      </c>
      <c r="G7386" s="5"/>
      <c r="H7386" s="7" t="s">
        <v>7427</v>
      </c>
      <c r="I7386" s="9">
        <v>1738400</v>
      </c>
      <c r="J7386" s="10">
        <v>0.0384</v>
      </c>
    </row>
    <row r="7387" spans="1:10">
      <c r="A7387" s="7" t="s">
        <v>7421</v>
      </c>
      <c r="B7387" s="7" t="s">
        <v>9254</v>
      </c>
      <c r="C7387" s="8">
        <f>QS.CONTEXT.CREATE("market.7385",A7387,"USD","SOFR")</f>
        <v/>
      </c>
      <c r="D7387" s="8">
        <f>QS.CONTEXT.ADD.CURVE(C7387,"SOFR",$K$2:$K$7,$L$2:$L$7,,,"Actual360","LogLinear",TRUE)</f>
        <v/>
      </c>
      <c r="E7387" s="8">
        <f>QS.INSTRUMENT.SWAP("swap.7385",C7387,H7387,B7387,"USD","SOFR",I7387,J7387,0,"Actual360","Simple","Annual","Annual","Annual")</f>
        <v/>
      </c>
      <c r="F7387" s="8">
        <f>QS.TRADE.CREATE("trade.7385",C7387,E7387,A7387,"Receive")</f>
        <v/>
      </c>
      <c r="G7387" s="5"/>
      <c r="H7387" s="7" t="s">
        <v>7428</v>
      </c>
      <c r="I7387" s="9">
        <v>1738500</v>
      </c>
      <c r="J7387" s="10">
        <v>0.03850000000000001</v>
      </c>
    </row>
    <row r="7388" spans="1:10">
      <c r="A7388" s="7" t="s">
        <v>7422</v>
      </c>
      <c r="B7388" s="7" t="s">
        <v>9255</v>
      </c>
      <c r="C7388" s="8">
        <f>QS.CONTEXT.CREATE("market.7386",A7388,"USD","SOFR")</f>
        <v/>
      </c>
      <c r="D7388" s="8">
        <f>QS.CONTEXT.ADD.CURVE(C7388,"SOFR",$K$2:$K$7,$L$2:$L$7,,,"Actual360","LogLinear",TRUE)</f>
        <v/>
      </c>
      <c r="E7388" s="8">
        <f>QS.INSTRUMENT.SWAP("swap.7386",C7388,H7388,B7388,"USD","SOFR",I7388,J7388,0,"Actual360","Simple","Annual","Annual","Annual")</f>
        <v/>
      </c>
      <c r="F7388" s="8">
        <f>QS.TRADE.CREATE("trade.7386",C7388,E7388,A7388,"Receive")</f>
        <v/>
      </c>
      <c r="G7388" s="5"/>
      <c r="H7388" s="7" t="s">
        <v>7429</v>
      </c>
      <c r="I7388" s="9">
        <v>1738600</v>
      </c>
      <c r="J7388" s="10">
        <v>0.0386</v>
      </c>
    </row>
    <row r="7389" spans="1:10">
      <c r="A7389" s="7" t="s">
        <v>7423</v>
      </c>
      <c r="B7389" s="7" t="s">
        <v>9256</v>
      </c>
      <c r="C7389" s="8">
        <f>QS.CONTEXT.CREATE("market.7387",A7389,"USD","SOFR")</f>
        <v/>
      </c>
      <c r="D7389" s="8">
        <f>QS.CONTEXT.ADD.CURVE(C7389,"SOFR",$K$2:$K$7,$L$2:$L$7,,,"Actual360","LogLinear",TRUE)</f>
        <v/>
      </c>
      <c r="E7389" s="8">
        <f>QS.INSTRUMENT.SWAP("swap.7387",C7389,H7389,B7389,"USD","SOFR",I7389,J7389,0,"Actual360","Simple","Annual","Annual","Annual")</f>
        <v/>
      </c>
      <c r="F7389" s="8">
        <f>QS.TRADE.CREATE("trade.7387",C7389,E7389,A7389,"Receive")</f>
        <v/>
      </c>
      <c r="G7389" s="5"/>
      <c r="H7389" s="7" t="s">
        <v>7430</v>
      </c>
      <c r="I7389" s="9">
        <v>1738700</v>
      </c>
      <c r="J7389" s="10">
        <v>0.03870000000000001</v>
      </c>
    </row>
    <row r="7390" spans="1:10">
      <c r="A7390" s="7" t="s">
        <v>7424</v>
      </c>
      <c r="B7390" s="7" t="s">
        <v>9257</v>
      </c>
      <c r="C7390" s="8">
        <f>QS.CONTEXT.CREATE("market.7388",A7390,"USD","SOFR")</f>
        <v/>
      </c>
      <c r="D7390" s="8">
        <f>QS.CONTEXT.ADD.CURVE(C7390,"SOFR",$K$2:$K$7,$L$2:$L$7,,,"Actual360","LogLinear",TRUE)</f>
        <v/>
      </c>
      <c r="E7390" s="8">
        <f>QS.INSTRUMENT.SWAP("swap.7388",C7390,H7390,B7390,"USD","SOFR",I7390,J7390,0,"Actual360","Simple","Annual","Annual","Annual")</f>
        <v/>
      </c>
      <c r="F7390" s="8">
        <f>QS.TRADE.CREATE("trade.7388",C7390,E7390,A7390,"Receive")</f>
        <v/>
      </c>
      <c r="G7390" s="5"/>
      <c r="H7390" s="7" t="s">
        <v>7431</v>
      </c>
      <c r="I7390" s="9">
        <v>1738800</v>
      </c>
      <c r="J7390" s="10">
        <v>0.0388</v>
      </c>
    </row>
    <row r="7391" spans="1:10">
      <c r="A7391" s="7" t="s">
        <v>7425</v>
      </c>
      <c r="B7391" s="7" t="s">
        <v>9258</v>
      </c>
      <c r="C7391" s="8">
        <f>QS.CONTEXT.CREATE("market.7389",A7391,"USD","SOFR")</f>
        <v/>
      </c>
      <c r="D7391" s="8">
        <f>QS.CONTEXT.ADD.CURVE(C7391,"SOFR",$K$2:$K$7,$L$2:$L$7,,,"Actual360","LogLinear",TRUE)</f>
        <v/>
      </c>
      <c r="E7391" s="8">
        <f>QS.INSTRUMENT.SWAP("swap.7389",C7391,H7391,B7391,"USD","SOFR",I7391,J7391,0,"Actual360","Simple","Annual","Annual","Annual")</f>
        <v/>
      </c>
      <c r="F7391" s="8">
        <f>QS.TRADE.CREATE("trade.7389",C7391,E7391,A7391,"Receive")</f>
        <v/>
      </c>
      <c r="G7391" s="5"/>
      <c r="H7391" s="7" t="s">
        <v>7432</v>
      </c>
      <c r="I7391" s="9">
        <v>1738900</v>
      </c>
      <c r="J7391" s="10">
        <v>0.0389</v>
      </c>
    </row>
    <row r="7392" spans="1:10">
      <c r="A7392" s="7" t="s">
        <v>7426</v>
      </c>
      <c r="B7392" s="7" t="s">
        <v>9259</v>
      </c>
      <c r="C7392" s="8">
        <f>QS.CONTEXT.CREATE("market.7390",A7392,"USD","SOFR")</f>
        <v/>
      </c>
      <c r="D7392" s="8">
        <f>QS.CONTEXT.ADD.CURVE(C7392,"SOFR",$K$2:$K$7,$L$2:$L$7,,,"Actual360","LogLinear",TRUE)</f>
        <v/>
      </c>
      <c r="E7392" s="8">
        <f>QS.INSTRUMENT.SWAP("swap.7390",C7392,H7392,B7392,"USD","SOFR",I7392,J7392,0,"Actual360","Simple","Annual","Annual","Annual")</f>
        <v/>
      </c>
      <c r="F7392" s="8">
        <f>QS.TRADE.CREATE("trade.7390",C7392,E7392,A7392,"Receive")</f>
        <v/>
      </c>
      <c r="G7392" s="5"/>
      <c r="H7392" s="7" t="s">
        <v>7433</v>
      </c>
      <c r="I7392" s="9">
        <v>1739000</v>
      </c>
      <c r="J7392" s="10">
        <v>0.03900000000000001</v>
      </c>
    </row>
    <row r="7393" spans="1:10">
      <c r="A7393" s="7" t="s">
        <v>7427</v>
      </c>
      <c r="B7393" s="7" t="s">
        <v>9260</v>
      </c>
      <c r="C7393" s="8">
        <f>QS.CONTEXT.CREATE("market.7391",A7393,"USD","SOFR")</f>
        <v/>
      </c>
      <c r="D7393" s="8">
        <f>QS.CONTEXT.ADD.CURVE(C7393,"SOFR",$K$2:$K$7,$L$2:$L$7,,,"Actual360","LogLinear",TRUE)</f>
        <v/>
      </c>
      <c r="E7393" s="8">
        <f>QS.INSTRUMENT.SWAP("swap.7391",C7393,H7393,B7393,"USD","SOFR",I7393,J7393,0,"Actual360","Simple","Annual","Annual","Annual")</f>
        <v/>
      </c>
      <c r="F7393" s="8">
        <f>QS.TRADE.CREATE("trade.7391",C7393,E7393,A7393,"Receive")</f>
        <v/>
      </c>
      <c r="G7393" s="5"/>
      <c r="H7393" s="7" t="s">
        <v>7434</v>
      </c>
      <c r="I7393" s="9">
        <v>1739100</v>
      </c>
      <c r="J7393" s="10">
        <v>0.0391</v>
      </c>
    </row>
    <row r="7394" spans="1:10">
      <c r="A7394" s="7" t="s">
        <v>7428</v>
      </c>
      <c r="B7394" s="7" t="s">
        <v>9261</v>
      </c>
      <c r="C7394" s="8">
        <f>QS.CONTEXT.CREATE("market.7392",A7394,"USD","SOFR")</f>
        <v/>
      </c>
      <c r="D7394" s="8">
        <f>QS.CONTEXT.ADD.CURVE(C7394,"SOFR",$K$2:$K$7,$L$2:$L$7,,,"Actual360","LogLinear",TRUE)</f>
        <v/>
      </c>
      <c r="E7394" s="8">
        <f>QS.INSTRUMENT.SWAP("swap.7392",C7394,H7394,B7394,"USD","SOFR",I7394,J7394,0,"Actual360","Simple","Annual","Annual","Annual")</f>
        <v/>
      </c>
      <c r="F7394" s="8">
        <f>QS.TRADE.CREATE("trade.7392",C7394,E7394,A7394,"Receive")</f>
        <v/>
      </c>
      <c r="G7394" s="5"/>
      <c r="H7394" s="7" t="s">
        <v>7435</v>
      </c>
      <c r="I7394" s="9">
        <v>1739200</v>
      </c>
      <c r="J7394" s="10">
        <v>0.03920000000000001</v>
      </c>
    </row>
    <row r="7395" spans="1:10">
      <c r="A7395" s="7" t="s">
        <v>7429</v>
      </c>
      <c r="B7395" s="7" t="s">
        <v>9262</v>
      </c>
      <c r="C7395" s="8">
        <f>QS.CONTEXT.CREATE("market.7393",A7395,"USD","SOFR")</f>
        <v/>
      </c>
      <c r="D7395" s="8">
        <f>QS.CONTEXT.ADD.CURVE(C7395,"SOFR",$K$2:$K$7,$L$2:$L$7,,,"Actual360","LogLinear",TRUE)</f>
        <v/>
      </c>
      <c r="E7395" s="8">
        <f>QS.INSTRUMENT.SWAP("swap.7393",C7395,H7395,B7395,"USD","SOFR",I7395,J7395,0,"Actual360","Simple","Annual","Annual","Annual")</f>
        <v/>
      </c>
      <c r="F7395" s="8">
        <f>QS.TRADE.CREATE("trade.7393",C7395,E7395,A7395,"Receive")</f>
        <v/>
      </c>
      <c r="G7395" s="5"/>
      <c r="H7395" s="7" t="s">
        <v>7436</v>
      </c>
      <c r="I7395" s="9">
        <v>1739300</v>
      </c>
      <c r="J7395" s="10">
        <v>0.0393</v>
      </c>
    </row>
    <row r="7396" spans="1:10">
      <c r="A7396" s="7" t="s">
        <v>7430</v>
      </c>
      <c r="B7396" s="7" t="s">
        <v>9263</v>
      </c>
      <c r="C7396" s="8">
        <f>QS.CONTEXT.CREATE("market.7394",A7396,"USD","SOFR")</f>
        <v/>
      </c>
      <c r="D7396" s="8">
        <f>QS.CONTEXT.ADD.CURVE(C7396,"SOFR",$K$2:$K$7,$L$2:$L$7,,,"Actual360","LogLinear",TRUE)</f>
        <v/>
      </c>
      <c r="E7396" s="8">
        <f>QS.INSTRUMENT.SWAP("swap.7394",C7396,H7396,B7396,"USD","SOFR",I7396,J7396,0,"Actual360","Simple","Annual","Annual","Annual")</f>
        <v/>
      </c>
      <c r="F7396" s="8">
        <f>QS.TRADE.CREATE("trade.7394",C7396,E7396,A7396,"Receive")</f>
        <v/>
      </c>
      <c r="G7396" s="5"/>
      <c r="H7396" s="7" t="s">
        <v>7437</v>
      </c>
      <c r="I7396" s="9">
        <v>1739400</v>
      </c>
      <c r="J7396" s="10">
        <v>0.0394</v>
      </c>
    </row>
    <row r="7397" spans="1:10">
      <c r="A7397" s="7" t="s">
        <v>7431</v>
      </c>
      <c r="B7397" s="7" t="s">
        <v>9264</v>
      </c>
      <c r="C7397" s="8">
        <f>QS.CONTEXT.CREATE("market.7395",A7397,"USD","SOFR")</f>
        <v/>
      </c>
      <c r="D7397" s="8">
        <f>QS.CONTEXT.ADD.CURVE(C7397,"SOFR",$K$2:$K$7,$L$2:$L$7,,,"Actual360","LogLinear",TRUE)</f>
        <v/>
      </c>
      <c r="E7397" s="8">
        <f>QS.INSTRUMENT.SWAP("swap.7395",C7397,H7397,B7397,"USD","SOFR",I7397,J7397,0,"Actual360","Simple","Annual","Annual","Annual")</f>
        <v/>
      </c>
      <c r="F7397" s="8">
        <f>QS.TRADE.CREATE("trade.7395",C7397,E7397,A7397,"Receive")</f>
        <v/>
      </c>
      <c r="G7397" s="5"/>
      <c r="H7397" s="7" t="s">
        <v>7438</v>
      </c>
      <c r="I7397" s="9">
        <v>1739500</v>
      </c>
      <c r="J7397" s="10">
        <v>0.03950000000000001</v>
      </c>
    </row>
    <row r="7398" spans="1:10">
      <c r="A7398" s="7" t="s">
        <v>7432</v>
      </c>
      <c r="B7398" s="7" t="s">
        <v>9265</v>
      </c>
      <c r="C7398" s="8">
        <f>QS.CONTEXT.CREATE("market.7396",A7398,"USD","SOFR")</f>
        <v/>
      </c>
      <c r="D7398" s="8">
        <f>QS.CONTEXT.ADD.CURVE(C7398,"SOFR",$K$2:$K$7,$L$2:$L$7,,,"Actual360","LogLinear",TRUE)</f>
        <v/>
      </c>
      <c r="E7398" s="8">
        <f>QS.INSTRUMENT.SWAP("swap.7396",C7398,H7398,B7398,"USD","SOFR",I7398,J7398,0,"Actual360","Simple","Annual","Annual","Annual")</f>
        <v/>
      </c>
      <c r="F7398" s="8">
        <f>QS.TRADE.CREATE("trade.7396",C7398,E7398,A7398,"Receive")</f>
        <v/>
      </c>
      <c r="G7398" s="5"/>
      <c r="H7398" s="7" t="s">
        <v>7439</v>
      </c>
      <c r="I7398" s="9">
        <v>1739600</v>
      </c>
      <c r="J7398" s="10">
        <v>0.0396</v>
      </c>
    </row>
    <row r="7399" spans="1:10">
      <c r="A7399" s="7" t="s">
        <v>7433</v>
      </c>
      <c r="B7399" s="7" t="s">
        <v>9266</v>
      </c>
      <c r="C7399" s="8">
        <f>QS.CONTEXT.CREATE("market.7397",A7399,"USD","SOFR")</f>
        <v/>
      </c>
      <c r="D7399" s="8">
        <f>QS.CONTEXT.ADD.CURVE(C7399,"SOFR",$K$2:$K$7,$L$2:$L$7,,,"Actual360","LogLinear",TRUE)</f>
        <v/>
      </c>
      <c r="E7399" s="8">
        <f>QS.INSTRUMENT.SWAP("swap.7397",C7399,H7399,B7399,"USD","SOFR",I7399,J7399,0,"Actual360","Simple","Annual","Annual","Annual")</f>
        <v/>
      </c>
      <c r="F7399" s="8">
        <f>QS.TRADE.CREATE("trade.7397",C7399,E7399,A7399,"Receive")</f>
        <v/>
      </c>
      <c r="G7399" s="5"/>
      <c r="H7399" s="7" t="s">
        <v>7440</v>
      </c>
      <c r="I7399" s="9">
        <v>1739700</v>
      </c>
      <c r="J7399" s="10">
        <v>0.03970000000000001</v>
      </c>
    </row>
    <row r="7400" spans="1:10">
      <c r="A7400" s="7" t="s">
        <v>7434</v>
      </c>
      <c r="B7400" s="7" t="s">
        <v>9267</v>
      </c>
      <c r="C7400" s="8">
        <f>QS.CONTEXT.CREATE("market.7398",A7400,"USD","SOFR")</f>
        <v/>
      </c>
      <c r="D7400" s="8">
        <f>QS.CONTEXT.ADD.CURVE(C7400,"SOFR",$K$2:$K$7,$L$2:$L$7,,,"Actual360","LogLinear",TRUE)</f>
        <v/>
      </c>
      <c r="E7400" s="8">
        <f>QS.INSTRUMENT.SWAP("swap.7398",C7400,H7400,B7400,"USD","SOFR",I7400,J7400,0,"Actual360","Simple","Annual","Annual","Annual")</f>
        <v/>
      </c>
      <c r="F7400" s="8">
        <f>QS.TRADE.CREATE("trade.7398",C7400,E7400,A7400,"Receive")</f>
        <v/>
      </c>
      <c r="G7400" s="5"/>
      <c r="H7400" s="7" t="s">
        <v>7441</v>
      </c>
      <c r="I7400" s="9">
        <v>1739800</v>
      </c>
      <c r="J7400" s="10">
        <v>0.0398</v>
      </c>
    </row>
    <row r="7401" spans="1:10">
      <c r="A7401" s="7" t="s">
        <v>7435</v>
      </c>
      <c r="B7401" s="7" t="s">
        <v>9268</v>
      </c>
      <c r="C7401" s="8">
        <f>QS.CONTEXT.CREATE("market.7399",A7401,"USD","SOFR")</f>
        <v/>
      </c>
      <c r="D7401" s="8">
        <f>QS.CONTEXT.ADD.CURVE(C7401,"SOFR",$K$2:$K$7,$L$2:$L$7,,,"Actual360","LogLinear",TRUE)</f>
        <v/>
      </c>
      <c r="E7401" s="8">
        <f>QS.INSTRUMENT.SWAP("swap.7399",C7401,H7401,B7401,"USD","SOFR",I7401,J7401,0,"Actual360","Simple","Annual","Annual","Annual")</f>
        <v/>
      </c>
      <c r="F7401" s="8">
        <f>QS.TRADE.CREATE("trade.7399",C7401,E7401,A7401,"Receive")</f>
        <v/>
      </c>
      <c r="G7401" s="5"/>
      <c r="H7401" s="7" t="s">
        <v>7442</v>
      </c>
      <c r="I7401" s="9">
        <v>1739900</v>
      </c>
      <c r="J7401" s="10">
        <v>0.0399</v>
      </c>
    </row>
    <row r="7402" spans="1:10">
      <c r="A7402" s="7" t="s">
        <v>7436</v>
      </c>
      <c r="B7402" s="7" t="s">
        <v>9269</v>
      </c>
      <c r="C7402" s="8">
        <f>QS.CONTEXT.CREATE("market.7400",A7402,"USD","SOFR")</f>
        <v/>
      </c>
      <c r="D7402" s="8">
        <f>QS.CONTEXT.ADD.CURVE(C7402,"SOFR",$K$2:$K$7,$L$2:$L$7,,,"Actual360","LogLinear",TRUE)</f>
        <v/>
      </c>
      <c r="E7402" s="8">
        <f>QS.INSTRUMENT.SWAP("swap.7400",C7402,H7402,B7402,"USD","SOFR",I7402,J7402,0,"Actual360","Simple","Annual","Annual","Annual")</f>
        <v/>
      </c>
      <c r="F7402" s="8">
        <f>QS.TRADE.CREATE("trade.7400",C7402,E7402,A7402,"Receive")</f>
        <v/>
      </c>
      <c r="G7402" s="5"/>
      <c r="H7402" s="7" t="s">
        <v>7443</v>
      </c>
      <c r="I7402" s="9">
        <v>1740000</v>
      </c>
      <c r="J7402" s="10">
        <v>0.035</v>
      </c>
    </row>
    <row r="7403" spans="1:10">
      <c r="A7403" s="7" t="s">
        <v>7437</v>
      </c>
      <c r="B7403" s="7" t="s">
        <v>9270</v>
      </c>
      <c r="C7403" s="8">
        <f>QS.CONTEXT.CREATE("market.7401",A7403,"USD","SOFR")</f>
        <v/>
      </c>
      <c r="D7403" s="8">
        <f>QS.CONTEXT.ADD.CURVE(C7403,"SOFR",$K$2:$K$7,$L$2:$L$7,,,"Actual360","LogLinear",TRUE)</f>
        <v/>
      </c>
      <c r="E7403" s="8">
        <f>QS.INSTRUMENT.SWAP("swap.7401",C7403,H7403,B7403,"USD","SOFR",I7403,J7403,0,"Actual360","Simple","Annual","Annual","Annual")</f>
        <v/>
      </c>
      <c r="F7403" s="8">
        <f>QS.TRADE.CREATE("trade.7401",C7403,E7403,A7403,"Receive")</f>
        <v/>
      </c>
      <c r="G7403" s="5"/>
      <c r="H7403" s="7" t="s">
        <v>7444</v>
      </c>
      <c r="I7403" s="9">
        <v>1740100</v>
      </c>
      <c r="J7403" s="10">
        <v>0.03510000000000001</v>
      </c>
    </row>
    <row r="7404" spans="1:10">
      <c r="A7404" s="7" t="s">
        <v>7438</v>
      </c>
      <c r="B7404" s="7" t="s">
        <v>9271</v>
      </c>
      <c r="C7404" s="8">
        <f>QS.CONTEXT.CREATE("market.7402",A7404,"USD","SOFR")</f>
        <v/>
      </c>
      <c r="D7404" s="8">
        <f>QS.CONTEXT.ADD.CURVE(C7404,"SOFR",$K$2:$K$7,$L$2:$L$7,,,"Actual360","LogLinear",TRUE)</f>
        <v/>
      </c>
      <c r="E7404" s="8">
        <f>QS.INSTRUMENT.SWAP("swap.7402",C7404,H7404,B7404,"USD","SOFR",I7404,J7404,0,"Actual360","Simple","Annual","Annual","Annual")</f>
        <v/>
      </c>
      <c r="F7404" s="8">
        <f>QS.TRADE.CREATE("trade.7402",C7404,E7404,A7404,"Receive")</f>
        <v/>
      </c>
      <c r="G7404" s="5"/>
      <c r="H7404" s="7" t="s">
        <v>7445</v>
      </c>
      <c r="I7404" s="9">
        <v>1740200</v>
      </c>
      <c r="J7404" s="10">
        <v>0.0352</v>
      </c>
    </row>
    <row r="7405" spans="1:10">
      <c r="A7405" s="7" t="s">
        <v>7439</v>
      </c>
      <c r="B7405" s="7" t="s">
        <v>9272</v>
      </c>
      <c r="C7405" s="8">
        <f>QS.CONTEXT.CREATE("market.7403",A7405,"USD","SOFR")</f>
        <v/>
      </c>
      <c r="D7405" s="8">
        <f>QS.CONTEXT.ADD.CURVE(C7405,"SOFR",$K$2:$K$7,$L$2:$L$7,,,"Actual360","LogLinear",TRUE)</f>
        <v/>
      </c>
      <c r="E7405" s="8">
        <f>QS.INSTRUMENT.SWAP("swap.7403",C7405,H7405,B7405,"USD","SOFR",I7405,J7405,0,"Actual360","Simple","Annual","Annual","Annual")</f>
        <v/>
      </c>
      <c r="F7405" s="8">
        <f>QS.TRADE.CREATE("trade.7403",C7405,E7405,A7405,"Receive")</f>
        <v/>
      </c>
      <c r="G7405" s="5"/>
      <c r="H7405" s="7" t="s">
        <v>7446</v>
      </c>
      <c r="I7405" s="9">
        <v>1740300</v>
      </c>
      <c r="J7405" s="10">
        <v>0.0353</v>
      </c>
    </row>
    <row r="7406" spans="1:10">
      <c r="A7406" s="7" t="s">
        <v>7440</v>
      </c>
      <c r="B7406" s="7" t="s">
        <v>9273</v>
      </c>
      <c r="C7406" s="8">
        <f>QS.CONTEXT.CREATE("market.7404",A7406,"USD","SOFR")</f>
        <v/>
      </c>
      <c r="D7406" s="8">
        <f>QS.CONTEXT.ADD.CURVE(C7406,"SOFR",$K$2:$K$7,$L$2:$L$7,,,"Actual360","LogLinear",TRUE)</f>
        <v/>
      </c>
      <c r="E7406" s="8">
        <f>QS.INSTRUMENT.SWAP("swap.7404",C7406,H7406,B7406,"USD","SOFR",I7406,J7406,0,"Actual360","Simple","Annual","Annual","Annual")</f>
        <v/>
      </c>
      <c r="F7406" s="8">
        <f>QS.TRADE.CREATE("trade.7404",C7406,E7406,A7406,"Receive")</f>
        <v/>
      </c>
      <c r="G7406" s="5"/>
      <c r="H7406" s="7" t="s">
        <v>7447</v>
      </c>
      <c r="I7406" s="9">
        <v>1740400</v>
      </c>
      <c r="J7406" s="10">
        <v>0.0354</v>
      </c>
    </row>
    <row r="7407" spans="1:10">
      <c r="A7407" s="7" t="s">
        <v>7441</v>
      </c>
      <c r="B7407" s="7" t="s">
        <v>9274</v>
      </c>
      <c r="C7407" s="8">
        <f>QS.CONTEXT.CREATE("market.7405",A7407,"USD","SOFR")</f>
        <v/>
      </c>
      <c r="D7407" s="8">
        <f>QS.CONTEXT.ADD.CURVE(C7407,"SOFR",$K$2:$K$7,$L$2:$L$7,,,"Actual360","LogLinear",TRUE)</f>
        <v/>
      </c>
      <c r="E7407" s="8">
        <f>QS.INSTRUMENT.SWAP("swap.7405",C7407,H7407,B7407,"USD","SOFR",I7407,J7407,0,"Actual360","Simple","Annual","Annual","Annual")</f>
        <v/>
      </c>
      <c r="F7407" s="8">
        <f>QS.TRADE.CREATE("trade.7405",C7407,E7407,A7407,"Receive")</f>
        <v/>
      </c>
      <c r="G7407" s="5"/>
      <c r="H7407" s="7" t="s">
        <v>7448</v>
      </c>
      <c r="I7407" s="9">
        <v>1740500</v>
      </c>
      <c r="J7407" s="10">
        <v>0.0355</v>
      </c>
    </row>
    <row r="7408" spans="1:10">
      <c r="A7408" s="7" t="s">
        <v>7442</v>
      </c>
      <c r="B7408" s="7" t="s">
        <v>9275</v>
      </c>
      <c r="C7408" s="8">
        <f>QS.CONTEXT.CREATE("market.7406",A7408,"USD","SOFR")</f>
        <v/>
      </c>
      <c r="D7408" s="8">
        <f>QS.CONTEXT.ADD.CURVE(C7408,"SOFR",$K$2:$K$7,$L$2:$L$7,,,"Actual360","LogLinear",TRUE)</f>
        <v/>
      </c>
      <c r="E7408" s="8">
        <f>QS.INSTRUMENT.SWAP("swap.7406",C7408,H7408,B7408,"USD","SOFR",I7408,J7408,0,"Actual360","Simple","Annual","Annual","Annual")</f>
        <v/>
      </c>
      <c r="F7408" s="8">
        <f>QS.TRADE.CREATE("trade.7406",C7408,E7408,A7408,"Receive")</f>
        <v/>
      </c>
      <c r="G7408" s="5"/>
      <c r="H7408" s="7" t="s">
        <v>7449</v>
      </c>
      <c r="I7408" s="9">
        <v>1740600</v>
      </c>
      <c r="J7408" s="10">
        <v>0.03560000000000001</v>
      </c>
    </row>
    <row r="7409" spans="1:10">
      <c r="A7409" s="7" t="s">
        <v>7443</v>
      </c>
      <c r="B7409" s="7" t="s">
        <v>9276</v>
      </c>
      <c r="C7409" s="8">
        <f>QS.CONTEXT.CREATE("market.7407",A7409,"USD","SOFR")</f>
        <v/>
      </c>
      <c r="D7409" s="8">
        <f>QS.CONTEXT.ADD.CURVE(C7409,"SOFR",$K$2:$K$7,$L$2:$L$7,,,"Actual360","LogLinear",TRUE)</f>
        <v/>
      </c>
      <c r="E7409" s="8">
        <f>QS.INSTRUMENT.SWAP("swap.7407",C7409,H7409,B7409,"USD","SOFR",I7409,J7409,0,"Actual360","Simple","Annual","Annual","Annual")</f>
        <v/>
      </c>
      <c r="F7409" s="8">
        <f>QS.TRADE.CREATE("trade.7407",C7409,E7409,A7409,"Receive")</f>
        <v/>
      </c>
      <c r="G7409" s="5"/>
      <c r="H7409" s="7" t="s">
        <v>7450</v>
      </c>
      <c r="I7409" s="9">
        <v>1740700</v>
      </c>
      <c r="J7409" s="10">
        <v>0.0357</v>
      </c>
    </row>
    <row r="7410" spans="1:10">
      <c r="A7410" s="7" t="s">
        <v>7444</v>
      </c>
      <c r="B7410" s="7" t="s">
        <v>9277</v>
      </c>
      <c r="C7410" s="8">
        <f>QS.CONTEXT.CREATE("market.7408",A7410,"USD","SOFR")</f>
        <v/>
      </c>
      <c r="D7410" s="8">
        <f>QS.CONTEXT.ADD.CURVE(C7410,"SOFR",$K$2:$K$7,$L$2:$L$7,,,"Actual360","LogLinear",TRUE)</f>
        <v/>
      </c>
      <c r="E7410" s="8">
        <f>QS.INSTRUMENT.SWAP("swap.7408",C7410,H7410,B7410,"USD","SOFR",I7410,J7410,0,"Actual360","Simple","Annual","Annual","Annual")</f>
        <v/>
      </c>
      <c r="F7410" s="8">
        <f>QS.TRADE.CREATE("trade.7408",C7410,E7410,A7410,"Receive")</f>
        <v/>
      </c>
      <c r="G7410" s="5"/>
      <c r="H7410" s="7" t="s">
        <v>7451</v>
      </c>
      <c r="I7410" s="9">
        <v>1740800</v>
      </c>
      <c r="J7410" s="10">
        <v>0.03580000000000001</v>
      </c>
    </row>
    <row r="7411" spans="1:10">
      <c r="A7411" s="7" t="s">
        <v>7445</v>
      </c>
      <c r="B7411" s="7" t="s">
        <v>9278</v>
      </c>
      <c r="C7411" s="8">
        <f>QS.CONTEXT.CREATE("market.7409",A7411,"USD","SOFR")</f>
        <v/>
      </c>
      <c r="D7411" s="8">
        <f>QS.CONTEXT.ADD.CURVE(C7411,"SOFR",$K$2:$K$7,$L$2:$L$7,,,"Actual360","LogLinear",TRUE)</f>
        <v/>
      </c>
      <c r="E7411" s="8">
        <f>QS.INSTRUMENT.SWAP("swap.7409",C7411,H7411,B7411,"USD","SOFR",I7411,J7411,0,"Actual360","Simple","Annual","Annual","Annual")</f>
        <v/>
      </c>
      <c r="F7411" s="8">
        <f>QS.TRADE.CREATE("trade.7409",C7411,E7411,A7411,"Receive")</f>
        <v/>
      </c>
      <c r="G7411" s="5"/>
      <c r="H7411" s="7" t="s">
        <v>7452</v>
      </c>
      <c r="I7411" s="9">
        <v>1740900</v>
      </c>
      <c r="J7411" s="10">
        <v>0.0359</v>
      </c>
    </row>
    <row r="7412" spans="1:10">
      <c r="A7412" s="7" t="s">
        <v>7446</v>
      </c>
      <c r="B7412" s="7" t="s">
        <v>9279</v>
      </c>
      <c r="C7412" s="8">
        <f>QS.CONTEXT.CREATE("market.7410",A7412,"USD","SOFR")</f>
        <v/>
      </c>
      <c r="D7412" s="8">
        <f>QS.CONTEXT.ADD.CURVE(C7412,"SOFR",$K$2:$K$7,$L$2:$L$7,,,"Actual360","LogLinear",TRUE)</f>
        <v/>
      </c>
      <c r="E7412" s="8">
        <f>QS.INSTRUMENT.SWAP("swap.7410",C7412,H7412,B7412,"USD","SOFR",I7412,J7412,0,"Actual360","Simple","Annual","Annual","Annual")</f>
        <v/>
      </c>
      <c r="F7412" s="8">
        <f>QS.TRADE.CREATE("trade.7410",C7412,E7412,A7412,"Receive")</f>
        <v/>
      </c>
      <c r="G7412" s="5"/>
      <c r="H7412" s="7" t="s">
        <v>7453</v>
      </c>
      <c r="I7412" s="9">
        <v>1741000</v>
      </c>
      <c r="J7412" s="10">
        <v>0.036</v>
      </c>
    </row>
    <row r="7413" spans="1:10">
      <c r="A7413" s="7" t="s">
        <v>7447</v>
      </c>
      <c r="B7413" s="7" t="s">
        <v>9280</v>
      </c>
      <c r="C7413" s="8">
        <f>QS.CONTEXT.CREATE("market.7411",A7413,"USD","SOFR")</f>
        <v/>
      </c>
      <c r="D7413" s="8">
        <f>QS.CONTEXT.ADD.CURVE(C7413,"SOFR",$K$2:$K$7,$L$2:$L$7,,,"Actual360","LogLinear",TRUE)</f>
        <v/>
      </c>
      <c r="E7413" s="8">
        <f>QS.INSTRUMENT.SWAP("swap.7411",C7413,H7413,B7413,"USD","SOFR",I7413,J7413,0,"Actual360","Simple","Annual","Annual","Annual")</f>
        <v/>
      </c>
      <c r="F7413" s="8">
        <f>QS.TRADE.CREATE("trade.7411",C7413,E7413,A7413,"Receive")</f>
        <v/>
      </c>
      <c r="G7413" s="5"/>
      <c r="H7413" s="7" t="s">
        <v>7454</v>
      </c>
      <c r="I7413" s="9">
        <v>1741100</v>
      </c>
      <c r="J7413" s="10">
        <v>0.0361</v>
      </c>
    </row>
    <row r="7414" spans="1:10">
      <c r="A7414" s="7" t="s">
        <v>7448</v>
      </c>
      <c r="B7414" s="7" t="s">
        <v>9281</v>
      </c>
      <c r="C7414" s="8">
        <f>QS.CONTEXT.CREATE("market.7412",A7414,"USD","SOFR")</f>
        <v/>
      </c>
      <c r="D7414" s="8">
        <f>QS.CONTEXT.ADD.CURVE(C7414,"SOFR",$K$2:$K$7,$L$2:$L$7,,,"Actual360","LogLinear",TRUE)</f>
        <v/>
      </c>
      <c r="E7414" s="8">
        <f>QS.INSTRUMENT.SWAP("swap.7412",C7414,H7414,B7414,"USD","SOFR",I7414,J7414,0,"Actual360","Simple","Annual","Annual","Annual")</f>
        <v/>
      </c>
      <c r="F7414" s="8">
        <f>QS.TRADE.CREATE("trade.7412",C7414,E7414,A7414,"Receive")</f>
        <v/>
      </c>
      <c r="G7414" s="5"/>
      <c r="H7414" s="7" t="s">
        <v>7455</v>
      </c>
      <c r="I7414" s="9">
        <v>1741200</v>
      </c>
      <c r="J7414" s="10">
        <v>0.0362</v>
      </c>
    </row>
    <row r="7415" spans="1:10">
      <c r="A7415" s="7" t="s">
        <v>7449</v>
      </c>
      <c r="B7415" s="7" t="s">
        <v>9282</v>
      </c>
      <c r="C7415" s="8">
        <f>QS.CONTEXT.CREATE("market.7413",A7415,"USD","SOFR")</f>
        <v/>
      </c>
      <c r="D7415" s="8">
        <f>QS.CONTEXT.ADD.CURVE(C7415,"SOFR",$K$2:$K$7,$L$2:$L$7,,,"Actual360","LogLinear",TRUE)</f>
        <v/>
      </c>
      <c r="E7415" s="8">
        <f>QS.INSTRUMENT.SWAP("swap.7413",C7415,H7415,B7415,"USD","SOFR",I7415,J7415,0,"Actual360","Simple","Annual","Annual","Annual")</f>
        <v/>
      </c>
      <c r="F7415" s="8">
        <f>QS.TRADE.CREATE("trade.7413",C7415,E7415,A7415,"Receive")</f>
        <v/>
      </c>
      <c r="G7415" s="5"/>
      <c r="H7415" s="7" t="s">
        <v>7456</v>
      </c>
      <c r="I7415" s="9">
        <v>1741300</v>
      </c>
      <c r="J7415" s="10">
        <v>0.03630000000000001</v>
      </c>
    </row>
    <row r="7416" spans="1:10">
      <c r="A7416" s="7" t="s">
        <v>7450</v>
      </c>
      <c r="B7416" s="7" t="s">
        <v>9283</v>
      </c>
      <c r="C7416" s="8">
        <f>QS.CONTEXT.CREATE("market.7414",A7416,"USD","SOFR")</f>
        <v/>
      </c>
      <c r="D7416" s="8">
        <f>QS.CONTEXT.ADD.CURVE(C7416,"SOFR",$K$2:$K$7,$L$2:$L$7,,,"Actual360","LogLinear",TRUE)</f>
        <v/>
      </c>
      <c r="E7416" s="8">
        <f>QS.INSTRUMENT.SWAP("swap.7414",C7416,H7416,B7416,"USD","SOFR",I7416,J7416,0,"Actual360","Simple","Annual","Annual","Annual")</f>
        <v/>
      </c>
      <c r="F7416" s="8">
        <f>QS.TRADE.CREATE("trade.7414",C7416,E7416,A7416,"Receive")</f>
        <v/>
      </c>
      <c r="G7416" s="5"/>
      <c r="H7416" s="7" t="s">
        <v>7457</v>
      </c>
      <c r="I7416" s="9">
        <v>1741400</v>
      </c>
      <c r="J7416" s="10">
        <v>0.0364</v>
      </c>
    </row>
    <row r="7417" spans="1:10">
      <c r="A7417" s="7" t="s">
        <v>7451</v>
      </c>
      <c r="B7417" s="7" t="s">
        <v>9284</v>
      </c>
      <c r="C7417" s="8">
        <f>QS.CONTEXT.CREATE("market.7415",A7417,"USD","SOFR")</f>
        <v/>
      </c>
      <c r="D7417" s="8">
        <f>QS.CONTEXT.ADD.CURVE(C7417,"SOFR",$K$2:$K$7,$L$2:$L$7,,,"Actual360","LogLinear",TRUE)</f>
        <v/>
      </c>
      <c r="E7417" s="8">
        <f>QS.INSTRUMENT.SWAP("swap.7415",C7417,H7417,B7417,"USD","SOFR",I7417,J7417,0,"Actual360","Simple","Annual","Annual","Annual")</f>
        <v/>
      </c>
      <c r="F7417" s="8">
        <f>QS.TRADE.CREATE("trade.7415",C7417,E7417,A7417,"Receive")</f>
        <v/>
      </c>
      <c r="G7417" s="5"/>
      <c r="H7417" s="7" t="s">
        <v>7458</v>
      </c>
      <c r="I7417" s="9">
        <v>1741500</v>
      </c>
      <c r="J7417" s="10">
        <v>0.0365</v>
      </c>
    </row>
    <row r="7418" spans="1:10">
      <c r="A7418" s="7" t="s">
        <v>7452</v>
      </c>
      <c r="B7418" s="7" t="s">
        <v>9285</v>
      </c>
      <c r="C7418" s="8">
        <f>QS.CONTEXT.CREATE("market.7416",A7418,"USD","SOFR")</f>
        <v/>
      </c>
      <c r="D7418" s="8">
        <f>QS.CONTEXT.ADD.CURVE(C7418,"SOFR",$K$2:$K$7,$L$2:$L$7,,,"Actual360","LogLinear",TRUE)</f>
        <v/>
      </c>
      <c r="E7418" s="8">
        <f>QS.INSTRUMENT.SWAP("swap.7416",C7418,H7418,B7418,"USD","SOFR",I7418,J7418,0,"Actual360","Simple","Annual","Annual","Annual")</f>
        <v/>
      </c>
      <c r="F7418" s="8">
        <f>QS.TRADE.CREATE("trade.7416",C7418,E7418,A7418,"Receive")</f>
        <v/>
      </c>
      <c r="G7418" s="5"/>
      <c r="H7418" s="7" t="s">
        <v>7459</v>
      </c>
      <c r="I7418" s="9">
        <v>1741600</v>
      </c>
      <c r="J7418" s="10">
        <v>0.0366</v>
      </c>
    </row>
    <row r="7419" spans="1:10">
      <c r="A7419" s="7" t="s">
        <v>7453</v>
      </c>
      <c r="B7419" s="7" t="s">
        <v>9286</v>
      </c>
      <c r="C7419" s="8">
        <f>QS.CONTEXT.CREATE("market.7417",A7419,"USD","SOFR")</f>
        <v/>
      </c>
      <c r="D7419" s="8">
        <f>QS.CONTEXT.ADD.CURVE(C7419,"SOFR",$K$2:$K$7,$L$2:$L$7,,,"Actual360","LogLinear",TRUE)</f>
        <v/>
      </c>
      <c r="E7419" s="8">
        <f>QS.INSTRUMENT.SWAP("swap.7417",C7419,H7419,B7419,"USD","SOFR",I7419,J7419,0,"Actual360","Simple","Annual","Annual","Annual")</f>
        <v/>
      </c>
      <c r="F7419" s="8">
        <f>QS.TRADE.CREATE("trade.7417",C7419,E7419,A7419,"Receive")</f>
        <v/>
      </c>
      <c r="G7419" s="5"/>
      <c r="H7419" s="7" t="s">
        <v>7460</v>
      </c>
      <c r="I7419" s="9">
        <v>1741700</v>
      </c>
      <c r="J7419" s="10">
        <v>0.0367</v>
      </c>
    </row>
    <row r="7420" spans="1:10">
      <c r="A7420" s="7" t="s">
        <v>7454</v>
      </c>
      <c r="B7420" s="7" t="s">
        <v>9287</v>
      </c>
      <c r="C7420" s="8">
        <f>QS.CONTEXT.CREATE("market.7418",A7420,"USD","SOFR")</f>
        <v/>
      </c>
      <c r="D7420" s="8">
        <f>QS.CONTEXT.ADD.CURVE(C7420,"SOFR",$K$2:$K$7,$L$2:$L$7,,,"Actual360","LogLinear",TRUE)</f>
        <v/>
      </c>
      <c r="E7420" s="8">
        <f>QS.INSTRUMENT.SWAP("swap.7418",C7420,H7420,B7420,"USD","SOFR",I7420,J7420,0,"Actual360","Simple","Annual","Annual","Annual")</f>
        <v/>
      </c>
      <c r="F7420" s="8">
        <f>QS.TRADE.CREATE("trade.7418",C7420,E7420,A7420,"Receive")</f>
        <v/>
      </c>
      <c r="G7420" s="5"/>
      <c r="H7420" s="7" t="s">
        <v>7461</v>
      </c>
      <c r="I7420" s="9">
        <v>1741800</v>
      </c>
      <c r="J7420" s="10">
        <v>0.03680000000000001</v>
      </c>
    </row>
    <row r="7421" spans="1:10">
      <c r="A7421" s="7" t="s">
        <v>7455</v>
      </c>
      <c r="B7421" s="7" t="s">
        <v>9288</v>
      </c>
      <c r="C7421" s="8">
        <f>QS.CONTEXT.CREATE("market.7419",A7421,"USD","SOFR")</f>
        <v/>
      </c>
      <c r="D7421" s="8">
        <f>QS.CONTEXT.ADD.CURVE(C7421,"SOFR",$K$2:$K$7,$L$2:$L$7,,,"Actual360","LogLinear",TRUE)</f>
        <v/>
      </c>
      <c r="E7421" s="8">
        <f>QS.INSTRUMENT.SWAP("swap.7419",C7421,H7421,B7421,"USD","SOFR",I7421,J7421,0,"Actual360","Simple","Annual","Annual","Annual")</f>
        <v/>
      </c>
      <c r="F7421" s="8">
        <f>QS.TRADE.CREATE("trade.7419",C7421,E7421,A7421,"Receive")</f>
        <v/>
      </c>
      <c r="G7421" s="5"/>
      <c r="H7421" s="7" t="s">
        <v>7462</v>
      </c>
      <c r="I7421" s="9">
        <v>1741900</v>
      </c>
      <c r="J7421" s="10">
        <v>0.0369</v>
      </c>
    </row>
    <row r="7422" spans="1:10">
      <c r="A7422" s="7" t="s">
        <v>7456</v>
      </c>
      <c r="B7422" s="7" t="s">
        <v>9289</v>
      </c>
      <c r="C7422" s="8">
        <f>QS.CONTEXT.CREATE("market.7420",A7422,"USD","SOFR")</f>
        <v/>
      </c>
      <c r="D7422" s="8">
        <f>QS.CONTEXT.ADD.CURVE(C7422,"SOFR",$K$2:$K$7,$L$2:$L$7,,,"Actual360","LogLinear",TRUE)</f>
        <v/>
      </c>
      <c r="E7422" s="8">
        <f>QS.INSTRUMENT.SWAP("swap.7420",C7422,H7422,B7422,"USD","SOFR",I7422,J7422,0,"Actual360","Simple","Annual","Annual","Annual")</f>
        <v/>
      </c>
      <c r="F7422" s="8">
        <f>QS.TRADE.CREATE("trade.7420",C7422,E7422,A7422,"Receive")</f>
        <v/>
      </c>
      <c r="G7422" s="5"/>
      <c r="H7422" s="7" t="s">
        <v>7463</v>
      </c>
      <c r="I7422" s="9">
        <v>1742000</v>
      </c>
      <c r="J7422" s="10">
        <v>0.03700000000000001</v>
      </c>
    </row>
    <row r="7423" spans="1:10">
      <c r="A7423" s="7" t="s">
        <v>7457</v>
      </c>
      <c r="B7423" s="7" t="s">
        <v>9290</v>
      </c>
      <c r="C7423" s="8">
        <f>QS.CONTEXT.CREATE("market.7421",A7423,"USD","SOFR")</f>
        <v/>
      </c>
      <c r="D7423" s="8">
        <f>QS.CONTEXT.ADD.CURVE(C7423,"SOFR",$K$2:$K$7,$L$2:$L$7,,,"Actual360","LogLinear",TRUE)</f>
        <v/>
      </c>
      <c r="E7423" s="8">
        <f>QS.INSTRUMENT.SWAP("swap.7421",C7423,H7423,B7423,"USD","SOFR",I7423,J7423,0,"Actual360","Simple","Annual","Annual","Annual")</f>
        <v/>
      </c>
      <c r="F7423" s="8">
        <f>QS.TRADE.CREATE("trade.7421",C7423,E7423,A7423,"Receive")</f>
        <v/>
      </c>
      <c r="G7423" s="5"/>
      <c r="H7423" s="7" t="s">
        <v>7464</v>
      </c>
      <c r="I7423" s="9">
        <v>1742100</v>
      </c>
      <c r="J7423" s="10">
        <v>0.0371</v>
      </c>
    </row>
    <row r="7424" spans="1:10">
      <c r="A7424" s="7" t="s">
        <v>7458</v>
      </c>
      <c r="B7424" s="7" t="s">
        <v>9291</v>
      </c>
      <c r="C7424" s="8">
        <f>QS.CONTEXT.CREATE("market.7422",A7424,"USD","SOFR")</f>
        <v/>
      </c>
      <c r="D7424" s="8">
        <f>QS.CONTEXT.ADD.CURVE(C7424,"SOFR",$K$2:$K$7,$L$2:$L$7,,,"Actual360","LogLinear",TRUE)</f>
        <v/>
      </c>
      <c r="E7424" s="8">
        <f>QS.INSTRUMENT.SWAP("swap.7422",C7424,H7424,B7424,"USD","SOFR",I7424,J7424,0,"Actual360","Simple","Annual","Annual","Annual")</f>
        <v/>
      </c>
      <c r="F7424" s="8">
        <f>QS.TRADE.CREATE("trade.7422",C7424,E7424,A7424,"Receive")</f>
        <v/>
      </c>
      <c r="G7424" s="5"/>
      <c r="H7424" s="7" t="s">
        <v>7465</v>
      </c>
      <c r="I7424" s="9">
        <v>1742200</v>
      </c>
      <c r="J7424" s="10">
        <v>0.0372</v>
      </c>
    </row>
    <row r="7425" spans="1:10">
      <c r="A7425" s="7" t="s">
        <v>7459</v>
      </c>
      <c r="B7425" s="7" t="s">
        <v>9292</v>
      </c>
      <c r="C7425" s="8">
        <f>QS.CONTEXT.CREATE("market.7423",A7425,"USD","SOFR")</f>
        <v/>
      </c>
      <c r="D7425" s="8">
        <f>QS.CONTEXT.ADD.CURVE(C7425,"SOFR",$K$2:$K$7,$L$2:$L$7,,,"Actual360","LogLinear",TRUE)</f>
        <v/>
      </c>
      <c r="E7425" s="8">
        <f>QS.INSTRUMENT.SWAP("swap.7423",C7425,H7425,B7425,"USD","SOFR",I7425,J7425,0,"Actual360","Simple","Annual","Annual","Annual")</f>
        <v/>
      </c>
      <c r="F7425" s="8">
        <f>QS.TRADE.CREATE("trade.7423",C7425,E7425,A7425,"Receive")</f>
        <v/>
      </c>
      <c r="G7425" s="5"/>
      <c r="H7425" s="7" t="s">
        <v>7466</v>
      </c>
      <c r="I7425" s="9">
        <v>1742300</v>
      </c>
      <c r="J7425" s="10">
        <v>0.0373</v>
      </c>
    </row>
    <row r="7426" spans="1:10">
      <c r="A7426" s="7" t="s">
        <v>7460</v>
      </c>
      <c r="B7426" s="7" t="s">
        <v>9293</v>
      </c>
      <c r="C7426" s="8">
        <f>QS.CONTEXT.CREATE("market.7424",A7426,"USD","SOFR")</f>
        <v/>
      </c>
      <c r="D7426" s="8">
        <f>QS.CONTEXT.ADD.CURVE(C7426,"SOFR",$K$2:$K$7,$L$2:$L$7,,,"Actual360","LogLinear",TRUE)</f>
        <v/>
      </c>
      <c r="E7426" s="8">
        <f>QS.INSTRUMENT.SWAP("swap.7424",C7426,H7426,B7426,"USD","SOFR",I7426,J7426,0,"Actual360","Simple","Annual","Annual","Annual")</f>
        <v/>
      </c>
      <c r="F7426" s="8">
        <f>QS.TRADE.CREATE("trade.7424",C7426,E7426,A7426,"Receive")</f>
        <v/>
      </c>
      <c r="G7426" s="5"/>
      <c r="H7426" s="7" t="s">
        <v>7467</v>
      </c>
      <c r="I7426" s="9">
        <v>1742400</v>
      </c>
      <c r="J7426" s="10">
        <v>0.0374</v>
      </c>
    </row>
    <row r="7427" spans="1:10">
      <c r="A7427" s="7" t="s">
        <v>7461</v>
      </c>
      <c r="B7427" s="7" t="s">
        <v>9294</v>
      </c>
      <c r="C7427" s="8">
        <f>QS.CONTEXT.CREATE("market.7425",A7427,"USD","SOFR")</f>
        <v/>
      </c>
      <c r="D7427" s="8">
        <f>QS.CONTEXT.ADD.CURVE(C7427,"SOFR",$K$2:$K$7,$L$2:$L$7,,,"Actual360","LogLinear",TRUE)</f>
        <v/>
      </c>
      <c r="E7427" s="8">
        <f>QS.INSTRUMENT.SWAP("swap.7425",C7427,H7427,B7427,"USD","SOFR",I7427,J7427,0,"Actual360","Simple","Annual","Annual","Annual")</f>
        <v/>
      </c>
      <c r="F7427" s="8">
        <f>QS.TRADE.CREATE("trade.7425",C7427,E7427,A7427,"Receive")</f>
        <v/>
      </c>
      <c r="G7427" s="5"/>
      <c r="H7427" s="7" t="s">
        <v>7468</v>
      </c>
      <c r="I7427" s="9">
        <v>1742500</v>
      </c>
      <c r="J7427" s="10">
        <v>0.03750000000000001</v>
      </c>
    </row>
    <row r="7428" spans="1:10">
      <c r="A7428" s="7" t="s">
        <v>7462</v>
      </c>
      <c r="B7428" s="7" t="s">
        <v>9295</v>
      </c>
      <c r="C7428" s="8">
        <f>QS.CONTEXT.CREATE("market.7426",A7428,"USD","SOFR")</f>
        <v/>
      </c>
      <c r="D7428" s="8">
        <f>QS.CONTEXT.ADD.CURVE(C7428,"SOFR",$K$2:$K$7,$L$2:$L$7,,,"Actual360","LogLinear",TRUE)</f>
        <v/>
      </c>
      <c r="E7428" s="8">
        <f>QS.INSTRUMENT.SWAP("swap.7426",C7428,H7428,B7428,"USD","SOFR",I7428,J7428,0,"Actual360","Simple","Annual","Annual","Annual")</f>
        <v/>
      </c>
      <c r="F7428" s="8">
        <f>QS.TRADE.CREATE("trade.7426",C7428,E7428,A7428,"Receive")</f>
        <v/>
      </c>
      <c r="G7428" s="5"/>
      <c r="H7428" s="7" t="s">
        <v>7469</v>
      </c>
      <c r="I7428" s="9">
        <v>1742600</v>
      </c>
      <c r="J7428" s="10">
        <v>0.0376</v>
      </c>
    </row>
    <row r="7429" spans="1:10">
      <c r="A7429" s="7" t="s">
        <v>7463</v>
      </c>
      <c r="B7429" s="7" t="s">
        <v>9296</v>
      </c>
      <c r="C7429" s="8">
        <f>QS.CONTEXT.CREATE("market.7427",A7429,"USD","SOFR")</f>
        <v/>
      </c>
      <c r="D7429" s="8">
        <f>QS.CONTEXT.ADD.CURVE(C7429,"SOFR",$K$2:$K$7,$L$2:$L$7,,,"Actual360","LogLinear",TRUE)</f>
        <v/>
      </c>
      <c r="E7429" s="8">
        <f>QS.INSTRUMENT.SWAP("swap.7427",C7429,H7429,B7429,"USD","SOFR",I7429,J7429,0,"Actual360","Simple","Annual","Annual","Annual")</f>
        <v/>
      </c>
      <c r="F7429" s="8">
        <f>QS.TRADE.CREATE("trade.7427",C7429,E7429,A7429,"Receive")</f>
        <v/>
      </c>
      <c r="G7429" s="5"/>
      <c r="H7429" s="7" t="s">
        <v>7470</v>
      </c>
      <c r="I7429" s="9">
        <v>1742700</v>
      </c>
      <c r="J7429" s="10">
        <v>0.0377</v>
      </c>
    </row>
    <row r="7430" spans="1:10">
      <c r="A7430" s="7" t="s">
        <v>7464</v>
      </c>
      <c r="B7430" s="7" t="s">
        <v>9297</v>
      </c>
      <c r="C7430" s="8">
        <f>QS.CONTEXT.CREATE("market.7428",A7430,"USD","SOFR")</f>
        <v/>
      </c>
      <c r="D7430" s="8">
        <f>QS.CONTEXT.ADD.CURVE(C7430,"SOFR",$K$2:$K$7,$L$2:$L$7,,,"Actual360","LogLinear",TRUE)</f>
        <v/>
      </c>
      <c r="E7430" s="8">
        <f>QS.INSTRUMENT.SWAP("swap.7428",C7430,H7430,B7430,"USD","SOFR",I7430,J7430,0,"Actual360","Simple","Annual","Annual","Annual")</f>
        <v/>
      </c>
      <c r="F7430" s="8">
        <f>QS.TRADE.CREATE("trade.7428",C7430,E7430,A7430,"Receive")</f>
        <v/>
      </c>
      <c r="G7430" s="5"/>
      <c r="H7430" s="7" t="s">
        <v>7471</v>
      </c>
      <c r="I7430" s="9">
        <v>1742800</v>
      </c>
      <c r="J7430" s="10">
        <v>0.0378</v>
      </c>
    </row>
    <row r="7431" spans="1:10">
      <c r="A7431" s="7" t="s">
        <v>7465</v>
      </c>
      <c r="B7431" s="7" t="s">
        <v>9298</v>
      </c>
      <c r="C7431" s="8">
        <f>QS.CONTEXT.CREATE("market.7429",A7431,"USD","SOFR")</f>
        <v/>
      </c>
      <c r="D7431" s="8">
        <f>QS.CONTEXT.ADD.CURVE(C7431,"SOFR",$K$2:$K$7,$L$2:$L$7,,,"Actual360","LogLinear",TRUE)</f>
        <v/>
      </c>
      <c r="E7431" s="8">
        <f>QS.INSTRUMENT.SWAP("swap.7429",C7431,H7431,B7431,"USD","SOFR",I7431,J7431,0,"Actual360","Simple","Annual","Annual","Annual")</f>
        <v/>
      </c>
      <c r="F7431" s="8">
        <f>QS.TRADE.CREATE("trade.7429",C7431,E7431,A7431,"Receive")</f>
        <v/>
      </c>
      <c r="G7431" s="5"/>
      <c r="H7431" s="7" t="s">
        <v>7472</v>
      </c>
      <c r="I7431" s="9">
        <v>1742900</v>
      </c>
      <c r="J7431" s="10">
        <v>0.0379</v>
      </c>
    </row>
    <row r="7432" spans="1:10">
      <c r="A7432" s="7" t="s">
        <v>7466</v>
      </c>
      <c r="B7432" s="7" t="s">
        <v>9299</v>
      </c>
      <c r="C7432" s="8">
        <f>QS.CONTEXT.CREATE("market.7430",A7432,"USD","SOFR")</f>
        <v/>
      </c>
      <c r="D7432" s="8">
        <f>QS.CONTEXT.ADD.CURVE(C7432,"SOFR",$K$2:$K$7,$L$2:$L$7,,,"Actual360","LogLinear",TRUE)</f>
        <v/>
      </c>
      <c r="E7432" s="8">
        <f>QS.INSTRUMENT.SWAP("swap.7430",C7432,H7432,B7432,"USD","SOFR",I7432,J7432,0,"Actual360","Simple","Annual","Annual","Annual")</f>
        <v/>
      </c>
      <c r="F7432" s="8">
        <f>QS.TRADE.CREATE("trade.7430",C7432,E7432,A7432,"Receive")</f>
        <v/>
      </c>
      <c r="G7432" s="5"/>
      <c r="H7432" s="7" t="s">
        <v>7473</v>
      </c>
      <c r="I7432" s="9">
        <v>1743000</v>
      </c>
      <c r="J7432" s="10">
        <v>0.03800000000000001</v>
      </c>
    </row>
    <row r="7433" spans="1:10">
      <c r="A7433" s="7" t="s">
        <v>7467</v>
      </c>
      <c r="B7433" s="7" t="s">
        <v>9300</v>
      </c>
      <c r="C7433" s="8">
        <f>QS.CONTEXT.CREATE("market.7431",A7433,"USD","SOFR")</f>
        <v/>
      </c>
      <c r="D7433" s="8">
        <f>QS.CONTEXT.ADD.CURVE(C7433,"SOFR",$K$2:$K$7,$L$2:$L$7,,,"Actual360","LogLinear",TRUE)</f>
        <v/>
      </c>
      <c r="E7433" s="8">
        <f>QS.INSTRUMENT.SWAP("swap.7431",C7433,H7433,B7433,"USD","SOFR",I7433,J7433,0,"Actual360","Simple","Annual","Annual","Annual")</f>
        <v/>
      </c>
      <c r="F7433" s="8">
        <f>QS.TRADE.CREATE("trade.7431",C7433,E7433,A7433,"Receive")</f>
        <v/>
      </c>
      <c r="G7433" s="5"/>
      <c r="H7433" s="7" t="s">
        <v>7474</v>
      </c>
      <c r="I7433" s="9">
        <v>1743100</v>
      </c>
      <c r="J7433" s="10">
        <v>0.0381</v>
      </c>
    </row>
    <row r="7434" spans="1:10">
      <c r="A7434" s="7" t="s">
        <v>7468</v>
      </c>
      <c r="B7434" s="7" t="s">
        <v>9301</v>
      </c>
      <c r="C7434" s="8">
        <f>QS.CONTEXT.CREATE("market.7432",A7434,"USD","SOFR")</f>
        <v/>
      </c>
      <c r="D7434" s="8">
        <f>QS.CONTEXT.ADD.CURVE(C7434,"SOFR",$K$2:$K$7,$L$2:$L$7,,,"Actual360","LogLinear",TRUE)</f>
        <v/>
      </c>
      <c r="E7434" s="8">
        <f>QS.INSTRUMENT.SWAP("swap.7432",C7434,H7434,B7434,"USD","SOFR",I7434,J7434,0,"Actual360","Simple","Annual","Annual","Annual")</f>
        <v/>
      </c>
      <c r="F7434" s="8">
        <f>QS.TRADE.CREATE("trade.7432",C7434,E7434,A7434,"Receive")</f>
        <v/>
      </c>
      <c r="G7434" s="5"/>
      <c r="H7434" s="7" t="s">
        <v>7475</v>
      </c>
      <c r="I7434" s="9">
        <v>1743200</v>
      </c>
      <c r="J7434" s="10">
        <v>0.0382</v>
      </c>
    </row>
    <row r="7435" spans="1:10">
      <c r="A7435" s="7" t="s">
        <v>7469</v>
      </c>
      <c r="B7435" s="7" t="s">
        <v>9302</v>
      </c>
      <c r="C7435" s="8">
        <f>QS.CONTEXT.CREATE("market.7433",A7435,"USD","SOFR")</f>
        <v/>
      </c>
      <c r="D7435" s="8">
        <f>QS.CONTEXT.ADD.CURVE(C7435,"SOFR",$K$2:$K$7,$L$2:$L$7,,,"Actual360","LogLinear",TRUE)</f>
        <v/>
      </c>
      <c r="E7435" s="8">
        <f>QS.INSTRUMENT.SWAP("swap.7433",C7435,H7435,B7435,"USD","SOFR",I7435,J7435,0,"Actual360","Simple","Annual","Annual","Annual")</f>
        <v/>
      </c>
      <c r="F7435" s="8">
        <f>QS.TRADE.CREATE("trade.7433",C7435,E7435,A7435,"Receive")</f>
        <v/>
      </c>
      <c r="G7435" s="5"/>
      <c r="H7435" s="7" t="s">
        <v>7476</v>
      </c>
      <c r="I7435" s="9">
        <v>1743300</v>
      </c>
      <c r="J7435" s="10">
        <v>0.0383</v>
      </c>
    </row>
    <row r="7436" spans="1:10">
      <c r="A7436" s="7" t="s">
        <v>7470</v>
      </c>
      <c r="B7436" s="7" t="s">
        <v>9303</v>
      </c>
      <c r="C7436" s="8">
        <f>QS.CONTEXT.CREATE("market.7434",A7436,"USD","SOFR")</f>
        <v/>
      </c>
      <c r="D7436" s="8">
        <f>QS.CONTEXT.ADD.CURVE(C7436,"SOFR",$K$2:$K$7,$L$2:$L$7,,,"Actual360","LogLinear",TRUE)</f>
        <v/>
      </c>
      <c r="E7436" s="8">
        <f>QS.INSTRUMENT.SWAP("swap.7434",C7436,H7436,B7436,"USD","SOFR",I7436,J7436,0,"Actual360","Simple","Annual","Annual","Annual")</f>
        <v/>
      </c>
      <c r="F7436" s="8">
        <f>QS.TRADE.CREATE("trade.7434",C7436,E7436,A7436,"Receive")</f>
        <v/>
      </c>
      <c r="G7436" s="5"/>
      <c r="H7436" s="7" t="s">
        <v>7477</v>
      </c>
      <c r="I7436" s="9">
        <v>1743400</v>
      </c>
      <c r="J7436" s="10">
        <v>0.0384</v>
      </c>
    </row>
    <row r="7437" spans="1:10">
      <c r="A7437" s="7" t="s">
        <v>7471</v>
      </c>
      <c r="B7437" s="7" t="s">
        <v>9304</v>
      </c>
      <c r="C7437" s="8">
        <f>QS.CONTEXT.CREATE("market.7435",A7437,"USD","SOFR")</f>
        <v/>
      </c>
      <c r="D7437" s="8">
        <f>QS.CONTEXT.ADD.CURVE(C7437,"SOFR",$K$2:$K$7,$L$2:$L$7,,,"Actual360","LogLinear",TRUE)</f>
        <v/>
      </c>
      <c r="E7437" s="8">
        <f>QS.INSTRUMENT.SWAP("swap.7435",C7437,H7437,B7437,"USD","SOFR",I7437,J7437,0,"Actual360","Simple","Annual","Annual","Annual")</f>
        <v/>
      </c>
      <c r="F7437" s="8">
        <f>QS.TRADE.CREATE("trade.7435",C7437,E7437,A7437,"Receive")</f>
        <v/>
      </c>
      <c r="G7437" s="5"/>
      <c r="H7437" s="7" t="s">
        <v>7478</v>
      </c>
      <c r="I7437" s="9">
        <v>1743500</v>
      </c>
      <c r="J7437" s="10">
        <v>0.03850000000000001</v>
      </c>
    </row>
    <row r="7438" spans="1:10">
      <c r="A7438" s="7" t="s">
        <v>7472</v>
      </c>
      <c r="B7438" s="7" t="s">
        <v>9305</v>
      </c>
      <c r="C7438" s="8">
        <f>QS.CONTEXT.CREATE("market.7436",A7438,"USD","SOFR")</f>
        <v/>
      </c>
      <c r="D7438" s="8">
        <f>QS.CONTEXT.ADD.CURVE(C7438,"SOFR",$K$2:$K$7,$L$2:$L$7,,,"Actual360","LogLinear",TRUE)</f>
        <v/>
      </c>
      <c r="E7438" s="8">
        <f>QS.INSTRUMENT.SWAP("swap.7436",C7438,H7438,B7438,"USD","SOFR",I7438,J7438,0,"Actual360","Simple","Annual","Annual","Annual")</f>
        <v/>
      </c>
      <c r="F7438" s="8">
        <f>QS.TRADE.CREATE("trade.7436",C7438,E7438,A7438,"Receive")</f>
        <v/>
      </c>
      <c r="G7438" s="5"/>
      <c r="H7438" s="7" t="s">
        <v>7479</v>
      </c>
      <c r="I7438" s="9">
        <v>1743600</v>
      </c>
      <c r="J7438" s="10">
        <v>0.0386</v>
      </c>
    </row>
    <row r="7439" spans="1:10">
      <c r="A7439" s="7" t="s">
        <v>7473</v>
      </c>
      <c r="B7439" s="7" t="s">
        <v>9306</v>
      </c>
      <c r="C7439" s="8">
        <f>QS.CONTEXT.CREATE("market.7437",A7439,"USD","SOFR")</f>
        <v/>
      </c>
      <c r="D7439" s="8">
        <f>QS.CONTEXT.ADD.CURVE(C7439,"SOFR",$K$2:$K$7,$L$2:$L$7,,,"Actual360","LogLinear",TRUE)</f>
        <v/>
      </c>
      <c r="E7439" s="8">
        <f>QS.INSTRUMENT.SWAP("swap.7437",C7439,H7439,B7439,"USD","SOFR",I7439,J7439,0,"Actual360","Simple","Annual","Annual","Annual")</f>
        <v/>
      </c>
      <c r="F7439" s="8">
        <f>QS.TRADE.CREATE("trade.7437",C7439,E7439,A7439,"Receive")</f>
        <v/>
      </c>
      <c r="G7439" s="5"/>
      <c r="H7439" s="7" t="s">
        <v>7480</v>
      </c>
      <c r="I7439" s="9">
        <v>1743700</v>
      </c>
      <c r="J7439" s="10">
        <v>0.03870000000000001</v>
      </c>
    </row>
    <row r="7440" spans="1:10">
      <c r="A7440" s="7" t="s">
        <v>7474</v>
      </c>
      <c r="B7440" s="7" t="s">
        <v>9307</v>
      </c>
      <c r="C7440" s="8">
        <f>QS.CONTEXT.CREATE("market.7438",A7440,"USD","SOFR")</f>
        <v/>
      </c>
      <c r="D7440" s="8">
        <f>QS.CONTEXT.ADD.CURVE(C7440,"SOFR",$K$2:$K$7,$L$2:$L$7,,,"Actual360","LogLinear",TRUE)</f>
        <v/>
      </c>
      <c r="E7440" s="8">
        <f>QS.INSTRUMENT.SWAP("swap.7438",C7440,H7440,B7440,"USD","SOFR",I7440,J7440,0,"Actual360","Simple","Annual","Annual","Annual")</f>
        <v/>
      </c>
      <c r="F7440" s="8">
        <f>QS.TRADE.CREATE("trade.7438",C7440,E7440,A7440,"Receive")</f>
        <v/>
      </c>
      <c r="G7440" s="5"/>
      <c r="H7440" s="7" t="s">
        <v>7481</v>
      </c>
      <c r="I7440" s="9">
        <v>1743800</v>
      </c>
      <c r="J7440" s="10">
        <v>0.0388</v>
      </c>
    </row>
    <row r="7441" spans="1:10">
      <c r="A7441" s="7" t="s">
        <v>7475</v>
      </c>
      <c r="B7441" s="7" t="s">
        <v>9308</v>
      </c>
      <c r="C7441" s="8">
        <f>QS.CONTEXT.CREATE("market.7439",A7441,"USD","SOFR")</f>
        <v/>
      </c>
      <c r="D7441" s="8">
        <f>QS.CONTEXT.ADD.CURVE(C7441,"SOFR",$K$2:$K$7,$L$2:$L$7,,,"Actual360","LogLinear",TRUE)</f>
        <v/>
      </c>
      <c r="E7441" s="8">
        <f>QS.INSTRUMENT.SWAP("swap.7439",C7441,H7441,B7441,"USD","SOFR",I7441,J7441,0,"Actual360","Simple","Annual","Annual","Annual")</f>
        <v/>
      </c>
      <c r="F7441" s="8">
        <f>QS.TRADE.CREATE("trade.7439",C7441,E7441,A7441,"Receive")</f>
        <v/>
      </c>
      <c r="G7441" s="5"/>
      <c r="H7441" s="7" t="s">
        <v>7482</v>
      </c>
      <c r="I7441" s="9">
        <v>1743900</v>
      </c>
      <c r="J7441" s="10">
        <v>0.0389</v>
      </c>
    </row>
    <row r="7442" spans="1:10">
      <c r="A7442" s="7" t="s">
        <v>7476</v>
      </c>
      <c r="B7442" s="7" t="s">
        <v>9309</v>
      </c>
      <c r="C7442" s="8">
        <f>QS.CONTEXT.CREATE("market.7440",A7442,"USD","SOFR")</f>
        <v/>
      </c>
      <c r="D7442" s="8">
        <f>QS.CONTEXT.ADD.CURVE(C7442,"SOFR",$K$2:$K$7,$L$2:$L$7,,,"Actual360","LogLinear",TRUE)</f>
        <v/>
      </c>
      <c r="E7442" s="8">
        <f>QS.INSTRUMENT.SWAP("swap.7440",C7442,H7442,B7442,"USD","SOFR",I7442,J7442,0,"Actual360","Simple","Annual","Annual","Annual")</f>
        <v/>
      </c>
      <c r="F7442" s="8">
        <f>QS.TRADE.CREATE("trade.7440",C7442,E7442,A7442,"Receive")</f>
        <v/>
      </c>
      <c r="G7442" s="5"/>
      <c r="H7442" s="7" t="s">
        <v>7483</v>
      </c>
      <c r="I7442" s="9">
        <v>1744000</v>
      </c>
      <c r="J7442" s="10">
        <v>0.03900000000000001</v>
      </c>
    </row>
    <row r="7443" spans="1:10">
      <c r="A7443" s="7" t="s">
        <v>7477</v>
      </c>
      <c r="B7443" s="7" t="s">
        <v>9310</v>
      </c>
      <c r="C7443" s="8">
        <f>QS.CONTEXT.CREATE("market.7441",A7443,"USD","SOFR")</f>
        <v/>
      </c>
      <c r="D7443" s="8">
        <f>QS.CONTEXT.ADD.CURVE(C7443,"SOFR",$K$2:$K$7,$L$2:$L$7,,,"Actual360","LogLinear",TRUE)</f>
        <v/>
      </c>
      <c r="E7443" s="8">
        <f>QS.INSTRUMENT.SWAP("swap.7441",C7443,H7443,B7443,"USD","SOFR",I7443,J7443,0,"Actual360","Simple","Annual","Annual","Annual")</f>
        <v/>
      </c>
      <c r="F7443" s="8">
        <f>QS.TRADE.CREATE("trade.7441",C7443,E7443,A7443,"Receive")</f>
        <v/>
      </c>
      <c r="G7443" s="5"/>
      <c r="H7443" s="7" t="s">
        <v>7484</v>
      </c>
      <c r="I7443" s="9">
        <v>1744100</v>
      </c>
      <c r="J7443" s="10">
        <v>0.0391</v>
      </c>
    </row>
    <row r="7444" spans="1:10">
      <c r="A7444" s="7" t="s">
        <v>7478</v>
      </c>
      <c r="B7444" s="7" t="s">
        <v>9311</v>
      </c>
      <c r="C7444" s="8">
        <f>QS.CONTEXT.CREATE("market.7442",A7444,"USD","SOFR")</f>
        <v/>
      </c>
      <c r="D7444" s="8">
        <f>QS.CONTEXT.ADD.CURVE(C7444,"SOFR",$K$2:$K$7,$L$2:$L$7,,,"Actual360","LogLinear",TRUE)</f>
        <v/>
      </c>
      <c r="E7444" s="8">
        <f>QS.INSTRUMENT.SWAP("swap.7442",C7444,H7444,B7444,"USD","SOFR",I7444,J7444,0,"Actual360","Simple","Annual","Annual","Annual")</f>
        <v/>
      </c>
      <c r="F7444" s="8">
        <f>QS.TRADE.CREATE("trade.7442",C7444,E7444,A7444,"Receive")</f>
        <v/>
      </c>
      <c r="G7444" s="5"/>
      <c r="H7444" s="7" t="s">
        <v>7485</v>
      </c>
      <c r="I7444" s="9">
        <v>1744200</v>
      </c>
      <c r="J7444" s="10">
        <v>0.03920000000000001</v>
      </c>
    </row>
    <row r="7445" spans="1:10">
      <c r="A7445" s="7" t="s">
        <v>7479</v>
      </c>
      <c r="B7445" s="7" t="s">
        <v>9312</v>
      </c>
      <c r="C7445" s="8">
        <f>QS.CONTEXT.CREATE("market.7443",A7445,"USD","SOFR")</f>
        <v/>
      </c>
      <c r="D7445" s="8">
        <f>QS.CONTEXT.ADD.CURVE(C7445,"SOFR",$K$2:$K$7,$L$2:$L$7,,,"Actual360","LogLinear",TRUE)</f>
        <v/>
      </c>
      <c r="E7445" s="8">
        <f>QS.INSTRUMENT.SWAP("swap.7443",C7445,H7445,B7445,"USD","SOFR",I7445,J7445,0,"Actual360","Simple","Annual","Annual","Annual")</f>
        <v/>
      </c>
      <c r="F7445" s="8">
        <f>QS.TRADE.CREATE("trade.7443",C7445,E7445,A7445,"Receive")</f>
        <v/>
      </c>
      <c r="G7445" s="5"/>
      <c r="H7445" s="7" t="s">
        <v>7486</v>
      </c>
      <c r="I7445" s="9">
        <v>1744300</v>
      </c>
      <c r="J7445" s="10">
        <v>0.0393</v>
      </c>
    </row>
    <row r="7446" spans="1:10">
      <c r="A7446" s="7" t="s">
        <v>7480</v>
      </c>
      <c r="B7446" s="7" t="s">
        <v>9313</v>
      </c>
      <c r="C7446" s="8">
        <f>QS.CONTEXT.CREATE("market.7444",A7446,"USD","SOFR")</f>
        <v/>
      </c>
      <c r="D7446" s="8">
        <f>QS.CONTEXT.ADD.CURVE(C7446,"SOFR",$K$2:$K$7,$L$2:$L$7,,,"Actual360","LogLinear",TRUE)</f>
        <v/>
      </c>
      <c r="E7446" s="8">
        <f>QS.INSTRUMENT.SWAP("swap.7444",C7446,H7446,B7446,"USD","SOFR",I7446,J7446,0,"Actual360","Simple","Annual","Annual","Annual")</f>
        <v/>
      </c>
      <c r="F7446" s="8">
        <f>QS.TRADE.CREATE("trade.7444",C7446,E7446,A7446,"Receive")</f>
        <v/>
      </c>
      <c r="G7446" s="5"/>
      <c r="H7446" s="7" t="s">
        <v>7487</v>
      </c>
      <c r="I7446" s="9">
        <v>1744400</v>
      </c>
      <c r="J7446" s="10">
        <v>0.0394</v>
      </c>
    </row>
    <row r="7447" spans="1:10">
      <c r="A7447" s="7" t="s">
        <v>7481</v>
      </c>
      <c r="B7447" s="7" t="s">
        <v>9314</v>
      </c>
      <c r="C7447" s="8">
        <f>QS.CONTEXT.CREATE("market.7445",A7447,"USD","SOFR")</f>
        <v/>
      </c>
      <c r="D7447" s="8">
        <f>QS.CONTEXT.ADD.CURVE(C7447,"SOFR",$K$2:$K$7,$L$2:$L$7,,,"Actual360","LogLinear",TRUE)</f>
        <v/>
      </c>
      <c r="E7447" s="8">
        <f>QS.INSTRUMENT.SWAP("swap.7445",C7447,H7447,B7447,"USD","SOFR",I7447,J7447,0,"Actual360","Simple","Annual","Annual","Annual")</f>
        <v/>
      </c>
      <c r="F7447" s="8">
        <f>QS.TRADE.CREATE("trade.7445",C7447,E7447,A7447,"Receive")</f>
        <v/>
      </c>
      <c r="G7447" s="5"/>
      <c r="H7447" s="7" t="s">
        <v>7488</v>
      </c>
      <c r="I7447" s="9">
        <v>1744500</v>
      </c>
      <c r="J7447" s="10">
        <v>0.03950000000000001</v>
      </c>
    </row>
    <row r="7448" spans="1:10">
      <c r="A7448" s="7" t="s">
        <v>7482</v>
      </c>
      <c r="B7448" s="7" t="s">
        <v>9315</v>
      </c>
      <c r="C7448" s="8">
        <f>QS.CONTEXT.CREATE("market.7446",A7448,"USD","SOFR")</f>
        <v/>
      </c>
      <c r="D7448" s="8">
        <f>QS.CONTEXT.ADD.CURVE(C7448,"SOFR",$K$2:$K$7,$L$2:$L$7,,,"Actual360","LogLinear",TRUE)</f>
        <v/>
      </c>
      <c r="E7448" s="8">
        <f>QS.INSTRUMENT.SWAP("swap.7446",C7448,H7448,B7448,"USD","SOFR",I7448,J7448,0,"Actual360","Simple","Annual","Annual","Annual")</f>
        <v/>
      </c>
      <c r="F7448" s="8">
        <f>QS.TRADE.CREATE("trade.7446",C7448,E7448,A7448,"Receive")</f>
        <v/>
      </c>
      <c r="G7448" s="5"/>
      <c r="H7448" s="7" t="s">
        <v>7489</v>
      </c>
      <c r="I7448" s="9">
        <v>1744600</v>
      </c>
      <c r="J7448" s="10">
        <v>0.0396</v>
      </c>
    </row>
    <row r="7449" spans="1:10">
      <c r="A7449" s="7" t="s">
        <v>7483</v>
      </c>
      <c r="B7449" s="7" t="s">
        <v>9316</v>
      </c>
      <c r="C7449" s="8">
        <f>QS.CONTEXT.CREATE("market.7447",A7449,"USD","SOFR")</f>
        <v/>
      </c>
      <c r="D7449" s="8">
        <f>QS.CONTEXT.ADD.CURVE(C7449,"SOFR",$K$2:$K$7,$L$2:$L$7,,,"Actual360","LogLinear",TRUE)</f>
        <v/>
      </c>
      <c r="E7449" s="8">
        <f>QS.INSTRUMENT.SWAP("swap.7447",C7449,H7449,B7449,"USD","SOFR",I7449,J7449,0,"Actual360","Simple","Annual","Annual","Annual")</f>
        <v/>
      </c>
      <c r="F7449" s="8">
        <f>QS.TRADE.CREATE("trade.7447",C7449,E7449,A7449,"Receive")</f>
        <v/>
      </c>
      <c r="G7449" s="5"/>
      <c r="H7449" s="7" t="s">
        <v>7490</v>
      </c>
      <c r="I7449" s="9">
        <v>1744700</v>
      </c>
      <c r="J7449" s="10">
        <v>0.03970000000000001</v>
      </c>
    </row>
    <row r="7450" spans="1:10">
      <c r="A7450" s="7" t="s">
        <v>7484</v>
      </c>
      <c r="B7450" s="7" t="s">
        <v>9317</v>
      </c>
      <c r="C7450" s="8">
        <f>QS.CONTEXT.CREATE("market.7448",A7450,"USD","SOFR")</f>
        <v/>
      </c>
      <c r="D7450" s="8">
        <f>QS.CONTEXT.ADD.CURVE(C7450,"SOFR",$K$2:$K$7,$L$2:$L$7,,,"Actual360","LogLinear",TRUE)</f>
        <v/>
      </c>
      <c r="E7450" s="8">
        <f>QS.INSTRUMENT.SWAP("swap.7448",C7450,H7450,B7450,"USD","SOFR",I7450,J7450,0,"Actual360","Simple","Annual","Annual","Annual")</f>
        <v/>
      </c>
      <c r="F7450" s="8">
        <f>QS.TRADE.CREATE("trade.7448",C7450,E7450,A7450,"Receive")</f>
        <v/>
      </c>
      <c r="G7450" s="5"/>
      <c r="H7450" s="7" t="s">
        <v>7491</v>
      </c>
      <c r="I7450" s="9">
        <v>1744800</v>
      </c>
      <c r="J7450" s="10">
        <v>0.0398</v>
      </c>
    </row>
    <row r="7451" spans="1:10">
      <c r="A7451" s="7" t="s">
        <v>7485</v>
      </c>
      <c r="B7451" s="7" t="s">
        <v>9318</v>
      </c>
      <c r="C7451" s="8">
        <f>QS.CONTEXT.CREATE("market.7449",A7451,"USD","SOFR")</f>
        <v/>
      </c>
      <c r="D7451" s="8">
        <f>QS.CONTEXT.ADD.CURVE(C7451,"SOFR",$K$2:$K$7,$L$2:$L$7,,,"Actual360","LogLinear",TRUE)</f>
        <v/>
      </c>
      <c r="E7451" s="8">
        <f>QS.INSTRUMENT.SWAP("swap.7449",C7451,H7451,B7451,"USD","SOFR",I7451,J7451,0,"Actual360","Simple","Annual","Annual","Annual")</f>
        <v/>
      </c>
      <c r="F7451" s="8">
        <f>QS.TRADE.CREATE("trade.7449",C7451,E7451,A7451,"Receive")</f>
        <v/>
      </c>
      <c r="G7451" s="5"/>
      <c r="H7451" s="7" t="s">
        <v>7492</v>
      </c>
      <c r="I7451" s="9">
        <v>1744900</v>
      </c>
      <c r="J7451" s="10">
        <v>0.0399</v>
      </c>
    </row>
    <row r="7452" spans="1:10">
      <c r="A7452" s="7" t="s">
        <v>7486</v>
      </c>
      <c r="B7452" s="7" t="s">
        <v>9319</v>
      </c>
      <c r="C7452" s="8">
        <f>QS.CONTEXT.CREATE("market.7450",A7452,"USD","SOFR")</f>
        <v/>
      </c>
      <c r="D7452" s="8">
        <f>QS.CONTEXT.ADD.CURVE(C7452,"SOFR",$K$2:$K$7,$L$2:$L$7,,,"Actual360","LogLinear",TRUE)</f>
        <v/>
      </c>
      <c r="E7452" s="8">
        <f>QS.INSTRUMENT.SWAP("swap.7450",C7452,H7452,B7452,"USD","SOFR",I7452,J7452,0,"Actual360","Simple","Annual","Annual","Annual")</f>
        <v/>
      </c>
      <c r="F7452" s="8">
        <f>QS.TRADE.CREATE("trade.7450",C7452,E7452,A7452,"Receive")</f>
        <v/>
      </c>
      <c r="G7452" s="5"/>
      <c r="H7452" s="7" t="s">
        <v>7493</v>
      </c>
      <c r="I7452" s="9">
        <v>1745000</v>
      </c>
      <c r="J7452" s="10">
        <v>0.035</v>
      </c>
    </row>
    <row r="7453" spans="1:10">
      <c r="A7453" s="7" t="s">
        <v>7487</v>
      </c>
      <c r="B7453" s="7" t="s">
        <v>9320</v>
      </c>
      <c r="C7453" s="8">
        <f>QS.CONTEXT.CREATE("market.7451",A7453,"USD","SOFR")</f>
        <v/>
      </c>
      <c r="D7453" s="8">
        <f>QS.CONTEXT.ADD.CURVE(C7453,"SOFR",$K$2:$K$7,$L$2:$L$7,,,"Actual360","LogLinear",TRUE)</f>
        <v/>
      </c>
      <c r="E7453" s="8">
        <f>QS.INSTRUMENT.SWAP("swap.7451",C7453,H7453,B7453,"USD","SOFR",I7453,J7453,0,"Actual360","Simple","Annual","Annual","Annual")</f>
        <v/>
      </c>
      <c r="F7453" s="8">
        <f>QS.TRADE.CREATE("trade.7451",C7453,E7453,A7453,"Receive")</f>
        <v/>
      </c>
      <c r="G7453" s="5"/>
      <c r="H7453" s="7" t="s">
        <v>7494</v>
      </c>
      <c r="I7453" s="9">
        <v>1745100</v>
      </c>
      <c r="J7453" s="10">
        <v>0.03510000000000001</v>
      </c>
    </row>
    <row r="7454" spans="1:10">
      <c r="A7454" s="7" t="s">
        <v>7488</v>
      </c>
      <c r="B7454" s="7" t="s">
        <v>9321</v>
      </c>
      <c r="C7454" s="8">
        <f>QS.CONTEXT.CREATE("market.7452",A7454,"USD","SOFR")</f>
        <v/>
      </c>
      <c r="D7454" s="8">
        <f>QS.CONTEXT.ADD.CURVE(C7454,"SOFR",$K$2:$K$7,$L$2:$L$7,,,"Actual360","LogLinear",TRUE)</f>
        <v/>
      </c>
      <c r="E7454" s="8">
        <f>QS.INSTRUMENT.SWAP("swap.7452",C7454,H7454,B7454,"USD","SOFR",I7454,J7454,0,"Actual360","Simple","Annual","Annual","Annual")</f>
        <v/>
      </c>
      <c r="F7454" s="8">
        <f>QS.TRADE.CREATE("trade.7452",C7454,E7454,A7454,"Receive")</f>
        <v/>
      </c>
      <c r="G7454" s="5"/>
      <c r="H7454" s="7" t="s">
        <v>7495</v>
      </c>
      <c r="I7454" s="9">
        <v>1745200</v>
      </c>
      <c r="J7454" s="10">
        <v>0.0352</v>
      </c>
    </row>
    <row r="7455" spans="1:10">
      <c r="A7455" s="7" t="s">
        <v>7489</v>
      </c>
      <c r="B7455" s="7" t="s">
        <v>9322</v>
      </c>
      <c r="C7455" s="8">
        <f>QS.CONTEXT.CREATE("market.7453",A7455,"USD","SOFR")</f>
        <v/>
      </c>
      <c r="D7455" s="8">
        <f>QS.CONTEXT.ADD.CURVE(C7455,"SOFR",$K$2:$K$7,$L$2:$L$7,,,"Actual360","LogLinear",TRUE)</f>
        <v/>
      </c>
      <c r="E7455" s="8">
        <f>QS.INSTRUMENT.SWAP("swap.7453",C7455,H7455,B7455,"USD","SOFR",I7455,J7455,0,"Actual360","Simple","Annual","Annual","Annual")</f>
        <v/>
      </c>
      <c r="F7455" s="8">
        <f>QS.TRADE.CREATE("trade.7453",C7455,E7455,A7455,"Receive")</f>
        <v/>
      </c>
      <c r="G7455" s="5"/>
      <c r="H7455" s="7" t="s">
        <v>7496</v>
      </c>
      <c r="I7455" s="9">
        <v>1745300</v>
      </c>
      <c r="J7455" s="10">
        <v>0.0353</v>
      </c>
    </row>
    <row r="7456" spans="1:10">
      <c r="A7456" s="7" t="s">
        <v>7490</v>
      </c>
      <c r="B7456" s="7" t="s">
        <v>9323</v>
      </c>
      <c r="C7456" s="8">
        <f>QS.CONTEXT.CREATE("market.7454",A7456,"USD","SOFR")</f>
        <v/>
      </c>
      <c r="D7456" s="8">
        <f>QS.CONTEXT.ADD.CURVE(C7456,"SOFR",$K$2:$K$7,$L$2:$L$7,,,"Actual360","LogLinear",TRUE)</f>
        <v/>
      </c>
      <c r="E7456" s="8">
        <f>QS.INSTRUMENT.SWAP("swap.7454",C7456,H7456,B7456,"USD","SOFR",I7456,J7456,0,"Actual360","Simple","Annual","Annual","Annual")</f>
        <v/>
      </c>
      <c r="F7456" s="8">
        <f>QS.TRADE.CREATE("trade.7454",C7456,E7456,A7456,"Receive")</f>
        <v/>
      </c>
      <c r="G7456" s="5"/>
      <c r="H7456" s="7" t="s">
        <v>7497</v>
      </c>
      <c r="I7456" s="9">
        <v>1745400</v>
      </c>
      <c r="J7456" s="10">
        <v>0.0354</v>
      </c>
    </row>
    <row r="7457" spans="1:10">
      <c r="A7457" s="7" t="s">
        <v>7491</v>
      </c>
      <c r="B7457" s="7" t="s">
        <v>9324</v>
      </c>
      <c r="C7457" s="8">
        <f>QS.CONTEXT.CREATE("market.7455",A7457,"USD","SOFR")</f>
        <v/>
      </c>
      <c r="D7457" s="8">
        <f>QS.CONTEXT.ADD.CURVE(C7457,"SOFR",$K$2:$K$7,$L$2:$L$7,,,"Actual360","LogLinear",TRUE)</f>
        <v/>
      </c>
      <c r="E7457" s="8">
        <f>QS.INSTRUMENT.SWAP("swap.7455",C7457,H7457,B7457,"USD","SOFR",I7457,J7457,0,"Actual360","Simple","Annual","Annual","Annual")</f>
        <v/>
      </c>
      <c r="F7457" s="8">
        <f>QS.TRADE.CREATE("trade.7455",C7457,E7457,A7457,"Receive")</f>
        <v/>
      </c>
      <c r="G7457" s="5"/>
      <c r="H7457" s="7" t="s">
        <v>7498</v>
      </c>
      <c r="I7457" s="9">
        <v>1745500</v>
      </c>
      <c r="J7457" s="10">
        <v>0.0355</v>
      </c>
    </row>
    <row r="7458" spans="1:10">
      <c r="A7458" s="7" t="s">
        <v>7492</v>
      </c>
      <c r="B7458" s="7" t="s">
        <v>9325</v>
      </c>
      <c r="C7458" s="8">
        <f>QS.CONTEXT.CREATE("market.7456",A7458,"USD","SOFR")</f>
        <v/>
      </c>
      <c r="D7458" s="8">
        <f>QS.CONTEXT.ADD.CURVE(C7458,"SOFR",$K$2:$K$7,$L$2:$L$7,,,"Actual360","LogLinear",TRUE)</f>
        <v/>
      </c>
      <c r="E7458" s="8">
        <f>QS.INSTRUMENT.SWAP("swap.7456",C7458,H7458,B7458,"USD","SOFR",I7458,J7458,0,"Actual360","Simple","Annual","Annual","Annual")</f>
        <v/>
      </c>
      <c r="F7458" s="8">
        <f>QS.TRADE.CREATE("trade.7456",C7458,E7458,A7458,"Receive")</f>
        <v/>
      </c>
      <c r="G7458" s="5"/>
      <c r="H7458" s="7" t="s">
        <v>7499</v>
      </c>
      <c r="I7458" s="9">
        <v>1745600</v>
      </c>
      <c r="J7458" s="10">
        <v>0.03560000000000001</v>
      </c>
    </row>
    <row r="7459" spans="1:10">
      <c r="A7459" s="7" t="s">
        <v>7493</v>
      </c>
      <c r="B7459" s="7" t="s">
        <v>9326</v>
      </c>
      <c r="C7459" s="8">
        <f>QS.CONTEXT.CREATE("market.7457",A7459,"USD","SOFR")</f>
        <v/>
      </c>
      <c r="D7459" s="8">
        <f>QS.CONTEXT.ADD.CURVE(C7459,"SOFR",$K$2:$K$7,$L$2:$L$7,,,"Actual360","LogLinear",TRUE)</f>
        <v/>
      </c>
      <c r="E7459" s="8">
        <f>QS.INSTRUMENT.SWAP("swap.7457",C7459,H7459,B7459,"USD","SOFR",I7459,J7459,0,"Actual360","Simple","Annual","Annual","Annual")</f>
        <v/>
      </c>
      <c r="F7459" s="8">
        <f>QS.TRADE.CREATE("trade.7457",C7459,E7459,A7459,"Receive")</f>
        <v/>
      </c>
      <c r="G7459" s="5"/>
      <c r="H7459" s="7" t="s">
        <v>7500</v>
      </c>
      <c r="I7459" s="9">
        <v>1745700</v>
      </c>
      <c r="J7459" s="10">
        <v>0.0357</v>
      </c>
    </row>
    <row r="7460" spans="1:10">
      <c r="A7460" s="7" t="s">
        <v>7494</v>
      </c>
      <c r="B7460" s="7" t="s">
        <v>9327</v>
      </c>
      <c r="C7460" s="8">
        <f>QS.CONTEXT.CREATE("market.7458",A7460,"USD","SOFR")</f>
        <v/>
      </c>
      <c r="D7460" s="8">
        <f>QS.CONTEXT.ADD.CURVE(C7460,"SOFR",$K$2:$K$7,$L$2:$L$7,,,"Actual360","LogLinear",TRUE)</f>
        <v/>
      </c>
      <c r="E7460" s="8">
        <f>QS.INSTRUMENT.SWAP("swap.7458",C7460,H7460,B7460,"USD","SOFR",I7460,J7460,0,"Actual360","Simple","Annual","Annual","Annual")</f>
        <v/>
      </c>
      <c r="F7460" s="8">
        <f>QS.TRADE.CREATE("trade.7458",C7460,E7460,A7460,"Receive")</f>
        <v/>
      </c>
      <c r="G7460" s="5"/>
      <c r="H7460" s="7" t="s">
        <v>7501</v>
      </c>
      <c r="I7460" s="9">
        <v>1745800</v>
      </c>
      <c r="J7460" s="10">
        <v>0.03580000000000001</v>
      </c>
    </row>
    <row r="7461" spans="1:10">
      <c r="A7461" s="7" t="s">
        <v>7495</v>
      </c>
      <c r="B7461" s="7" t="s">
        <v>9328</v>
      </c>
      <c r="C7461" s="8">
        <f>QS.CONTEXT.CREATE("market.7459",A7461,"USD","SOFR")</f>
        <v/>
      </c>
      <c r="D7461" s="8">
        <f>QS.CONTEXT.ADD.CURVE(C7461,"SOFR",$K$2:$K$7,$L$2:$L$7,,,"Actual360","LogLinear",TRUE)</f>
        <v/>
      </c>
      <c r="E7461" s="8">
        <f>QS.INSTRUMENT.SWAP("swap.7459",C7461,H7461,B7461,"USD","SOFR",I7461,J7461,0,"Actual360","Simple","Annual","Annual","Annual")</f>
        <v/>
      </c>
      <c r="F7461" s="8">
        <f>QS.TRADE.CREATE("trade.7459",C7461,E7461,A7461,"Receive")</f>
        <v/>
      </c>
      <c r="G7461" s="5"/>
      <c r="H7461" s="7" t="s">
        <v>7502</v>
      </c>
      <c r="I7461" s="9">
        <v>1745900</v>
      </c>
      <c r="J7461" s="10">
        <v>0.0359</v>
      </c>
    </row>
    <row r="7462" spans="1:10">
      <c r="A7462" s="7" t="s">
        <v>7496</v>
      </c>
      <c r="B7462" s="7" t="s">
        <v>9329</v>
      </c>
      <c r="C7462" s="8">
        <f>QS.CONTEXT.CREATE("market.7460",A7462,"USD","SOFR")</f>
        <v/>
      </c>
      <c r="D7462" s="8">
        <f>QS.CONTEXT.ADD.CURVE(C7462,"SOFR",$K$2:$K$7,$L$2:$L$7,,,"Actual360","LogLinear",TRUE)</f>
        <v/>
      </c>
      <c r="E7462" s="8">
        <f>QS.INSTRUMENT.SWAP("swap.7460",C7462,H7462,B7462,"USD","SOFR",I7462,J7462,0,"Actual360","Simple","Annual","Annual","Annual")</f>
        <v/>
      </c>
      <c r="F7462" s="8">
        <f>QS.TRADE.CREATE("trade.7460",C7462,E7462,A7462,"Receive")</f>
        <v/>
      </c>
      <c r="G7462" s="5"/>
      <c r="H7462" s="7" t="s">
        <v>7503</v>
      </c>
      <c r="I7462" s="9">
        <v>1746000</v>
      </c>
      <c r="J7462" s="10">
        <v>0.036</v>
      </c>
    </row>
    <row r="7463" spans="1:10">
      <c r="A7463" s="7" t="s">
        <v>7497</v>
      </c>
      <c r="B7463" s="7" t="s">
        <v>9330</v>
      </c>
      <c r="C7463" s="8">
        <f>QS.CONTEXT.CREATE("market.7461",A7463,"USD","SOFR")</f>
        <v/>
      </c>
      <c r="D7463" s="8">
        <f>QS.CONTEXT.ADD.CURVE(C7463,"SOFR",$K$2:$K$7,$L$2:$L$7,,,"Actual360","LogLinear",TRUE)</f>
        <v/>
      </c>
      <c r="E7463" s="8">
        <f>QS.INSTRUMENT.SWAP("swap.7461",C7463,H7463,B7463,"USD","SOFR",I7463,J7463,0,"Actual360","Simple","Annual","Annual","Annual")</f>
        <v/>
      </c>
      <c r="F7463" s="8">
        <f>QS.TRADE.CREATE("trade.7461",C7463,E7463,A7463,"Receive")</f>
        <v/>
      </c>
      <c r="G7463" s="5"/>
      <c r="H7463" s="7" t="s">
        <v>7504</v>
      </c>
      <c r="I7463" s="9">
        <v>1746100</v>
      </c>
      <c r="J7463" s="10">
        <v>0.0361</v>
      </c>
    </row>
    <row r="7464" spans="1:10">
      <c r="A7464" s="7" t="s">
        <v>7498</v>
      </c>
      <c r="B7464" s="7" t="s">
        <v>9331</v>
      </c>
      <c r="C7464" s="8">
        <f>QS.CONTEXT.CREATE("market.7462",A7464,"USD","SOFR")</f>
        <v/>
      </c>
      <c r="D7464" s="8">
        <f>QS.CONTEXT.ADD.CURVE(C7464,"SOFR",$K$2:$K$7,$L$2:$L$7,,,"Actual360","LogLinear",TRUE)</f>
        <v/>
      </c>
      <c r="E7464" s="8">
        <f>QS.INSTRUMENT.SWAP("swap.7462",C7464,H7464,B7464,"USD","SOFR",I7464,J7464,0,"Actual360","Simple","Annual","Annual","Annual")</f>
        <v/>
      </c>
      <c r="F7464" s="8">
        <f>QS.TRADE.CREATE("trade.7462",C7464,E7464,A7464,"Receive")</f>
        <v/>
      </c>
      <c r="G7464" s="5"/>
      <c r="H7464" s="7" t="s">
        <v>7505</v>
      </c>
      <c r="I7464" s="9">
        <v>1746200</v>
      </c>
      <c r="J7464" s="10">
        <v>0.0362</v>
      </c>
    </row>
    <row r="7465" spans="1:10">
      <c r="A7465" s="7" t="s">
        <v>7499</v>
      </c>
      <c r="B7465" s="7" t="s">
        <v>9332</v>
      </c>
      <c r="C7465" s="8">
        <f>QS.CONTEXT.CREATE("market.7463",A7465,"USD","SOFR")</f>
        <v/>
      </c>
      <c r="D7465" s="8">
        <f>QS.CONTEXT.ADD.CURVE(C7465,"SOFR",$K$2:$K$7,$L$2:$L$7,,,"Actual360","LogLinear",TRUE)</f>
        <v/>
      </c>
      <c r="E7465" s="8">
        <f>QS.INSTRUMENT.SWAP("swap.7463",C7465,H7465,B7465,"USD","SOFR",I7465,J7465,0,"Actual360","Simple","Annual","Annual","Annual")</f>
        <v/>
      </c>
      <c r="F7465" s="8">
        <f>QS.TRADE.CREATE("trade.7463",C7465,E7465,A7465,"Receive")</f>
        <v/>
      </c>
      <c r="G7465" s="5"/>
      <c r="H7465" s="7" t="s">
        <v>7506</v>
      </c>
      <c r="I7465" s="9">
        <v>1746300</v>
      </c>
      <c r="J7465" s="10">
        <v>0.03630000000000001</v>
      </c>
    </row>
    <row r="7466" spans="1:10">
      <c r="A7466" s="7" t="s">
        <v>7500</v>
      </c>
      <c r="B7466" s="7" t="s">
        <v>9333</v>
      </c>
      <c r="C7466" s="8">
        <f>QS.CONTEXT.CREATE("market.7464",A7466,"USD","SOFR")</f>
        <v/>
      </c>
      <c r="D7466" s="8">
        <f>QS.CONTEXT.ADD.CURVE(C7466,"SOFR",$K$2:$K$7,$L$2:$L$7,,,"Actual360","LogLinear",TRUE)</f>
        <v/>
      </c>
      <c r="E7466" s="8">
        <f>QS.INSTRUMENT.SWAP("swap.7464",C7466,H7466,B7466,"USD","SOFR",I7466,J7466,0,"Actual360","Simple","Annual","Annual","Annual")</f>
        <v/>
      </c>
      <c r="F7466" s="8">
        <f>QS.TRADE.CREATE("trade.7464",C7466,E7466,A7466,"Receive")</f>
        <v/>
      </c>
      <c r="G7466" s="5"/>
      <c r="H7466" s="7" t="s">
        <v>7507</v>
      </c>
      <c r="I7466" s="9">
        <v>1746400</v>
      </c>
      <c r="J7466" s="10">
        <v>0.0364</v>
      </c>
    </row>
    <row r="7467" spans="1:10">
      <c r="A7467" s="7" t="s">
        <v>7501</v>
      </c>
      <c r="B7467" s="7" t="s">
        <v>9334</v>
      </c>
      <c r="C7467" s="8">
        <f>QS.CONTEXT.CREATE("market.7465",A7467,"USD","SOFR")</f>
        <v/>
      </c>
      <c r="D7467" s="8">
        <f>QS.CONTEXT.ADD.CURVE(C7467,"SOFR",$K$2:$K$7,$L$2:$L$7,,,"Actual360","LogLinear",TRUE)</f>
        <v/>
      </c>
      <c r="E7467" s="8">
        <f>QS.INSTRUMENT.SWAP("swap.7465",C7467,H7467,B7467,"USD","SOFR",I7467,J7467,0,"Actual360","Simple","Annual","Annual","Annual")</f>
        <v/>
      </c>
      <c r="F7467" s="8">
        <f>QS.TRADE.CREATE("trade.7465",C7467,E7467,A7467,"Receive")</f>
        <v/>
      </c>
      <c r="G7467" s="5"/>
      <c r="H7467" s="7" t="s">
        <v>7508</v>
      </c>
      <c r="I7467" s="9">
        <v>1746500</v>
      </c>
      <c r="J7467" s="10">
        <v>0.0365</v>
      </c>
    </row>
    <row r="7468" spans="1:10">
      <c r="A7468" s="7" t="s">
        <v>7502</v>
      </c>
      <c r="B7468" s="7" t="s">
        <v>9335</v>
      </c>
      <c r="C7468" s="8">
        <f>QS.CONTEXT.CREATE("market.7466",A7468,"USD","SOFR")</f>
        <v/>
      </c>
      <c r="D7468" s="8">
        <f>QS.CONTEXT.ADD.CURVE(C7468,"SOFR",$K$2:$K$7,$L$2:$L$7,,,"Actual360","LogLinear",TRUE)</f>
        <v/>
      </c>
      <c r="E7468" s="8">
        <f>QS.INSTRUMENT.SWAP("swap.7466",C7468,H7468,B7468,"USD","SOFR",I7468,J7468,0,"Actual360","Simple","Annual","Annual","Annual")</f>
        <v/>
      </c>
      <c r="F7468" s="8">
        <f>QS.TRADE.CREATE("trade.7466",C7468,E7468,A7468,"Receive")</f>
        <v/>
      </c>
      <c r="G7468" s="5"/>
      <c r="H7468" s="7" t="s">
        <v>7509</v>
      </c>
      <c r="I7468" s="9">
        <v>1746600</v>
      </c>
      <c r="J7468" s="10">
        <v>0.0366</v>
      </c>
    </row>
    <row r="7469" spans="1:10">
      <c r="A7469" s="7" t="s">
        <v>7503</v>
      </c>
      <c r="B7469" s="7" t="s">
        <v>9336</v>
      </c>
      <c r="C7469" s="8">
        <f>QS.CONTEXT.CREATE("market.7467",A7469,"USD","SOFR")</f>
        <v/>
      </c>
      <c r="D7469" s="8">
        <f>QS.CONTEXT.ADD.CURVE(C7469,"SOFR",$K$2:$K$7,$L$2:$L$7,,,"Actual360","LogLinear",TRUE)</f>
        <v/>
      </c>
      <c r="E7469" s="8">
        <f>QS.INSTRUMENT.SWAP("swap.7467",C7469,H7469,B7469,"USD","SOFR",I7469,J7469,0,"Actual360","Simple","Annual","Annual","Annual")</f>
        <v/>
      </c>
      <c r="F7469" s="8">
        <f>QS.TRADE.CREATE("trade.7467",C7469,E7469,A7469,"Receive")</f>
        <v/>
      </c>
      <c r="G7469" s="5"/>
      <c r="H7469" s="7" t="s">
        <v>7510</v>
      </c>
      <c r="I7469" s="9">
        <v>1746700</v>
      </c>
      <c r="J7469" s="10">
        <v>0.0367</v>
      </c>
    </row>
    <row r="7470" spans="1:10">
      <c r="A7470" s="7" t="s">
        <v>7504</v>
      </c>
      <c r="B7470" s="7" t="s">
        <v>9337</v>
      </c>
      <c r="C7470" s="8">
        <f>QS.CONTEXT.CREATE("market.7468",A7470,"USD","SOFR")</f>
        <v/>
      </c>
      <c r="D7470" s="8">
        <f>QS.CONTEXT.ADD.CURVE(C7470,"SOFR",$K$2:$K$7,$L$2:$L$7,,,"Actual360","LogLinear",TRUE)</f>
        <v/>
      </c>
      <c r="E7470" s="8">
        <f>QS.INSTRUMENT.SWAP("swap.7468",C7470,H7470,B7470,"USD","SOFR",I7470,J7470,0,"Actual360","Simple","Annual","Annual","Annual")</f>
        <v/>
      </c>
      <c r="F7470" s="8">
        <f>QS.TRADE.CREATE("trade.7468",C7470,E7470,A7470,"Receive")</f>
        <v/>
      </c>
      <c r="G7470" s="5"/>
      <c r="H7470" s="7" t="s">
        <v>7511</v>
      </c>
      <c r="I7470" s="9">
        <v>1746800</v>
      </c>
      <c r="J7470" s="10">
        <v>0.03680000000000001</v>
      </c>
    </row>
    <row r="7471" spans="1:10">
      <c r="A7471" s="7" t="s">
        <v>7505</v>
      </c>
      <c r="B7471" s="7" t="s">
        <v>9338</v>
      </c>
      <c r="C7471" s="8">
        <f>QS.CONTEXT.CREATE("market.7469",A7471,"USD","SOFR")</f>
        <v/>
      </c>
      <c r="D7471" s="8">
        <f>QS.CONTEXT.ADD.CURVE(C7471,"SOFR",$K$2:$K$7,$L$2:$L$7,,,"Actual360","LogLinear",TRUE)</f>
        <v/>
      </c>
      <c r="E7471" s="8">
        <f>QS.INSTRUMENT.SWAP("swap.7469",C7471,H7471,B7471,"USD","SOFR",I7471,J7471,0,"Actual360","Simple","Annual","Annual","Annual")</f>
        <v/>
      </c>
      <c r="F7471" s="8">
        <f>QS.TRADE.CREATE("trade.7469",C7471,E7471,A7471,"Receive")</f>
        <v/>
      </c>
      <c r="G7471" s="5"/>
      <c r="H7471" s="7" t="s">
        <v>7512</v>
      </c>
      <c r="I7471" s="9">
        <v>1746900</v>
      </c>
      <c r="J7471" s="10">
        <v>0.0369</v>
      </c>
    </row>
    <row r="7472" spans="1:10">
      <c r="A7472" s="7" t="s">
        <v>7506</v>
      </c>
      <c r="B7472" s="7" t="s">
        <v>9339</v>
      </c>
      <c r="C7472" s="8">
        <f>QS.CONTEXT.CREATE("market.7470",A7472,"USD","SOFR")</f>
        <v/>
      </c>
      <c r="D7472" s="8">
        <f>QS.CONTEXT.ADD.CURVE(C7472,"SOFR",$K$2:$K$7,$L$2:$L$7,,,"Actual360","LogLinear",TRUE)</f>
        <v/>
      </c>
      <c r="E7472" s="8">
        <f>QS.INSTRUMENT.SWAP("swap.7470",C7472,H7472,B7472,"USD","SOFR",I7472,J7472,0,"Actual360","Simple","Annual","Annual","Annual")</f>
        <v/>
      </c>
      <c r="F7472" s="8">
        <f>QS.TRADE.CREATE("trade.7470",C7472,E7472,A7472,"Receive")</f>
        <v/>
      </c>
      <c r="G7472" s="5"/>
      <c r="H7472" s="7" t="s">
        <v>7513</v>
      </c>
      <c r="I7472" s="9">
        <v>1747000</v>
      </c>
      <c r="J7472" s="10">
        <v>0.03700000000000001</v>
      </c>
    </row>
    <row r="7473" spans="1:10">
      <c r="A7473" s="7" t="s">
        <v>7507</v>
      </c>
      <c r="B7473" s="7" t="s">
        <v>9340</v>
      </c>
      <c r="C7473" s="8">
        <f>QS.CONTEXT.CREATE("market.7471",A7473,"USD","SOFR")</f>
        <v/>
      </c>
      <c r="D7473" s="8">
        <f>QS.CONTEXT.ADD.CURVE(C7473,"SOFR",$K$2:$K$7,$L$2:$L$7,,,"Actual360","LogLinear",TRUE)</f>
        <v/>
      </c>
      <c r="E7473" s="8">
        <f>QS.INSTRUMENT.SWAP("swap.7471",C7473,H7473,B7473,"USD","SOFR",I7473,J7473,0,"Actual360","Simple","Annual","Annual","Annual")</f>
        <v/>
      </c>
      <c r="F7473" s="8">
        <f>QS.TRADE.CREATE("trade.7471",C7473,E7473,A7473,"Receive")</f>
        <v/>
      </c>
      <c r="G7473" s="5"/>
      <c r="H7473" s="7" t="s">
        <v>7514</v>
      </c>
      <c r="I7473" s="9">
        <v>1747100</v>
      </c>
      <c r="J7473" s="10">
        <v>0.0371</v>
      </c>
    </row>
    <row r="7474" spans="1:10">
      <c r="A7474" s="7" t="s">
        <v>7508</v>
      </c>
      <c r="B7474" s="7" t="s">
        <v>9341</v>
      </c>
      <c r="C7474" s="8">
        <f>QS.CONTEXT.CREATE("market.7472",A7474,"USD","SOFR")</f>
        <v/>
      </c>
      <c r="D7474" s="8">
        <f>QS.CONTEXT.ADD.CURVE(C7474,"SOFR",$K$2:$K$7,$L$2:$L$7,,,"Actual360","LogLinear",TRUE)</f>
        <v/>
      </c>
      <c r="E7474" s="8">
        <f>QS.INSTRUMENT.SWAP("swap.7472",C7474,H7474,B7474,"USD","SOFR",I7474,J7474,0,"Actual360","Simple","Annual","Annual","Annual")</f>
        <v/>
      </c>
      <c r="F7474" s="8">
        <f>QS.TRADE.CREATE("trade.7472",C7474,E7474,A7474,"Receive")</f>
        <v/>
      </c>
      <c r="G7474" s="5"/>
      <c r="H7474" s="7" t="s">
        <v>7515</v>
      </c>
      <c r="I7474" s="9">
        <v>1747200</v>
      </c>
      <c r="J7474" s="10">
        <v>0.0372</v>
      </c>
    </row>
    <row r="7475" spans="1:10">
      <c r="A7475" s="7" t="s">
        <v>7509</v>
      </c>
      <c r="B7475" s="7" t="s">
        <v>9342</v>
      </c>
      <c r="C7475" s="8">
        <f>QS.CONTEXT.CREATE("market.7473",A7475,"USD","SOFR")</f>
        <v/>
      </c>
      <c r="D7475" s="8">
        <f>QS.CONTEXT.ADD.CURVE(C7475,"SOFR",$K$2:$K$7,$L$2:$L$7,,,"Actual360","LogLinear",TRUE)</f>
        <v/>
      </c>
      <c r="E7475" s="8">
        <f>QS.INSTRUMENT.SWAP("swap.7473",C7475,H7475,B7475,"USD","SOFR",I7475,J7475,0,"Actual360","Simple","Annual","Annual","Annual")</f>
        <v/>
      </c>
      <c r="F7475" s="8">
        <f>QS.TRADE.CREATE("trade.7473",C7475,E7475,A7475,"Receive")</f>
        <v/>
      </c>
      <c r="G7475" s="5"/>
      <c r="H7475" s="7" t="s">
        <v>7516</v>
      </c>
      <c r="I7475" s="9">
        <v>1747300</v>
      </c>
      <c r="J7475" s="10">
        <v>0.0373</v>
      </c>
    </row>
    <row r="7476" spans="1:10">
      <c r="A7476" s="7" t="s">
        <v>7510</v>
      </c>
      <c r="B7476" s="7" t="s">
        <v>9343</v>
      </c>
      <c r="C7476" s="8">
        <f>QS.CONTEXT.CREATE("market.7474",A7476,"USD","SOFR")</f>
        <v/>
      </c>
      <c r="D7476" s="8">
        <f>QS.CONTEXT.ADD.CURVE(C7476,"SOFR",$K$2:$K$7,$L$2:$L$7,,,"Actual360","LogLinear",TRUE)</f>
        <v/>
      </c>
      <c r="E7476" s="8">
        <f>QS.INSTRUMENT.SWAP("swap.7474",C7476,H7476,B7476,"USD","SOFR",I7476,J7476,0,"Actual360","Simple","Annual","Annual","Annual")</f>
        <v/>
      </c>
      <c r="F7476" s="8">
        <f>QS.TRADE.CREATE("trade.7474",C7476,E7476,A7476,"Receive")</f>
        <v/>
      </c>
      <c r="G7476" s="5"/>
      <c r="H7476" s="7" t="s">
        <v>7517</v>
      </c>
      <c r="I7476" s="9">
        <v>1747400</v>
      </c>
      <c r="J7476" s="10">
        <v>0.0374</v>
      </c>
    </row>
    <row r="7477" spans="1:10">
      <c r="A7477" s="7" t="s">
        <v>7511</v>
      </c>
      <c r="B7477" s="7" t="s">
        <v>9344</v>
      </c>
      <c r="C7477" s="8">
        <f>QS.CONTEXT.CREATE("market.7475",A7477,"USD","SOFR")</f>
        <v/>
      </c>
      <c r="D7477" s="8">
        <f>QS.CONTEXT.ADD.CURVE(C7477,"SOFR",$K$2:$K$7,$L$2:$L$7,,,"Actual360","LogLinear",TRUE)</f>
        <v/>
      </c>
      <c r="E7477" s="8">
        <f>QS.INSTRUMENT.SWAP("swap.7475",C7477,H7477,B7477,"USD","SOFR",I7477,J7477,0,"Actual360","Simple","Annual","Annual","Annual")</f>
        <v/>
      </c>
      <c r="F7477" s="8">
        <f>QS.TRADE.CREATE("trade.7475",C7477,E7477,A7477,"Receive")</f>
        <v/>
      </c>
      <c r="G7477" s="5"/>
      <c r="H7477" s="7" t="s">
        <v>7518</v>
      </c>
      <c r="I7477" s="9">
        <v>1747500</v>
      </c>
      <c r="J7477" s="10">
        <v>0.03750000000000001</v>
      </c>
    </row>
    <row r="7478" spans="1:10">
      <c r="A7478" s="7" t="s">
        <v>7512</v>
      </c>
      <c r="B7478" s="7" t="s">
        <v>9345</v>
      </c>
      <c r="C7478" s="8">
        <f>QS.CONTEXT.CREATE("market.7476",A7478,"USD","SOFR")</f>
        <v/>
      </c>
      <c r="D7478" s="8">
        <f>QS.CONTEXT.ADD.CURVE(C7478,"SOFR",$K$2:$K$7,$L$2:$L$7,,,"Actual360","LogLinear",TRUE)</f>
        <v/>
      </c>
      <c r="E7478" s="8">
        <f>QS.INSTRUMENT.SWAP("swap.7476",C7478,H7478,B7478,"USD","SOFR",I7478,J7478,0,"Actual360","Simple","Annual","Annual","Annual")</f>
        <v/>
      </c>
      <c r="F7478" s="8">
        <f>QS.TRADE.CREATE("trade.7476",C7478,E7478,A7478,"Receive")</f>
        <v/>
      </c>
      <c r="G7478" s="5"/>
      <c r="H7478" s="7" t="s">
        <v>7519</v>
      </c>
      <c r="I7478" s="9">
        <v>1747600</v>
      </c>
      <c r="J7478" s="10">
        <v>0.0376</v>
      </c>
    </row>
    <row r="7479" spans="1:10">
      <c r="A7479" s="7" t="s">
        <v>7513</v>
      </c>
      <c r="B7479" s="7" t="s">
        <v>9346</v>
      </c>
      <c r="C7479" s="8">
        <f>QS.CONTEXT.CREATE("market.7477",A7479,"USD","SOFR")</f>
        <v/>
      </c>
      <c r="D7479" s="8">
        <f>QS.CONTEXT.ADD.CURVE(C7479,"SOFR",$K$2:$K$7,$L$2:$L$7,,,"Actual360","LogLinear",TRUE)</f>
        <v/>
      </c>
      <c r="E7479" s="8">
        <f>QS.INSTRUMENT.SWAP("swap.7477",C7479,H7479,B7479,"USD","SOFR",I7479,J7479,0,"Actual360","Simple","Annual","Annual","Annual")</f>
        <v/>
      </c>
      <c r="F7479" s="8">
        <f>QS.TRADE.CREATE("trade.7477",C7479,E7479,A7479,"Receive")</f>
        <v/>
      </c>
      <c r="G7479" s="5"/>
      <c r="H7479" s="7" t="s">
        <v>7520</v>
      </c>
      <c r="I7479" s="9">
        <v>1747700</v>
      </c>
      <c r="J7479" s="10">
        <v>0.0377</v>
      </c>
    </row>
    <row r="7480" spans="1:10">
      <c r="A7480" s="7" t="s">
        <v>7514</v>
      </c>
      <c r="B7480" s="7" t="s">
        <v>9347</v>
      </c>
      <c r="C7480" s="8">
        <f>QS.CONTEXT.CREATE("market.7478",A7480,"USD","SOFR")</f>
        <v/>
      </c>
      <c r="D7480" s="8">
        <f>QS.CONTEXT.ADD.CURVE(C7480,"SOFR",$K$2:$K$7,$L$2:$L$7,,,"Actual360","LogLinear",TRUE)</f>
        <v/>
      </c>
      <c r="E7480" s="8">
        <f>QS.INSTRUMENT.SWAP("swap.7478",C7480,H7480,B7480,"USD","SOFR",I7480,J7480,0,"Actual360","Simple","Annual","Annual","Annual")</f>
        <v/>
      </c>
      <c r="F7480" s="8">
        <f>QS.TRADE.CREATE("trade.7478",C7480,E7480,A7480,"Receive")</f>
        <v/>
      </c>
      <c r="G7480" s="5"/>
      <c r="H7480" s="7" t="s">
        <v>7521</v>
      </c>
      <c r="I7480" s="9">
        <v>1747800</v>
      </c>
      <c r="J7480" s="10">
        <v>0.0378</v>
      </c>
    </row>
    <row r="7481" spans="1:10">
      <c r="A7481" s="7" t="s">
        <v>7515</v>
      </c>
      <c r="B7481" s="7" t="s">
        <v>9348</v>
      </c>
      <c r="C7481" s="8">
        <f>QS.CONTEXT.CREATE("market.7479",A7481,"USD","SOFR")</f>
        <v/>
      </c>
      <c r="D7481" s="8">
        <f>QS.CONTEXT.ADD.CURVE(C7481,"SOFR",$K$2:$K$7,$L$2:$L$7,,,"Actual360","LogLinear",TRUE)</f>
        <v/>
      </c>
      <c r="E7481" s="8">
        <f>QS.INSTRUMENT.SWAP("swap.7479",C7481,H7481,B7481,"USD","SOFR",I7481,J7481,0,"Actual360","Simple","Annual","Annual","Annual")</f>
        <v/>
      </c>
      <c r="F7481" s="8">
        <f>QS.TRADE.CREATE("trade.7479",C7481,E7481,A7481,"Receive")</f>
        <v/>
      </c>
      <c r="G7481" s="5"/>
      <c r="H7481" s="7" t="s">
        <v>7522</v>
      </c>
      <c r="I7481" s="9">
        <v>1747900</v>
      </c>
      <c r="J7481" s="10">
        <v>0.0379</v>
      </c>
    </row>
    <row r="7482" spans="1:10">
      <c r="A7482" s="7" t="s">
        <v>7516</v>
      </c>
      <c r="B7482" s="7" t="s">
        <v>9349</v>
      </c>
      <c r="C7482" s="8">
        <f>QS.CONTEXT.CREATE("market.7480",A7482,"USD","SOFR")</f>
        <v/>
      </c>
      <c r="D7482" s="8">
        <f>QS.CONTEXT.ADD.CURVE(C7482,"SOFR",$K$2:$K$7,$L$2:$L$7,,,"Actual360","LogLinear",TRUE)</f>
        <v/>
      </c>
      <c r="E7482" s="8">
        <f>QS.INSTRUMENT.SWAP("swap.7480",C7482,H7482,B7482,"USD","SOFR",I7482,J7482,0,"Actual360","Simple","Annual","Annual","Annual")</f>
        <v/>
      </c>
      <c r="F7482" s="8">
        <f>QS.TRADE.CREATE("trade.7480",C7482,E7482,A7482,"Receive")</f>
        <v/>
      </c>
      <c r="G7482" s="5"/>
      <c r="H7482" s="7" t="s">
        <v>7523</v>
      </c>
      <c r="I7482" s="9">
        <v>1748000</v>
      </c>
      <c r="J7482" s="10">
        <v>0.03800000000000001</v>
      </c>
    </row>
    <row r="7483" spans="1:10">
      <c r="A7483" s="7" t="s">
        <v>7517</v>
      </c>
      <c r="B7483" s="7" t="s">
        <v>9350</v>
      </c>
      <c r="C7483" s="8">
        <f>QS.CONTEXT.CREATE("market.7481",A7483,"USD","SOFR")</f>
        <v/>
      </c>
      <c r="D7483" s="8">
        <f>QS.CONTEXT.ADD.CURVE(C7483,"SOFR",$K$2:$K$7,$L$2:$L$7,,,"Actual360","LogLinear",TRUE)</f>
        <v/>
      </c>
      <c r="E7483" s="8">
        <f>QS.INSTRUMENT.SWAP("swap.7481",C7483,H7483,B7483,"USD","SOFR",I7483,J7483,0,"Actual360","Simple","Annual","Annual","Annual")</f>
        <v/>
      </c>
      <c r="F7483" s="8">
        <f>QS.TRADE.CREATE("trade.7481",C7483,E7483,A7483,"Receive")</f>
        <v/>
      </c>
      <c r="G7483" s="5"/>
      <c r="H7483" s="7" t="s">
        <v>7524</v>
      </c>
      <c r="I7483" s="9">
        <v>1748100</v>
      </c>
      <c r="J7483" s="10">
        <v>0.0381</v>
      </c>
    </row>
    <row r="7484" spans="1:10">
      <c r="A7484" s="7" t="s">
        <v>7518</v>
      </c>
      <c r="B7484" s="7" t="s">
        <v>9351</v>
      </c>
      <c r="C7484" s="8">
        <f>QS.CONTEXT.CREATE("market.7482",A7484,"USD","SOFR")</f>
        <v/>
      </c>
      <c r="D7484" s="8">
        <f>QS.CONTEXT.ADD.CURVE(C7484,"SOFR",$K$2:$K$7,$L$2:$L$7,,,"Actual360","LogLinear",TRUE)</f>
        <v/>
      </c>
      <c r="E7484" s="8">
        <f>QS.INSTRUMENT.SWAP("swap.7482",C7484,H7484,B7484,"USD","SOFR",I7484,J7484,0,"Actual360","Simple","Annual","Annual","Annual")</f>
        <v/>
      </c>
      <c r="F7484" s="8">
        <f>QS.TRADE.CREATE("trade.7482",C7484,E7484,A7484,"Receive")</f>
        <v/>
      </c>
      <c r="G7484" s="5"/>
      <c r="H7484" s="7" t="s">
        <v>7525</v>
      </c>
      <c r="I7484" s="9">
        <v>1748200</v>
      </c>
      <c r="J7484" s="10">
        <v>0.0382</v>
      </c>
    </row>
    <row r="7485" spans="1:10">
      <c r="A7485" s="7" t="s">
        <v>7519</v>
      </c>
      <c r="B7485" s="7" t="s">
        <v>9352</v>
      </c>
      <c r="C7485" s="8">
        <f>QS.CONTEXT.CREATE("market.7483",A7485,"USD","SOFR")</f>
        <v/>
      </c>
      <c r="D7485" s="8">
        <f>QS.CONTEXT.ADD.CURVE(C7485,"SOFR",$K$2:$K$7,$L$2:$L$7,,,"Actual360","LogLinear",TRUE)</f>
        <v/>
      </c>
      <c r="E7485" s="8">
        <f>QS.INSTRUMENT.SWAP("swap.7483",C7485,H7485,B7485,"USD","SOFR",I7485,J7485,0,"Actual360","Simple","Annual","Annual","Annual")</f>
        <v/>
      </c>
      <c r="F7485" s="8">
        <f>QS.TRADE.CREATE("trade.7483",C7485,E7485,A7485,"Receive")</f>
        <v/>
      </c>
      <c r="G7485" s="5"/>
      <c r="H7485" s="7" t="s">
        <v>7526</v>
      </c>
      <c r="I7485" s="9">
        <v>1748300</v>
      </c>
      <c r="J7485" s="10">
        <v>0.0383</v>
      </c>
    </row>
    <row r="7486" spans="1:10">
      <c r="A7486" s="7" t="s">
        <v>7520</v>
      </c>
      <c r="B7486" s="7" t="s">
        <v>9353</v>
      </c>
      <c r="C7486" s="8">
        <f>QS.CONTEXT.CREATE("market.7484",A7486,"USD","SOFR")</f>
        <v/>
      </c>
      <c r="D7486" s="8">
        <f>QS.CONTEXT.ADD.CURVE(C7486,"SOFR",$K$2:$K$7,$L$2:$L$7,,,"Actual360","LogLinear",TRUE)</f>
        <v/>
      </c>
      <c r="E7486" s="8">
        <f>QS.INSTRUMENT.SWAP("swap.7484",C7486,H7486,B7486,"USD","SOFR",I7486,J7486,0,"Actual360","Simple","Annual","Annual","Annual")</f>
        <v/>
      </c>
      <c r="F7486" s="8">
        <f>QS.TRADE.CREATE("trade.7484",C7486,E7486,A7486,"Receive")</f>
        <v/>
      </c>
      <c r="G7486" s="5"/>
      <c r="H7486" s="7" t="s">
        <v>7527</v>
      </c>
      <c r="I7486" s="9">
        <v>1748400</v>
      </c>
      <c r="J7486" s="10">
        <v>0.0384</v>
      </c>
    </row>
    <row r="7487" spans="1:10">
      <c r="A7487" s="7" t="s">
        <v>7521</v>
      </c>
      <c r="B7487" s="7" t="s">
        <v>9354</v>
      </c>
      <c r="C7487" s="8">
        <f>QS.CONTEXT.CREATE("market.7485",A7487,"USD","SOFR")</f>
        <v/>
      </c>
      <c r="D7487" s="8">
        <f>QS.CONTEXT.ADD.CURVE(C7487,"SOFR",$K$2:$K$7,$L$2:$L$7,,,"Actual360","LogLinear",TRUE)</f>
        <v/>
      </c>
      <c r="E7487" s="8">
        <f>QS.INSTRUMENT.SWAP("swap.7485",C7487,H7487,B7487,"USD","SOFR",I7487,J7487,0,"Actual360","Simple","Annual","Annual","Annual")</f>
        <v/>
      </c>
      <c r="F7487" s="8">
        <f>QS.TRADE.CREATE("trade.7485",C7487,E7487,A7487,"Receive")</f>
        <v/>
      </c>
      <c r="G7487" s="5"/>
      <c r="H7487" s="7" t="s">
        <v>7528</v>
      </c>
      <c r="I7487" s="9">
        <v>1748500</v>
      </c>
      <c r="J7487" s="10">
        <v>0.03850000000000001</v>
      </c>
    </row>
    <row r="7488" spans="1:10">
      <c r="A7488" s="7" t="s">
        <v>7522</v>
      </c>
      <c r="B7488" s="7" t="s">
        <v>9355</v>
      </c>
      <c r="C7488" s="8">
        <f>QS.CONTEXT.CREATE("market.7486",A7488,"USD","SOFR")</f>
        <v/>
      </c>
      <c r="D7488" s="8">
        <f>QS.CONTEXT.ADD.CURVE(C7488,"SOFR",$K$2:$K$7,$L$2:$L$7,,,"Actual360","LogLinear",TRUE)</f>
        <v/>
      </c>
      <c r="E7488" s="8">
        <f>QS.INSTRUMENT.SWAP("swap.7486",C7488,H7488,B7488,"USD","SOFR",I7488,J7488,0,"Actual360","Simple","Annual","Annual","Annual")</f>
        <v/>
      </c>
      <c r="F7488" s="8">
        <f>QS.TRADE.CREATE("trade.7486",C7488,E7488,A7488,"Receive")</f>
        <v/>
      </c>
      <c r="G7488" s="5"/>
      <c r="H7488" s="7" t="s">
        <v>7529</v>
      </c>
      <c r="I7488" s="9">
        <v>1748600</v>
      </c>
      <c r="J7488" s="10">
        <v>0.0386</v>
      </c>
    </row>
    <row r="7489" spans="1:10">
      <c r="A7489" s="7" t="s">
        <v>7523</v>
      </c>
      <c r="B7489" s="7" t="s">
        <v>9356</v>
      </c>
      <c r="C7489" s="8">
        <f>QS.CONTEXT.CREATE("market.7487",A7489,"USD","SOFR")</f>
        <v/>
      </c>
      <c r="D7489" s="8">
        <f>QS.CONTEXT.ADD.CURVE(C7489,"SOFR",$K$2:$K$7,$L$2:$L$7,,,"Actual360","LogLinear",TRUE)</f>
        <v/>
      </c>
      <c r="E7489" s="8">
        <f>QS.INSTRUMENT.SWAP("swap.7487",C7489,H7489,B7489,"USD","SOFR",I7489,J7489,0,"Actual360","Simple","Annual","Annual","Annual")</f>
        <v/>
      </c>
      <c r="F7489" s="8">
        <f>QS.TRADE.CREATE("trade.7487",C7489,E7489,A7489,"Receive")</f>
        <v/>
      </c>
      <c r="G7489" s="5"/>
      <c r="H7489" s="7" t="s">
        <v>7530</v>
      </c>
      <c r="I7489" s="9">
        <v>1748700</v>
      </c>
      <c r="J7489" s="10">
        <v>0.03870000000000001</v>
      </c>
    </row>
    <row r="7490" spans="1:10">
      <c r="A7490" s="7" t="s">
        <v>7524</v>
      </c>
      <c r="B7490" s="7" t="s">
        <v>9357</v>
      </c>
      <c r="C7490" s="8">
        <f>QS.CONTEXT.CREATE("market.7488",A7490,"USD","SOFR")</f>
        <v/>
      </c>
      <c r="D7490" s="8">
        <f>QS.CONTEXT.ADD.CURVE(C7490,"SOFR",$K$2:$K$7,$L$2:$L$7,,,"Actual360","LogLinear",TRUE)</f>
        <v/>
      </c>
      <c r="E7490" s="8">
        <f>QS.INSTRUMENT.SWAP("swap.7488",C7490,H7490,B7490,"USD","SOFR",I7490,J7490,0,"Actual360","Simple","Annual","Annual","Annual")</f>
        <v/>
      </c>
      <c r="F7490" s="8">
        <f>QS.TRADE.CREATE("trade.7488",C7490,E7490,A7490,"Receive")</f>
        <v/>
      </c>
      <c r="G7490" s="5"/>
      <c r="H7490" s="7" t="s">
        <v>7531</v>
      </c>
      <c r="I7490" s="9">
        <v>1748800</v>
      </c>
      <c r="J7490" s="10">
        <v>0.0388</v>
      </c>
    </row>
    <row r="7491" spans="1:10">
      <c r="A7491" s="7" t="s">
        <v>7525</v>
      </c>
      <c r="B7491" s="7" t="s">
        <v>9358</v>
      </c>
      <c r="C7491" s="8">
        <f>QS.CONTEXT.CREATE("market.7489",A7491,"USD","SOFR")</f>
        <v/>
      </c>
      <c r="D7491" s="8">
        <f>QS.CONTEXT.ADD.CURVE(C7491,"SOFR",$K$2:$K$7,$L$2:$L$7,,,"Actual360","LogLinear",TRUE)</f>
        <v/>
      </c>
      <c r="E7491" s="8">
        <f>QS.INSTRUMENT.SWAP("swap.7489",C7491,H7491,B7491,"USD","SOFR",I7491,J7491,0,"Actual360","Simple","Annual","Annual","Annual")</f>
        <v/>
      </c>
      <c r="F7491" s="8">
        <f>QS.TRADE.CREATE("trade.7489",C7491,E7491,A7491,"Receive")</f>
        <v/>
      </c>
      <c r="G7491" s="5"/>
      <c r="H7491" s="7" t="s">
        <v>7532</v>
      </c>
      <c r="I7491" s="9">
        <v>1748900</v>
      </c>
      <c r="J7491" s="10">
        <v>0.0389</v>
      </c>
    </row>
    <row r="7492" spans="1:10">
      <c r="A7492" s="7" t="s">
        <v>7526</v>
      </c>
      <c r="B7492" s="7" t="s">
        <v>9359</v>
      </c>
      <c r="C7492" s="8">
        <f>QS.CONTEXT.CREATE("market.7490",A7492,"USD","SOFR")</f>
        <v/>
      </c>
      <c r="D7492" s="8">
        <f>QS.CONTEXT.ADD.CURVE(C7492,"SOFR",$K$2:$K$7,$L$2:$L$7,,,"Actual360","LogLinear",TRUE)</f>
        <v/>
      </c>
      <c r="E7492" s="8">
        <f>QS.INSTRUMENT.SWAP("swap.7490",C7492,H7492,B7492,"USD","SOFR",I7492,J7492,0,"Actual360","Simple","Annual","Annual","Annual")</f>
        <v/>
      </c>
      <c r="F7492" s="8">
        <f>QS.TRADE.CREATE("trade.7490",C7492,E7492,A7492,"Receive")</f>
        <v/>
      </c>
      <c r="G7492" s="5"/>
      <c r="H7492" s="7" t="s">
        <v>7533</v>
      </c>
      <c r="I7492" s="9">
        <v>1749000</v>
      </c>
      <c r="J7492" s="10">
        <v>0.03900000000000001</v>
      </c>
    </row>
    <row r="7493" spans="1:10">
      <c r="A7493" s="7" t="s">
        <v>7527</v>
      </c>
      <c r="B7493" s="7" t="s">
        <v>9360</v>
      </c>
      <c r="C7493" s="8">
        <f>QS.CONTEXT.CREATE("market.7491",A7493,"USD","SOFR")</f>
        <v/>
      </c>
      <c r="D7493" s="8">
        <f>QS.CONTEXT.ADD.CURVE(C7493,"SOFR",$K$2:$K$7,$L$2:$L$7,,,"Actual360","LogLinear",TRUE)</f>
        <v/>
      </c>
      <c r="E7493" s="8">
        <f>QS.INSTRUMENT.SWAP("swap.7491",C7493,H7493,B7493,"USD","SOFR",I7493,J7493,0,"Actual360","Simple","Annual","Annual","Annual")</f>
        <v/>
      </c>
      <c r="F7493" s="8">
        <f>QS.TRADE.CREATE("trade.7491",C7493,E7493,A7493,"Receive")</f>
        <v/>
      </c>
      <c r="G7493" s="5"/>
      <c r="H7493" s="7" t="s">
        <v>7534</v>
      </c>
      <c r="I7493" s="9">
        <v>1749100</v>
      </c>
      <c r="J7493" s="10">
        <v>0.0391</v>
      </c>
    </row>
    <row r="7494" spans="1:10">
      <c r="A7494" s="7" t="s">
        <v>7528</v>
      </c>
      <c r="B7494" s="7" t="s">
        <v>9361</v>
      </c>
      <c r="C7494" s="8">
        <f>QS.CONTEXT.CREATE("market.7492",A7494,"USD","SOFR")</f>
        <v/>
      </c>
      <c r="D7494" s="8">
        <f>QS.CONTEXT.ADD.CURVE(C7494,"SOFR",$K$2:$K$7,$L$2:$L$7,,,"Actual360","LogLinear",TRUE)</f>
        <v/>
      </c>
      <c r="E7494" s="8">
        <f>QS.INSTRUMENT.SWAP("swap.7492",C7494,H7494,B7494,"USD","SOFR",I7494,J7494,0,"Actual360","Simple","Annual","Annual","Annual")</f>
        <v/>
      </c>
      <c r="F7494" s="8">
        <f>QS.TRADE.CREATE("trade.7492",C7494,E7494,A7494,"Receive")</f>
        <v/>
      </c>
      <c r="G7494" s="5"/>
      <c r="H7494" s="7" t="s">
        <v>7535</v>
      </c>
      <c r="I7494" s="9">
        <v>1749200</v>
      </c>
      <c r="J7494" s="10">
        <v>0.03920000000000001</v>
      </c>
    </row>
    <row r="7495" spans="1:10">
      <c r="A7495" s="7" t="s">
        <v>7529</v>
      </c>
      <c r="B7495" s="7" t="s">
        <v>9362</v>
      </c>
      <c r="C7495" s="8">
        <f>QS.CONTEXT.CREATE("market.7493",A7495,"USD","SOFR")</f>
        <v/>
      </c>
      <c r="D7495" s="8">
        <f>QS.CONTEXT.ADD.CURVE(C7495,"SOFR",$K$2:$K$7,$L$2:$L$7,,,"Actual360","LogLinear",TRUE)</f>
        <v/>
      </c>
      <c r="E7495" s="8">
        <f>QS.INSTRUMENT.SWAP("swap.7493",C7495,H7495,B7495,"USD","SOFR",I7495,J7495,0,"Actual360","Simple","Annual","Annual","Annual")</f>
        <v/>
      </c>
      <c r="F7495" s="8">
        <f>QS.TRADE.CREATE("trade.7493",C7495,E7495,A7495,"Receive")</f>
        <v/>
      </c>
      <c r="G7495" s="5"/>
      <c r="H7495" s="7" t="s">
        <v>7536</v>
      </c>
      <c r="I7495" s="9">
        <v>1749300</v>
      </c>
      <c r="J7495" s="10">
        <v>0.0393</v>
      </c>
    </row>
    <row r="7496" spans="1:10">
      <c r="A7496" s="7" t="s">
        <v>7530</v>
      </c>
      <c r="B7496" s="7" t="s">
        <v>9363</v>
      </c>
      <c r="C7496" s="8">
        <f>QS.CONTEXT.CREATE("market.7494",A7496,"USD","SOFR")</f>
        <v/>
      </c>
      <c r="D7496" s="8">
        <f>QS.CONTEXT.ADD.CURVE(C7496,"SOFR",$K$2:$K$7,$L$2:$L$7,,,"Actual360","LogLinear",TRUE)</f>
        <v/>
      </c>
      <c r="E7496" s="8">
        <f>QS.INSTRUMENT.SWAP("swap.7494",C7496,H7496,B7496,"USD","SOFR",I7496,J7496,0,"Actual360","Simple","Annual","Annual","Annual")</f>
        <v/>
      </c>
      <c r="F7496" s="8">
        <f>QS.TRADE.CREATE("trade.7494",C7496,E7496,A7496,"Receive")</f>
        <v/>
      </c>
      <c r="G7496" s="5"/>
      <c r="H7496" s="7" t="s">
        <v>7537</v>
      </c>
      <c r="I7496" s="9">
        <v>1749400</v>
      </c>
      <c r="J7496" s="10">
        <v>0.0394</v>
      </c>
    </row>
    <row r="7497" spans="1:10">
      <c r="A7497" s="7" t="s">
        <v>7531</v>
      </c>
      <c r="B7497" s="7" t="s">
        <v>9364</v>
      </c>
      <c r="C7497" s="8">
        <f>QS.CONTEXT.CREATE("market.7495",A7497,"USD","SOFR")</f>
        <v/>
      </c>
      <c r="D7497" s="8">
        <f>QS.CONTEXT.ADD.CURVE(C7497,"SOFR",$K$2:$K$7,$L$2:$L$7,,,"Actual360","LogLinear",TRUE)</f>
        <v/>
      </c>
      <c r="E7497" s="8">
        <f>QS.INSTRUMENT.SWAP("swap.7495",C7497,H7497,B7497,"USD","SOFR",I7497,J7497,0,"Actual360","Simple","Annual","Annual","Annual")</f>
        <v/>
      </c>
      <c r="F7497" s="8">
        <f>QS.TRADE.CREATE("trade.7495",C7497,E7497,A7497,"Receive")</f>
        <v/>
      </c>
      <c r="G7497" s="5"/>
      <c r="H7497" s="7" t="s">
        <v>7538</v>
      </c>
      <c r="I7497" s="9">
        <v>1749500</v>
      </c>
      <c r="J7497" s="10">
        <v>0.03950000000000001</v>
      </c>
    </row>
    <row r="7498" spans="1:10">
      <c r="A7498" s="7" t="s">
        <v>7532</v>
      </c>
      <c r="B7498" s="7" t="s">
        <v>9365</v>
      </c>
      <c r="C7498" s="8">
        <f>QS.CONTEXT.CREATE("market.7496",A7498,"USD","SOFR")</f>
        <v/>
      </c>
      <c r="D7498" s="8">
        <f>QS.CONTEXT.ADD.CURVE(C7498,"SOFR",$K$2:$K$7,$L$2:$L$7,,,"Actual360","LogLinear",TRUE)</f>
        <v/>
      </c>
      <c r="E7498" s="8">
        <f>QS.INSTRUMENT.SWAP("swap.7496",C7498,H7498,B7498,"USD","SOFR",I7498,J7498,0,"Actual360","Simple","Annual","Annual","Annual")</f>
        <v/>
      </c>
      <c r="F7498" s="8">
        <f>QS.TRADE.CREATE("trade.7496",C7498,E7498,A7498,"Receive")</f>
        <v/>
      </c>
      <c r="G7498" s="5"/>
      <c r="H7498" s="7" t="s">
        <v>7539</v>
      </c>
      <c r="I7498" s="9">
        <v>1749600</v>
      </c>
      <c r="J7498" s="10">
        <v>0.0396</v>
      </c>
    </row>
    <row r="7499" spans="1:10">
      <c r="A7499" s="7" t="s">
        <v>7533</v>
      </c>
      <c r="B7499" s="7" t="s">
        <v>9366</v>
      </c>
      <c r="C7499" s="8">
        <f>QS.CONTEXT.CREATE("market.7497",A7499,"USD","SOFR")</f>
        <v/>
      </c>
      <c r="D7499" s="8">
        <f>QS.CONTEXT.ADD.CURVE(C7499,"SOFR",$K$2:$K$7,$L$2:$L$7,,,"Actual360","LogLinear",TRUE)</f>
        <v/>
      </c>
      <c r="E7499" s="8">
        <f>QS.INSTRUMENT.SWAP("swap.7497",C7499,H7499,B7499,"USD","SOFR",I7499,J7499,0,"Actual360","Simple","Annual","Annual","Annual")</f>
        <v/>
      </c>
      <c r="F7499" s="8">
        <f>QS.TRADE.CREATE("trade.7497",C7499,E7499,A7499,"Receive")</f>
        <v/>
      </c>
      <c r="G7499" s="5"/>
      <c r="H7499" s="7" t="s">
        <v>7540</v>
      </c>
      <c r="I7499" s="9">
        <v>1749700</v>
      </c>
      <c r="J7499" s="10">
        <v>0.03970000000000001</v>
      </c>
    </row>
    <row r="7500" spans="1:10">
      <c r="A7500" s="7" t="s">
        <v>7534</v>
      </c>
      <c r="B7500" s="7" t="s">
        <v>9367</v>
      </c>
      <c r="C7500" s="8">
        <f>QS.CONTEXT.CREATE("market.7498",A7500,"USD","SOFR")</f>
        <v/>
      </c>
      <c r="D7500" s="8">
        <f>QS.CONTEXT.ADD.CURVE(C7500,"SOFR",$K$2:$K$7,$L$2:$L$7,,,"Actual360","LogLinear",TRUE)</f>
        <v/>
      </c>
      <c r="E7500" s="8">
        <f>QS.INSTRUMENT.SWAP("swap.7498",C7500,H7500,B7500,"USD","SOFR",I7500,J7500,0,"Actual360","Simple","Annual","Annual","Annual")</f>
        <v/>
      </c>
      <c r="F7500" s="8">
        <f>QS.TRADE.CREATE("trade.7498",C7500,E7500,A7500,"Receive")</f>
        <v/>
      </c>
      <c r="G7500" s="5"/>
      <c r="H7500" s="7" t="s">
        <v>7541</v>
      </c>
      <c r="I7500" s="9">
        <v>1749800</v>
      </c>
      <c r="J7500" s="10">
        <v>0.0398</v>
      </c>
    </row>
    <row r="7501" spans="1:10">
      <c r="A7501" s="7" t="s">
        <v>7535</v>
      </c>
      <c r="B7501" s="7" t="s">
        <v>9368</v>
      </c>
      <c r="C7501" s="8">
        <f>QS.CONTEXT.CREATE("market.7499",A7501,"USD","SOFR")</f>
        <v/>
      </c>
      <c r="D7501" s="8">
        <f>QS.CONTEXT.ADD.CURVE(C7501,"SOFR",$K$2:$K$7,$L$2:$L$7,,,"Actual360","LogLinear",TRUE)</f>
        <v/>
      </c>
      <c r="E7501" s="8">
        <f>QS.INSTRUMENT.SWAP("swap.7499",C7501,H7501,B7501,"USD","SOFR",I7501,J7501,0,"Actual360","Simple","Annual","Annual","Annual")</f>
        <v/>
      </c>
      <c r="F7501" s="8">
        <f>QS.TRADE.CREATE("trade.7499",C7501,E7501,A7501,"Receive")</f>
        <v/>
      </c>
      <c r="G7501" s="5"/>
      <c r="H7501" s="7" t="s">
        <v>7542</v>
      </c>
      <c r="I7501" s="9">
        <v>1749900</v>
      </c>
      <c r="J7501" s="10">
        <v>0.0399</v>
      </c>
    </row>
    <row r="7502" spans="1:10">
      <c r="A7502" s="7" t="s">
        <v>7536</v>
      </c>
      <c r="B7502" s="7" t="s">
        <v>9369</v>
      </c>
      <c r="C7502" s="8">
        <f>QS.CONTEXT.CREATE("market.7500",A7502,"USD","SOFR")</f>
        <v/>
      </c>
      <c r="D7502" s="8">
        <f>QS.CONTEXT.ADD.CURVE(C7502,"SOFR",$K$2:$K$7,$L$2:$L$7,,,"Actual360","LogLinear",TRUE)</f>
        <v/>
      </c>
      <c r="E7502" s="8">
        <f>QS.INSTRUMENT.SWAP("swap.7500",C7502,H7502,B7502,"USD","SOFR",I7502,J7502,0,"Actual360","Simple","Annual","Annual","Annual")</f>
        <v/>
      </c>
      <c r="F7502" s="8">
        <f>QS.TRADE.CREATE("trade.7500",C7502,E7502,A7502,"Receive")</f>
        <v/>
      </c>
      <c r="G7502" s="5"/>
      <c r="H7502" s="7" t="s">
        <v>7543</v>
      </c>
      <c r="I7502" s="9">
        <v>1750000</v>
      </c>
      <c r="J7502" s="10">
        <v>0.035</v>
      </c>
    </row>
    <row r="7503" spans="1:10">
      <c r="A7503" s="7" t="s">
        <v>7537</v>
      </c>
      <c r="B7503" s="7" t="s">
        <v>9370</v>
      </c>
      <c r="C7503" s="8">
        <f>QS.CONTEXT.CREATE("market.7501",A7503,"USD","SOFR")</f>
        <v/>
      </c>
      <c r="D7503" s="8">
        <f>QS.CONTEXT.ADD.CURVE(C7503,"SOFR",$K$2:$K$7,$L$2:$L$7,,,"Actual360","LogLinear",TRUE)</f>
        <v/>
      </c>
      <c r="E7503" s="8">
        <f>QS.INSTRUMENT.SWAP("swap.7501",C7503,H7503,B7503,"USD","SOFR",I7503,J7503,0,"Actual360","Simple","Annual","Annual","Annual")</f>
        <v/>
      </c>
      <c r="F7503" s="8">
        <f>QS.TRADE.CREATE("trade.7501",C7503,E7503,A7503,"Receive")</f>
        <v/>
      </c>
      <c r="G7503" s="5"/>
      <c r="H7503" s="7" t="s">
        <v>7544</v>
      </c>
      <c r="I7503" s="9">
        <v>1750100</v>
      </c>
      <c r="J7503" s="10">
        <v>0.03510000000000001</v>
      </c>
    </row>
    <row r="7504" spans="1:10">
      <c r="A7504" s="7" t="s">
        <v>7538</v>
      </c>
      <c r="B7504" s="7" t="s">
        <v>9371</v>
      </c>
      <c r="C7504" s="8">
        <f>QS.CONTEXT.CREATE("market.7502",A7504,"USD","SOFR")</f>
        <v/>
      </c>
      <c r="D7504" s="8">
        <f>QS.CONTEXT.ADD.CURVE(C7504,"SOFR",$K$2:$K$7,$L$2:$L$7,,,"Actual360","LogLinear",TRUE)</f>
        <v/>
      </c>
      <c r="E7504" s="8">
        <f>QS.INSTRUMENT.SWAP("swap.7502",C7504,H7504,B7504,"USD","SOFR",I7504,J7504,0,"Actual360","Simple","Annual","Annual","Annual")</f>
        <v/>
      </c>
      <c r="F7504" s="8">
        <f>QS.TRADE.CREATE("trade.7502",C7504,E7504,A7504,"Receive")</f>
        <v/>
      </c>
      <c r="G7504" s="5"/>
      <c r="H7504" s="7" t="s">
        <v>7545</v>
      </c>
      <c r="I7504" s="9">
        <v>1750200</v>
      </c>
      <c r="J7504" s="10">
        <v>0.0352</v>
      </c>
    </row>
    <row r="7505" spans="1:10">
      <c r="A7505" s="7" t="s">
        <v>7539</v>
      </c>
      <c r="B7505" s="7" t="s">
        <v>9372</v>
      </c>
      <c r="C7505" s="8">
        <f>QS.CONTEXT.CREATE("market.7503",A7505,"USD","SOFR")</f>
        <v/>
      </c>
      <c r="D7505" s="8">
        <f>QS.CONTEXT.ADD.CURVE(C7505,"SOFR",$K$2:$K$7,$L$2:$L$7,,,"Actual360","LogLinear",TRUE)</f>
        <v/>
      </c>
      <c r="E7505" s="8">
        <f>QS.INSTRUMENT.SWAP("swap.7503",C7505,H7505,B7505,"USD","SOFR",I7505,J7505,0,"Actual360","Simple","Annual","Annual","Annual")</f>
        <v/>
      </c>
      <c r="F7505" s="8">
        <f>QS.TRADE.CREATE("trade.7503",C7505,E7505,A7505,"Receive")</f>
        <v/>
      </c>
      <c r="G7505" s="5"/>
      <c r="H7505" s="7" t="s">
        <v>7546</v>
      </c>
      <c r="I7505" s="9">
        <v>1750300</v>
      </c>
      <c r="J7505" s="10">
        <v>0.0353</v>
      </c>
    </row>
    <row r="7506" spans="1:10">
      <c r="A7506" s="7" t="s">
        <v>7540</v>
      </c>
      <c r="B7506" s="7" t="s">
        <v>9373</v>
      </c>
      <c r="C7506" s="8">
        <f>QS.CONTEXT.CREATE("market.7504",A7506,"USD","SOFR")</f>
        <v/>
      </c>
      <c r="D7506" s="8">
        <f>QS.CONTEXT.ADD.CURVE(C7506,"SOFR",$K$2:$K$7,$L$2:$L$7,,,"Actual360","LogLinear",TRUE)</f>
        <v/>
      </c>
      <c r="E7506" s="8">
        <f>QS.INSTRUMENT.SWAP("swap.7504",C7506,H7506,B7506,"USD","SOFR",I7506,J7506,0,"Actual360","Simple","Annual","Annual","Annual")</f>
        <v/>
      </c>
      <c r="F7506" s="8">
        <f>QS.TRADE.CREATE("trade.7504",C7506,E7506,A7506,"Receive")</f>
        <v/>
      </c>
      <c r="G7506" s="5"/>
      <c r="H7506" s="7" t="s">
        <v>7547</v>
      </c>
      <c r="I7506" s="9">
        <v>1750400</v>
      </c>
      <c r="J7506" s="10">
        <v>0.0354</v>
      </c>
    </row>
    <row r="7507" spans="1:10">
      <c r="A7507" s="7" t="s">
        <v>7541</v>
      </c>
      <c r="B7507" s="7" t="s">
        <v>9374</v>
      </c>
      <c r="C7507" s="8">
        <f>QS.CONTEXT.CREATE("market.7505",A7507,"USD","SOFR")</f>
        <v/>
      </c>
      <c r="D7507" s="8">
        <f>QS.CONTEXT.ADD.CURVE(C7507,"SOFR",$K$2:$K$7,$L$2:$L$7,,,"Actual360","LogLinear",TRUE)</f>
        <v/>
      </c>
      <c r="E7507" s="8">
        <f>QS.INSTRUMENT.SWAP("swap.7505",C7507,H7507,B7507,"USD","SOFR",I7507,J7507,0,"Actual360","Simple","Annual","Annual","Annual")</f>
        <v/>
      </c>
      <c r="F7507" s="8">
        <f>QS.TRADE.CREATE("trade.7505",C7507,E7507,A7507,"Receive")</f>
        <v/>
      </c>
      <c r="G7507" s="5"/>
      <c r="H7507" s="7" t="s">
        <v>7548</v>
      </c>
      <c r="I7507" s="9">
        <v>1750500</v>
      </c>
      <c r="J7507" s="10">
        <v>0.0355</v>
      </c>
    </row>
    <row r="7508" spans="1:10">
      <c r="A7508" s="7" t="s">
        <v>7542</v>
      </c>
      <c r="B7508" s="7" t="s">
        <v>9375</v>
      </c>
      <c r="C7508" s="8">
        <f>QS.CONTEXT.CREATE("market.7506",A7508,"USD","SOFR")</f>
        <v/>
      </c>
      <c r="D7508" s="8">
        <f>QS.CONTEXT.ADD.CURVE(C7508,"SOFR",$K$2:$K$7,$L$2:$L$7,,,"Actual360","LogLinear",TRUE)</f>
        <v/>
      </c>
      <c r="E7508" s="8">
        <f>QS.INSTRUMENT.SWAP("swap.7506",C7508,H7508,B7508,"USD","SOFR",I7508,J7508,0,"Actual360","Simple","Annual","Annual","Annual")</f>
        <v/>
      </c>
      <c r="F7508" s="8">
        <f>QS.TRADE.CREATE("trade.7506",C7508,E7508,A7508,"Receive")</f>
        <v/>
      </c>
      <c r="G7508" s="5"/>
      <c r="H7508" s="7" t="s">
        <v>7549</v>
      </c>
      <c r="I7508" s="9">
        <v>1750600</v>
      </c>
      <c r="J7508" s="10">
        <v>0.03560000000000001</v>
      </c>
    </row>
    <row r="7509" spans="1:10">
      <c r="A7509" s="7" t="s">
        <v>7543</v>
      </c>
      <c r="B7509" s="7" t="s">
        <v>9376</v>
      </c>
      <c r="C7509" s="8">
        <f>QS.CONTEXT.CREATE("market.7507",A7509,"USD","SOFR")</f>
        <v/>
      </c>
      <c r="D7509" s="8">
        <f>QS.CONTEXT.ADD.CURVE(C7509,"SOFR",$K$2:$K$7,$L$2:$L$7,,,"Actual360","LogLinear",TRUE)</f>
        <v/>
      </c>
      <c r="E7509" s="8">
        <f>QS.INSTRUMENT.SWAP("swap.7507",C7509,H7509,B7509,"USD","SOFR",I7509,J7509,0,"Actual360","Simple","Annual","Annual","Annual")</f>
        <v/>
      </c>
      <c r="F7509" s="8">
        <f>QS.TRADE.CREATE("trade.7507",C7509,E7509,A7509,"Receive")</f>
        <v/>
      </c>
      <c r="G7509" s="5"/>
      <c r="H7509" s="7" t="s">
        <v>7550</v>
      </c>
      <c r="I7509" s="9">
        <v>1750700</v>
      </c>
      <c r="J7509" s="10">
        <v>0.0357</v>
      </c>
    </row>
    <row r="7510" spans="1:10">
      <c r="A7510" s="7" t="s">
        <v>7544</v>
      </c>
      <c r="B7510" s="7" t="s">
        <v>9377</v>
      </c>
      <c r="C7510" s="8">
        <f>QS.CONTEXT.CREATE("market.7508",A7510,"USD","SOFR")</f>
        <v/>
      </c>
      <c r="D7510" s="8">
        <f>QS.CONTEXT.ADD.CURVE(C7510,"SOFR",$K$2:$K$7,$L$2:$L$7,,,"Actual360","LogLinear",TRUE)</f>
        <v/>
      </c>
      <c r="E7510" s="8">
        <f>QS.INSTRUMENT.SWAP("swap.7508",C7510,H7510,B7510,"USD","SOFR",I7510,J7510,0,"Actual360","Simple","Annual","Annual","Annual")</f>
        <v/>
      </c>
      <c r="F7510" s="8">
        <f>QS.TRADE.CREATE("trade.7508",C7510,E7510,A7510,"Receive")</f>
        <v/>
      </c>
      <c r="G7510" s="5"/>
      <c r="H7510" s="7" t="s">
        <v>7551</v>
      </c>
      <c r="I7510" s="9">
        <v>1750800</v>
      </c>
      <c r="J7510" s="10">
        <v>0.03580000000000001</v>
      </c>
    </row>
    <row r="7511" spans="1:10">
      <c r="A7511" s="7" t="s">
        <v>7545</v>
      </c>
      <c r="B7511" s="7" t="s">
        <v>9378</v>
      </c>
      <c r="C7511" s="8">
        <f>QS.CONTEXT.CREATE("market.7509",A7511,"USD","SOFR")</f>
        <v/>
      </c>
      <c r="D7511" s="8">
        <f>QS.CONTEXT.ADD.CURVE(C7511,"SOFR",$K$2:$K$7,$L$2:$L$7,,,"Actual360","LogLinear",TRUE)</f>
        <v/>
      </c>
      <c r="E7511" s="8">
        <f>QS.INSTRUMENT.SWAP("swap.7509",C7511,H7511,B7511,"USD","SOFR",I7511,J7511,0,"Actual360","Simple","Annual","Annual","Annual")</f>
        <v/>
      </c>
      <c r="F7511" s="8">
        <f>QS.TRADE.CREATE("trade.7509",C7511,E7511,A7511,"Receive")</f>
        <v/>
      </c>
      <c r="G7511" s="5"/>
      <c r="H7511" s="7" t="s">
        <v>7552</v>
      </c>
      <c r="I7511" s="9">
        <v>1750900</v>
      </c>
      <c r="J7511" s="10">
        <v>0.0359</v>
      </c>
    </row>
    <row r="7512" spans="1:10">
      <c r="A7512" s="7" t="s">
        <v>7546</v>
      </c>
      <c r="B7512" s="7" t="s">
        <v>9379</v>
      </c>
      <c r="C7512" s="8">
        <f>QS.CONTEXT.CREATE("market.7510",A7512,"USD","SOFR")</f>
        <v/>
      </c>
      <c r="D7512" s="8">
        <f>QS.CONTEXT.ADD.CURVE(C7512,"SOFR",$K$2:$K$7,$L$2:$L$7,,,"Actual360","LogLinear",TRUE)</f>
        <v/>
      </c>
      <c r="E7512" s="8">
        <f>QS.INSTRUMENT.SWAP("swap.7510",C7512,H7512,B7512,"USD","SOFR",I7512,J7512,0,"Actual360","Simple","Annual","Annual","Annual")</f>
        <v/>
      </c>
      <c r="F7512" s="8">
        <f>QS.TRADE.CREATE("trade.7510",C7512,E7512,A7512,"Receive")</f>
        <v/>
      </c>
      <c r="G7512" s="5"/>
      <c r="H7512" s="7" t="s">
        <v>7553</v>
      </c>
      <c r="I7512" s="9">
        <v>1751000</v>
      </c>
      <c r="J7512" s="10">
        <v>0.036</v>
      </c>
    </row>
    <row r="7513" spans="1:10">
      <c r="A7513" s="7" t="s">
        <v>7547</v>
      </c>
      <c r="B7513" s="7" t="s">
        <v>9380</v>
      </c>
      <c r="C7513" s="8">
        <f>QS.CONTEXT.CREATE("market.7511",A7513,"USD","SOFR")</f>
        <v/>
      </c>
      <c r="D7513" s="8">
        <f>QS.CONTEXT.ADD.CURVE(C7513,"SOFR",$K$2:$K$7,$L$2:$L$7,,,"Actual360","LogLinear",TRUE)</f>
        <v/>
      </c>
      <c r="E7513" s="8">
        <f>QS.INSTRUMENT.SWAP("swap.7511",C7513,H7513,B7513,"USD","SOFR",I7513,J7513,0,"Actual360","Simple","Annual","Annual","Annual")</f>
        <v/>
      </c>
      <c r="F7513" s="8">
        <f>QS.TRADE.CREATE("trade.7511",C7513,E7513,A7513,"Receive")</f>
        <v/>
      </c>
      <c r="G7513" s="5"/>
      <c r="H7513" s="7" t="s">
        <v>7554</v>
      </c>
      <c r="I7513" s="9">
        <v>1751100</v>
      </c>
      <c r="J7513" s="10">
        <v>0.0361</v>
      </c>
    </row>
    <row r="7514" spans="1:10">
      <c r="A7514" s="7" t="s">
        <v>7548</v>
      </c>
      <c r="B7514" s="7" t="s">
        <v>9381</v>
      </c>
      <c r="C7514" s="8">
        <f>QS.CONTEXT.CREATE("market.7512",A7514,"USD","SOFR")</f>
        <v/>
      </c>
      <c r="D7514" s="8">
        <f>QS.CONTEXT.ADD.CURVE(C7514,"SOFR",$K$2:$K$7,$L$2:$L$7,,,"Actual360","LogLinear",TRUE)</f>
        <v/>
      </c>
      <c r="E7514" s="8">
        <f>QS.INSTRUMENT.SWAP("swap.7512",C7514,H7514,B7514,"USD","SOFR",I7514,J7514,0,"Actual360","Simple","Annual","Annual","Annual")</f>
        <v/>
      </c>
      <c r="F7514" s="8">
        <f>QS.TRADE.CREATE("trade.7512",C7514,E7514,A7514,"Receive")</f>
        <v/>
      </c>
      <c r="G7514" s="5"/>
      <c r="H7514" s="7" t="s">
        <v>7555</v>
      </c>
      <c r="I7514" s="9">
        <v>1751200</v>
      </c>
      <c r="J7514" s="10">
        <v>0.0362</v>
      </c>
    </row>
    <row r="7515" spans="1:10">
      <c r="A7515" s="7" t="s">
        <v>7549</v>
      </c>
      <c r="B7515" s="7" t="s">
        <v>9382</v>
      </c>
      <c r="C7515" s="8">
        <f>QS.CONTEXT.CREATE("market.7513",A7515,"USD","SOFR")</f>
        <v/>
      </c>
      <c r="D7515" s="8">
        <f>QS.CONTEXT.ADD.CURVE(C7515,"SOFR",$K$2:$K$7,$L$2:$L$7,,,"Actual360","LogLinear",TRUE)</f>
        <v/>
      </c>
      <c r="E7515" s="8">
        <f>QS.INSTRUMENT.SWAP("swap.7513",C7515,H7515,B7515,"USD","SOFR",I7515,J7515,0,"Actual360","Simple","Annual","Annual","Annual")</f>
        <v/>
      </c>
      <c r="F7515" s="8">
        <f>QS.TRADE.CREATE("trade.7513",C7515,E7515,A7515,"Receive")</f>
        <v/>
      </c>
      <c r="G7515" s="5"/>
      <c r="H7515" s="7" t="s">
        <v>7556</v>
      </c>
      <c r="I7515" s="9">
        <v>1751300</v>
      </c>
      <c r="J7515" s="10">
        <v>0.03630000000000001</v>
      </c>
    </row>
    <row r="7516" spans="1:10">
      <c r="A7516" s="7" t="s">
        <v>7550</v>
      </c>
      <c r="B7516" s="7" t="s">
        <v>9383</v>
      </c>
      <c r="C7516" s="8">
        <f>QS.CONTEXT.CREATE("market.7514",A7516,"USD","SOFR")</f>
        <v/>
      </c>
      <c r="D7516" s="8">
        <f>QS.CONTEXT.ADD.CURVE(C7516,"SOFR",$K$2:$K$7,$L$2:$L$7,,,"Actual360","LogLinear",TRUE)</f>
        <v/>
      </c>
      <c r="E7516" s="8">
        <f>QS.INSTRUMENT.SWAP("swap.7514",C7516,H7516,B7516,"USD","SOFR",I7516,J7516,0,"Actual360","Simple","Annual","Annual","Annual")</f>
        <v/>
      </c>
      <c r="F7516" s="8">
        <f>QS.TRADE.CREATE("trade.7514",C7516,E7516,A7516,"Receive")</f>
        <v/>
      </c>
      <c r="G7516" s="5"/>
      <c r="H7516" s="7" t="s">
        <v>7557</v>
      </c>
      <c r="I7516" s="9">
        <v>1751400</v>
      </c>
      <c r="J7516" s="10">
        <v>0.0364</v>
      </c>
    </row>
    <row r="7517" spans="1:10">
      <c r="A7517" s="7" t="s">
        <v>7551</v>
      </c>
      <c r="B7517" s="7" t="s">
        <v>9384</v>
      </c>
      <c r="C7517" s="8">
        <f>QS.CONTEXT.CREATE("market.7515",A7517,"USD","SOFR")</f>
        <v/>
      </c>
      <c r="D7517" s="8">
        <f>QS.CONTEXT.ADD.CURVE(C7517,"SOFR",$K$2:$K$7,$L$2:$L$7,,,"Actual360","LogLinear",TRUE)</f>
        <v/>
      </c>
      <c r="E7517" s="8">
        <f>QS.INSTRUMENT.SWAP("swap.7515",C7517,H7517,B7517,"USD","SOFR",I7517,J7517,0,"Actual360","Simple","Annual","Annual","Annual")</f>
        <v/>
      </c>
      <c r="F7517" s="8">
        <f>QS.TRADE.CREATE("trade.7515",C7517,E7517,A7517,"Receive")</f>
        <v/>
      </c>
      <c r="G7517" s="5"/>
      <c r="H7517" s="7" t="s">
        <v>7558</v>
      </c>
      <c r="I7517" s="9">
        <v>1751500</v>
      </c>
      <c r="J7517" s="10">
        <v>0.0365</v>
      </c>
    </row>
    <row r="7518" spans="1:10">
      <c r="A7518" s="7" t="s">
        <v>7552</v>
      </c>
      <c r="B7518" s="7" t="s">
        <v>9385</v>
      </c>
      <c r="C7518" s="8">
        <f>QS.CONTEXT.CREATE("market.7516",A7518,"USD","SOFR")</f>
        <v/>
      </c>
      <c r="D7518" s="8">
        <f>QS.CONTEXT.ADD.CURVE(C7518,"SOFR",$K$2:$K$7,$L$2:$L$7,,,"Actual360","LogLinear",TRUE)</f>
        <v/>
      </c>
      <c r="E7518" s="8">
        <f>QS.INSTRUMENT.SWAP("swap.7516",C7518,H7518,B7518,"USD","SOFR",I7518,J7518,0,"Actual360","Simple","Annual","Annual","Annual")</f>
        <v/>
      </c>
      <c r="F7518" s="8">
        <f>QS.TRADE.CREATE("trade.7516",C7518,E7518,A7518,"Receive")</f>
        <v/>
      </c>
      <c r="G7518" s="5"/>
      <c r="H7518" s="7" t="s">
        <v>7559</v>
      </c>
      <c r="I7518" s="9">
        <v>1751600</v>
      </c>
      <c r="J7518" s="10">
        <v>0.0366</v>
      </c>
    </row>
    <row r="7519" spans="1:10">
      <c r="A7519" s="7" t="s">
        <v>7553</v>
      </c>
      <c r="B7519" s="7" t="s">
        <v>9386</v>
      </c>
      <c r="C7519" s="8">
        <f>QS.CONTEXT.CREATE("market.7517",A7519,"USD","SOFR")</f>
        <v/>
      </c>
      <c r="D7519" s="8">
        <f>QS.CONTEXT.ADD.CURVE(C7519,"SOFR",$K$2:$K$7,$L$2:$L$7,,,"Actual360","LogLinear",TRUE)</f>
        <v/>
      </c>
      <c r="E7519" s="8">
        <f>QS.INSTRUMENT.SWAP("swap.7517",C7519,H7519,B7519,"USD","SOFR",I7519,J7519,0,"Actual360","Simple","Annual","Annual","Annual")</f>
        <v/>
      </c>
      <c r="F7519" s="8">
        <f>QS.TRADE.CREATE("trade.7517",C7519,E7519,A7519,"Receive")</f>
        <v/>
      </c>
      <c r="G7519" s="5"/>
      <c r="H7519" s="7" t="s">
        <v>7560</v>
      </c>
      <c r="I7519" s="9">
        <v>1751700</v>
      </c>
      <c r="J7519" s="10">
        <v>0.0367</v>
      </c>
    </row>
    <row r="7520" spans="1:10">
      <c r="A7520" s="7" t="s">
        <v>7554</v>
      </c>
      <c r="B7520" s="7" t="s">
        <v>9387</v>
      </c>
      <c r="C7520" s="8">
        <f>QS.CONTEXT.CREATE("market.7518",A7520,"USD","SOFR")</f>
        <v/>
      </c>
      <c r="D7520" s="8">
        <f>QS.CONTEXT.ADD.CURVE(C7520,"SOFR",$K$2:$K$7,$L$2:$L$7,,,"Actual360","LogLinear",TRUE)</f>
        <v/>
      </c>
      <c r="E7520" s="8">
        <f>QS.INSTRUMENT.SWAP("swap.7518",C7520,H7520,B7520,"USD","SOFR",I7520,J7520,0,"Actual360","Simple","Annual","Annual","Annual")</f>
        <v/>
      </c>
      <c r="F7520" s="8">
        <f>QS.TRADE.CREATE("trade.7518",C7520,E7520,A7520,"Receive")</f>
        <v/>
      </c>
      <c r="G7520" s="5"/>
      <c r="H7520" s="7" t="s">
        <v>7561</v>
      </c>
      <c r="I7520" s="9">
        <v>1751800</v>
      </c>
      <c r="J7520" s="10">
        <v>0.03680000000000001</v>
      </c>
    </row>
    <row r="7521" spans="1:10">
      <c r="A7521" s="7" t="s">
        <v>7555</v>
      </c>
      <c r="B7521" s="7" t="s">
        <v>9388</v>
      </c>
      <c r="C7521" s="8">
        <f>QS.CONTEXT.CREATE("market.7519",A7521,"USD","SOFR")</f>
        <v/>
      </c>
      <c r="D7521" s="8">
        <f>QS.CONTEXT.ADD.CURVE(C7521,"SOFR",$K$2:$K$7,$L$2:$L$7,,,"Actual360","LogLinear",TRUE)</f>
        <v/>
      </c>
      <c r="E7521" s="8">
        <f>QS.INSTRUMENT.SWAP("swap.7519",C7521,H7521,B7521,"USD","SOFR",I7521,J7521,0,"Actual360","Simple","Annual","Annual","Annual")</f>
        <v/>
      </c>
      <c r="F7521" s="8">
        <f>QS.TRADE.CREATE("trade.7519",C7521,E7521,A7521,"Receive")</f>
        <v/>
      </c>
      <c r="G7521" s="5"/>
      <c r="H7521" s="7" t="s">
        <v>7562</v>
      </c>
      <c r="I7521" s="9">
        <v>1751900</v>
      </c>
      <c r="J7521" s="10">
        <v>0.0369</v>
      </c>
    </row>
    <row r="7522" spans="1:10">
      <c r="A7522" s="7" t="s">
        <v>7556</v>
      </c>
      <c r="B7522" s="7" t="s">
        <v>9389</v>
      </c>
      <c r="C7522" s="8">
        <f>QS.CONTEXT.CREATE("market.7520",A7522,"USD","SOFR")</f>
        <v/>
      </c>
      <c r="D7522" s="8">
        <f>QS.CONTEXT.ADD.CURVE(C7522,"SOFR",$K$2:$K$7,$L$2:$L$7,,,"Actual360","LogLinear",TRUE)</f>
        <v/>
      </c>
      <c r="E7522" s="8">
        <f>QS.INSTRUMENT.SWAP("swap.7520",C7522,H7522,B7522,"USD","SOFR",I7522,J7522,0,"Actual360","Simple","Annual","Annual","Annual")</f>
        <v/>
      </c>
      <c r="F7522" s="8">
        <f>QS.TRADE.CREATE("trade.7520",C7522,E7522,A7522,"Receive")</f>
        <v/>
      </c>
      <c r="G7522" s="5"/>
      <c r="H7522" s="7" t="s">
        <v>7563</v>
      </c>
      <c r="I7522" s="9">
        <v>1752000</v>
      </c>
      <c r="J7522" s="10">
        <v>0.03700000000000001</v>
      </c>
    </row>
    <row r="7523" spans="1:10">
      <c r="A7523" s="7" t="s">
        <v>7557</v>
      </c>
      <c r="B7523" s="7" t="s">
        <v>9390</v>
      </c>
      <c r="C7523" s="8">
        <f>QS.CONTEXT.CREATE("market.7521",A7523,"USD","SOFR")</f>
        <v/>
      </c>
      <c r="D7523" s="8">
        <f>QS.CONTEXT.ADD.CURVE(C7523,"SOFR",$K$2:$K$7,$L$2:$L$7,,,"Actual360","LogLinear",TRUE)</f>
        <v/>
      </c>
      <c r="E7523" s="8">
        <f>QS.INSTRUMENT.SWAP("swap.7521",C7523,H7523,B7523,"USD","SOFR",I7523,J7523,0,"Actual360","Simple","Annual","Annual","Annual")</f>
        <v/>
      </c>
      <c r="F7523" s="8">
        <f>QS.TRADE.CREATE("trade.7521",C7523,E7523,A7523,"Receive")</f>
        <v/>
      </c>
      <c r="G7523" s="5"/>
      <c r="H7523" s="7" t="s">
        <v>7564</v>
      </c>
      <c r="I7523" s="9">
        <v>1752100</v>
      </c>
      <c r="J7523" s="10">
        <v>0.0371</v>
      </c>
    </row>
    <row r="7524" spans="1:10">
      <c r="A7524" s="7" t="s">
        <v>7558</v>
      </c>
      <c r="B7524" s="7" t="s">
        <v>9391</v>
      </c>
      <c r="C7524" s="8">
        <f>QS.CONTEXT.CREATE("market.7522",A7524,"USD","SOFR")</f>
        <v/>
      </c>
      <c r="D7524" s="8">
        <f>QS.CONTEXT.ADD.CURVE(C7524,"SOFR",$K$2:$K$7,$L$2:$L$7,,,"Actual360","LogLinear",TRUE)</f>
        <v/>
      </c>
      <c r="E7524" s="8">
        <f>QS.INSTRUMENT.SWAP("swap.7522",C7524,H7524,B7524,"USD","SOFR",I7524,J7524,0,"Actual360","Simple","Annual","Annual","Annual")</f>
        <v/>
      </c>
      <c r="F7524" s="8">
        <f>QS.TRADE.CREATE("trade.7522",C7524,E7524,A7524,"Receive")</f>
        <v/>
      </c>
      <c r="G7524" s="5"/>
      <c r="H7524" s="7" t="s">
        <v>7565</v>
      </c>
      <c r="I7524" s="9">
        <v>1752200</v>
      </c>
      <c r="J7524" s="10">
        <v>0.0372</v>
      </c>
    </row>
    <row r="7525" spans="1:10">
      <c r="A7525" s="7" t="s">
        <v>7559</v>
      </c>
      <c r="B7525" s="7" t="s">
        <v>9392</v>
      </c>
      <c r="C7525" s="8">
        <f>QS.CONTEXT.CREATE("market.7523",A7525,"USD","SOFR")</f>
        <v/>
      </c>
      <c r="D7525" s="8">
        <f>QS.CONTEXT.ADD.CURVE(C7525,"SOFR",$K$2:$K$7,$L$2:$L$7,,,"Actual360","LogLinear",TRUE)</f>
        <v/>
      </c>
      <c r="E7525" s="8">
        <f>QS.INSTRUMENT.SWAP("swap.7523",C7525,H7525,B7525,"USD","SOFR",I7525,J7525,0,"Actual360","Simple","Annual","Annual","Annual")</f>
        <v/>
      </c>
      <c r="F7525" s="8">
        <f>QS.TRADE.CREATE("trade.7523",C7525,E7525,A7525,"Receive")</f>
        <v/>
      </c>
      <c r="G7525" s="5"/>
      <c r="H7525" s="7" t="s">
        <v>7566</v>
      </c>
      <c r="I7525" s="9">
        <v>1752300</v>
      </c>
      <c r="J7525" s="10">
        <v>0.0373</v>
      </c>
    </row>
    <row r="7526" spans="1:10">
      <c r="A7526" s="7" t="s">
        <v>7560</v>
      </c>
      <c r="B7526" s="7" t="s">
        <v>9393</v>
      </c>
      <c r="C7526" s="8">
        <f>QS.CONTEXT.CREATE("market.7524",A7526,"USD","SOFR")</f>
        <v/>
      </c>
      <c r="D7526" s="8">
        <f>QS.CONTEXT.ADD.CURVE(C7526,"SOFR",$K$2:$K$7,$L$2:$L$7,,,"Actual360","LogLinear",TRUE)</f>
        <v/>
      </c>
      <c r="E7526" s="8">
        <f>QS.INSTRUMENT.SWAP("swap.7524",C7526,H7526,B7526,"USD","SOFR",I7526,J7526,0,"Actual360","Simple","Annual","Annual","Annual")</f>
        <v/>
      </c>
      <c r="F7526" s="8">
        <f>QS.TRADE.CREATE("trade.7524",C7526,E7526,A7526,"Receive")</f>
        <v/>
      </c>
      <c r="G7526" s="5"/>
      <c r="H7526" s="7" t="s">
        <v>7567</v>
      </c>
      <c r="I7526" s="9">
        <v>1752400</v>
      </c>
      <c r="J7526" s="10">
        <v>0.0374</v>
      </c>
    </row>
    <row r="7527" spans="1:10">
      <c r="A7527" s="7" t="s">
        <v>7561</v>
      </c>
      <c r="B7527" s="7" t="s">
        <v>9394</v>
      </c>
      <c r="C7527" s="8">
        <f>QS.CONTEXT.CREATE("market.7525",A7527,"USD","SOFR")</f>
        <v/>
      </c>
      <c r="D7527" s="8">
        <f>QS.CONTEXT.ADD.CURVE(C7527,"SOFR",$K$2:$K$7,$L$2:$L$7,,,"Actual360","LogLinear",TRUE)</f>
        <v/>
      </c>
      <c r="E7527" s="8">
        <f>QS.INSTRUMENT.SWAP("swap.7525",C7527,H7527,B7527,"USD","SOFR",I7527,J7527,0,"Actual360","Simple","Annual","Annual","Annual")</f>
        <v/>
      </c>
      <c r="F7527" s="8">
        <f>QS.TRADE.CREATE("trade.7525",C7527,E7527,A7527,"Receive")</f>
        <v/>
      </c>
      <c r="G7527" s="5"/>
      <c r="H7527" s="7" t="s">
        <v>7568</v>
      </c>
      <c r="I7527" s="9">
        <v>1752500</v>
      </c>
      <c r="J7527" s="10">
        <v>0.03750000000000001</v>
      </c>
    </row>
    <row r="7528" spans="1:10">
      <c r="A7528" s="7" t="s">
        <v>7562</v>
      </c>
      <c r="B7528" s="7" t="s">
        <v>9395</v>
      </c>
      <c r="C7528" s="8">
        <f>QS.CONTEXT.CREATE("market.7526",A7528,"USD","SOFR")</f>
        <v/>
      </c>
      <c r="D7528" s="8">
        <f>QS.CONTEXT.ADD.CURVE(C7528,"SOFR",$K$2:$K$7,$L$2:$L$7,,,"Actual360","LogLinear",TRUE)</f>
        <v/>
      </c>
      <c r="E7528" s="8">
        <f>QS.INSTRUMENT.SWAP("swap.7526",C7528,H7528,B7528,"USD","SOFR",I7528,J7528,0,"Actual360","Simple","Annual","Annual","Annual")</f>
        <v/>
      </c>
      <c r="F7528" s="8">
        <f>QS.TRADE.CREATE("trade.7526",C7528,E7528,A7528,"Receive")</f>
        <v/>
      </c>
      <c r="G7528" s="5"/>
      <c r="H7528" s="7" t="s">
        <v>7569</v>
      </c>
      <c r="I7528" s="9">
        <v>1752600</v>
      </c>
      <c r="J7528" s="10">
        <v>0.0376</v>
      </c>
    </row>
    <row r="7529" spans="1:10">
      <c r="A7529" s="7" t="s">
        <v>7563</v>
      </c>
      <c r="B7529" s="7" t="s">
        <v>9396</v>
      </c>
      <c r="C7529" s="8">
        <f>QS.CONTEXT.CREATE("market.7527",A7529,"USD","SOFR")</f>
        <v/>
      </c>
      <c r="D7529" s="8">
        <f>QS.CONTEXT.ADD.CURVE(C7529,"SOFR",$K$2:$K$7,$L$2:$L$7,,,"Actual360","LogLinear",TRUE)</f>
        <v/>
      </c>
      <c r="E7529" s="8">
        <f>QS.INSTRUMENT.SWAP("swap.7527",C7529,H7529,B7529,"USD","SOFR",I7529,J7529,0,"Actual360","Simple","Annual","Annual","Annual")</f>
        <v/>
      </c>
      <c r="F7529" s="8">
        <f>QS.TRADE.CREATE("trade.7527",C7529,E7529,A7529,"Receive")</f>
        <v/>
      </c>
      <c r="G7529" s="5"/>
      <c r="H7529" s="7" t="s">
        <v>7570</v>
      </c>
      <c r="I7529" s="9">
        <v>1752700</v>
      </c>
      <c r="J7529" s="10">
        <v>0.0377</v>
      </c>
    </row>
    <row r="7530" spans="1:10">
      <c r="A7530" s="7" t="s">
        <v>7564</v>
      </c>
      <c r="B7530" s="7" t="s">
        <v>9397</v>
      </c>
      <c r="C7530" s="8">
        <f>QS.CONTEXT.CREATE("market.7528",A7530,"USD","SOFR")</f>
        <v/>
      </c>
      <c r="D7530" s="8">
        <f>QS.CONTEXT.ADD.CURVE(C7530,"SOFR",$K$2:$K$7,$L$2:$L$7,,,"Actual360","LogLinear",TRUE)</f>
        <v/>
      </c>
      <c r="E7530" s="8">
        <f>QS.INSTRUMENT.SWAP("swap.7528",C7530,H7530,B7530,"USD","SOFR",I7530,J7530,0,"Actual360","Simple","Annual","Annual","Annual")</f>
        <v/>
      </c>
      <c r="F7530" s="8">
        <f>QS.TRADE.CREATE("trade.7528",C7530,E7530,A7530,"Receive")</f>
        <v/>
      </c>
      <c r="G7530" s="5"/>
      <c r="H7530" s="7" t="s">
        <v>7571</v>
      </c>
      <c r="I7530" s="9">
        <v>1752800</v>
      </c>
      <c r="J7530" s="10">
        <v>0.0378</v>
      </c>
    </row>
    <row r="7531" spans="1:10">
      <c r="A7531" s="7" t="s">
        <v>7565</v>
      </c>
      <c r="B7531" s="7" t="s">
        <v>9398</v>
      </c>
      <c r="C7531" s="8">
        <f>QS.CONTEXT.CREATE("market.7529",A7531,"USD","SOFR")</f>
        <v/>
      </c>
      <c r="D7531" s="8">
        <f>QS.CONTEXT.ADD.CURVE(C7531,"SOFR",$K$2:$K$7,$L$2:$L$7,,,"Actual360","LogLinear",TRUE)</f>
        <v/>
      </c>
      <c r="E7531" s="8">
        <f>QS.INSTRUMENT.SWAP("swap.7529",C7531,H7531,B7531,"USD","SOFR",I7531,J7531,0,"Actual360","Simple","Annual","Annual","Annual")</f>
        <v/>
      </c>
      <c r="F7531" s="8">
        <f>QS.TRADE.CREATE("trade.7529",C7531,E7531,A7531,"Receive")</f>
        <v/>
      </c>
      <c r="G7531" s="5"/>
      <c r="H7531" s="7" t="s">
        <v>7572</v>
      </c>
      <c r="I7531" s="9">
        <v>1752900</v>
      </c>
      <c r="J7531" s="10">
        <v>0.0379</v>
      </c>
    </row>
    <row r="7532" spans="1:10">
      <c r="A7532" s="7" t="s">
        <v>7566</v>
      </c>
      <c r="B7532" s="7" t="s">
        <v>9399</v>
      </c>
      <c r="C7532" s="8">
        <f>QS.CONTEXT.CREATE("market.7530",A7532,"USD","SOFR")</f>
        <v/>
      </c>
      <c r="D7532" s="8">
        <f>QS.CONTEXT.ADD.CURVE(C7532,"SOFR",$K$2:$K$7,$L$2:$L$7,,,"Actual360","LogLinear",TRUE)</f>
        <v/>
      </c>
      <c r="E7532" s="8">
        <f>QS.INSTRUMENT.SWAP("swap.7530",C7532,H7532,B7532,"USD","SOFR",I7532,J7532,0,"Actual360","Simple","Annual","Annual","Annual")</f>
        <v/>
      </c>
      <c r="F7532" s="8">
        <f>QS.TRADE.CREATE("trade.7530",C7532,E7532,A7532,"Receive")</f>
        <v/>
      </c>
      <c r="G7532" s="5"/>
      <c r="H7532" s="7" t="s">
        <v>7573</v>
      </c>
      <c r="I7532" s="9">
        <v>1753000</v>
      </c>
      <c r="J7532" s="10">
        <v>0.03800000000000001</v>
      </c>
    </row>
    <row r="7533" spans="1:10">
      <c r="A7533" s="7" t="s">
        <v>7567</v>
      </c>
      <c r="B7533" s="7" t="s">
        <v>9400</v>
      </c>
      <c r="C7533" s="8">
        <f>QS.CONTEXT.CREATE("market.7531",A7533,"USD","SOFR")</f>
        <v/>
      </c>
      <c r="D7533" s="8">
        <f>QS.CONTEXT.ADD.CURVE(C7533,"SOFR",$K$2:$K$7,$L$2:$L$7,,,"Actual360","LogLinear",TRUE)</f>
        <v/>
      </c>
      <c r="E7533" s="8">
        <f>QS.INSTRUMENT.SWAP("swap.7531",C7533,H7533,B7533,"USD","SOFR",I7533,J7533,0,"Actual360","Simple","Annual","Annual","Annual")</f>
        <v/>
      </c>
      <c r="F7533" s="8">
        <f>QS.TRADE.CREATE("trade.7531",C7533,E7533,A7533,"Receive")</f>
        <v/>
      </c>
      <c r="G7533" s="5"/>
      <c r="H7533" s="7" t="s">
        <v>7574</v>
      </c>
      <c r="I7533" s="9">
        <v>1753100</v>
      </c>
      <c r="J7533" s="10">
        <v>0.0381</v>
      </c>
    </row>
    <row r="7534" spans="1:10">
      <c r="A7534" s="7" t="s">
        <v>7568</v>
      </c>
      <c r="B7534" s="7" t="s">
        <v>9401</v>
      </c>
      <c r="C7534" s="8">
        <f>QS.CONTEXT.CREATE("market.7532",A7534,"USD","SOFR")</f>
        <v/>
      </c>
      <c r="D7534" s="8">
        <f>QS.CONTEXT.ADD.CURVE(C7534,"SOFR",$K$2:$K$7,$L$2:$L$7,,,"Actual360","LogLinear",TRUE)</f>
        <v/>
      </c>
      <c r="E7534" s="8">
        <f>QS.INSTRUMENT.SWAP("swap.7532",C7534,H7534,B7534,"USD","SOFR",I7534,J7534,0,"Actual360","Simple","Annual","Annual","Annual")</f>
        <v/>
      </c>
      <c r="F7534" s="8">
        <f>QS.TRADE.CREATE("trade.7532",C7534,E7534,A7534,"Receive")</f>
        <v/>
      </c>
      <c r="G7534" s="5"/>
      <c r="H7534" s="7" t="s">
        <v>7575</v>
      </c>
      <c r="I7534" s="9">
        <v>1753200</v>
      </c>
      <c r="J7534" s="10">
        <v>0.0382</v>
      </c>
    </row>
    <row r="7535" spans="1:10">
      <c r="A7535" s="7" t="s">
        <v>7569</v>
      </c>
      <c r="B7535" s="7" t="s">
        <v>9402</v>
      </c>
      <c r="C7535" s="8">
        <f>QS.CONTEXT.CREATE("market.7533",A7535,"USD","SOFR")</f>
        <v/>
      </c>
      <c r="D7535" s="8">
        <f>QS.CONTEXT.ADD.CURVE(C7535,"SOFR",$K$2:$K$7,$L$2:$L$7,,,"Actual360","LogLinear",TRUE)</f>
        <v/>
      </c>
      <c r="E7535" s="8">
        <f>QS.INSTRUMENT.SWAP("swap.7533",C7535,H7535,B7535,"USD","SOFR",I7535,J7535,0,"Actual360","Simple","Annual","Annual","Annual")</f>
        <v/>
      </c>
      <c r="F7535" s="8">
        <f>QS.TRADE.CREATE("trade.7533",C7535,E7535,A7535,"Receive")</f>
        <v/>
      </c>
      <c r="G7535" s="5"/>
      <c r="H7535" s="7" t="s">
        <v>7576</v>
      </c>
      <c r="I7535" s="9">
        <v>1753300</v>
      </c>
      <c r="J7535" s="10">
        <v>0.0383</v>
      </c>
    </row>
    <row r="7536" spans="1:10">
      <c r="A7536" s="7" t="s">
        <v>7570</v>
      </c>
      <c r="B7536" s="7" t="s">
        <v>9403</v>
      </c>
      <c r="C7536" s="8">
        <f>QS.CONTEXT.CREATE("market.7534",A7536,"USD","SOFR")</f>
        <v/>
      </c>
      <c r="D7536" s="8">
        <f>QS.CONTEXT.ADD.CURVE(C7536,"SOFR",$K$2:$K$7,$L$2:$L$7,,,"Actual360","LogLinear",TRUE)</f>
        <v/>
      </c>
      <c r="E7536" s="8">
        <f>QS.INSTRUMENT.SWAP("swap.7534",C7536,H7536,B7536,"USD","SOFR",I7536,J7536,0,"Actual360","Simple","Annual","Annual","Annual")</f>
        <v/>
      </c>
      <c r="F7536" s="8">
        <f>QS.TRADE.CREATE("trade.7534",C7536,E7536,A7536,"Receive")</f>
        <v/>
      </c>
      <c r="G7536" s="5"/>
      <c r="H7536" s="7" t="s">
        <v>7577</v>
      </c>
      <c r="I7536" s="9">
        <v>1753400</v>
      </c>
      <c r="J7536" s="10">
        <v>0.0384</v>
      </c>
    </row>
    <row r="7537" spans="1:10">
      <c r="A7537" s="7" t="s">
        <v>7571</v>
      </c>
      <c r="B7537" s="7" t="s">
        <v>9404</v>
      </c>
      <c r="C7537" s="8">
        <f>QS.CONTEXT.CREATE("market.7535",A7537,"USD","SOFR")</f>
        <v/>
      </c>
      <c r="D7537" s="8">
        <f>QS.CONTEXT.ADD.CURVE(C7537,"SOFR",$K$2:$K$7,$L$2:$L$7,,,"Actual360","LogLinear",TRUE)</f>
        <v/>
      </c>
      <c r="E7537" s="8">
        <f>QS.INSTRUMENT.SWAP("swap.7535",C7537,H7537,B7537,"USD","SOFR",I7537,J7537,0,"Actual360","Simple","Annual","Annual","Annual")</f>
        <v/>
      </c>
      <c r="F7537" s="8">
        <f>QS.TRADE.CREATE("trade.7535",C7537,E7537,A7537,"Receive")</f>
        <v/>
      </c>
      <c r="G7537" s="5"/>
      <c r="H7537" s="7" t="s">
        <v>7578</v>
      </c>
      <c r="I7537" s="9">
        <v>1753500</v>
      </c>
      <c r="J7537" s="10">
        <v>0.03850000000000001</v>
      </c>
    </row>
    <row r="7538" spans="1:10">
      <c r="A7538" s="7" t="s">
        <v>7572</v>
      </c>
      <c r="B7538" s="7" t="s">
        <v>9405</v>
      </c>
      <c r="C7538" s="8">
        <f>QS.CONTEXT.CREATE("market.7536",A7538,"USD","SOFR")</f>
        <v/>
      </c>
      <c r="D7538" s="8">
        <f>QS.CONTEXT.ADD.CURVE(C7538,"SOFR",$K$2:$K$7,$L$2:$L$7,,,"Actual360","LogLinear",TRUE)</f>
        <v/>
      </c>
      <c r="E7538" s="8">
        <f>QS.INSTRUMENT.SWAP("swap.7536",C7538,H7538,B7538,"USD","SOFR",I7538,J7538,0,"Actual360","Simple","Annual","Annual","Annual")</f>
        <v/>
      </c>
      <c r="F7538" s="8">
        <f>QS.TRADE.CREATE("trade.7536",C7538,E7538,A7538,"Receive")</f>
        <v/>
      </c>
      <c r="G7538" s="5"/>
      <c r="H7538" s="7" t="s">
        <v>7579</v>
      </c>
      <c r="I7538" s="9">
        <v>1753600</v>
      </c>
      <c r="J7538" s="10">
        <v>0.0386</v>
      </c>
    </row>
    <row r="7539" spans="1:10">
      <c r="A7539" s="7" t="s">
        <v>7573</v>
      </c>
      <c r="B7539" s="7" t="s">
        <v>9406</v>
      </c>
      <c r="C7539" s="8">
        <f>QS.CONTEXT.CREATE("market.7537",A7539,"USD","SOFR")</f>
        <v/>
      </c>
      <c r="D7539" s="8">
        <f>QS.CONTEXT.ADD.CURVE(C7539,"SOFR",$K$2:$K$7,$L$2:$L$7,,,"Actual360","LogLinear",TRUE)</f>
        <v/>
      </c>
      <c r="E7539" s="8">
        <f>QS.INSTRUMENT.SWAP("swap.7537",C7539,H7539,B7539,"USD","SOFR",I7539,J7539,0,"Actual360","Simple","Annual","Annual","Annual")</f>
        <v/>
      </c>
      <c r="F7539" s="8">
        <f>QS.TRADE.CREATE("trade.7537",C7539,E7539,A7539,"Receive")</f>
        <v/>
      </c>
      <c r="G7539" s="5"/>
      <c r="H7539" s="7" t="s">
        <v>7580</v>
      </c>
      <c r="I7539" s="9">
        <v>1753700</v>
      </c>
      <c r="J7539" s="10">
        <v>0.03870000000000001</v>
      </c>
    </row>
    <row r="7540" spans="1:10">
      <c r="A7540" s="7" t="s">
        <v>7574</v>
      </c>
      <c r="B7540" s="7" t="s">
        <v>9407</v>
      </c>
      <c r="C7540" s="8">
        <f>QS.CONTEXT.CREATE("market.7538",A7540,"USD","SOFR")</f>
        <v/>
      </c>
      <c r="D7540" s="8">
        <f>QS.CONTEXT.ADD.CURVE(C7540,"SOFR",$K$2:$K$7,$L$2:$L$7,,,"Actual360","LogLinear",TRUE)</f>
        <v/>
      </c>
      <c r="E7540" s="8">
        <f>QS.INSTRUMENT.SWAP("swap.7538",C7540,H7540,B7540,"USD","SOFR",I7540,J7540,0,"Actual360","Simple","Annual","Annual","Annual")</f>
        <v/>
      </c>
      <c r="F7540" s="8">
        <f>QS.TRADE.CREATE("trade.7538",C7540,E7540,A7540,"Receive")</f>
        <v/>
      </c>
      <c r="G7540" s="5"/>
      <c r="H7540" s="7" t="s">
        <v>7581</v>
      </c>
      <c r="I7540" s="9">
        <v>1753800</v>
      </c>
      <c r="J7540" s="10">
        <v>0.0388</v>
      </c>
    </row>
    <row r="7541" spans="1:10">
      <c r="A7541" s="7" t="s">
        <v>7575</v>
      </c>
      <c r="B7541" s="7" t="s">
        <v>9408</v>
      </c>
      <c r="C7541" s="8">
        <f>QS.CONTEXT.CREATE("market.7539",A7541,"USD","SOFR")</f>
        <v/>
      </c>
      <c r="D7541" s="8">
        <f>QS.CONTEXT.ADD.CURVE(C7541,"SOFR",$K$2:$K$7,$L$2:$L$7,,,"Actual360","LogLinear",TRUE)</f>
        <v/>
      </c>
      <c r="E7541" s="8">
        <f>QS.INSTRUMENT.SWAP("swap.7539",C7541,H7541,B7541,"USD","SOFR",I7541,J7541,0,"Actual360","Simple","Annual","Annual","Annual")</f>
        <v/>
      </c>
      <c r="F7541" s="8">
        <f>QS.TRADE.CREATE("trade.7539",C7541,E7541,A7541,"Receive")</f>
        <v/>
      </c>
      <c r="G7541" s="5"/>
      <c r="H7541" s="7" t="s">
        <v>7582</v>
      </c>
      <c r="I7541" s="9">
        <v>1753900</v>
      </c>
      <c r="J7541" s="10">
        <v>0.0389</v>
      </c>
    </row>
    <row r="7542" spans="1:10">
      <c r="A7542" s="7" t="s">
        <v>7576</v>
      </c>
      <c r="B7542" s="7" t="s">
        <v>9409</v>
      </c>
      <c r="C7542" s="8">
        <f>QS.CONTEXT.CREATE("market.7540",A7542,"USD","SOFR")</f>
        <v/>
      </c>
      <c r="D7542" s="8">
        <f>QS.CONTEXT.ADD.CURVE(C7542,"SOFR",$K$2:$K$7,$L$2:$L$7,,,"Actual360","LogLinear",TRUE)</f>
        <v/>
      </c>
      <c r="E7542" s="8">
        <f>QS.INSTRUMENT.SWAP("swap.7540",C7542,H7542,B7542,"USD","SOFR",I7542,J7542,0,"Actual360","Simple","Annual","Annual","Annual")</f>
        <v/>
      </c>
      <c r="F7542" s="8">
        <f>QS.TRADE.CREATE("trade.7540",C7542,E7542,A7542,"Receive")</f>
        <v/>
      </c>
      <c r="G7542" s="5"/>
      <c r="H7542" s="7" t="s">
        <v>7583</v>
      </c>
      <c r="I7542" s="9">
        <v>1754000</v>
      </c>
      <c r="J7542" s="10">
        <v>0.03900000000000001</v>
      </c>
    </row>
    <row r="7543" spans="1:10">
      <c r="A7543" s="7" t="s">
        <v>7577</v>
      </c>
      <c r="B7543" s="7" t="s">
        <v>9410</v>
      </c>
      <c r="C7543" s="8">
        <f>QS.CONTEXT.CREATE("market.7541",A7543,"USD","SOFR")</f>
        <v/>
      </c>
      <c r="D7543" s="8">
        <f>QS.CONTEXT.ADD.CURVE(C7543,"SOFR",$K$2:$K$7,$L$2:$L$7,,,"Actual360","LogLinear",TRUE)</f>
        <v/>
      </c>
      <c r="E7543" s="8">
        <f>QS.INSTRUMENT.SWAP("swap.7541",C7543,H7543,B7543,"USD","SOFR",I7543,J7543,0,"Actual360","Simple","Annual","Annual","Annual")</f>
        <v/>
      </c>
      <c r="F7543" s="8">
        <f>QS.TRADE.CREATE("trade.7541",C7543,E7543,A7543,"Receive")</f>
        <v/>
      </c>
      <c r="G7543" s="5"/>
      <c r="H7543" s="7" t="s">
        <v>7584</v>
      </c>
      <c r="I7543" s="9">
        <v>1754100</v>
      </c>
      <c r="J7543" s="10">
        <v>0.0391</v>
      </c>
    </row>
    <row r="7544" spans="1:10">
      <c r="A7544" s="7" t="s">
        <v>7578</v>
      </c>
      <c r="B7544" s="7" t="s">
        <v>9411</v>
      </c>
      <c r="C7544" s="8">
        <f>QS.CONTEXT.CREATE("market.7542",A7544,"USD","SOFR")</f>
        <v/>
      </c>
      <c r="D7544" s="8">
        <f>QS.CONTEXT.ADD.CURVE(C7544,"SOFR",$K$2:$K$7,$L$2:$L$7,,,"Actual360","LogLinear",TRUE)</f>
        <v/>
      </c>
      <c r="E7544" s="8">
        <f>QS.INSTRUMENT.SWAP("swap.7542",C7544,H7544,B7544,"USD","SOFR",I7544,J7544,0,"Actual360","Simple","Annual","Annual","Annual")</f>
        <v/>
      </c>
      <c r="F7544" s="8">
        <f>QS.TRADE.CREATE("trade.7542",C7544,E7544,A7544,"Receive")</f>
        <v/>
      </c>
      <c r="G7544" s="5"/>
      <c r="H7544" s="7" t="s">
        <v>7585</v>
      </c>
      <c r="I7544" s="9">
        <v>1754200</v>
      </c>
      <c r="J7544" s="10">
        <v>0.03920000000000001</v>
      </c>
    </row>
    <row r="7545" spans="1:10">
      <c r="A7545" s="7" t="s">
        <v>7579</v>
      </c>
      <c r="B7545" s="7" t="s">
        <v>9412</v>
      </c>
      <c r="C7545" s="8">
        <f>QS.CONTEXT.CREATE("market.7543",A7545,"USD","SOFR")</f>
        <v/>
      </c>
      <c r="D7545" s="8">
        <f>QS.CONTEXT.ADD.CURVE(C7545,"SOFR",$K$2:$K$7,$L$2:$L$7,,,"Actual360","LogLinear",TRUE)</f>
        <v/>
      </c>
      <c r="E7545" s="8">
        <f>QS.INSTRUMENT.SWAP("swap.7543",C7545,H7545,B7545,"USD","SOFR",I7545,J7545,0,"Actual360","Simple","Annual","Annual","Annual")</f>
        <v/>
      </c>
      <c r="F7545" s="8">
        <f>QS.TRADE.CREATE("trade.7543",C7545,E7545,A7545,"Receive")</f>
        <v/>
      </c>
      <c r="G7545" s="5"/>
      <c r="H7545" s="7" t="s">
        <v>7586</v>
      </c>
      <c r="I7545" s="9">
        <v>1754300</v>
      </c>
      <c r="J7545" s="10">
        <v>0.0393</v>
      </c>
    </row>
    <row r="7546" spans="1:10">
      <c r="A7546" s="7" t="s">
        <v>7580</v>
      </c>
      <c r="B7546" s="7" t="s">
        <v>9413</v>
      </c>
      <c r="C7546" s="8">
        <f>QS.CONTEXT.CREATE("market.7544",A7546,"USD","SOFR")</f>
        <v/>
      </c>
      <c r="D7546" s="8">
        <f>QS.CONTEXT.ADD.CURVE(C7546,"SOFR",$K$2:$K$7,$L$2:$L$7,,,"Actual360","LogLinear",TRUE)</f>
        <v/>
      </c>
      <c r="E7546" s="8">
        <f>QS.INSTRUMENT.SWAP("swap.7544",C7546,H7546,B7546,"USD","SOFR",I7546,J7546,0,"Actual360","Simple","Annual","Annual","Annual")</f>
        <v/>
      </c>
      <c r="F7546" s="8">
        <f>QS.TRADE.CREATE("trade.7544",C7546,E7546,A7546,"Receive")</f>
        <v/>
      </c>
      <c r="G7546" s="5"/>
      <c r="H7546" s="7" t="s">
        <v>7587</v>
      </c>
      <c r="I7546" s="9">
        <v>1754400</v>
      </c>
      <c r="J7546" s="10">
        <v>0.0394</v>
      </c>
    </row>
    <row r="7547" spans="1:10">
      <c r="A7547" s="7" t="s">
        <v>7581</v>
      </c>
      <c r="B7547" s="7" t="s">
        <v>9414</v>
      </c>
      <c r="C7547" s="8">
        <f>QS.CONTEXT.CREATE("market.7545",A7547,"USD","SOFR")</f>
        <v/>
      </c>
      <c r="D7547" s="8">
        <f>QS.CONTEXT.ADD.CURVE(C7547,"SOFR",$K$2:$K$7,$L$2:$L$7,,,"Actual360","LogLinear",TRUE)</f>
        <v/>
      </c>
      <c r="E7547" s="8">
        <f>QS.INSTRUMENT.SWAP("swap.7545",C7547,H7547,B7547,"USD","SOFR",I7547,J7547,0,"Actual360","Simple","Annual","Annual","Annual")</f>
        <v/>
      </c>
      <c r="F7547" s="8">
        <f>QS.TRADE.CREATE("trade.7545",C7547,E7547,A7547,"Receive")</f>
        <v/>
      </c>
      <c r="G7547" s="5"/>
      <c r="H7547" s="7" t="s">
        <v>7588</v>
      </c>
      <c r="I7547" s="9">
        <v>1754500</v>
      </c>
      <c r="J7547" s="10">
        <v>0.03950000000000001</v>
      </c>
    </row>
    <row r="7548" spans="1:10">
      <c r="A7548" s="7" t="s">
        <v>7582</v>
      </c>
      <c r="B7548" s="7" t="s">
        <v>9415</v>
      </c>
      <c r="C7548" s="8">
        <f>QS.CONTEXT.CREATE("market.7546",A7548,"USD","SOFR")</f>
        <v/>
      </c>
      <c r="D7548" s="8">
        <f>QS.CONTEXT.ADD.CURVE(C7548,"SOFR",$K$2:$K$7,$L$2:$L$7,,,"Actual360","LogLinear",TRUE)</f>
        <v/>
      </c>
      <c r="E7548" s="8">
        <f>QS.INSTRUMENT.SWAP("swap.7546",C7548,H7548,B7548,"USD","SOFR",I7548,J7548,0,"Actual360","Simple","Annual","Annual","Annual")</f>
        <v/>
      </c>
      <c r="F7548" s="8">
        <f>QS.TRADE.CREATE("trade.7546",C7548,E7548,A7548,"Receive")</f>
        <v/>
      </c>
      <c r="G7548" s="5"/>
      <c r="H7548" s="7" t="s">
        <v>7589</v>
      </c>
      <c r="I7548" s="9">
        <v>1754600</v>
      </c>
      <c r="J7548" s="10">
        <v>0.0396</v>
      </c>
    </row>
    <row r="7549" spans="1:10">
      <c r="A7549" s="7" t="s">
        <v>7583</v>
      </c>
      <c r="B7549" s="7" t="s">
        <v>9416</v>
      </c>
      <c r="C7549" s="8">
        <f>QS.CONTEXT.CREATE("market.7547",A7549,"USD","SOFR")</f>
        <v/>
      </c>
      <c r="D7549" s="8">
        <f>QS.CONTEXT.ADD.CURVE(C7549,"SOFR",$K$2:$K$7,$L$2:$L$7,,,"Actual360","LogLinear",TRUE)</f>
        <v/>
      </c>
      <c r="E7549" s="8">
        <f>QS.INSTRUMENT.SWAP("swap.7547",C7549,H7549,B7549,"USD","SOFR",I7549,J7549,0,"Actual360","Simple","Annual","Annual","Annual")</f>
        <v/>
      </c>
      <c r="F7549" s="8">
        <f>QS.TRADE.CREATE("trade.7547",C7549,E7549,A7549,"Receive")</f>
        <v/>
      </c>
      <c r="G7549" s="5"/>
      <c r="H7549" s="7" t="s">
        <v>7590</v>
      </c>
      <c r="I7549" s="9">
        <v>1754700</v>
      </c>
      <c r="J7549" s="10">
        <v>0.03970000000000001</v>
      </c>
    </row>
    <row r="7550" spans="1:10">
      <c r="A7550" s="7" t="s">
        <v>7584</v>
      </c>
      <c r="B7550" s="7" t="s">
        <v>9417</v>
      </c>
      <c r="C7550" s="8">
        <f>QS.CONTEXT.CREATE("market.7548",A7550,"USD","SOFR")</f>
        <v/>
      </c>
      <c r="D7550" s="8">
        <f>QS.CONTEXT.ADD.CURVE(C7550,"SOFR",$K$2:$K$7,$L$2:$L$7,,,"Actual360","LogLinear",TRUE)</f>
        <v/>
      </c>
      <c r="E7550" s="8">
        <f>QS.INSTRUMENT.SWAP("swap.7548",C7550,H7550,B7550,"USD","SOFR",I7550,J7550,0,"Actual360","Simple","Annual","Annual","Annual")</f>
        <v/>
      </c>
      <c r="F7550" s="8">
        <f>QS.TRADE.CREATE("trade.7548",C7550,E7550,A7550,"Receive")</f>
        <v/>
      </c>
      <c r="G7550" s="5"/>
      <c r="H7550" s="7" t="s">
        <v>7591</v>
      </c>
      <c r="I7550" s="9">
        <v>1754800</v>
      </c>
      <c r="J7550" s="10">
        <v>0.0398</v>
      </c>
    </row>
    <row r="7551" spans="1:10">
      <c r="A7551" s="7" t="s">
        <v>7585</v>
      </c>
      <c r="B7551" s="7" t="s">
        <v>9418</v>
      </c>
      <c r="C7551" s="8">
        <f>QS.CONTEXT.CREATE("market.7549",A7551,"USD","SOFR")</f>
        <v/>
      </c>
      <c r="D7551" s="8">
        <f>QS.CONTEXT.ADD.CURVE(C7551,"SOFR",$K$2:$K$7,$L$2:$L$7,,,"Actual360","LogLinear",TRUE)</f>
        <v/>
      </c>
      <c r="E7551" s="8">
        <f>QS.INSTRUMENT.SWAP("swap.7549",C7551,H7551,B7551,"USD","SOFR",I7551,J7551,0,"Actual360","Simple","Annual","Annual","Annual")</f>
        <v/>
      </c>
      <c r="F7551" s="8">
        <f>QS.TRADE.CREATE("trade.7549",C7551,E7551,A7551,"Receive")</f>
        <v/>
      </c>
      <c r="G7551" s="5"/>
      <c r="H7551" s="7" t="s">
        <v>7592</v>
      </c>
      <c r="I7551" s="9">
        <v>1754900</v>
      </c>
      <c r="J7551" s="10">
        <v>0.0399</v>
      </c>
    </row>
    <row r="7552" spans="1:10">
      <c r="A7552" s="7" t="s">
        <v>7586</v>
      </c>
      <c r="B7552" s="7" t="s">
        <v>9419</v>
      </c>
      <c r="C7552" s="8">
        <f>QS.CONTEXT.CREATE("market.7550",A7552,"USD","SOFR")</f>
        <v/>
      </c>
      <c r="D7552" s="8">
        <f>QS.CONTEXT.ADD.CURVE(C7552,"SOFR",$K$2:$K$7,$L$2:$L$7,,,"Actual360","LogLinear",TRUE)</f>
        <v/>
      </c>
      <c r="E7552" s="8">
        <f>QS.INSTRUMENT.SWAP("swap.7550",C7552,H7552,B7552,"USD","SOFR",I7552,J7552,0,"Actual360","Simple","Annual","Annual","Annual")</f>
        <v/>
      </c>
      <c r="F7552" s="8">
        <f>QS.TRADE.CREATE("trade.7550",C7552,E7552,A7552,"Receive")</f>
        <v/>
      </c>
      <c r="G7552" s="5"/>
      <c r="H7552" s="7" t="s">
        <v>7593</v>
      </c>
      <c r="I7552" s="9">
        <v>1755000</v>
      </c>
      <c r="J7552" s="10">
        <v>0.035</v>
      </c>
    </row>
    <row r="7553" spans="1:10">
      <c r="A7553" s="7" t="s">
        <v>7587</v>
      </c>
      <c r="B7553" s="7" t="s">
        <v>9420</v>
      </c>
      <c r="C7553" s="8">
        <f>QS.CONTEXT.CREATE("market.7551",A7553,"USD","SOFR")</f>
        <v/>
      </c>
      <c r="D7553" s="8">
        <f>QS.CONTEXT.ADD.CURVE(C7553,"SOFR",$K$2:$K$7,$L$2:$L$7,,,"Actual360","LogLinear",TRUE)</f>
        <v/>
      </c>
      <c r="E7553" s="8">
        <f>QS.INSTRUMENT.SWAP("swap.7551",C7553,H7553,B7553,"USD","SOFR",I7553,J7553,0,"Actual360","Simple","Annual","Annual","Annual")</f>
        <v/>
      </c>
      <c r="F7553" s="8">
        <f>QS.TRADE.CREATE("trade.7551",C7553,E7553,A7553,"Receive")</f>
        <v/>
      </c>
      <c r="G7553" s="5"/>
      <c r="H7553" s="7" t="s">
        <v>7594</v>
      </c>
      <c r="I7553" s="9">
        <v>1755100</v>
      </c>
      <c r="J7553" s="10">
        <v>0.03510000000000001</v>
      </c>
    </row>
    <row r="7554" spans="1:10">
      <c r="A7554" s="7" t="s">
        <v>7588</v>
      </c>
      <c r="B7554" s="7" t="s">
        <v>9421</v>
      </c>
      <c r="C7554" s="8">
        <f>QS.CONTEXT.CREATE("market.7552",A7554,"USD","SOFR")</f>
        <v/>
      </c>
      <c r="D7554" s="8">
        <f>QS.CONTEXT.ADD.CURVE(C7554,"SOFR",$K$2:$K$7,$L$2:$L$7,,,"Actual360","LogLinear",TRUE)</f>
        <v/>
      </c>
      <c r="E7554" s="8">
        <f>QS.INSTRUMENT.SWAP("swap.7552",C7554,H7554,B7554,"USD","SOFR",I7554,J7554,0,"Actual360","Simple","Annual","Annual","Annual")</f>
        <v/>
      </c>
      <c r="F7554" s="8">
        <f>QS.TRADE.CREATE("trade.7552",C7554,E7554,A7554,"Receive")</f>
        <v/>
      </c>
      <c r="G7554" s="5"/>
      <c r="H7554" s="7" t="s">
        <v>7595</v>
      </c>
      <c r="I7554" s="9">
        <v>1755200</v>
      </c>
      <c r="J7554" s="10">
        <v>0.0352</v>
      </c>
    </row>
    <row r="7555" spans="1:10">
      <c r="A7555" s="7" t="s">
        <v>7589</v>
      </c>
      <c r="B7555" s="7" t="s">
        <v>9422</v>
      </c>
      <c r="C7555" s="8">
        <f>QS.CONTEXT.CREATE("market.7553",A7555,"USD","SOFR")</f>
        <v/>
      </c>
      <c r="D7555" s="8">
        <f>QS.CONTEXT.ADD.CURVE(C7555,"SOFR",$K$2:$K$7,$L$2:$L$7,,,"Actual360","LogLinear",TRUE)</f>
        <v/>
      </c>
      <c r="E7555" s="8">
        <f>QS.INSTRUMENT.SWAP("swap.7553",C7555,H7555,B7555,"USD","SOFR",I7555,J7555,0,"Actual360","Simple","Annual","Annual","Annual")</f>
        <v/>
      </c>
      <c r="F7555" s="8">
        <f>QS.TRADE.CREATE("trade.7553",C7555,E7555,A7555,"Receive")</f>
        <v/>
      </c>
      <c r="G7555" s="5"/>
      <c r="H7555" s="7" t="s">
        <v>7596</v>
      </c>
      <c r="I7555" s="9">
        <v>1755300</v>
      </c>
      <c r="J7555" s="10">
        <v>0.0353</v>
      </c>
    </row>
    <row r="7556" spans="1:10">
      <c r="A7556" s="7" t="s">
        <v>7590</v>
      </c>
      <c r="B7556" s="7" t="s">
        <v>9423</v>
      </c>
      <c r="C7556" s="8">
        <f>QS.CONTEXT.CREATE("market.7554",A7556,"USD","SOFR")</f>
        <v/>
      </c>
      <c r="D7556" s="8">
        <f>QS.CONTEXT.ADD.CURVE(C7556,"SOFR",$K$2:$K$7,$L$2:$L$7,,,"Actual360","LogLinear",TRUE)</f>
        <v/>
      </c>
      <c r="E7556" s="8">
        <f>QS.INSTRUMENT.SWAP("swap.7554",C7556,H7556,B7556,"USD","SOFR",I7556,J7556,0,"Actual360","Simple","Annual","Annual","Annual")</f>
        <v/>
      </c>
      <c r="F7556" s="8">
        <f>QS.TRADE.CREATE("trade.7554",C7556,E7556,A7556,"Receive")</f>
        <v/>
      </c>
      <c r="G7556" s="5"/>
      <c r="H7556" s="7" t="s">
        <v>7597</v>
      </c>
      <c r="I7556" s="9">
        <v>1755400</v>
      </c>
      <c r="J7556" s="10">
        <v>0.0354</v>
      </c>
    </row>
    <row r="7557" spans="1:10">
      <c r="A7557" s="7" t="s">
        <v>7591</v>
      </c>
      <c r="B7557" s="7" t="s">
        <v>9424</v>
      </c>
      <c r="C7557" s="8">
        <f>QS.CONTEXT.CREATE("market.7555",A7557,"USD","SOFR")</f>
        <v/>
      </c>
      <c r="D7557" s="8">
        <f>QS.CONTEXT.ADD.CURVE(C7557,"SOFR",$K$2:$K$7,$L$2:$L$7,,,"Actual360","LogLinear",TRUE)</f>
        <v/>
      </c>
      <c r="E7557" s="8">
        <f>QS.INSTRUMENT.SWAP("swap.7555",C7557,H7557,B7557,"USD","SOFR",I7557,J7557,0,"Actual360","Simple","Annual","Annual","Annual")</f>
        <v/>
      </c>
      <c r="F7557" s="8">
        <f>QS.TRADE.CREATE("trade.7555",C7557,E7557,A7557,"Receive")</f>
        <v/>
      </c>
      <c r="G7557" s="5"/>
      <c r="H7557" s="7" t="s">
        <v>7598</v>
      </c>
      <c r="I7557" s="9">
        <v>1755500</v>
      </c>
      <c r="J7557" s="10">
        <v>0.0355</v>
      </c>
    </row>
    <row r="7558" spans="1:10">
      <c r="A7558" s="7" t="s">
        <v>7592</v>
      </c>
      <c r="B7558" s="7" t="s">
        <v>9425</v>
      </c>
      <c r="C7558" s="8">
        <f>QS.CONTEXT.CREATE("market.7556",A7558,"USD","SOFR")</f>
        <v/>
      </c>
      <c r="D7558" s="8">
        <f>QS.CONTEXT.ADD.CURVE(C7558,"SOFR",$K$2:$K$7,$L$2:$L$7,,,"Actual360","LogLinear",TRUE)</f>
        <v/>
      </c>
      <c r="E7558" s="8">
        <f>QS.INSTRUMENT.SWAP("swap.7556",C7558,H7558,B7558,"USD","SOFR",I7558,J7558,0,"Actual360","Simple","Annual","Annual","Annual")</f>
        <v/>
      </c>
      <c r="F7558" s="8">
        <f>QS.TRADE.CREATE("trade.7556",C7558,E7558,A7558,"Receive")</f>
        <v/>
      </c>
      <c r="G7558" s="5"/>
      <c r="H7558" s="7" t="s">
        <v>7599</v>
      </c>
      <c r="I7558" s="9">
        <v>1755600</v>
      </c>
      <c r="J7558" s="10">
        <v>0.03560000000000001</v>
      </c>
    </row>
    <row r="7559" spans="1:10">
      <c r="A7559" s="7" t="s">
        <v>7593</v>
      </c>
      <c r="B7559" s="7" t="s">
        <v>9426</v>
      </c>
      <c r="C7559" s="8">
        <f>QS.CONTEXT.CREATE("market.7557",A7559,"USD","SOFR")</f>
        <v/>
      </c>
      <c r="D7559" s="8">
        <f>QS.CONTEXT.ADD.CURVE(C7559,"SOFR",$K$2:$K$7,$L$2:$L$7,,,"Actual360","LogLinear",TRUE)</f>
        <v/>
      </c>
      <c r="E7559" s="8">
        <f>QS.INSTRUMENT.SWAP("swap.7557",C7559,H7559,B7559,"USD","SOFR",I7559,J7559,0,"Actual360","Simple","Annual","Annual","Annual")</f>
        <v/>
      </c>
      <c r="F7559" s="8">
        <f>QS.TRADE.CREATE("trade.7557",C7559,E7559,A7559,"Receive")</f>
        <v/>
      </c>
      <c r="G7559" s="5"/>
      <c r="H7559" s="7" t="s">
        <v>7600</v>
      </c>
      <c r="I7559" s="9">
        <v>1755700</v>
      </c>
      <c r="J7559" s="10">
        <v>0.0357</v>
      </c>
    </row>
    <row r="7560" spans="1:10">
      <c r="A7560" s="7" t="s">
        <v>7594</v>
      </c>
      <c r="B7560" s="7" t="s">
        <v>9427</v>
      </c>
      <c r="C7560" s="8">
        <f>QS.CONTEXT.CREATE("market.7558",A7560,"USD","SOFR")</f>
        <v/>
      </c>
      <c r="D7560" s="8">
        <f>QS.CONTEXT.ADD.CURVE(C7560,"SOFR",$K$2:$K$7,$L$2:$L$7,,,"Actual360","LogLinear",TRUE)</f>
        <v/>
      </c>
      <c r="E7560" s="8">
        <f>QS.INSTRUMENT.SWAP("swap.7558",C7560,H7560,B7560,"USD","SOFR",I7560,J7560,0,"Actual360","Simple","Annual","Annual","Annual")</f>
        <v/>
      </c>
      <c r="F7560" s="8">
        <f>QS.TRADE.CREATE("trade.7558",C7560,E7560,A7560,"Receive")</f>
        <v/>
      </c>
      <c r="G7560" s="5"/>
      <c r="H7560" s="7" t="s">
        <v>7601</v>
      </c>
      <c r="I7560" s="9">
        <v>1755800</v>
      </c>
      <c r="J7560" s="10">
        <v>0.03580000000000001</v>
      </c>
    </row>
    <row r="7561" spans="1:10">
      <c r="A7561" s="7" t="s">
        <v>7595</v>
      </c>
      <c r="B7561" s="7" t="s">
        <v>9428</v>
      </c>
      <c r="C7561" s="8">
        <f>QS.CONTEXT.CREATE("market.7559",A7561,"USD","SOFR")</f>
        <v/>
      </c>
      <c r="D7561" s="8">
        <f>QS.CONTEXT.ADD.CURVE(C7561,"SOFR",$K$2:$K$7,$L$2:$L$7,,,"Actual360","LogLinear",TRUE)</f>
        <v/>
      </c>
      <c r="E7561" s="8">
        <f>QS.INSTRUMENT.SWAP("swap.7559",C7561,H7561,B7561,"USD","SOFR",I7561,J7561,0,"Actual360","Simple","Annual","Annual","Annual")</f>
        <v/>
      </c>
      <c r="F7561" s="8">
        <f>QS.TRADE.CREATE("trade.7559",C7561,E7561,A7561,"Receive")</f>
        <v/>
      </c>
      <c r="G7561" s="5"/>
      <c r="H7561" s="7" t="s">
        <v>7602</v>
      </c>
      <c r="I7561" s="9">
        <v>1755900</v>
      </c>
      <c r="J7561" s="10">
        <v>0.0359</v>
      </c>
    </row>
    <row r="7562" spans="1:10">
      <c r="A7562" s="7" t="s">
        <v>7596</v>
      </c>
      <c r="B7562" s="7" t="s">
        <v>9429</v>
      </c>
      <c r="C7562" s="8">
        <f>QS.CONTEXT.CREATE("market.7560",A7562,"USD","SOFR")</f>
        <v/>
      </c>
      <c r="D7562" s="8">
        <f>QS.CONTEXT.ADD.CURVE(C7562,"SOFR",$K$2:$K$7,$L$2:$L$7,,,"Actual360","LogLinear",TRUE)</f>
        <v/>
      </c>
      <c r="E7562" s="8">
        <f>QS.INSTRUMENT.SWAP("swap.7560",C7562,H7562,B7562,"USD","SOFR",I7562,J7562,0,"Actual360","Simple","Annual","Annual","Annual")</f>
        <v/>
      </c>
      <c r="F7562" s="8">
        <f>QS.TRADE.CREATE("trade.7560",C7562,E7562,A7562,"Receive")</f>
        <v/>
      </c>
      <c r="G7562" s="5"/>
      <c r="H7562" s="7" t="s">
        <v>7603</v>
      </c>
      <c r="I7562" s="9">
        <v>1756000</v>
      </c>
      <c r="J7562" s="10">
        <v>0.036</v>
      </c>
    </row>
    <row r="7563" spans="1:10">
      <c r="A7563" s="7" t="s">
        <v>7597</v>
      </c>
      <c r="B7563" s="7" t="s">
        <v>9430</v>
      </c>
      <c r="C7563" s="8">
        <f>QS.CONTEXT.CREATE("market.7561",A7563,"USD","SOFR")</f>
        <v/>
      </c>
      <c r="D7563" s="8">
        <f>QS.CONTEXT.ADD.CURVE(C7563,"SOFR",$K$2:$K$7,$L$2:$L$7,,,"Actual360","LogLinear",TRUE)</f>
        <v/>
      </c>
      <c r="E7563" s="8">
        <f>QS.INSTRUMENT.SWAP("swap.7561",C7563,H7563,B7563,"USD","SOFR",I7563,J7563,0,"Actual360","Simple","Annual","Annual","Annual")</f>
        <v/>
      </c>
      <c r="F7563" s="8">
        <f>QS.TRADE.CREATE("trade.7561",C7563,E7563,A7563,"Receive")</f>
        <v/>
      </c>
      <c r="G7563" s="5"/>
      <c r="H7563" s="7" t="s">
        <v>7604</v>
      </c>
      <c r="I7563" s="9">
        <v>1756100</v>
      </c>
      <c r="J7563" s="10">
        <v>0.0361</v>
      </c>
    </row>
    <row r="7564" spans="1:10">
      <c r="A7564" s="7" t="s">
        <v>7598</v>
      </c>
      <c r="B7564" s="7" t="s">
        <v>9431</v>
      </c>
      <c r="C7564" s="8">
        <f>QS.CONTEXT.CREATE("market.7562",A7564,"USD","SOFR")</f>
        <v/>
      </c>
      <c r="D7564" s="8">
        <f>QS.CONTEXT.ADD.CURVE(C7564,"SOFR",$K$2:$K$7,$L$2:$L$7,,,"Actual360","LogLinear",TRUE)</f>
        <v/>
      </c>
      <c r="E7564" s="8">
        <f>QS.INSTRUMENT.SWAP("swap.7562",C7564,H7564,B7564,"USD","SOFR",I7564,J7564,0,"Actual360","Simple","Annual","Annual","Annual")</f>
        <v/>
      </c>
      <c r="F7564" s="8">
        <f>QS.TRADE.CREATE("trade.7562",C7564,E7564,A7564,"Receive")</f>
        <v/>
      </c>
      <c r="G7564" s="5"/>
      <c r="H7564" s="7" t="s">
        <v>7605</v>
      </c>
      <c r="I7564" s="9">
        <v>1756200</v>
      </c>
      <c r="J7564" s="10">
        <v>0.0362</v>
      </c>
    </row>
    <row r="7565" spans="1:10">
      <c r="A7565" s="7" t="s">
        <v>7599</v>
      </c>
      <c r="B7565" s="7" t="s">
        <v>9432</v>
      </c>
      <c r="C7565" s="8">
        <f>QS.CONTEXT.CREATE("market.7563",A7565,"USD","SOFR")</f>
        <v/>
      </c>
      <c r="D7565" s="8">
        <f>QS.CONTEXT.ADD.CURVE(C7565,"SOFR",$K$2:$K$7,$L$2:$L$7,,,"Actual360","LogLinear",TRUE)</f>
        <v/>
      </c>
      <c r="E7565" s="8">
        <f>QS.INSTRUMENT.SWAP("swap.7563",C7565,H7565,B7565,"USD","SOFR",I7565,J7565,0,"Actual360","Simple","Annual","Annual","Annual")</f>
        <v/>
      </c>
      <c r="F7565" s="8">
        <f>QS.TRADE.CREATE("trade.7563",C7565,E7565,A7565,"Receive")</f>
        <v/>
      </c>
      <c r="G7565" s="5"/>
      <c r="H7565" s="7" t="s">
        <v>7606</v>
      </c>
      <c r="I7565" s="9">
        <v>1756300</v>
      </c>
      <c r="J7565" s="10">
        <v>0.03630000000000001</v>
      </c>
    </row>
    <row r="7566" spans="1:10">
      <c r="A7566" s="7" t="s">
        <v>7600</v>
      </c>
      <c r="B7566" s="7" t="s">
        <v>9433</v>
      </c>
      <c r="C7566" s="8">
        <f>QS.CONTEXT.CREATE("market.7564",A7566,"USD","SOFR")</f>
        <v/>
      </c>
      <c r="D7566" s="8">
        <f>QS.CONTEXT.ADD.CURVE(C7566,"SOFR",$K$2:$K$7,$L$2:$L$7,,,"Actual360","LogLinear",TRUE)</f>
        <v/>
      </c>
      <c r="E7566" s="8">
        <f>QS.INSTRUMENT.SWAP("swap.7564",C7566,H7566,B7566,"USD","SOFR",I7566,J7566,0,"Actual360","Simple","Annual","Annual","Annual")</f>
        <v/>
      </c>
      <c r="F7566" s="8">
        <f>QS.TRADE.CREATE("trade.7564",C7566,E7566,A7566,"Receive")</f>
        <v/>
      </c>
      <c r="G7566" s="5"/>
      <c r="H7566" s="7" t="s">
        <v>7607</v>
      </c>
      <c r="I7566" s="9">
        <v>1756400</v>
      </c>
      <c r="J7566" s="10">
        <v>0.0364</v>
      </c>
    </row>
    <row r="7567" spans="1:10">
      <c r="A7567" s="7" t="s">
        <v>7601</v>
      </c>
      <c r="B7567" s="7" t="s">
        <v>9434</v>
      </c>
      <c r="C7567" s="8">
        <f>QS.CONTEXT.CREATE("market.7565",A7567,"USD","SOFR")</f>
        <v/>
      </c>
      <c r="D7567" s="8">
        <f>QS.CONTEXT.ADD.CURVE(C7567,"SOFR",$K$2:$K$7,$L$2:$L$7,,,"Actual360","LogLinear",TRUE)</f>
        <v/>
      </c>
      <c r="E7567" s="8">
        <f>QS.INSTRUMENT.SWAP("swap.7565",C7567,H7567,B7567,"USD","SOFR",I7567,J7567,0,"Actual360","Simple","Annual","Annual","Annual")</f>
        <v/>
      </c>
      <c r="F7567" s="8">
        <f>QS.TRADE.CREATE("trade.7565",C7567,E7567,A7567,"Receive")</f>
        <v/>
      </c>
      <c r="G7567" s="5"/>
      <c r="H7567" s="7" t="s">
        <v>7608</v>
      </c>
      <c r="I7567" s="9">
        <v>1756500</v>
      </c>
      <c r="J7567" s="10">
        <v>0.0365</v>
      </c>
    </row>
    <row r="7568" spans="1:10">
      <c r="A7568" s="7" t="s">
        <v>7602</v>
      </c>
      <c r="B7568" s="7" t="s">
        <v>9435</v>
      </c>
      <c r="C7568" s="8">
        <f>QS.CONTEXT.CREATE("market.7566",A7568,"USD","SOFR")</f>
        <v/>
      </c>
      <c r="D7568" s="8">
        <f>QS.CONTEXT.ADD.CURVE(C7568,"SOFR",$K$2:$K$7,$L$2:$L$7,,,"Actual360","LogLinear",TRUE)</f>
        <v/>
      </c>
      <c r="E7568" s="8">
        <f>QS.INSTRUMENT.SWAP("swap.7566",C7568,H7568,B7568,"USD","SOFR",I7568,J7568,0,"Actual360","Simple","Annual","Annual","Annual")</f>
        <v/>
      </c>
      <c r="F7568" s="8">
        <f>QS.TRADE.CREATE("trade.7566",C7568,E7568,A7568,"Receive")</f>
        <v/>
      </c>
      <c r="G7568" s="5"/>
      <c r="H7568" s="7" t="s">
        <v>7609</v>
      </c>
      <c r="I7568" s="9">
        <v>1756600</v>
      </c>
      <c r="J7568" s="10">
        <v>0.0366</v>
      </c>
    </row>
    <row r="7569" spans="1:10">
      <c r="A7569" s="7" t="s">
        <v>7603</v>
      </c>
      <c r="B7569" s="7" t="s">
        <v>9436</v>
      </c>
      <c r="C7569" s="8">
        <f>QS.CONTEXT.CREATE("market.7567",A7569,"USD","SOFR")</f>
        <v/>
      </c>
      <c r="D7569" s="8">
        <f>QS.CONTEXT.ADD.CURVE(C7569,"SOFR",$K$2:$K$7,$L$2:$L$7,,,"Actual360","LogLinear",TRUE)</f>
        <v/>
      </c>
      <c r="E7569" s="8">
        <f>QS.INSTRUMENT.SWAP("swap.7567",C7569,H7569,B7569,"USD","SOFR",I7569,J7569,0,"Actual360","Simple","Annual","Annual","Annual")</f>
        <v/>
      </c>
      <c r="F7569" s="8">
        <f>QS.TRADE.CREATE("trade.7567",C7569,E7569,A7569,"Receive")</f>
        <v/>
      </c>
      <c r="G7569" s="5"/>
      <c r="H7569" s="7" t="s">
        <v>7610</v>
      </c>
      <c r="I7569" s="9">
        <v>1756700</v>
      </c>
      <c r="J7569" s="10">
        <v>0.0367</v>
      </c>
    </row>
    <row r="7570" spans="1:10">
      <c r="A7570" s="7" t="s">
        <v>7604</v>
      </c>
      <c r="B7570" s="7" t="s">
        <v>9437</v>
      </c>
      <c r="C7570" s="8">
        <f>QS.CONTEXT.CREATE("market.7568",A7570,"USD","SOFR")</f>
        <v/>
      </c>
      <c r="D7570" s="8">
        <f>QS.CONTEXT.ADD.CURVE(C7570,"SOFR",$K$2:$K$7,$L$2:$L$7,,,"Actual360","LogLinear",TRUE)</f>
        <v/>
      </c>
      <c r="E7570" s="8">
        <f>QS.INSTRUMENT.SWAP("swap.7568",C7570,H7570,B7570,"USD","SOFR",I7570,J7570,0,"Actual360","Simple","Annual","Annual","Annual")</f>
        <v/>
      </c>
      <c r="F7570" s="8">
        <f>QS.TRADE.CREATE("trade.7568",C7570,E7570,A7570,"Receive")</f>
        <v/>
      </c>
      <c r="G7570" s="5"/>
      <c r="H7570" s="7" t="s">
        <v>7611</v>
      </c>
      <c r="I7570" s="9">
        <v>1756800</v>
      </c>
      <c r="J7570" s="10">
        <v>0.03680000000000001</v>
      </c>
    </row>
    <row r="7571" spans="1:10">
      <c r="A7571" s="7" t="s">
        <v>7605</v>
      </c>
      <c r="B7571" s="7" t="s">
        <v>9438</v>
      </c>
      <c r="C7571" s="8">
        <f>QS.CONTEXT.CREATE("market.7569",A7571,"USD","SOFR")</f>
        <v/>
      </c>
      <c r="D7571" s="8">
        <f>QS.CONTEXT.ADD.CURVE(C7571,"SOFR",$K$2:$K$7,$L$2:$L$7,,,"Actual360","LogLinear",TRUE)</f>
        <v/>
      </c>
      <c r="E7571" s="8">
        <f>QS.INSTRUMENT.SWAP("swap.7569",C7571,H7571,B7571,"USD","SOFR",I7571,J7571,0,"Actual360","Simple","Annual","Annual","Annual")</f>
        <v/>
      </c>
      <c r="F7571" s="8">
        <f>QS.TRADE.CREATE("trade.7569",C7571,E7571,A7571,"Receive")</f>
        <v/>
      </c>
      <c r="G7571" s="5"/>
      <c r="H7571" s="7" t="s">
        <v>7612</v>
      </c>
      <c r="I7571" s="9">
        <v>1756900</v>
      </c>
      <c r="J7571" s="10">
        <v>0.0369</v>
      </c>
    </row>
    <row r="7572" spans="1:10">
      <c r="A7572" s="7" t="s">
        <v>7606</v>
      </c>
      <c r="B7572" s="7" t="s">
        <v>9439</v>
      </c>
      <c r="C7572" s="8">
        <f>QS.CONTEXT.CREATE("market.7570",A7572,"USD","SOFR")</f>
        <v/>
      </c>
      <c r="D7572" s="8">
        <f>QS.CONTEXT.ADD.CURVE(C7572,"SOFR",$K$2:$K$7,$L$2:$L$7,,,"Actual360","LogLinear",TRUE)</f>
        <v/>
      </c>
      <c r="E7572" s="8">
        <f>QS.INSTRUMENT.SWAP("swap.7570",C7572,H7572,B7572,"USD","SOFR",I7572,J7572,0,"Actual360","Simple","Annual","Annual","Annual")</f>
        <v/>
      </c>
      <c r="F7572" s="8">
        <f>QS.TRADE.CREATE("trade.7570",C7572,E7572,A7572,"Receive")</f>
        <v/>
      </c>
      <c r="G7572" s="5"/>
      <c r="H7572" s="7" t="s">
        <v>7613</v>
      </c>
      <c r="I7572" s="9">
        <v>1757000</v>
      </c>
      <c r="J7572" s="10">
        <v>0.03700000000000001</v>
      </c>
    </row>
    <row r="7573" spans="1:10">
      <c r="A7573" s="7" t="s">
        <v>7607</v>
      </c>
      <c r="B7573" s="7" t="s">
        <v>9440</v>
      </c>
      <c r="C7573" s="8">
        <f>QS.CONTEXT.CREATE("market.7571",A7573,"USD","SOFR")</f>
        <v/>
      </c>
      <c r="D7573" s="8">
        <f>QS.CONTEXT.ADD.CURVE(C7573,"SOFR",$K$2:$K$7,$L$2:$L$7,,,"Actual360","LogLinear",TRUE)</f>
        <v/>
      </c>
      <c r="E7573" s="8">
        <f>QS.INSTRUMENT.SWAP("swap.7571",C7573,H7573,B7573,"USD","SOFR",I7573,J7573,0,"Actual360","Simple","Annual","Annual","Annual")</f>
        <v/>
      </c>
      <c r="F7573" s="8">
        <f>QS.TRADE.CREATE("trade.7571",C7573,E7573,A7573,"Receive")</f>
        <v/>
      </c>
      <c r="G7573" s="5"/>
      <c r="H7573" s="7" t="s">
        <v>7614</v>
      </c>
      <c r="I7573" s="9">
        <v>1757100</v>
      </c>
      <c r="J7573" s="10">
        <v>0.0371</v>
      </c>
    </row>
    <row r="7574" spans="1:10">
      <c r="A7574" s="7" t="s">
        <v>7608</v>
      </c>
      <c r="B7574" s="7" t="s">
        <v>9441</v>
      </c>
      <c r="C7574" s="8">
        <f>QS.CONTEXT.CREATE("market.7572",A7574,"USD","SOFR")</f>
        <v/>
      </c>
      <c r="D7574" s="8">
        <f>QS.CONTEXT.ADD.CURVE(C7574,"SOFR",$K$2:$K$7,$L$2:$L$7,,,"Actual360","LogLinear",TRUE)</f>
        <v/>
      </c>
      <c r="E7574" s="8">
        <f>QS.INSTRUMENT.SWAP("swap.7572",C7574,H7574,B7574,"USD","SOFR",I7574,J7574,0,"Actual360","Simple","Annual","Annual","Annual")</f>
        <v/>
      </c>
      <c r="F7574" s="8">
        <f>QS.TRADE.CREATE("trade.7572",C7574,E7574,A7574,"Receive")</f>
        <v/>
      </c>
      <c r="G7574" s="5"/>
      <c r="H7574" s="7" t="s">
        <v>7615</v>
      </c>
      <c r="I7574" s="9">
        <v>1757200</v>
      </c>
      <c r="J7574" s="10">
        <v>0.0372</v>
      </c>
    </row>
    <row r="7575" spans="1:10">
      <c r="A7575" s="7" t="s">
        <v>7609</v>
      </c>
      <c r="B7575" s="7" t="s">
        <v>9442</v>
      </c>
      <c r="C7575" s="8">
        <f>QS.CONTEXT.CREATE("market.7573",A7575,"USD","SOFR")</f>
        <v/>
      </c>
      <c r="D7575" s="8">
        <f>QS.CONTEXT.ADD.CURVE(C7575,"SOFR",$K$2:$K$7,$L$2:$L$7,,,"Actual360","LogLinear",TRUE)</f>
        <v/>
      </c>
      <c r="E7575" s="8">
        <f>QS.INSTRUMENT.SWAP("swap.7573",C7575,H7575,B7575,"USD","SOFR",I7575,J7575,0,"Actual360","Simple","Annual","Annual","Annual")</f>
        <v/>
      </c>
      <c r="F7575" s="8">
        <f>QS.TRADE.CREATE("trade.7573",C7575,E7575,A7575,"Receive")</f>
        <v/>
      </c>
      <c r="G7575" s="5"/>
      <c r="H7575" s="7" t="s">
        <v>7616</v>
      </c>
      <c r="I7575" s="9">
        <v>1757300</v>
      </c>
      <c r="J7575" s="10">
        <v>0.0373</v>
      </c>
    </row>
    <row r="7576" spans="1:10">
      <c r="A7576" s="7" t="s">
        <v>7610</v>
      </c>
      <c r="B7576" s="7" t="s">
        <v>9443</v>
      </c>
      <c r="C7576" s="8">
        <f>QS.CONTEXT.CREATE("market.7574",A7576,"USD","SOFR")</f>
        <v/>
      </c>
      <c r="D7576" s="8">
        <f>QS.CONTEXT.ADD.CURVE(C7576,"SOFR",$K$2:$K$7,$L$2:$L$7,,,"Actual360","LogLinear",TRUE)</f>
        <v/>
      </c>
      <c r="E7576" s="8">
        <f>QS.INSTRUMENT.SWAP("swap.7574",C7576,H7576,B7576,"USD","SOFR",I7576,J7576,0,"Actual360","Simple","Annual","Annual","Annual")</f>
        <v/>
      </c>
      <c r="F7576" s="8">
        <f>QS.TRADE.CREATE("trade.7574",C7576,E7576,A7576,"Receive")</f>
        <v/>
      </c>
      <c r="G7576" s="5"/>
      <c r="H7576" s="7" t="s">
        <v>7617</v>
      </c>
      <c r="I7576" s="9">
        <v>1757400</v>
      </c>
      <c r="J7576" s="10">
        <v>0.0374</v>
      </c>
    </row>
    <row r="7577" spans="1:10">
      <c r="A7577" s="7" t="s">
        <v>7611</v>
      </c>
      <c r="B7577" s="7" t="s">
        <v>9444</v>
      </c>
      <c r="C7577" s="8">
        <f>QS.CONTEXT.CREATE("market.7575",A7577,"USD","SOFR")</f>
        <v/>
      </c>
      <c r="D7577" s="8">
        <f>QS.CONTEXT.ADD.CURVE(C7577,"SOFR",$K$2:$K$7,$L$2:$L$7,,,"Actual360","LogLinear",TRUE)</f>
        <v/>
      </c>
      <c r="E7577" s="8">
        <f>QS.INSTRUMENT.SWAP("swap.7575",C7577,H7577,B7577,"USD","SOFR",I7577,J7577,0,"Actual360","Simple","Annual","Annual","Annual")</f>
        <v/>
      </c>
      <c r="F7577" s="8">
        <f>QS.TRADE.CREATE("trade.7575",C7577,E7577,A7577,"Receive")</f>
        <v/>
      </c>
      <c r="G7577" s="5"/>
      <c r="H7577" s="7" t="s">
        <v>7618</v>
      </c>
      <c r="I7577" s="9">
        <v>1757500</v>
      </c>
      <c r="J7577" s="10">
        <v>0.03750000000000001</v>
      </c>
    </row>
    <row r="7578" spans="1:10">
      <c r="A7578" s="7" t="s">
        <v>7612</v>
      </c>
      <c r="B7578" s="7" t="s">
        <v>9445</v>
      </c>
      <c r="C7578" s="8">
        <f>QS.CONTEXT.CREATE("market.7576",A7578,"USD","SOFR")</f>
        <v/>
      </c>
      <c r="D7578" s="8">
        <f>QS.CONTEXT.ADD.CURVE(C7578,"SOFR",$K$2:$K$7,$L$2:$L$7,,,"Actual360","LogLinear",TRUE)</f>
        <v/>
      </c>
      <c r="E7578" s="8">
        <f>QS.INSTRUMENT.SWAP("swap.7576",C7578,H7578,B7578,"USD","SOFR",I7578,J7578,0,"Actual360","Simple","Annual","Annual","Annual")</f>
        <v/>
      </c>
      <c r="F7578" s="8">
        <f>QS.TRADE.CREATE("trade.7576",C7578,E7578,A7578,"Receive")</f>
        <v/>
      </c>
      <c r="G7578" s="5"/>
      <c r="H7578" s="7" t="s">
        <v>7619</v>
      </c>
      <c r="I7578" s="9">
        <v>1757600</v>
      </c>
      <c r="J7578" s="10">
        <v>0.0376</v>
      </c>
    </row>
    <row r="7579" spans="1:10">
      <c r="A7579" s="7" t="s">
        <v>7613</v>
      </c>
      <c r="B7579" s="7" t="s">
        <v>9446</v>
      </c>
      <c r="C7579" s="8">
        <f>QS.CONTEXT.CREATE("market.7577",A7579,"USD","SOFR")</f>
        <v/>
      </c>
      <c r="D7579" s="8">
        <f>QS.CONTEXT.ADD.CURVE(C7579,"SOFR",$K$2:$K$7,$L$2:$L$7,,,"Actual360","LogLinear",TRUE)</f>
        <v/>
      </c>
      <c r="E7579" s="8">
        <f>QS.INSTRUMENT.SWAP("swap.7577",C7579,H7579,B7579,"USD","SOFR",I7579,J7579,0,"Actual360","Simple","Annual","Annual","Annual")</f>
        <v/>
      </c>
      <c r="F7579" s="8">
        <f>QS.TRADE.CREATE("trade.7577",C7579,E7579,A7579,"Receive")</f>
        <v/>
      </c>
      <c r="G7579" s="5"/>
      <c r="H7579" s="7" t="s">
        <v>7620</v>
      </c>
      <c r="I7579" s="9">
        <v>1757700</v>
      </c>
      <c r="J7579" s="10">
        <v>0.0377</v>
      </c>
    </row>
    <row r="7580" spans="1:10">
      <c r="A7580" s="7" t="s">
        <v>7614</v>
      </c>
      <c r="B7580" s="7" t="s">
        <v>9447</v>
      </c>
      <c r="C7580" s="8">
        <f>QS.CONTEXT.CREATE("market.7578",A7580,"USD","SOFR")</f>
        <v/>
      </c>
      <c r="D7580" s="8">
        <f>QS.CONTEXT.ADD.CURVE(C7580,"SOFR",$K$2:$K$7,$L$2:$L$7,,,"Actual360","LogLinear",TRUE)</f>
        <v/>
      </c>
      <c r="E7580" s="8">
        <f>QS.INSTRUMENT.SWAP("swap.7578",C7580,H7580,B7580,"USD","SOFR",I7580,J7580,0,"Actual360","Simple","Annual","Annual","Annual")</f>
        <v/>
      </c>
      <c r="F7580" s="8">
        <f>QS.TRADE.CREATE("trade.7578",C7580,E7580,A7580,"Receive")</f>
        <v/>
      </c>
      <c r="G7580" s="5"/>
      <c r="H7580" s="7" t="s">
        <v>7621</v>
      </c>
      <c r="I7580" s="9">
        <v>1757800</v>
      </c>
      <c r="J7580" s="10">
        <v>0.0378</v>
      </c>
    </row>
    <row r="7581" spans="1:10">
      <c r="A7581" s="7" t="s">
        <v>7615</v>
      </c>
      <c r="B7581" s="7" t="s">
        <v>9448</v>
      </c>
      <c r="C7581" s="8">
        <f>QS.CONTEXT.CREATE("market.7579",A7581,"USD","SOFR")</f>
        <v/>
      </c>
      <c r="D7581" s="8">
        <f>QS.CONTEXT.ADD.CURVE(C7581,"SOFR",$K$2:$K$7,$L$2:$L$7,,,"Actual360","LogLinear",TRUE)</f>
        <v/>
      </c>
      <c r="E7581" s="8">
        <f>QS.INSTRUMENT.SWAP("swap.7579",C7581,H7581,B7581,"USD","SOFR",I7581,J7581,0,"Actual360","Simple","Annual","Annual","Annual")</f>
        <v/>
      </c>
      <c r="F7581" s="8">
        <f>QS.TRADE.CREATE("trade.7579",C7581,E7581,A7581,"Receive")</f>
        <v/>
      </c>
      <c r="G7581" s="5"/>
      <c r="H7581" s="7" t="s">
        <v>7622</v>
      </c>
      <c r="I7581" s="9">
        <v>1757900</v>
      </c>
      <c r="J7581" s="10">
        <v>0.0379</v>
      </c>
    </row>
    <row r="7582" spans="1:10">
      <c r="A7582" s="7" t="s">
        <v>7616</v>
      </c>
      <c r="B7582" s="7" t="s">
        <v>9449</v>
      </c>
      <c r="C7582" s="8">
        <f>QS.CONTEXT.CREATE("market.7580",A7582,"USD","SOFR")</f>
        <v/>
      </c>
      <c r="D7582" s="8">
        <f>QS.CONTEXT.ADD.CURVE(C7582,"SOFR",$K$2:$K$7,$L$2:$L$7,,,"Actual360","LogLinear",TRUE)</f>
        <v/>
      </c>
      <c r="E7582" s="8">
        <f>QS.INSTRUMENT.SWAP("swap.7580",C7582,H7582,B7582,"USD","SOFR",I7582,J7582,0,"Actual360","Simple","Annual","Annual","Annual")</f>
        <v/>
      </c>
      <c r="F7582" s="8">
        <f>QS.TRADE.CREATE("trade.7580",C7582,E7582,A7582,"Receive")</f>
        <v/>
      </c>
      <c r="G7582" s="5"/>
      <c r="H7582" s="7" t="s">
        <v>7623</v>
      </c>
      <c r="I7582" s="9">
        <v>1758000</v>
      </c>
      <c r="J7582" s="10">
        <v>0.03800000000000001</v>
      </c>
    </row>
    <row r="7583" spans="1:10">
      <c r="A7583" s="7" t="s">
        <v>7617</v>
      </c>
      <c r="B7583" s="7" t="s">
        <v>9450</v>
      </c>
      <c r="C7583" s="8">
        <f>QS.CONTEXT.CREATE("market.7581",A7583,"USD","SOFR")</f>
        <v/>
      </c>
      <c r="D7583" s="8">
        <f>QS.CONTEXT.ADD.CURVE(C7583,"SOFR",$K$2:$K$7,$L$2:$L$7,,,"Actual360","LogLinear",TRUE)</f>
        <v/>
      </c>
      <c r="E7583" s="8">
        <f>QS.INSTRUMENT.SWAP("swap.7581",C7583,H7583,B7583,"USD","SOFR",I7583,J7583,0,"Actual360","Simple","Annual","Annual","Annual")</f>
        <v/>
      </c>
      <c r="F7583" s="8">
        <f>QS.TRADE.CREATE("trade.7581",C7583,E7583,A7583,"Receive")</f>
        <v/>
      </c>
      <c r="G7583" s="5"/>
      <c r="H7583" s="7" t="s">
        <v>7624</v>
      </c>
      <c r="I7583" s="9">
        <v>1758100</v>
      </c>
      <c r="J7583" s="10">
        <v>0.0381</v>
      </c>
    </row>
    <row r="7584" spans="1:10">
      <c r="A7584" s="7" t="s">
        <v>7618</v>
      </c>
      <c r="B7584" s="7" t="s">
        <v>9451</v>
      </c>
      <c r="C7584" s="8">
        <f>QS.CONTEXT.CREATE("market.7582",A7584,"USD","SOFR")</f>
        <v/>
      </c>
      <c r="D7584" s="8">
        <f>QS.CONTEXT.ADD.CURVE(C7584,"SOFR",$K$2:$K$7,$L$2:$L$7,,,"Actual360","LogLinear",TRUE)</f>
        <v/>
      </c>
      <c r="E7584" s="8">
        <f>QS.INSTRUMENT.SWAP("swap.7582",C7584,H7584,B7584,"USD","SOFR",I7584,J7584,0,"Actual360","Simple","Annual","Annual","Annual")</f>
        <v/>
      </c>
      <c r="F7584" s="8">
        <f>QS.TRADE.CREATE("trade.7582",C7584,E7584,A7584,"Receive")</f>
        <v/>
      </c>
      <c r="G7584" s="5"/>
      <c r="H7584" s="7" t="s">
        <v>7625</v>
      </c>
      <c r="I7584" s="9">
        <v>1758200</v>
      </c>
      <c r="J7584" s="10">
        <v>0.0382</v>
      </c>
    </row>
    <row r="7585" spans="1:10">
      <c r="A7585" s="7" t="s">
        <v>7619</v>
      </c>
      <c r="B7585" s="7" t="s">
        <v>9452</v>
      </c>
      <c r="C7585" s="8">
        <f>QS.CONTEXT.CREATE("market.7583",A7585,"USD","SOFR")</f>
        <v/>
      </c>
      <c r="D7585" s="8">
        <f>QS.CONTEXT.ADD.CURVE(C7585,"SOFR",$K$2:$K$7,$L$2:$L$7,,,"Actual360","LogLinear",TRUE)</f>
        <v/>
      </c>
      <c r="E7585" s="8">
        <f>QS.INSTRUMENT.SWAP("swap.7583",C7585,H7585,B7585,"USD","SOFR",I7585,J7585,0,"Actual360","Simple","Annual","Annual","Annual")</f>
        <v/>
      </c>
      <c r="F7585" s="8">
        <f>QS.TRADE.CREATE("trade.7583",C7585,E7585,A7585,"Receive")</f>
        <v/>
      </c>
      <c r="G7585" s="5"/>
      <c r="H7585" s="7" t="s">
        <v>7626</v>
      </c>
      <c r="I7585" s="9">
        <v>1758300</v>
      </c>
      <c r="J7585" s="10">
        <v>0.0383</v>
      </c>
    </row>
    <row r="7586" spans="1:10">
      <c r="A7586" s="7" t="s">
        <v>7620</v>
      </c>
      <c r="B7586" s="7" t="s">
        <v>9453</v>
      </c>
      <c r="C7586" s="8">
        <f>QS.CONTEXT.CREATE("market.7584",A7586,"USD","SOFR")</f>
        <v/>
      </c>
      <c r="D7586" s="8">
        <f>QS.CONTEXT.ADD.CURVE(C7586,"SOFR",$K$2:$K$7,$L$2:$L$7,,,"Actual360","LogLinear",TRUE)</f>
        <v/>
      </c>
      <c r="E7586" s="8">
        <f>QS.INSTRUMENT.SWAP("swap.7584",C7586,H7586,B7586,"USD","SOFR",I7586,J7586,0,"Actual360","Simple","Annual","Annual","Annual")</f>
        <v/>
      </c>
      <c r="F7586" s="8">
        <f>QS.TRADE.CREATE("trade.7584",C7586,E7586,A7586,"Receive")</f>
        <v/>
      </c>
      <c r="G7586" s="5"/>
      <c r="H7586" s="7" t="s">
        <v>7627</v>
      </c>
      <c r="I7586" s="9">
        <v>1758400</v>
      </c>
      <c r="J7586" s="10">
        <v>0.0384</v>
      </c>
    </row>
    <row r="7587" spans="1:10">
      <c r="A7587" s="7" t="s">
        <v>7621</v>
      </c>
      <c r="B7587" s="7" t="s">
        <v>9454</v>
      </c>
      <c r="C7587" s="8">
        <f>QS.CONTEXT.CREATE("market.7585",A7587,"USD","SOFR")</f>
        <v/>
      </c>
      <c r="D7587" s="8">
        <f>QS.CONTEXT.ADD.CURVE(C7587,"SOFR",$K$2:$K$7,$L$2:$L$7,,,"Actual360","LogLinear",TRUE)</f>
        <v/>
      </c>
      <c r="E7587" s="8">
        <f>QS.INSTRUMENT.SWAP("swap.7585",C7587,H7587,B7587,"USD","SOFR",I7587,J7587,0,"Actual360","Simple","Annual","Annual","Annual")</f>
        <v/>
      </c>
      <c r="F7587" s="8">
        <f>QS.TRADE.CREATE("trade.7585",C7587,E7587,A7587,"Receive")</f>
        <v/>
      </c>
      <c r="G7587" s="5"/>
      <c r="H7587" s="7" t="s">
        <v>7628</v>
      </c>
      <c r="I7587" s="9">
        <v>1758500</v>
      </c>
      <c r="J7587" s="10">
        <v>0.03850000000000001</v>
      </c>
    </row>
    <row r="7588" spans="1:10">
      <c r="A7588" s="7" t="s">
        <v>7622</v>
      </c>
      <c r="B7588" s="7" t="s">
        <v>9455</v>
      </c>
      <c r="C7588" s="8">
        <f>QS.CONTEXT.CREATE("market.7586",A7588,"USD","SOFR")</f>
        <v/>
      </c>
      <c r="D7588" s="8">
        <f>QS.CONTEXT.ADD.CURVE(C7588,"SOFR",$K$2:$K$7,$L$2:$L$7,,,"Actual360","LogLinear",TRUE)</f>
        <v/>
      </c>
      <c r="E7588" s="8">
        <f>QS.INSTRUMENT.SWAP("swap.7586",C7588,H7588,B7588,"USD","SOFR",I7588,J7588,0,"Actual360","Simple","Annual","Annual","Annual")</f>
        <v/>
      </c>
      <c r="F7588" s="8">
        <f>QS.TRADE.CREATE("trade.7586",C7588,E7588,A7588,"Receive")</f>
        <v/>
      </c>
      <c r="G7588" s="5"/>
      <c r="H7588" s="7" t="s">
        <v>7629</v>
      </c>
      <c r="I7588" s="9">
        <v>1758600</v>
      </c>
      <c r="J7588" s="10">
        <v>0.0386</v>
      </c>
    </row>
    <row r="7589" spans="1:10">
      <c r="A7589" s="7" t="s">
        <v>7623</v>
      </c>
      <c r="B7589" s="7" t="s">
        <v>9456</v>
      </c>
      <c r="C7589" s="8">
        <f>QS.CONTEXT.CREATE("market.7587",A7589,"USD","SOFR")</f>
        <v/>
      </c>
      <c r="D7589" s="8">
        <f>QS.CONTEXT.ADD.CURVE(C7589,"SOFR",$K$2:$K$7,$L$2:$L$7,,,"Actual360","LogLinear",TRUE)</f>
        <v/>
      </c>
      <c r="E7589" s="8">
        <f>QS.INSTRUMENT.SWAP("swap.7587",C7589,H7589,B7589,"USD","SOFR",I7589,J7589,0,"Actual360","Simple","Annual","Annual","Annual")</f>
        <v/>
      </c>
      <c r="F7589" s="8">
        <f>QS.TRADE.CREATE("trade.7587",C7589,E7589,A7589,"Receive")</f>
        <v/>
      </c>
      <c r="G7589" s="5"/>
      <c r="H7589" s="7" t="s">
        <v>7630</v>
      </c>
      <c r="I7589" s="9">
        <v>1758700</v>
      </c>
      <c r="J7589" s="10">
        <v>0.03870000000000001</v>
      </c>
    </row>
    <row r="7590" spans="1:10">
      <c r="A7590" s="7" t="s">
        <v>7624</v>
      </c>
      <c r="B7590" s="7" t="s">
        <v>9457</v>
      </c>
      <c r="C7590" s="8">
        <f>QS.CONTEXT.CREATE("market.7588",A7590,"USD","SOFR")</f>
        <v/>
      </c>
      <c r="D7590" s="8">
        <f>QS.CONTEXT.ADD.CURVE(C7590,"SOFR",$K$2:$K$7,$L$2:$L$7,,,"Actual360","LogLinear",TRUE)</f>
        <v/>
      </c>
      <c r="E7590" s="8">
        <f>QS.INSTRUMENT.SWAP("swap.7588",C7590,H7590,B7590,"USD","SOFR",I7590,J7590,0,"Actual360","Simple","Annual","Annual","Annual")</f>
        <v/>
      </c>
      <c r="F7590" s="8">
        <f>QS.TRADE.CREATE("trade.7588",C7590,E7590,A7590,"Receive")</f>
        <v/>
      </c>
      <c r="G7590" s="5"/>
      <c r="H7590" s="7" t="s">
        <v>7631</v>
      </c>
      <c r="I7590" s="9">
        <v>1758800</v>
      </c>
      <c r="J7590" s="10">
        <v>0.0388</v>
      </c>
    </row>
    <row r="7591" spans="1:10">
      <c r="A7591" s="7" t="s">
        <v>7625</v>
      </c>
      <c r="B7591" s="7" t="s">
        <v>9458</v>
      </c>
      <c r="C7591" s="8">
        <f>QS.CONTEXT.CREATE("market.7589",A7591,"USD","SOFR")</f>
        <v/>
      </c>
      <c r="D7591" s="8">
        <f>QS.CONTEXT.ADD.CURVE(C7591,"SOFR",$K$2:$K$7,$L$2:$L$7,,,"Actual360","LogLinear",TRUE)</f>
        <v/>
      </c>
      <c r="E7591" s="8">
        <f>QS.INSTRUMENT.SWAP("swap.7589",C7591,H7591,B7591,"USD","SOFR",I7591,J7591,0,"Actual360","Simple","Annual","Annual","Annual")</f>
        <v/>
      </c>
      <c r="F7591" s="8">
        <f>QS.TRADE.CREATE("trade.7589",C7591,E7591,A7591,"Receive")</f>
        <v/>
      </c>
      <c r="G7591" s="5"/>
      <c r="H7591" s="7" t="s">
        <v>7632</v>
      </c>
      <c r="I7591" s="9">
        <v>1758900</v>
      </c>
      <c r="J7591" s="10">
        <v>0.0389</v>
      </c>
    </row>
    <row r="7592" spans="1:10">
      <c r="A7592" s="7" t="s">
        <v>7626</v>
      </c>
      <c r="B7592" s="7" t="s">
        <v>9459</v>
      </c>
      <c r="C7592" s="8">
        <f>QS.CONTEXT.CREATE("market.7590",A7592,"USD","SOFR")</f>
        <v/>
      </c>
      <c r="D7592" s="8">
        <f>QS.CONTEXT.ADD.CURVE(C7592,"SOFR",$K$2:$K$7,$L$2:$L$7,,,"Actual360","LogLinear",TRUE)</f>
        <v/>
      </c>
      <c r="E7592" s="8">
        <f>QS.INSTRUMENT.SWAP("swap.7590",C7592,H7592,B7592,"USD","SOFR",I7592,J7592,0,"Actual360","Simple","Annual","Annual","Annual")</f>
        <v/>
      </c>
      <c r="F7592" s="8">
        <f>QS.TRADE.CREATE("trade.7590",C7592,E7592,A7592,"Receive")</f>
        <v/>
      </c>
      <c r="G7592" s="5"/>
      <c r="H7592" s="7" t="s">
        <v>7633</v>
      </c>
      <c r="I7592" s="9">
        <v>1759000</v>
      </c>
      <c r="J7592" s="10">
        <v>0.03900000000000001</v>
      </c>
    </row>
    <row r="7593" spans="1:10">
      <c r="A7593" s="7" t="s">
        <v>7627</v>
      </c>
      <c r="B7593" s="7" t="s">
        <v>9460</v>
      </c>
      <c r="C7593" s="8">
        <f>QS.CONTEXT.CREATE("market.7591",A7593,"USD","SOFR")</f>
        <v/>
      </c>
      <c r="D7593" s="8">
        <f>QS.CONTEXT.ADD.CURVE(C7593,"SOFR",$K$2:$K$7,$L$2:$L$7,,,"Actual360","LogLinear",TRUE)</f>
        <v/>
      </c>
      <c r="E7593" s="8">
        <f>QS.INSTRUMENT.SWAP("swap.7591",C7593,H7593,B7593,"USD","SOFR",I7593,J7593,0,"Actual360","Simple","Annual","Annual","Annual")</f>
        <v/>
      </c>
      <c r="F7593" s="8">
        <f>QS.TRADE.CREATE("trade.7591",C7593,E7593,A7593,"Receive")</f>
        <v/>
      </c>
      <c r="G7593" s="5"/>
      <c r="H7593" s="7" t="s">
        <v>7634</v>
      </c>
      <c r="I7593" s="9">
        <v>1759100</v>
      </c>
      <c r="J7593" s="10">
        <v>0.0391</v>
      </c>
    </row>
    <row r="7594" spans="1:10">
      <c r="A7594" s="7" t="s">
        <v>7628</v>
      </c>
      <c r="B7594" s="7" t="s">
        <v>9461</v>
      </c>
      <c r="C7594" s="8">
        <f>QS.CONTEXT.CREATE("market.7592",A7594,"USD","SOFR")</f>
        <v/>
      </c>
      <c r="D7594" s="8">
        <f>QS.CONTEXT.ADD.CURVE(C7594,"SOFR",$K$2:$K$7,$L$2:$L$7,,,"Actual360","LogLinear",TRUE)</f>
        <v/>
      </c>
      <c r="E7594" s="8">
        <f>QS.INSTRUMENT.SWAP("swap.7592",C7594,H7594,B7594,"USD","SOFR",I7594,J7594,0,"Actual360","Simple","Annual","Annual","Annual")</f>
        <v/>
      </c>
      <c r="F7594" s="8">
        <f>QS.TRADE.CREATE("trade.7592",C7594,E7594,A7594,"Receive")</f>
        <v/>
      </c>
      <c r="G7594" s="5"/>
      <c r="H7594" s="7" t="s">
        <v>7635</v>
      </c>
      <c r="I7594" s="9">
        <v>1759200</v>
      </c>
      <c r="J7594" s="10">
        <v>0.03920000000000001</v>
      </c>
    </row>
    <row r="7595" spans="1:10">
      <c r="A7595" s="7" t="s">
        <v>7629</v>
      </c>
      <c r="B7595" s="7" t="s">
        <v>9462</v>
      </c>
      <c r="C7595" s="8">
        <f>QS.CONTEXT.CREATE("market.7593",A7595,"USD","SOFR")</f>
        <v/>
      </c>
      <c r="D7595" s="8">
        <f>QS.CONTEXT.ADD.CURVE(C7595,"SOFR",$K$2:$K$7,$L$2:$L$7,,,"Actual360","LogLinear",TRUE)</f>
        <v/>
      </c>
      <c r="E7595" s="8">
        <f>QS.INSTRUMENT.SWAP("swap.7593",C7595,H7595,B7595,"USD","SOFR",I7595,J7595,0,"Actual360","Simple","Annual","Annual","Annual")</f>
        <v/>
      </c>
      <c r="F7595" s="8">
        <f>QS.TRADE.CREATE("trade.7593",C7595,E7595,A7595,"Receive")</f>
        <v/>
      </c>
      <c r="G7595" s="5"/>
      <c r="H7595" s="7" t="s">
        <v>7636</v>
      </c>
      <c r="I7595" s="9">
        <v>1759300</v>
      </c>
      <c r="J7595" s="10">
        <v>0.0393</v>
      </c>
    </row>
    <row r="7596" spans="1:10">
      <c r="A7596" s="7" t="s">
        <v>7630</v>
      </c>
      <c r="B7596" s="7" t="s">
        <v>9463</v>
      </c>
      <c r="C7596" s="8">
        <f>QS.CONTEXT.CREATE("market.7594",A7596,"USD","SOFR")</f>
        <v/>
      </c>
      <c r="D7596" s="8">
        <f>QS.CONTEXT.ADD.CURVE(C7596,"SOFR",$K$2:$K$7,$L$2:$L$7,,,"Actual360","LogLinear",TRUE)</f>
        <v/>
      </c>
      <c r="E7596" s="8">
        <f>QS.INSTRUMENT.SWAP("swap.7594",C7596,H7596,B7596,"USD","SOFR",I7596,J7596,0,"Actual360","Simple","Annual","Annual","Annual")</f>
        <v/>
      </c>
      <c r="F7596" s="8">
        <f>QS.TRADE.CREATE("trade.7594",C7596,E7596,A7596,"Receive")</f>
        <v/>
      </c>
      <c r="G7596" s="5"/>
      <c r="H7596" s="7" t="s">
        <v>7637</v>
      </c>
      <c r="I7596" s="9">
        <v>1759400</v>
      </c>
      <c r="J7596" s="10">
        <v>0.0394</v>
      </c>
    </row>
    <row r="7597" spans="1:10">
      <c r="A7597" s="7" t="s">
        <v>7631</v>
      </c>
      <c r="B7597" s="7" t="s">
        <v>9464</v>
      </c>
      <c r="C7597" s="8">
        <f>QS.CONTEXT.CREATE("market.7595",A7597,"USD","SOFR")</f>
        <v/>
      </c>
      <c r="D7597" s="8">
        <f>QS.CONTEXT.ADD.CURVE(C7597,"SOFR",$K$2:$K$7,$L$2:$L$7,,,"Actual360","LogLinear",TRUE)</f>
        <v/>
      </c>
      <c r="E7597" s="8">
        <f>QS.INSTRUMENT.SWAP("swap.7595",C7597,H7597,B7597,"USD","SOFR",I7597,J7597,0,"Actual360","Simple","Annual","Annual","Annual")</f>
        <v/>
      </c>
      <c r="F7597" s="8">
        <f>QS.TRADE.CREATE("trade.7595",C7597,E7597,A7597,"Receive")</f>
        <v/>
      </c>
      <c r="G7597" s="5"/>
      <c r="H7597" s="7" t="s">
        <v>7638</v>
      </c>
      <c r="I7597" s="9">
        <v>1759500</v>
      </c>
      <c r="J7597" s="10">
        <v>0.03950000000000001</v>
      </c>
    </row>
    <row r="7598" spans="1:10">
      <c r="A7598" s="7" t="s">
        <v>7632</v>
      </c>
      <c r="B7598" s="7" t="s">
        <v>9465</v>
      </c>
      <c r="C7598" s="8">
        <f>QS.CONTEXT.CREATE("market.7596",A7598,"USD","SOFR")</f>
        <v/>
      </c>
      <c r="D7598" s="8">
        <f>QS.CONTEXT.ADD.CURVE(C7598,"SOFR",$K$2:$K$7,$L$2:$L$7,,,"Actual360","LogLinear",TRUE)</f>
        <v/>
      </c>
      <c r="E7598" s="8">
        <f>QS.INSTRUMENT.SWAP("swap.7596",C7598,H7598,B7598,"USD","SOFR",I7598,J7598,0,"Actual360","Simple","Annual","Annual","Annual")</f>
        <v/>
      </c>
      <c r="F7598" s="8">
        <f>QS.TRADE.CREATE("trade.7596",C7598,E7598,A7598,"Receive")</f>
        <v/>
      </c>
      <c r="G7598" s="5"/>
      <c r="H7598" s="7" t="s">
        <v>7639</v>
      </c>
      <c r="I7598" s="9">
        <v>1759600</v>
      </c>
      <c r="J7598" s="10">
        <v>0.0396</v>
      </c>
    </row>
    <row r="7599" spans="1:10">
      <c r="A7599" s="7" t="s">
        <v>7633</v>
      </c>
      <c r="B7599" s="7" t="s">
        <v>9466</v>
      </c>
      <c r="C7599" s="8">
        <f>QS.CONTEXT.CREATE("market.7597",A7599,"USD","SOFR")</f>
        <v/>
      </c>
      <c r="D7599" s="8">
        <f>QS.CONTEXT.ADD.CURVE(C7599,"SOFR",$K$2:$K$7,$L$2:$L$7,,,"Actual360","LogLinear",TRUE)</f>
        <v/>
      </c>
      <c r="E7599" s="8">
        <f>QS.INSTRUMENT.SWAP("swap.7597",C7599,H7599,B7599,"USD","SOFR",I7599,J7599,0,"Actual360","Simple","Annual","Annual","Annual")</f>
        <v/>
      </c>
      <c r="F7599" s="8">
        <f>QS.TRADE.CREATE("trade.7597",C7599,E7599,A7599,"Receive")</f>
        <v/>
      </c>
      <c r="G7599" s="5"/>
      <c r="H7599" s="7" t="s">
        <v>7640</v>
      </c>
      <c r="I7599" s="9">
        <v>1759700</v>
      </c>
      <c r="J7599" s="10">
        <v>0.03970000000000001</v>
      </c>
    </row>
    <row r="7600" spans="1:10">
      <c r="A7600" s="7" t="s">
        <v>7634</v>
      </c>
      <c r="B7600" s="7" t="s">
        <v>9467</v>
      </c>
      <c r="C7600" s="8">
        <f>QS.CONTEXT.CREATE("market.7598",A7600,"USD","SOFR")</f>
        <v/>
      </c>
      <c r="D7600" s="8">
        <f>QS.CONTEXT.ADD.CURVE(C7600,"SOFR",$K$2:$K$7,$L$2:$L$7,,,"Actual360","LogLinear",TRUE)</f>
        <v/>
      </c>
      <c r="E7600" s="8">
        <f>QS.INSTRUMENT.SWAP("swap.7598",C7600,H7600,B7600,"USD","SOFR",I7600,J7600,0,"Actual360","Simple","Annual","Annual","Annual")</f>
        <v/>
      </c>
      <c r="F7600" s="8">
        <f>QS.TRADE.CREATE("trade.7598",C7600,E7600,A7600,"Receive")</f>
        <v/>
      </c>
      <c r="G7600" s="5"/>
      <c r="H7600" s="7" t="s">
        <v>7641</v>
      </c>
      <c r="I7600" s="9">
        <v>1759800</v>
      </c>
      <c r="J7600" s="10">
        <v>0.0398</v>
      </c>
    </row>
    <row r="7601" spans="1:10">
      <c r="A7601" s="7" t="s">
        <v>7635</v>
      </c>
      <c r="B7601" s="7" t="s">
        <v>9468</v>
      </c>
      <c r="C7601" s="8">
        <f>QS.CONTEXT.CREATE("market.7599",A7601,"USD","SOFR")</f>
        <v/>
      </c>
      <c r="D7601" s="8">
        <f>QS.CONTEXT.ADD.CURVE(C7601,"SOFR",$K$2:$K$7,$L$2:$L$7,,,"Actual360","LogLinear",TRUE)</f>
        <v/>
      </c>
      <c r="E7601" s="8">
        <f>QS.INSTRUMENT.SWAP("swap.7599",C7601,H7601,B7601,"USD","SOFR",I7601,J7601,0,"Actual360","Simple","Annual","Annual","Annual")</f>
        <v/>
      </c>
      <c r="F7601" s="8">
        <f>QS.TRADE.CREATE("trade.7599",C7601,E7601,A7601,"Receive")</f>
        <v/>
      </c>
      <c r="G7601" s="5"/>
      <c r="H7601" s="7" t="s">
        <v>7642</v>
      </c>
      <c r="I7601" s="9">
        <v>1759900</v>
      </c>
      <c r="J7601" s="10">
        <v>0.0399</v>
      </c>
    </row>
    <row r="7602" spans="1:10">
      <c r="A7602" s="7" t="s">
        <v>7636</v>
      </c>
      <c r="B7602" s="7" t="s">
        <v>9469</v>
      </c>
      <c r="C7602" s="8">
        <f>QS.CONTEXT.CREATE("market.7600",A7602,"USD","SOFR")</f>
        <v/>
      </c>
      <c r="D7602" s="8">
        <f>QS.CONTEXT.ADD.CURVE(C7602,"SOFR",$K$2:$K$7,$L$2:$L$7,,,"Actual360","LogLinear",TRUE)</f>
        <v/>
      </c>
      <c r="E7602" s="8">
        <f>QS.INSTRUMENT.SWAP("swap.7600",C7602,H7602,B7602,"USD","SOFR",I7602,J7602,0,"Actual360","Simple","Annual","Annual","Annual")</f>
        <v/>
      </c>
      <c r="F7602" s="8">
        <f>QS.TRADE.CREATE("trade.7600",C7602,E7602,A7602,"Receive")</f>
        <v/>
      </c>
      <c r="G7602" s="5"/>
      <c r="H7602" s="7" t="s">
        <v>7643</v>
      </c>
      <c r="I7602" s="9">
        <v>1760000</v>
      </c>
      <c r="J7602" s="10">
        <v>0.035</v>
      </c>
    </row>
    <row r="7603" spans="1:10">
      <c r="A7603" s="7" t="s">
        <v>7637</v>
      </c>
      <c r="B7603" s="7" t="s">
        <v>9470</v>
      </c>
      <c r="C7603" s="8">
        <f>QS.CONTEXT.CREATE("market.7601",A7603,"USD","SOFR")</f>
        <v/>
      </c>
      <c r="D7603" s="8">
        <f>QS.CONTEXT.ADD.CURVE(C7603,"SOFR",$K$2:$K$7,$L$2:$L$7,,,"Actual360","LogLinear",TRUE)</f>
        <v/>
      </c>
      <c r="E7603" s="8">
        <f>QS.INSTRUMENT.SWAP("swap.7601",C7603,H7603,B7603,"USD","SOFR",I7603,J7603,0,"Actual360","Simple","Annual","Annual","Annual")</f>
        <v/>
      </c>
      <c r="F7603" s="8">
        <f>QS.TRADE.CREATE("trade.7601",C7603,E7603,A7603,"Receive")</f>
        <v/>
      </c>
      <c r="G7603" s="5"/>
      <c r="H7603" s="7" t="s">
        <v>7644</v>
      </c>
      <c r="I7603" s="9">
        <v>1760100</v>
      </c>
      <c r="J7603" s="10">
        <v>0.03510000000000001</v>
      </c>
    </row>
    <row r="7604" spans="1:10">
      <c r="A7604" s="7" t="s">
        <v>7638</v>
      </c>
      <c r="B7604" s="7" t="s">
        <v>9471</v>
      </c>
      <c r="C7604" s="8">
        <f>QS.CONTEXT.CREATE("market.7602",A7604,"USD","SOFR")</f>
        <v/>
      </c>
      <c r="D7604" s="8">
        <f>QS.CONTEXT.ADD.CURVE(C7604,"SOFR",$K$2:$K$7,$L$2:$L$7,,,"Actual360","LogLinear",TRUE)</f>
        <v/>
      </c>
      <c r="E7604" s="8">
        <f>QS.INSTRUMENT.SWAP("swap.7602",C7604,H7604,B7604,"USD","SOFR",I7604,J7604,0,"Actual360","Simple","Annual","Annual","Annual")</f>
        <v/>
      </c>
      <c r="F7604" s="8">
        <f>QS.TRADE.CREATE("trade.7602",C7604,E7604,A7604,"Receive")</f>
        <v/>
      </c>
      <c r="G7604" s="5"/>
      <c r="H7604" s="7" t="s">
        <v>7645</v>
      </c>
      <c r="I7604" s="9">
        <v>1760200</v>
      </c>
      <c r="J7604" s="10">
        <v>0.0352</v>
      </c>
    </row>
    <row r="7605" spans="1:10">
      <c r="A7605" s="7" t="s">
        <v>7639</v>
      </c>
      <c r="B7605" s="7" t="s">
        <v>9472</v>
      </c>
      <c r="C7605" s="8">
        <f>QS.CONTEXT.CREATE("market.7603",A7605,"USD","SOFR")</f>
        <v/>
      </c>
      <c r="D7605" s="8">
        <f>QS.CONTEXT.ADD.CURVE(C7605,"SOFR",$K$2:$K$7,$L$2:$L$7,,,"Actual360","LogLinear",TRUE)</f>
        <v/>
      </c>
      <c r="E7605" s="8">
        <f>QS.INSTRUMENT.SWAP("swap.7603",C7605,H7605,B7605,"USD","SOFR",I7605,J7605,0,"Actual360","Simple","Annual","Annual","Annual")</f>
        <v/>
      </c>
      <c r="F7605" s="8">
        <f>QS.TRADE.CREATE("trade.7603",C7605,E7605,A7605,"Receive")</f>
        <v/>
      </c>
      <c r="G7605" s="5"/>
      <c r="H7605" s="7" t="s">
        <v>7646</v>
      </c>
      <c r="I7605" s="9">
        <v>1760300</v>
      </c>
      <c r="J7605" s="10">
        <v>0.0353</v>
      </c>
    </row>
    <row r="7606" spans="1:10">
      <c r="A7606" s="7" t="s">
        <v>7640</v>
      </c>
      <c r="B7606" s="7" t="s">
        <v>9473</v>
      </c>
      <c r="C7606" s="8">
        <f>QS.CONTEXT.CREATE("market.7604",A7606,"USD","SOFR")</f>
        <v/>
      </c>
      <c r="D7606" s="8">
        <f>QS.CONTEXT.ADD.CURVE(C7606,"SOFR",$K$2:$K$7,$L$2:$L$7,,,"Actual360","LogLinear",TRUE)</f>
        <v/>
      </c>
      <c r="E7606" s="8">
        <f>QS.INSTRUMENT.SWAP("swap.7604",C7606,H7606,B7606,"USD","SOFR",I7606,J7606,0,"Actual360","Simple","Annual","Annual","Annual")</f>
        <v/>
      </c>
      <c r="F7606" s="8">
        <f>QS.TRADE.CREATE("trade.7604",C7606,E7606,A7606,"Receive")</f>
        <v/>
      </c>
      <c r="G7606" s="5"/>
      <c r="H7606" s="7" t="s">
        <v>7647</v>
      </c>
      <c r="I7606" s="9">
        <v>1760400</v>
      </c>
      <c r="J7606" s="10">
        <v>0.0354</v>
      </c>
    </row>
    <row r="7607" spans="1:10">
      <c r="A7607" s="7" t="s">
        <v>7641</v>
      </c>
      <c r="B7607" s="7" t="s">
        <v>9474</v>
      </c>
      <c r="C7607" s="8">
        <f>QS.CONTEXT.CREATE("market.7605",A7607,"USD","SOFR")</f>
        <v/>
      </c>
      <c r="D7607" s="8">
        <f>QS.CONTEXT.ADD.CURVE(C7607,"SOFR",$K$2:$K$7,$L$2:$L$7,,,"Actual360","LogLinear",TRUE)</f>
        <v/>
      </c>
      <c r="E7607" s="8">
        <f>QS.INSTRUMENT.SWAP("swap.7605",C7607,H7607,B7607,"USD","SOFR",I7607,J7607,0,"Actual360","Simple","Annual","Annual","Annual")</f>
        <v/>
      </c>
      <c r="F7607" s="8">
        <f>QS.TRADE.CREATE("trade.7605",C7607,E7607,A7607,"Receive")</f>
        <v/>
      </c>
      <c r="G7607" s="5"/>
      <c r="H7607" s="7" t="s">
        <v>7648</v>
      </c>
      <c r="I7607" s="9">
        <v>1760500</v>
      </c>
      <c r="J7607" s="10">
        <v>0.0355</v>
      </c>
    </row>
    <row r="7608" spans="1:10">
      <c r="A7608" s="7" t="s">
        <v>7642</v>
      </c>
      <c r="B7608" s="7" t="s">
        <v>9475</v>
      </c>
      <c r="C7608" s="8">
        <f>QS.CONTEXT.CREATE("market.7606",A7608,"USD","SOFR")</f>
        <v/>
      </c>
      <c r="D7608" s="8">
        <f>QS.CONTEXT.ADD.CURVE(C7608,"SOFR",$K$2:$K$7,$L$2:$L$7,,,"Actual360","LogLinear",TRUE)</f>
        <v/>
      </c>
      <c r="E7608" s="8">
        <f>QS.INSTRUMENT.SWAP("swap.7606",C7608,H7608,B7608,"USD","SOFR",I7608,J7608,0,"Actual360","Simple","Annual","Annual","Annual")</f>
        <v/>
      </c>
      <c r="F7608" s="8">
        <f>QS.TRADE.CREATE("trade.7606",C7608,E7608,A7608,"Receive")</f>
        <v/>
      </c>
      <c r="G7608" s="5"/>
      <c r="H7608" s="7" t="s">
        <v>7649</v>
      </c>
      <c r="I7608" s="9">
        <v>1760600</v>
      </c>
      <c r="J7608" s="10">
        <v>0.03560000000000001</v>
      </c>
    </row>
    <row r="7609" spans="1:10">
      <c r="A7609" s="7" t="s">
        <v>7643</v>
      </c>
      <c r="B7609" s="7" t="s">
        <v>9476</v>
      </c>
      <c r="C7609" s="8">
        <f>QS.CONTEXT.CREATE("market.7607",A7609,"USD","SOFR")</f>
        <v/>
      </c>
      <c r="D7609" s="8">
        <f>QS.CONTEXT.ADD.CURVE(C7609,"SOFR",$K$2:$K$7,$L$2:$L$7,,,"Actual360","LogLinear",TRUE)</f>
        <v/>
      </c>
      <c r="E7609" s="8">
        <f>QS.INSTRUMENT.SWAP("swap.7607",C7609,H7609,B7609,"USD","SOFR",I7609,J7609,0,"Actual360","Simple","Annual","Annual","Annual")</f>
        <v/>
      </c>
      <c r="F7609" s="8">
        <f>QS.TRADE.CREATE("trade.7607",C7609,E7609,A7609,"Receive")</f>
        <v/>
      </c>
      <c r="G7609" s="5"/>
      <c r="H7609" s="7" t="s">
        <v>7650</v>
      </c>
      <c r="I7609" s="9">
        <v>1760700</v>
      </c>
      <c r="J7609" s="10">
        <v>0.0357</v>
      </c>
    </row>
    <row r="7610" spans="1:10">
      <c r="A7610" s="7" t="s">
        <v>7644</v>
      </c>
      <c r="B7610" s="7" t="s">
        <v>9477</v>
      </c>
      <c r="C7610" s="8">
        <f>QS.CONTEXT.CREATE("market.7608",A7610,"USD","SOFR")</f>
        <v/>
      </c>
      <c r="D7610" s="8">
        <f>QS.CONTEXT.ADD.CURVE(C7610,"SOFR",$K$2:$K$7,$L$2:$L$7,,,"Actual360","LogLinear",TRUE)</f>
        <v/>
      </c>
      <c r="E7610" s="8">
        <f>QS.INSTRUMENT.SWAP("swap.7608",C7610,H7610,B7610,"USD","SOFR",I7610,J7610,0,"Actual360","Simple","Annual","Annual","Annual")</f>
        <v/>
      </c>
      <c r="F7610" s="8">
        <f>QS.TRADE.CREATE("trade.7608",C7610,E7610,A7610,"Receive")</f>
        <v/>
      </c>
      <c r="G7610" s="5"/>
      <c r="H7610" s="7" t="s">
        <v>7651</v>
      </c>
      <c r="I7610" s="9">
        <v>1760800</v>
      </c>
      <c r="J7610" s="10">
        <v>0.03580000000000001</v>
      </c>
    </row>
    <row r="7611" spans="1:10">
      <c r="A7611" s="7" t="s">
        <v>7645</v>
      </c>
      <c r="B7611" s="7" t="s">
        <v>9478</v>
      </c>
      <c r="C7611" s="8">
        <f>QS.CONTEXT.CREATE("market.7609",A7611,"USD","SOFR")</f>
        <v/>
      </c>
      <c r="D7611" s="8">
        <f>QS.CONTEXT.ADD.CURVE(C7611,"SOFR",$K$2:$K$7,$L$2:$L$7,,,"Actual360","LogLinear",TRUE)</f>
        <v/>
      </c>
      <c r="E7611" s="8">
        <f>QS.INSTRUMENT.SWAP("swap.7609",C7611,H7611,B7611,"USD","SOFR",I7611,J7611,0,"Actual360","Simple","Annual","Annual","Annual")</f>
        <v/>
      </c>
      <c r="F7611" s="8">
        <f>QS.TRADE.CREATE("trade.7609",C7611,E7611,A7611,"Receive")</f>
        <v/>
      </c>
      <c r="G7611" s="5"/>
      <c r="H7611" s="7" t="s">
        <v>7652</v>
      </c>
      <c r="I7611" s="9">
        <v>1760900</v>
      </c>
      <c r="J7611" s="10">
        <v>0.0359</v>
      </c>
    </row>
    <row r="7612" spans="1:10">
      <c r="A7612" s="7" t="s">
        <v>7646</v>
      </c>
      <c r="B7612" s="7" t="s">
        <v>9479</v>
      </c>
      <c r="C7612" s="8">
        <f>QS.CONTEXT.CREATE("market.7610",A7612,"USD","SOFR")</f>
        <v/>
      </c>
      <c r="D7612" s="8">
        <f>QS.CONTEXT.ADD.CURVE(C7612,"SOFR",$K$2:$K$7,$L$2:$L$7,,,"Actual360","LogLinear",TRUE)</f>
        <v/>
      </c>
      <c r="E7612" s="8">
        <f>QS.INSTRUMENT.SWAP("swap.7610",C7612,H7612,B7612,"USD","SOFR",I7612,J7612,0,"Actual360","Simple","Annual","Annual","Annual")</f>
        <v/>
      </c>
      <c r="F7612" s="8">
        <f>QS.TRADE.CREATE("trade.7610",C7612,E7612,A7612,"Receive")</f>
        <v/>
      </c>
      <c r="G7612" s="5"/>
      <c r="H7612" s="7" t="s">
        <v>7653</v>
      </c>
      <c r="I7612" s="9">
        <v>1761000</v>
      </c>
      <c r="J7612" s="10">
        <v>0.036</v>
      </c>
    </row>
    <row r="7613" spans="1:10">
      <c r="A7613" s="7" t="s">
        <v>7647</v>
      </c>
      <c r="B7613" s="7" t="s">
        <v>9480</v>
      </c>
      <c r="C7613" s="8">
        <f>QS.CONTEXT.CREATE("market.7611",A7613,"USD","SOFR")</f>
        <v/>
      </c>
      <c r="D7613" s="8">
        <f>QS.CONTEXT.ADD.CURVE(C7613,"SOFR",$K$2:$K$7,$L$2:$L$7,,,"Actual360","LogLinear",TRUE)</f>
        <v/>
      </c>
      <c r="E7613" s="8">
        <f>QS.INSTRUMENT.SWAP("swap.7611",C7613,H7613,B7613,"USD","SOFR",I7613,J7613,0,"Actual360","Simple","Annual","Annual","Annual")</f>
        <v/>
      </c>
      <c r="F7613" s="8">
        <f>QS.TRADE.CREATE("trade.7611",C7613,E7613,A7613,"Receive")</f>
        <v/>
      </c>
      <c r="G7613" s="5"/>
      <c r="H7613" s="7" t="s">
        <v>7654</v>
      </c>
      <c r="I7613" s="9">
        <v>1761100</v>
      </c>
      <c r="J7613" s="10">
        <v>0.0361</v>
      </c>
    </row>
    <row r="7614" spans="1:10">
      <c r="A7614" s="7" t="s">
        <v>7648</v>
      </c>
      <c r="B7614" s="7" t="s">
        <v>9481</v>
      </c>
      <c r="C7614" s="8">
        <f>QS.CONTEXT.CREATE("market.7612",A7614,"USD","SOFR")</f>
        <v/>
      </c>
      <c r="D7614" s="8">
        <f>QS.CONTEXT.ADD.CURVE(C7614,"SOFR",$K$2:$K$7,$L$2:$L$7,,,"Actual360","LogLinear",TRUE)</f>
        <v/>
      </c>
      <c r="E7614" s="8">
        <f>QS.INSTRUMENT.SWAP("swap.7612",C7614,H7614,B7614,"USD","SOFR",I7614,J7614,0,"Actual360","Simple","Annual","Annual","Annual")</f>
        <v/>
      </c>
      <c r="F7614" s="8">
        <f>QS.TRADE.CREATE("trade.7612",C7614,E7614,A7614,"Receive")</f>
        <v/>
      </c>
      <c r="G7614" s="5"/>
      <c r="H7614" s="7" t="s">
        <v>7655</v>
      </c>
      <c r="I7614" s="9">
        <v>1761200</v>
      </c>
      <c r="J7614" s="10">
        <v>0.0362</v>
      </c>
    </row>
    <row r="7615" spans="1:10">
      <c r="A7615" s="7" t="s">
        <v>7649</v>
      </c>
      <c r="B7615" s="7" t="s">
        <v>9482</v>
      </c>
      <c r="C7615" s="8">
        <f>QS.CONTEXT.CREATE("market.7613",A7615,"USD","SOFR")</f>
        <v/>
      </c>
      <c r="D7615" s="8">
        <f>QS.CONTEXT.ADD.CURVE(C7615,"SOFR",$K$2:$K$7,$L$2:$L$7,,,"Actual360","LogLinear",TRUE)</f>
        <v/>
      </c>
      <c r="E7615" s="8">
        <f>QS.INSTRUMENT.SWAP("swap.7613",C7615,H7615,B7615,"USD","SOFR",I7615,J7615,0,"Actual360","Simple","Annual","Annual","Annual")</f>
        <v/>
      </c>
      <c r="F7615" s="8">
        <f>QS.TRADE.CREATE("trade.7613",C7615,E7615,A7615,"Receive")</f>
        <v/>
      </c>
      <c r="G7615" s="5"/>
      <c r="H7615" s="7" t="s">
        <v>7656</v>
      </c>
      <c r="I7615" s="9">
        <v>1761300</v>
      </c>
      <c r="J7615" s="10">
        <v>0.03630000000000001</v>
      </c>
    </row>
    <row r="7616" spans="1:10">
      <c r="A7616" s="7" t="s">
        <v>7650</v>
      </c>
      <c r="B7616" s="7" t="s">
        <v>9483</v>
      </c>
      <c r="C7616" s="8">
        <f>QS.CONTEXT.CREATE("market.7614",A7616,"USD","SOFR")</f>
        <v/>
      </c>
      <c r="D7616" s="8">
        <f>QS.CONTEXT.ADD.CURVE(C7616,"SOFR",$K$2:$K$7,$L$2:$L$7,,,"Actual360","LogLinear",TRUE)</f>
        <v/>
      </c>
      <c r="E7616" s="8">
        <f>QS.INSTRUMENT.SWAP("swap.7614",C7616,H7616,B7616,"USD","SOFR",I7616,J7616,0,"Actual360","Simple","Annual","Annual","Annual")</f>
        <v/>
      </c>
      <c r="F7616" s="8">
        <f>QS.TRADE.CREATE("trade.7614",C7616,E7616,A7616,"Receive")</f>
        <v/>
      </c>
      <c r="G7616" s="5"/>
      <c r="H7616" s="7" t="s">
        <v>7657</v>
      </c>
      <c r="I7616" s="9">
        <v>1761400</v>
      </c>
      <c r="J7616" s="10">
        <v>0.0364</v>
      </c>
    </row>
    <row r="7617" spans="1:10">
      <c r="A7617" s="7" t="s">
        <v>7651</v>
      </c>
      <c r="B7617" s="7" t="s">
        <v>9484</v>
      </c>
      <c r="C7617" s="8">
        <f>QS.CONTEXT.CREATE("market.7615",A7617,"USD","SOFR")</f>
        <v/>
      </c>
      <c r="D7617" s="8">
        <f>QS.CONTEXT.ADD.CURVE(C7617,"SOFR",$K$2:$K$7,$L$2:$L$7,,,"Actual360","LogLinear",TRUE)</f>
        <v/>
      </c>
      <c r="E7617" s="8">
        <f>QS.INSTRUMENT.SWAP("swap.7615",C7617,H7617,B7617,"USD","SOFR",I7617,J7617,0,"Actual360","Simple","Annual","Annual","Annual")</f>
        <v/>
      </c>
      <c r="F7617" s="8">
        <f>QS.TRADE.CREATE("trade.7615",C7617,E7617,A7617,"Receive")</f>
        <v/>
      </c>
      <c r="G7617" s="5"/>
      <c r="H7617" s="7" t="s">
        <v>7658</v>
      </c>
      <c r="I7617" s="9">
        <v>1761500</v>
      </c>
      <c r="J7617" s="10">
        <v>0.0365</v>
      </c>
    </row>
    <row r="7618" spans="1:10">
      <c r="A7618" s="7" t="s">
        <v>7652</v>
      </c>
      <c r="B7618" s="7" t="s">
        <v>9485</v>
      </c>
      <c r="C7618" s="8">
        <f>QS.CONTEXT.CREATE("market.7616",A7618,"USD","SOFR")</f>
        <v/>
      </c>
      <c r="D7618" s="8">
        <f>QS.CONTEXT.ADD.CURVE(C7618,"SOFR",$K$2:$K$7,$L$2:$L$7,,,"Actual360","LogLinear",TRUE)</f>
        <v/>
      </c>
      <c r="E7618" s="8">
        <f>QS.INSTRUMENT.SWAP("swap.7616",C7618,H7618,B7618,"USD","SOFR",I7618,J7618,0,"Actual360","Simple","Annual","Annual","Annual")</f>
        <v/>
      </c>
      <c r="F7618" s="8">
        <f>QS.TRADE.CREATE("trade.7616",C7618,E7618,A7618,"Receive")</f>
        <v/>
      </c>
      <c r="G7618" s="5"/>
      <c r="H7618" s="7" t="s">
        <v>7659</v>
      </c>
      <c r="I7618" s="9">
        <v>1761600</v>
      </c>
      <c r="J7618" s="10">
        <v>0.0366</v>
      </c>
    </row>
    <row r="7619" spans="1:10">
      <c r="A7619" s="7" t="s">
        <v>7653</v>
      </c>
      <c r="B7619" s="7" t="s">
        <v>9486</v>
      </c>
      <c r="C7619" s="8">
        <f>QS.CONTEXT.CREATE("market.7617",A7619,"USD","SOFR")</f>
        <v/>
      </c>
      <c r="D7619" s="8">
        <f>QS.CONTEXT.ADD.CURVE(C7619,"SOFR",$K$2:$K$7,$L$2:$L$7,,,"Actual360","LogLinear",TRUE)</f>
        <v/>
      </c>
      <c r="E7619" s="8">
        <f>QS.INSTRUMENT.SWAP("swap.7617",C7619,H7619,B7619,"USD","SOFR",I7619,J7619,0,"Actual360","Simple","Annual","Annual","Annual")</f>
        <v/>
      </c>
      <c r="F7619" s="8">
        <f>QS.TRADE.CREATE("trade.7617",C7619,E7619,A7619,"Receive")</f>
        <v/>
      </c>
      <c r="G7619" s="5"/>
      <c r="H7619" s="7" t="s">
        <v>7660</v>
      </c>
      <c r="I7619" s="9">
        <v>1761700</v>
      </c>
      <c r="J7619" s="10">
        <v>0.0367</v>
      </c>
    </row>
    <row r="7620" spans="1:10">
      <c r="A7620" s="7" t="s">
        <v>7654</v>
      </c>
      <c r="B7620" s="7" t="s">
        <v>9487</v>
      </c>
      <c r="C7620" s="8">
        <f>QS.CONTEXT.CREATE("market.7618",A7620,"USD","SOFR")</f>
        <v/>
      </c>
      <c r="D7620" s="8">
        <f>QS.CONTEXT.ADD.CURVE(C7620,"SOFR",$K$2:$K$7,$L$2:$L$7,,,"Actual360","LogLinear",TRUE)</f>
        <v/>
      </c>
      <c r="E7620" s="8">
        <f>QS.INSTRUMENT.SWAP("swap.7618",C7620,H7620,B7620,"USD","SOFR",I7620,J7620,0,"Actual360","Simple","Annual","Annual","Annual")</f>
        <v/>
      </c>
      <c r="F7620" s="8">
        <f>QS.TRADE.CREATE("trade.7618",C7620,E7620,A7620,"Receive")</f>
        <v/>
      </c>
      <c r="G7620" s="5"/>
      <c r="H7620" s="7" t="s">
        <v>7661</v>
      </c>
      <c r="I7620" s="9">
        <v>1761800</v>
      </c>
      <c r="J7620" s="10">
        <v>0.03680000000000001</v>
      </c>
    </row>
    <row r="7621" spans="1:10">
      <c r="A7621" s="7" t="s">
        <v>7655</v>
      </c>
      <c r="B7621" s="7" t="s">
        <v>9488</v>
      </c>
      <c r="C7621" s="8">
        <f>QS.CONTEXT.CREATE("market.7619",A7621,"USD","SOFR")</f>
        <v/>
      </c>
      <c r="D7621" s="8">
        <f>QS.CONTEXT.ADD.CURVE(C7621,"SOFR",$K$2:$K$7,$L$2:$L$7,,,"Actual360","LogLinear",TRUE)</f>
        <v/>
      </c>
      <c r="E7621" s="8">
        <f>QS.INSTRUMENT.SWAP("swap.7619",C7621,H7621,B7621,"USD","SOFR",I7621,J7621,0,"Actual360","Simple","Annual","Annual","Annual")</f>
        <v/>
      </c>
      <c r="F7621" s="8">
        <f>QS.TRADE.CREATE("trade.7619",C7621,E7621,A7621,"Receive")</f>
        <v/>
      </c>
      <c r="G7621" s="5"/>
      <c r="H7621" s="7" t="s">
        <v>7662</v>
      </c>
      <c r="I7621" s="9">
        <v>1761900</v>
      </c>
      <c r="J7621" s="10">
        <v>0.0369</v>
      </c>
    </row>
    <row r="7622" spans="1:10">
      <c r="A7622" s="7" t="s">
        <v>7656</v>
      </c>
      <c r="B7622" s="7" t="s">
        <v>9489</v>
      </c>
      <c r="C7622" s="8">
        <f>QS.CONTEXT.CREATE("market.7620",A7622,"USD","SOFR")</f>
        <v/>
      </c>
      <c r="D7622" s="8">
        <f>QS.CONTEXT.ADD.CURVE(C7622,"SOFR",$K$2:$K$7,$L$2:$L$7,,,"Actual360","LogLinear",TRUE)</f>
        <v/>
      </c>
      <c r="E7622" s="8">
        <f>QS.INSTRUMENT.SWAP("swap.7620",C7622,H7622,B7622,"USD","SOFR",I7622,J7622,0,"Actual360","Simple","Annual","Annual","Annual")</f>
        <v/>
      </c>
      <c r="F7622" s="8">
        <f>QS.TRADE.CREATE("trade.7620",C7622,E7622,A7622,"Receive")</f>
        <v/>
      </c>
      <c r="G7622" s="5"/>
      <c r="H7622" s="7" t="s">
        <v>7663</v>
      </c>
      <c r="I7622" s="9">
        <v>1762000</v>
      </c>
      <c r="J7622" s="10">
        <v>0.03700000000000001</v>
      </c>
    </row>
    <row r="7623" spans="1:10">
      <c r="A7623" s="7" t="s">
        <v>7657</v>
      </c>
      <c r="B7623" s="7" t="s">
        <v>9490</v>
      </c>
      <c r="C7623" s="8">
        <f>QS.CONTEXT.CREATE("market.7621",A7623,"USD","SOFR")</f>
        <v/>
      </c>
      <c r="D7623" s="8">
        <f>QS.CONTEXT.ADD.CURVE(C7623,"SOFR",$K$2:$K$7,$L$2:$L$7,,,"Actual360","LogLinear",TRUE)</f>
        <v/>
      </c>
      <c r="E7623" s="8">
        <f>QS.INSTRUMENT.SWAP("swap.7621",C7623,H7623,B7623,"USD","SOFR",I7623,J7623,0,"Actual360","Simple","Annual","Annual","Annual")</f>
        <v/>
      </c>
      <c r="F7623" s="8">
        <f>QS.TRADE.CREATE("trade.7621",C7623,E7623,A7623,"Receive")</f>
        <v/>
      </c>
      <c r="G7623" s="5"/>
      <c r="H7623" s="7" t="s">
        <v>7664</v>
      </c>
      <c r="I7623" s="9">
        <v>1762100</v>
      </c>
      <c r="J7623" s="10">
        <v>0.0371</v>
      </c>
    </row>
    <row r="7624" spans="1:10">
      <c r="A7624" s="7" t="s">
        <v>7658</v>
      </c>
      <c r="B7624" s="7" t="s">
        <v>9491</v>
      </c>
      <c r="C7624" s="8">
        <f>QS.CONTEXT.CREATE("market.7622",A7624,"USD","SOFR")</f>
        <v/>
      </c>
      <c r="D7624" s="8">
        <f>QS.CONTEXT.ADD.CURVE(C7624,"SOFR",$K$2:$K$7,$L$2:$L$7,,,"Actual360","LogLinear",TRUE)</f>
        <v/>
      </c>
      <c r="E7624" s="8">
        <f>QS.INSTRUMENT.SWAP("swap.7622",C7624,H7624,B7624,"USD","SOFR",I7624,J7624,0,"Actual360","Simple","Annual","Annual","Annual")</f>
        <v/>
      </c>
      <c r="F7624" s="8">
        <f>QS.TRADE.CREATE("trade.7622",C7624,E7624,A7624,"Receive")</f>
        <v/>
      </c>
      <c r="G7624" s="5"/>
      <c r="H7624" s="7" t="s">
        <v>7665</v>
      </c>
      <c r="I7624" s="9">
        <v>1762200</v>
      </c>
      <c r="J7624" s="10">
        <v>0.0372</v>
      </c>
    </row>
    <row r="7625" spans="1:10">
      <c r="A7625" s="7" t="s">
        <v>7659</v>
      </c>
      <c r="B7625" s="7" t="s">
        <v>9492</v>
      </c>
      <c r="C7625" s="8">
        <f>QS.CONTEXT.CREATE("market.7623",A7625,"USD","SOFR")</f>
        <v/>
      </c>
      <c r="D7625" s="8">
        <f>QS.CONTEXT.ADD.CURVE(C7625,"SOFR",$K$2:$K$7,$L$2:$L$7,,,"Actual360","LogLinear",TRUE)</f>
        <v/>
      </c>
      <c r="E7625" s="8">
        <f>QS.INSTRUMENT.SWAP("swap.7623",C7625,H7625,B7625,"USD","SOFR",I7625,J7625,0,"Actual360","Simple","Annual","Annual","Annual")</f>
        <v/>
      </c>
      <c r="F7625" s="8">
        <f>QS.TRADE.CREATE("trade.7623",C7625,E7625,A7625,"Receive")</f>
        <v/>
      </c>
      <c r="G7625" s="5"/>
      <c r="H7625" s="7" t="s">
        <v>7666</v>
      </c>
      <c r="I7625" s="9">
        <v>1762300</v>
      </c>
      <c r="J7625" s="10">
        <v>0.0373</v>
      </c>
    </row>
    <row r="7626" spans="1:10">
      <c r="A7626" s="7" t="s">
        <v>7660</v>
      </c>
      <c r="B7626" s="7" t="s">
        <v>9493</v>
      </c>
      <c r="C7626" s="8">
        <f>QS.CONTEXT.CREATE("market.7624",A7626,"USD","SOFR")</f>
        <v/>
      </c>
      <c r="D7626" s="8">
        <f>QS.CONTEXT.ADD.CURVE(C7626,"SOFR",$K$2:$K$7,$L$2:$L$7,,,"Actual360","LogLinear",TRUE)</f>
        <v/>
      </c>
      <c r="E7626" s="8">
        <f>QS.INSTRUMENT.SWAP("swap.7624",C7626,H7626,B7626,"USD","SOFR",I7626,J7626,0,"Actual360","Simple","Annual","Annual","Annual")</f>
        <v/>
      </c>
      <c r="F7626" s="8">
        <f>QS.TRADE.CREATE("trade.7624",C7626,E7626,A7626,"Receive")</f>
        <v/>
      </c>
      <c r="G7626" s="5"/>
      <c r="H7626" s="7" t="s">
        <v>7667</v>
      </c>
      <c r="I7626" s="9">
        <v>1762400</v>
      </c>
      <c r="J7626" s="10">
        <v>0.0374</v>
      </c>
    </row>
    <row r="7627" spans="1:10">
      <c r="A7627" s="7" t="s">
        <v>7661</v>
      </c>
      <c r="B7627" s="7" t="s">
        <v>9494</v>
      </c>
      <c r="C7627" s="8">
        <f>QS.CONTEXT.CREATE("market.7625",A7627,"USD","SOFR")</f>
        <v/>
      </c>
      <c r="D7627" s="8">
        <f>QS.CONTEXT.ADD.CURVE(C7627,"SOFR",$K$2:$K$7,$L$2:$L$7,,,"Actual360","LogLinear",TRUE)</f>
        <v/>
      </c>
      <c r="E7627" s="8">
        <f>QS.INSTRUMENT.SWAP("swap.7625",C7627,H7627,B7627,"USD","SOFR",I7627,J7627,0,"Actual360","Simple","Annual","Annual","Annual")</f>
        <v/>
      </c>
      <c r="F7627" s="8">
        <f>QS.TRADE.CREATE("trade.7625",C7627,E7627,A7627,"Receive")</f>
        <v/>
      </c>
      <c r="G7627" s="5"/>
      <c r="H7627" s="7" t="s">
        <v>7668</v>
      </c>
      <c r="I7627" s="9">
        <v>1762500</v>
      </c>
      <c r="J7627" s="10">
        <v>0.03750000000000001</v>
      </c>
    </row>
    <row r="7628" spans="1:10">
      <c r="A7628" s="7" t="s">
        <v>7662</v>
      </c>
      <c r="B7628" s="7" t="s">
        <v>9495</v>
      </c>
      <c r="C7628" s="8">
        <f>QS.CONTEXT.CREATE("market.7626",A7628,"USD","SOFR")</f>
        <v/>
      </c>
      <c r="D7628" s="8">
        <f>QS.CONTEXT.ADD.CURVE(C7628,"SOFR",$K$2:$K$7,$L$2:$L$7,,,"Actual360","LogLinear",TRUE)</f>
        <v/>
      </c>
      <c r="E7628" s="8">
        <f>QS.INSTRUMENT.SWAP("swap.7626",C7628,H7628,B7628,"USD","SOFR",I7628,J7628,0,"Actual360","Simple","Annual","Annual","Annual")</f>
        <v/>
      </c>
      <c r="F7628" s="8">
        <f>QS.TRADE.CREATE("trade.7626",C7628,E7628,A7628,"Receive")</f>
        <v/>
      </c>
      <c r="G7628" s="5"/>
      <c r="H7628" s="7" t="s">
        <v>7669</v>
      </c>
      <c r="I7628" s="9">
        <v>1762600</v>
      </c>
      <c r="J7628" s="10">
        <v>0.0376</v>
      </c>
    </row>
    <row r="7629" spans="1:10">
      <c r="A7629" s="7" t="s">
        <v>7663</v>
      </c>
      <c r="B7629" s="7" t="s">
        <v>9496</v>
      </c>
      <c r="C7629" s="8">
        <f>QS.CONTEXT.CREATE("market.7627",A7629,"USD","SOFR")</f>
        <v/>
      </c>
      <c r="D7629" s="8">
        <f>QS.CONTEXT.ADD.CURVE(C7629,"SOFR",$K$2:$K$7,$L$2:$L$7,,,"Actual360","LogLinear",TRUE)</f>
        <v/>
      </c>
      <c r="E7629" s="8">
        <f>QS.INSTRUMENT.SWAP("swap.7627",C7629,H7629,B7629,"USD","SOFR",I7629,J7629,0,"Actual360","Simple","Annual","Annual","Annual")</f>
        <v/>
      </c>
      <c r="F7629" s="8">
        <f>QS.TRADE.CREATE("trade.7627",C7629,E7629,A7629,"Receive")</f>
        <v/>
      </c>
      <c r="G7629" s="5"/>
      <c r="H7629" s="7" t="s">
        <v>7670</v>
      </c>
      <c r="I7629" s="9">
        <v>1762700</v>
      </c>
      <c r="J7629" s="10">
        <v>0.0377</v>
      </c>
    </row>
    <row r="7630" spans="1:10">
      <c r="A7630" s="7" t="s">
        <v>7664</v>
      </c>
      <c r="B7630" s="7" t="s">
        <v>9497</v>
      </c>
      <c r="C7630" s="8">
        <f>QS.CONTEXT.CREATE("market.7628",A7630,"USD","SOFR")</f>
        <v/>
      </c>
      <c r="D7630" s="8">
        <f>QS.CONTEXT.ADD.CURVE(C7630,"SOFR",$K$2:$K$7,$L$2:$L$7,,,"Actual360","LogLinear",TRUE)</f>
        <v/>
      </c>
      <c r="E7630" s="8">
        <f>QS.INSTRUMENT.SWAP("swap.7628",C7630,H7630,B7630,"USD","SOFR",I7630,J7630,0,"Actual360","Simple","Annual","Annual","Annual")</f>
        <v/>
      </c>
      <c r="F7630" s="8">
        <f>QS.TRADE.CREATE("trade.7628",C7630,E7630,A7630,"Receive")</f>
        <v/>
      </c>
      <c r="G7630" s="5"/>
      <c r="H7630" s="7" t="s">
        <v>7671</v>
      </c>
      <c r="I7630" s="9">
        <v>1762800</v>
      </c>
      <c r="J7630" s="10">
        <v>0.0378</v>
      </c>
    </row>
    <row r="7631" spans="1:10">
      <c r="A7631" s="7" t="s">
        <v>7665</v>
      </c>
      <c r="B7631" s="7" t="s">
        <v>9498</v>
      </c>
      <c r="C7631" s="8">
        <f>QS.CONTEXT.CREATE("market.7629",A7631,"USD","SOFR")</f>
        <v/>
      </c>
      <c r="D7631" s="8">
        <f>QS.CONTEXT.ADD.CURVE(C7631,"SOFR",$K$2:$K$7,$L$2:$L$7,,,"Actual360","LogLinear",TRUE)</f>
        <v/>
      </c>
      <c r="E7631" s="8">
        <f>QS.INSTRUMENT.SWAP("swap.7629",C7631,H7631,B7631,"USD","SOFR",I7631,J7631,0,"Actual360","Simple","Annual","Annual","Annual")</f>
        <v/>
      </c>
      <c r="F7631" s="8">
        <f>QS.TRADE.CREATE("trade.7629",C7631,E7631,A7631,"Receive")</f>
        <v/>
      </c>
      <c r="G7631" s="5"/>
      <c r="H7631" s="7" t="s">
        <v>7672</v>
      </c>
      <c r="I7631" s="9">
        <v>1762900</v>
      </c>
      <c r="J7631" s="10">
        <v>0.0379</v>
      </c>
    </row>
    <row r="7632" spans="1:10">
      <c r="A7632" s="7" t="s">
        <v>7666</v>
      </c>
      <c r="B7632" s="7" t="s">
        <v>9499</v>
      </c>
      <c r="C7632" s="8">
        <f>QS.CONTEXT.CREATE("market.7630",A7632,"USD","SOFR")</f>
        <v/>
      </c>
      <c r="D7632" s="8">
        <f>QS.CONTEXT.ADD.CURVE(C7632,"SOFR",$K$2:$K$7,$L$2:$L$7,,,"Actual360","LogLinear",TRUE)</f>
        <v/>
      </c>
      <c r="E7632" s="8">
        <f>QS.INSTRUMENT.SWAP("swap.7630",C7632,H7632,B7632,"USD","SOFR",I7632,J7632,0,"Actual360","Simple","Annual","Annual","Annual")</f>
        <v/>
      </c>
      <c r="F7632" s="8">
        <f>QS.TRADE.CREATE("trade.7630",C7632,E7632,A7632,"Receive")</f>
        <v/>
      </c>
      <c r="G7632" s="5"/>
      <c r="H7632" s="7" t="s">
        <v>7673</v>
      </c>
      <c r="I7632" s="9">
        <v>1763000</v>
      </c>
      <c r="J7632" s="10">
        <v>0.03800000000000001</v>
      </c>
    </row>
    <row r="7633" spans="1:10">
      <c r="A7633" s="7" t="s">
        <v>7667</v>
      </c>
      <c r="B7633" s="7" t="s">
        <v>9500</v>
      </c>
      <c r="C7633" s="8">
        <f>QS.CONTEXT.CREATE("market.7631",A7633,"USD","SOFR")</f>
        <v/>
      </c>
      <c r="D7633" s="8">
        <f>QS.CONTEXT.ADD.CURVE(C7633,"SOFR",$K$2:$K$7,$L$2:$L$7,,,"Actual360","LogLinear",TRUE)</f>
        <v/>
      </c>
      <c r="E7633" s="8">
        <f>QS.INSTRUMENT.SWAP("swap.7631",C7633,H7633,B7633,"USD","SOFR",I7633,J7633,0,"Actual360","Simple","Annual","Annual","Annual")</f>
        <v/>
      </c>
      <c r="F7633" s="8">
        <f>QS.TRADE.CREATE("trade.7631",C7633,E7633,A7633,"Receive")</f>
        <v/>
      </c>
      <c r="G7633" s="5"/>
      <c r="H7633" s="7" t="s">
        <v>7674</v>
      </c>
      <c r="I7633" s="9">
        <v>1763100</v>
      </c>
      <c r="J7633" s="10">
        <v>0.0381</v>
      </c>
    </row>
    <row r="7634" spans="1:10">
      <c r="A7634" s="7" t="s">
        <v>7668</v>
      </c>
      <c r="B7634" s="7" t="s">
        <v>9501</v>
      </c>
      <c r="C7634" s="8">
        <f>QS.CONTEXT.CREATE("market.7632",A7634,"USD","SOFR")</f>
        <v/>
      </c>
      <c r="D7634" s="8">
        <f>QS.CONTEXT.ADD.CURVE(C7634,"SOFR",$K$2:$K$7,$L$2:$L$7,,,"Actual360","LogLinear",TRUE)</f>
        <v/>
      </c>
      <c r="E7634" s="8">
        <f>QS.INSTRUMENT.SWAP("swap.7632",C7634,H7634,B7634,"USD","SOFR",I7634,J7634,0,"Actual360","Simple","Annual","Annual","Annual")</f>
        <v/>
      </c>
      <c r="F7634" s="8">
        <f>QS.TRADE.CREATE("trade.7632",C7634,E7634,A7634,"Receive")</f>
        <v/>
      </c>
      <c r="G7634" s="5"/>
      <c r="H7634" s="7" t="s">
        <v>7675</v>
      </c>
      <c r="I7634" s="9">
        <v>1763200</v>
      </c>
      <c r="J7634" s="10">
        <v>0.0382</v>
      </c>
    </row>
    <row r="7635" spans="1:10">
      <c r="A7635" s="7" t="s">
        <v>7669</v>
      </c>
      <c r="B7635" s="7" t="s">
        <v>9502</v>
      </c>
      <c r="C7635" s="8">
        <f>QS.CONTEXT.CREATE("market.7633",A7635,"USD","SOFR")</f>
        <v/>
      </c>
      <c r="D7635" s="8">
        <f>QS.CONTEXT.ADD.CURVE(C7635,"SOFR",$K$2:$K$7,$L$2:$L$7,,,"Actual360","LogLinear",TRUE)</f>
        <v/>
      </c>
      <c r="E7635" s="8">
        <f>QS.INSTRUMENT.SWAP("swap.7633",C7635,H7635,B7635,"USD","SOFR",I7635,J7635,0,"Actual360","Simple","Annual","Annual","Annual")</f>
        <v/>
      </c>
      <c r="F7635" s="8">
        <f>QS.TRADE.CREATE("trade.7633",C7635,E7635,A7635,"Receive")</f>
        <v/>
      </c>
      <c r="G7635" s="5"/>
      <c r="H7635" s="7" t="s">
        <v>7676</v>
      </c>
      <c r="I7635" s="9">
        <v>1763300</v>
      </c>
      <c r="J7635" s="10">
        <v>0.0383</v>
      </c>
    </row>
    <row r="7636" spans="1:10">
      <c r="A7636" s="7" t="s">
        <v>7670</v>
      </c>
      <c r="B7636" s="7" t="s">
        <v>9503</v>
      </c>
      <c r="C7636" s="8">
        <f>QS.CONTEXT.CREATE("market.7634",A7636,"USD","SOFR")</f>
        <v/>
      </c>
      <c r="D7636" s="8">
        <f>QS.CONTEXT.ADD.CURVE(C7636,"SOFR",$K$2:$K$7,$L$2:$L$7,,,"Actual360","LogLinear",TRUE)</f>
        <v/>
      </c>
      <c r="E7636" s="8">
        <f>QS.INSTRUMENT.SWAP("swap.7634",C7636,H7636,B7636,"USD","SOFR",I7636,J7636,0,"Actual360","Simple","Annual","Annual","Annual")</f>
        <v/>
      </c>
      <c r="F7636" s="8">
        <f>QS.TRADE.CREATE("trade.7634",C7636,E7636,A7636,"Receive")</f>
        <v/>
      </c>
      <c r="G7636" s="5"/>
      <c r="H7636" s="7" t="s">
        <v>7677</v>
      </c>
      <c r="I7636" s="9">
        <v>1763400</v>
      </c>
      <c r="J7636" s="10">
        <v>0.0384</v>
      </c>
    </row>
    <row r="7637" spans="1:10">
      <c r="A7637" s="7" t="s">
        <v>7671</v>
      </c>
      <c r="B7637" s="7" t="s">
        <v>9504</v>
      </c>
      <c r="C7637" s="8">
        <f>QS.CONTEXT.CREATE("market.7635",A7637,"USD","SOFR")</f>
        <v/>
      </c>
      <c r="D7637" s="8">
        <f>QS.CONTEXT.ADD.CURVE(C7637,"SOFR",$K$2:$K$7,$L$2:$L$7,,,"Actual360","LogLinear",TRUE)</f>
        <v/>
      </c>
      <c r="E7637" s="8">
        <f>QS.INSTRUMENT.SWAP("swap.7635",C7637,H7637,B7637,"USD","SOFR",I7637,J7637,0,"Actual360","Simple","Annual","Annual","Annual")</f>
        <v/>
      </c>
      <c r="F7637" s="8">
        <f>QS.TRADE.CREATE("trade.7635",C7637,E7637,A7637,"Receive")</f>
        <v/>
      </c>
      <c r="G7637" s="5"/>
      <c r="H7637" s="7" t="s">
        <v>7678</v>
      </c>
      <c r="I7637" s="9">
        <v>1763500</v>
      </c>
      <c r="J7637" s="10">
        <v>0.03850000000000001</v>
      </c>
    </row>
    <row r="7638" spans="1:10">
      <c r="A7638" s="7" t="s">
        <v>7672</v>
      </c>
      <c r="B7638" s="7" t="s">
        <v>9505</v>
      </c>
      <c r="C7638" s="8">
        <f>QS.CONTEXT.CREATE("market.7636",A7638,"USD","SOFR")</f>
        <v/>
      </c>
      <c r="D7638" s="8">
        <f>QS.CONTEXT.ADD.CURVE(C7638,"SOFR",$K$2:$K$7,$L$2:$L$7,,,"Actual360","LogLinear",TRUE)</f>
        <v/>
      </c>
      <c r="E7638" s="8">
        <f>QS.INSTRUMENT.SWAP("swap.7636",C7638,H7638,B7638,"USD","SOFR",I7638,J7638,0,"Actual360","Simple","Annual","Annual","Annual")</f>
        <v/>
      </c>
      <c r="F7638" s="8">
        <f>QS.TRADE.CREATE("trade.7636",C7638,E7638,A7638,"Receive")</f>
        <v/>
      </c>
      <c r="G7638" s="5"/>
      <c r="H7638" s="7" t="s">
        <v>7679</v>
      </c>
      <c r="I7638" s="9">
        <v>1763600</v>
      </c>
      <c r="J7638" s="10">
        <v>0.0386</v>
      </c>
    </row>
    <row r="7639" spans="1:10">
      <c r="A7639" s="7" t="s">
        <v>7673</v>
      </c>
      <c r="B7639" s="7" t="s">
        <v>9506</v>
      </c>
      <c r="C7639" s="8">
        <f>QS.CONTEXT.CREATE("market.7637",A7639,"USD","SOFR")</f>
        <v/>
      </c>
      <c r="D7639" s="8">
        <f>QS.CONTEXT.ADD.CURVE(C7639,"SOFR",$K$2:$K$7,$L$2:$L$7,,,"Actual360","LogLinear",TRUE)</f>
        <v/>
      </c>
      <c r="E7639" s="8">
        <f>QS.INSTRUMENT.SWAP("swap.7637",C7639,H7639,B7639,"USD","SOFR",I7639,J7639,0,"Actual360","Simple","Annual","Annual","Annual")</f>
        <v/>
      </c>
      <c r="F7639" s="8">
        <f>QS.TRADE.CREATE("trade.7637",C7639,E7639,A7639,"Receive")</f>
        <v/>
      </c>
      <c r="G7639" s="5"/>
      <c r="H7639" s="7" t="s">
        <v>7680</v>
      </c>
      <c r="I7639" s="9">
        <v>1763700</v>
      </c>
      <c r="J7639" s="10">
        <v>0.03870000000000001</v>
      </c>
    </row>
    <row r="7640" spans="1:10">
      <c r="A7640" s="7" t="s">
        <v>7674</v>
      </c>
      <c r="B7640" s="7" t="s">
        <v>9507</v>
      </c>
      <c r="C7640" s="8">
        <f>QS.CONTEXT.CREATE("market.7638",A7640,"USD","SOFR")</f>
        <v/>
      </c>
      <c r="D7640" s="8">
        <f>QS.CONTEXT.ADD.CURVE(C7640,"SOFR",$K$2:$K$7,$L$2:$L$7,,,"Actual360","LogLinear",TRUE)</f>
        <v/>
      </c>
      <c r="E7640" s="8">
        <f>QS.INSTRUMENT.SWAP("swap.7638",C7640,H7640,B7640,"USD","SOFR",I7640,J7640,0,"Actual360","Simple","Annual","Annual","Annual")</f>
        <v/>
      </c>
      <c r="F7640" s="8">
        <f>QS.TRADE.CREATE("trade.7638",C7640,E7640,A7640,"Receive")</f>
        <v/>
      </c>
      <c r="G7640" s="5"/>
      <c r="H7640" s="7" t="s">
        <v>7681</v>
      </c>
      <c r="I7640" s="9">
        <v>1763800</v>
      </c>
      <c r="J7640" s="10">
        <v>0.0388</v>
      </c>
    </row>
    <row r="7641" spans="1:10">
      <c r="A7641" s="7" t="s">
        <v>7675</v>
      </c>
      <c r="B7641" s="7" t="s">
        <v>9508</v>
      </c>
      <c r="C7641" s="8">
        <f>QS.CONTEXT.CREATE("market.7639",A7641,"USD","SOFR")</f>
        <v/>
      </c>
      <c r="D7641" s="8">
        <f>QS.CONTEXT.ADD.CURVE(C7641,"SOFR",$K$2:$K$7,$L$2:$L$7,,,"Actual360","LogLinear",TRUE)</f>
        <v/>
      </c>
      <c r="E7641" s="8">
        <f>QS.INSTRUMENT.SWAP("swap.7639",C7641,H7641,B7641,"USD","SOFR",I7641,J7641,0,"Actual360","Simple","Annual","Annual","Annual")</f>
        <v/>
      </c>
      <c r="F7641" s="8">
        <f>QS.TRADE.CREATE("trade.7639",C7641,E7641,A7641,"Receive")</f>
        <v/>
      </c>
      <c r="G7641" s="5"/>
      <c r="H7641" s="7" t="s">
        <v>7682</v>
      </c>
      <c r="I7641" s="9">
        <v>1763900</v>
      </c>
      <c r="J7641" s="10">
        <v>0.0389</v>
      </c>
    </row>
    <row r="7642" spans="1:10">
      <c r="A7642" s="7" t="s">
        <v>7676</v>
      </c>
      <c r="B7642" s="7" t="s">
        <v>9509</v>
      </c>
      <c r="C7642" s="8">
        <f>QS.CONTEXT.CREATE("market.7640",A7642,"USD","SOFR")</f>
        <v/>
      </c>
      <c r="D7642" s="8">
        <f>QS.CONTEXT.ADD.CURVE(C7642,"SOFR",$K$2:$K$7,$L$2:$L$7,,,"Actual360","LogLinear",TRUE)</f>
        <v/>
      </c>
      <c r="E7642" s="8">
        <f>QS.INSTRUMENT.SWAP("swap.7640",C7642,H7642,B7642,"USD","SOFR",I7642,J7642,0,"Actual360","Simple","Annual","Annual","Annual")</f>
        <v/>
      </c>
      <c r="F7642" s="8">
        <f>QS.TRADE.CREATE("trade.7640",C7642,E7642,A7642,"Receive")</f>
        <v/>
      </c>
      <c r="G7642" s="5"/>
      <c r="H7642" s="7" t="s">
        <v>7683</v>
      </c>
      <c r="I7642" s="9">
        <v>1764000</v>
      </c>
      <c r="J7642" s="10">
        <v>0.03900000000000001</v>
      </c>
    </row>
    <row r="7643" spans="1:10">
      <c r="A7643" s="7" t="s">
        <v>7677</v>
      </c>
      <c r="B7643" s="7" t="s">
        <v>9510</v>
      </c>
      <c r="C7643" s="8">
        <f>QS.CONTEXT.CREATE("market.7641",A7643,"USD","SOFR")</f>
        <v/>
      </c>
      <c r="D7643" s="8">
        <f>QS.CONTEXT.ADD.CURVE(C7643,"SOFR",$K$2:$K$7,$L$2:$L$7,,,"Actual360","LogLinear",TRUE)</f>
        <v/>
      </c>
      <c r="E7643" s="8">
        <f>QS.INSTRUMENT.SWAP("swap.7641",C7643,H7643,B7643,"USD","SOFR",I7643,J7643,0,"Actual360","Simple","Annual","Annual","Annual")</f>
        <v/>
      </c>
      <c r="F7643" s="8">
        <f>QS.TRADE.CREATE("trade.7641",C7643,E7643,A7643,"Receive")</f>
        <v/>
      </c>
      <c r="G7643" s="5"/>
      <c r="H7643" s="7" t="s">
        <v>7684</v>
      </c>
      <c r="I7643" s="9">
        <v>1764100</v>
      </c>
      <c r="J7643" s="10">
        <v>0.0391</v>
      </c>
    </row>
    <row r="7644" spans="1:10">
      <c r="A7644" s="7" t="s">
        <v>7678</v>
      </c>
      <c r="B7644" s="7" t="s">
        <v>9511</v>
      </c>
      <c r="C7644" s="8">
        <f>QS.CONTEXT.CREATE("market.7642",A7644,"USD","SOFR")</f>
        <v/>
      </c>
      <c r="D7644" s="8">
        <f>QS.CONTEXT.ADD.CURVE(C7644,"SOFR",$K$2:$K$7,$L$2:$L$7,,,"Actual360","LogLinear",TRUE)</f>
        <v/>
      </c>
      <c r="E7644" s="8">
        <f>QS.INSTRUMENT.SWAP("swap.7642",C7644,H7644,B7644,"USD","SOFR",I7644,J7644,0,"Actual360","Simple","Annual","Annual","Annual")</f>
        <v/>
      </c>
      <c r="F7644" s="8">
        <f>QS.TRADE.CREATE("trade.7642",C7644,E7644,A7644,"Receive")</f>
        <v/>
      </c>
      <c r="G7644" s="5"/>
      <c r="H7644" s="7" t="s">
        <v>7685</v>
      </c>
      <c r="I7644" s="9">
        <v>1764200</v>
      </c>
      <c r="J7644" s="10">
        <v>0.03920000000000001</v>
      </c>
    </row>
    <row r="7645" spans="1:10">
      <c r="A7645" s="7" t="s">
        <v>7679</v>
      </c>
      <c r="B7645" s="7" t="s">
        <v>9512</v>
      </c>
      <c r="C7645" s="8">
        <f>QS.CONTEXT.CREATE("market.7643",A7645,"USD","SOFR")</f>
        <v/>
      </c>
      <c r="D7645" s="8">
        <f>QS.CONTEXT.ADD.CURVE(C7645,"SOFR",$K$2:$K$7,$L$2:$L$7,,,"Actual360","LogLinear",TRUE)</f>
        <v/>
      </c>
      <c r="E7645" s="8">
        <f>QS.INSTRUMENT.SWAP("swap.7643",C7645,H7645,B7645,"USD","SOFR",I7645,J7645,0,"Actual360","Simple","Annual","Annual","Annual")</f>
        <v/>
      </c>
      <c r="F7645" s="8">
        <f>QS.TRADE.CREATE("trade.7643",C7645,E7645,A7645,"Receive")</f>
        <v/>
      </c>
      <c r="G7645" s="5"/>
      <c r="H7645" s="7" t="s">
        <v>7686</v>
      </c>
      <c r="I7645" s="9">
        <v>1764300</v>
      </c>
      <c r="J7645" s="10">
        <v>0.0393</v>
      </c>
    </row>
    <row r="7646" spans="1:10">
      <c r="A7646" s="7" t="s">
        <v>7680</v>
      </c>
      <c r="B7646" s="7" t="s">
        <v>9513</v>
      </c>
      <c r="C7646" s="8">
        <f>QS.CONTEXT.CREATE("market.7644",A7646,"USD","SOFR")</f>
        <v/>
      </c>
      <c r="D7646" s="8">
        <f>QS.CONTEXT.ADD.CURVE(C7646,"SOFR",$K$2:$K$7,$L$2:$L$7,,,"Actual360","LogLinear",TRUE)</f>
        <v/>
      </c>
      <c r="E7646" s="8">
        <f>QS.INSTRUMENT.SWAP("swap.7644",C7646,H7646,B7646,"USD","SOFR",I7646,J7646,0,"Actual360","Simple","Annual","Annual","Annual")</f>
        <v/>
      </c>
      <c r="F7646" s="8">
        <f>QS.TRADE.CREATE("trade.7644",C7646,E7646,A7646,"Receive")</f>
        <v/>
      </c>
      <c r="G7646" s="5"/>
      <c r="H7646" s="7" t="s">
        <v>7687</v>
      </c>
      <c r="I7646" s="9">
        <v>1764400</v>
      </c>
      <c r="J7646" s="10">
        <v>0.0394</v>
      </c>
    </row>
    <row r="7647" spans="1:10">
      <c r="A7647" s="7" t="s">
        <v>7681</v>
      </c>
      <c r="B7647" s="7" t="s">
        <v>9514</v>
      </c>
      <c r="C7647" s="8">
        <f>QS.CONTEXT.CREATE("market.7645",A7647,"USD","SOFR")</f>
        <v/>
      </c>
      <c r="D7647" s="8">
        <f>QS.CONTEXT.ADD.CURVE(C7647,"SOFR",$K$2:$K$7,$L$2:$L$7,,,"Actual360","LogLinear",TRUE)</f>
        <v/>
      </c>
      <c r="E7647" s="8">
        <f>QS.INSTRUMENT.SWAP("swap.7645",C7647,H7647,B7647,"USD","SOFR",I7647,J7647,0,"Actual360","Simple","Annual","Annual","Annual")</f>
        <v/>
      </c>
      <c r="F7647" s="8">
        <f>QS.TRADE.CREATE("trade.7645",C7647,E7647,A7647,"Receive")</f>
        <v/>
      </c>
      <c r="G7647" s="5"/>
      <c r="H7647" s="7" t="s">
        <v>7688</v>
      </c>
      <c r="I7647" s="9">
        <v>1764500</v>
      </c>
      <c r="J7647" s="10">
        <v>0.03950000000000001</v>
      </c>
    </row>
    <row r="7648" spans="1:10">
      <c r="A7648" s="7" t="s">
        <v>7682</v>
      </c>
      <c r="B7648" s="7" t="s">
        <v>9515</v>
      </c>
      <c r="C7648" s="8">
        <f>QS.CONTEXT.CREATE("market.7646",A7648,"USD","SOFR")</f>
        <v/>
      </c>
      <c r="D7648" s="8">
        <f>QS.CONTEXT.ADD.CURVE(C7648,"SOFR",$K$2:$K$7,$L$2:$L$7,,,"Actual360","LogLinear",TRUE)</f>
        <v/>
      </c>
      <c r="E7648" s="8">
        <f>QS.INSTRUMENT.SWAP("swap.7646",C7648,H7648,B7648,"USD","SOFR",I7648,J7648,0,"Actual360","Simple","Annual","Annual","Annual")</f>
        <v/>
      </c>
      <c r="F7648" s="8">
        <f>QS.TRADE.CREATE("trade.7646",C7648,E7648,A7648,"Receive")</f>
        <v/>
      </c>
      <c r="G7648" s="5"/>
      <c r="H7648" s="7" t="s">
        <v>7689</v>
      </c>
      <c r="I7648" s="9">
        <v>1764600</v>
      </c>
      <c r="J7648" s="10">
        <v>0.0396</v>
      </c>
    </row>
    <row r="7649" spans="1:10">
      <c r="A7649" s="7" t="s">
        <v>7683</v>
      </c>
      <c r="B7649" s="7" t="s">
        <v>9516</v>
      </c>
      <c r="C7649" s="8">
        <f>QS.CONTEXT.CREATE("market.7647",A7649,"USD","SOFR")</f>
        <v/>
      </c>
      <c r="D7649" s="8">
        <f>QS.CONTEXT.ADD.CURVE(C7649,"SOFR",$K$2:$K$7,$L$2:$L$7,,,"Actual360","LogLinear",TRUE)</f>
        <v/>
      </c>
      <c r="E7649" s="8">
        <f>QS.INSTRUMENT.SWAP("swap.7647",C7649,H7649,B7649,"USD","SOFR",I7649,J7649,0,"Actual360","Simple","Annual","Annual","Annual")</f>
        <v/>
      </c>
      <c r="F7649" s="8">
        <f>QS.TRADE.CREATE("trade.7647",C7649,E7649,A7649,"Receive")</f>
        <v/>
      </c>
      <c r="G7649" s="5"/>
      <c r="H7649" s="7" t="s">
        <v>7690</v>
      </c>
      <c r="I7649" s="9">
        <v>1764700</v>
      </c>
      <c r="J7649" s="10">
        <v>0.03970000000000001</v>
      </c>
    </row>
    <row r="7650" spans="1:10">
      <c r="A7650" s="7" t="s">
        <v>7684</v>
      </c>
      <c r="B7650" s="7" t="s">
        <v>9517</v>
      </c>
      <c r="C7650" s="8">
        <f>QS.CONTEXT.CREATE("market.7648",A7650,"USD","SOFR")</f>
        <v/>
      </c>
      <c r="D7650" s="8">
        <f>QS.CONTEXT.ADD.CURVE(C7650,"SOFR",$K$2:$K$7,$L$2:$L$7,,,"Actual360","LogLinear",TRUE)</f>
        <v/>
      </c>
      <c r="E7650" s="8">
        <f>QS.INSTRUMENT.SWAP("swap.7648",C7650,H7650,B7650,"USD","SOFR",I7650,J7650,0,"Actual360","Simple","Annual","Annual","Annual")</f>
        <v/>
      </c>
      <c r="F7650" s="8">
        <f>QS.TRADE.CREATE("trade.7648",C7650,E7650,A7650,"Receive")</f>
        <v/>
      </c>
      <c r="G7650" s="5"/>
      <c r="H7650" s="7" t="s">
        <v>7691</v>
      </c>
      <c r="I7650" s="9">
        <v>1764800</v>
      </c>
      <c r="J7650" s="10">
        <v>0.0398</v>
      </c>
    </row>
    <row r="7651" spans="1:10">
      <c r="A7651" s="7" t="s">
        <v>7685</v>
      </c>
      <c r="B7651" s="7" t="s">
        <v>9518</v>
      </c>
      <c r="C7651" s="8">
        <f>QS.CONTEXT.CREATE("market.7649",A7651,"USD","SOFR")</f>
        <v/>
      </c>
      <c r="D7651" s="8">
        <f>QS.CONTEXT.ADD.CURVE(C7651,"SOFR",$K$2:$K$7,$L$2:$L$7,,,"Actual360","LogLinear",TRUE)</f>
        <v/>
      </c>
      <c r="E7651" s="8">
        <f>QS.INSTRUMENT.SWAP("swap.7649",C7651,H7651,B7651,"USD","SOFR",I7651,J7651,0,"Actual360","Simple","Annual","Annual","Annual")</f>
        <v/>
      </c>
      <c r="F7651" s="8">
        <f>QS.TRADE.CREATE("trade.7649",C7651,E7651,A7651,"Receive")</f>
        <v/>
      </c>
      <c r="G7651" s="5"/>
      <c r="H7651" s="7" t="s">
        <v>7692</v>
      </c>
      <c r="I7651" s="9">
        <v>1764900</v>
      </c>
      <c r="J7651" s="10">
        <v>0.0399</v>
      </c>
    </row>
    <row r="7652" spans="1:10">
      <c r="A7652" s="7" t="s">
        <v>7686</v>
      </c>
      <c r="B7652" s="7" t="s">
        <v>9519</v>
      </c>
      <c r="C7652" s="8">
        <f>QS.CONTEXT.CREATE("market.7650",A7652,"USD","SOFR")</f>
        <v/>
      </c>
      <c r="D7652" s="8">
        <f>QS.CONTEXT.ADD.CURVE(C7652,"SOFR",$K$2:$K$7,$L$2:$L$7,,,"Actual360","LogLinear",TRUE)</f>
        <v/>
      </c>
      <c r="E7652" s="8">
        <f>QS.INSTRUMENT.SWAP("swap.7650",C7652,H7652,B7652,"USD","SOFR",I7652,J7652,0,"Actual360","Simple","Annual","Annual","Annual")</f>
        <v/>
      </c>
      <c r="F7652" s="8">
        <f>QS.TRADE.CREATE("trade.7650",C7652,E7652,A7652,"Receive")</f>
        <v/>
      </c>
      <c r="G7652" s="5"/>
      <c r="H7652" s="7" t="s">
        <v>7693</v>
      </c>
      <c r="I7652" s="9">
        <v>1765000</v>
      </c>
      <c r="J7652" s="10">
        <v>0.035</v>
      </c>
    </row>
    <row r="7653" spans="1:10">
      <c r="A7653" s="7" t="s">
        <v>7687</v>
      </c>
      <c r="B7653" s="7" t="s">
        <v>9520</v>
      </c>
      <c r="C7653" s="8">
        <f>QS.CONTEXT.CREATE("market.7651",A7653,"USD","SOFR")</f>
        <v/>
      </c>
      <c r="D7653" s="8">
        <f>QS.CONTEXT.ADD.CURVE(C7653,"SOFR",$K$2:$K$7,$L$2:$L$7,,,"Actual360","LogLinear",TRUE)</f>
        <v/>
      </c>
      <c r="E7653" s="8">
        <f>QS.INSTRUMENT.SWAP("swap.7651",C7653,H7653,B7653,"USD","SOFR",I7653,J7653,0,"Actual360","Simple","Annual","Annual","Annual")</f>
        <v/>
      </c>
      <c r="F7653" s="8">
        <f>QS.TRADE.CREATE("trade.7651",C7653,E7653,A7653,"Receive")</f>
        <v/>
      </c>
      <c r="G7653" s="5"/>
      <c r="H7653" s="7" t="s">
        <v>7694</v>
      </c>
      <c r="I7653" s="9">
        <v>1765100</v>
      </c>
      <c r="J7653" s="10">
        <v>0.03510000000000001</v>
      </c>
    </row>
    <row r="7654" spans="1:10">
      <c r="A7654" s="7" t="s">
        <v>7688</v>
      </c>
      <c r="B7654" s="7" t="s">
        <v>9521</v>
      </c>
      <c r="C7654" s="8">
        <f>QS.CONTEXT.CREATE("market.7652",A7654,"USD","SOFR")</f>
        <v/>
      </c>
      <c r="D7654" s="8">
        <f>QS.CONTEXT.ADD.CURVE(C7654,"SOFR",$K$2:$K$7,$L$2:$L$7,,,"Actual360","LogLinear",TRUE)</f>
        <v/>
      </c>
      <c r="E7654" s="8">
        <f>QS.INSTRUMENT.SWAP("swap.7652",C7654,H7654,B7654,"USD","SOFR",I7654,J7654,0,"Actual360","Simple","Annual","Annual","Annual")</f>
        <v/>
      </c>
      <c r="F7654" s="8">
        <f>QS.TRADE.CREATE("trade.7652",C7654,E7654,A7654,"Receive")</f>
        <v/>
      </c>
      <c r="G7654" s="5"/>
      <c r="H7654" s="7" t="s">
        <v>7695</v>
      </c>
      <c r="I7654" s="9">
        <v>1765200</v>
      </c>
      <c r="J7654" s="10">
        <v>0.0352</v>
      </c>
    </row>
    <row r="7655" spans="1:10">
      <c r="A7655" s="7" t="s">
        <v>7689</v>
      </c>
      <c r="B7655" s="7" t="s">
        <v>9522</v>
      </c>
      <c r="C7655" s="8">
        <f>QS.CONTEXT.CREATE("market.7653",A7655,"USD","SOFR")</f>
        <v/>
      </c>
      <c r="D7655" s="8">
        <f>QS.CONTEXT.ADD.CURVE(C7655,"SOFR",$K$2:$K$7,$L$2:$L$7,,,"Actual360","LogLinear",TRUE)</f>
        <v/>
      </c>
      <c r="E7655" s="8">
        <f>QS.INSTRUMENT.SWAP("swap.7653",C7655,H7655,B7655,"USD","SOFR",I7655,J7655,0,"Actual360","Simple","Annual","Annual","Annual")</f>
        <v/>
      </c>
      <c r="F7655" s="8">
        <f>QS.TRADE.CREATE("trade.7653",C7655,E7655,A7655,"Receive")</f>
        <v/>
      </c>
      <c r="G7655" s="5"/>
      <c r="H7655" s="7" t="s">
        <v>7696</v>
      </c>
      <c r="I7655" s="9">
        <v>1765300</v>
      </c>
      <c r="J7655" s="10">
        <v>0.0353</v>
      </c>
    </row>
    <row r="7656" spans="1:10">
      <c r="A7656" s="7" t="s">
        <v>7690</v>
      </c>
      <c r="B7656" s="7" t="s">
        <v>9523</v>
      </c>
      <c r="C7656" s="8">
        <f>QS.CONTEXT.CREATE("market.7654",A7656,"USD","SOFR")</f>
        <v/>
      </c>
      <c r="D7656" s="8">
        <f>QS.CONTEXT.ADD.CURVE(C7656,"SOFR",$K$2:$K$7,$L$2:$L$7,,,"Actual360","LogLinear",TRUE)</f>
        <v/>
      </c>
      <c r="E7656" s="8">
        <f>QS.INSTRUMENT.SWAP("swap.7654",C7656,H7656,B7656,"USD","SOFR",I7656,J7656,0,"Actual360","Simple","Annual","Annual","Annual")</f>
        <v/>
      </c>
      <c r="F7656" s="8">
        <f>QS.TRADE.CREATE("trade.7654",C7656,E7656,A7656,"Receive")</f>
        <v/>
      </c>
      <c r="G7656" s="5"/>
      <c r="H7656" s="7" t="s">
        <v>7697</v>
      </c>
      <c r="I7656" s="9">
        <v>1765400</v>
      </c>
      <c r="J7656" s="10">
        <v>0.0354</v>
      </c>
    </row>
    <row r="7657" spans="1:10">
      <c r="A7657" s="7" t="s">
        <v>7691</v>
      </c>
      <c r="B7657" s="7" t="s">
        <v>9524</v>
      </c>
      <c r="C7657" s="8">
        <f>QS.CONTEXT.CREATE("market.7655",A7657,"USD","SOFR")</f>
        <v/>
      </c>
      <c r="D7657" s="8">
        <f>QS.CONTEXT.ADD.CURVE(C7657,"SOFR",$K$2:$K$7,$L$2:$L$7,,,"Actual360","LogLinear",TRUE)</f>
        <v/>
      </c>
      <c r="E7657" s="8">
        <f>QS.INSTRUMENT.SWAP("swap.7655",C7657,H7657,B7657,"USD","SOFR",I7657,J7657,0,"Actual360","Simple","Annual","Annual","Annual")</f>
        <v/>
      </c>
      <c r="F7657" s="8">
        <f>QS.TRADE.CREATE("trade.7655",C7657,E7657,A7657,"Receive")</f>
        <v/>
      </c>
      <c r="G7657" s="5"/>
      <c r="H7657" s="7" t="s">
        <v>7698</v>
      </c>
      <c r="I7657" s="9">
        <v>1765500</v>
      </c>
      <c r="J7657" s="10">
        <v>0.0355</v>
      </c>
    </row>
    <row r="7658" spans="1:10">
      <c r="A7658" s="7" t="s">
        <v>7692</v>
      </c>
      <c r="B7658" s="7" t="s">
        <v>9525</v>
      </c>
      <c r="C7658" s="8">
        <f>QS.CONTEXT.CREATE("market.7656",A7658,"USD","SOFR")</f>
        <v/>
      </c>
      <c r="D7658" s="8">
        <f>QS.CONTEXT.ADD.CURVE(C7658,"SOFR",$K$2:$K$7,$L$2:$L$7,,,"Actual360","LogLinear",TRUE)</f>
        <v/>
      </c>
      <c r="E7658" s="8">
        <f>QS.INSTRUMENT.SWAP("swap.7656",C7658,H7658,B7658,"USD","SOFR",I7658,J7658,0,"Actual360","Simple","Annual","Annual","Annual")</f>
        <v/>
      </c>
      <c r="F7658" s="8">
        <f>QS.TRADE.CREATE("trade.7656",C7658,E7658,A7658,"Receive")</f>
        <v/>
      </c>
      <c r="G7658" s="5"/>
      <c r="H7658" s="7" t="s">
        <v>7699</v>
      </c>
      <c r="I7658" s="9">
        <v>1765600</v>
      </c>
      <c r="J7658" s="10">
        <v>0.03560000000000001</v>
      </c>
    </row>
    <row r="7659" spans="1:10">
      <c r="A7659" s="7" t="s">
        <v>7693</v>
      </c>
      <c r="B7659" s="7" t="s">
        <v>9526</v>
      </c>
      <c r="C7659" s="8">
        <f>QS.CONTEXT.CREATE("market.7657",A7659,"USD","SOFR")</f>
        <v/>
      </c>
      <c r="D7659" s="8">
        <f>QS.CONTEXT.ADD.CURVE(C7659,"SOFR",$K$2:$K$7,$L$2:$L$7,,,"Actual360","LogLinear",TRUE)</f>
        <v/>
      </c>
      <c r="E7659" s="8">
        <f>QS.INSTRUMENT.SWAP("swap.7657",C7659,H7659,B7659,"USD","SOFR",I7659,J7659,0,"Actual360","Simple","Annual","Annual","Annual")</f>
        <v/>
      </c>
      <c r="F7659" s="8">
        <f>QS.TRADE.CREATE("trade.7657",C7659,E7659,A7659,"Receive")</f>
        <v/>
      </c>
      <c r="G7659" s="5"/>
      <c r="H7659" s="7" t="s">
        <v>7700</v>
      </c>
      <c r="I7659" s="9">
        <v>1765700</v>
      </c>
      <c r="J7659" s="10">
        <v>0.0357</v>
      </c>
    </row>
    <row r="7660" spans="1:10">
      <c r="A7660" s="7" t="s">
        <v>7694</v>
      </c>
      <c r="B7660" s="7" t="s">
        <v>9527</v>
      </c>
      <c r="C7660" s="8">
        <f>QS.CONTEXT.CREATE("market.7658",A7660,"USD","SOFR")</f>
        <v/>
      </c>
      <c r="D7660" s="8">
        <f>QS.CONTEXT.ADD.CURVE(C7660,"SOFR",$K$2:$K$7,$L$2:$L$7,,,"Actual360","LogLinear",TRUE)</f>
        <v/>
      </c>
      <c r="E7660" s="8">
        <f>QS.INSTRUMENT.SWAP("swap.7658",C7660,H7660,B7660,"USD","SOFR",I7660,J7660,0,"Actual360","Simple","Annual","Annual","Annual")</f>
        <v/>
      </c>
      <c r="F7660" s="8">
        <f>QS.TRADE.CREATE("trade.7658",C7660,E7660,A7660,"Receive")</f>
        <v/>
      </c>
      <c r="G7660" s="5"/>
      <c r="H7660" s="7" t="s">
        <v>7701</v>
      </c>
      <c r="I7660" s="9">
        <v>1765800</v>
      </c>
      <c r="J7660" s="10">
        <v>0.03580000000000001</v>
      </c>
    </row>
    <row r="7661" spans="1:10">
      <c r="A7661" s="7" t="s">
        <v>7695</v>
      </c>
      <c r="B7661" s="7" t="s">
        <v>9528</v>
      </c>
      <c r="C7661" s="8">
        <f>QS.CONTEXT.CREATE("market.7659",A7661,"USD","SOFR")</f>
        <v/>
      </c>
      <c r="D7661" s="8">
        <f>QS.CONTEXT.ADD.CURVE(C7661,"SOFR",$K$2:$K$7,$L$2:$L$7,,,"Actual360","LogLinear",TRUE)</f>
        <v/>
      </c>
      <c r="E7661" s="8">
        <f>QS.INSTRUMENT.SWAP("swap.7659",C7661,H7661,B7661,"USD","SOFR",I7661,J7661,0,"Actual360","Simple","Annual","Annual","Annual")</f>
        <v/>
      </c>
      <c r="F7661" s="8">
        <f>QS.TRADE.CREATE("trade.7659",C7661,E7661,A7661,"Receive")</f>
        <v/>
      </c>
      <c r="G7661" s="5"/>
      <c r="H7661" s="7" t="s">
        <v>7702</v>
      </c>
      <c r="I7661" s="9">
        <v>1765900</v>
      </c>
      <c r="J7661" s="10">
        <v>0.0359</v>
      </c>
    </row>
    <row r="7662" spans="1:10">
      <c r="A7662" s="7" t="s">
        <v>7696</v>
      </c>
      <c r="B7662" s="7" t="s">
        <v>9529</v>
      </c>
      <c r="C7662" s="8">
        <f>QS.CONTEXT.CREATE("market.7660",A7662,"USD","SOFR")</f>
        <v/>
      </c>
      <c r="D7662" s="8">
        <f>QS.CONTEXT.ADD.CURVE(C7662,"SOFR",$K$2:$K$7,$L$2:$L$7,,,"Actual360","LogLinear",TRUE)</f>
        <v/>
      </c>
      <c r="E7662" s="8">
        <f>QS.INSTRUMENT.SWAP("swap.7660",C7662,H7662,B7662,"USD","SOFR",I7662,J7662,0,"Actual360","Simple","Annual","Annual","Annual")</f>
        <v/>
      </c>
      <c r="F7662" s="8">
        <f>QS.TRADE.CREATE("trade.7660",C7662,E7662,A7662,"Receive")</f>
        <v/>
      </c>
      <c r="G7662" s="5"/>
      <c r="H7662" s="7" t="s">
        <v>7703</v>
      </c>
      <c r="I7662" s="9">
        <v>1766000</v>
      </c>
      <c r="J7662" s="10">
        <v>0.036</v>
      </c>
    </row>
    <row r="7663" spans="1:10">
      <c r="A7663" s="7" t="s">
        <v>7697</v>
      </c>
      <c r="B7663" s="7" t="s">
        <v>9530</v>
      </c>
      <c r="C7663" s="8">
        <f>QS.CONTEXT.CREATE("market.7661",A7663,"USD","SOFR")</f>
        <v/>
      </c>
      <c r="D7663" s="8">
        <f>QS.CONTEXT.ADD.CURVE(C7663,"SOFR",$K$2:$K$7,$L$2:$L$7,,,"Actual360","LogLinear",TRUE)</f>
        <v/>
      </c>
      <c r="E7663" s="8">
        <f>QS.INSTRUMENT.SWAP("swap.7661",C7663,H7663,B7663,"USD","SOFR",I7663,J7663,0,"Actual360","Simple","Annual","Annual","Annual")</f>
        <v/>
      </c>
      <c r="F7663" s="8">
        <f>QS.TRADE.CREATE("trade.7661",C7663,E7663,A7663,"Receive")</f>
        <v/>
      </c>
      <c r="G7663" s="5"/>
      <c r="H7663" s="7" t="s">
        <v>7704</v>
      </c>
      <c r="I7663" s="9">
        <v>1766100</v>
      </c>
      <c r="J7663" s="10">
        <v>0.0361</v>
      </c>
    </row>
    <row r="7664" spans="1:10">
      <c r="A7664" s="7" t="s">
        <v>7698</v>
      </c>
      <c r="B7664" s="7" t="s">
        <v>9531</v>
      </c>
      <c r="C7664" s="8">
        <f>QS.CONTEXT.CREATE("market.7662",A7664,"USD","SOFR")</f>
        <v/>
      </c>
      <c r="D7664" s="8">
        <f>QS.CONTEXT.ADD.CURVE(C7664,"SOFR",$K$2:$K$7,$L$2:$L$7,,,"Actual360","LogLinear",TRUE)</f>
        <v/>
      </c>
      <c r="E7664" s="8">
        <f>QS.INSTRUMENT.SWAP("swap.7662",C7664,H7664,B7664,"USD","SOFR",I7664,J7664,0,"Actual360","Simple","Annual","Annual","Annual")</f>
        <v/>
      </c>
      <c r="F7664" s="8">
        <f>QS.TRADE.CREATE("trade.7662",C7664,E7664,A7664,"Receive")</f>
        <v/>
      </c>
      <c r="G7664" s="5"/>
      <c r="H7664" s="7" t="s">
        <v>7705</v>
      </c>
      <c r="I7664" s="9">
        <v>1766200</v>
      </c>
      <c r="J7664" s="10">
        <v>0.0362</v>
      </c>
    </row>
    <row r="7665" spans="1:10">
      <c r="A7665" s="7" t="s">
        <v>7699</v>
      </c>
      <c r="B7665" s="7" t="s">
        <v>9532</v>
      </c>
      <c r="C7665" s="8">
        <f>QS.CONTEXT.CREATE("market.7663",A7665,"USD","SOFR")</f>
        <v/>
      </c>
      <c r="D7665" s="8">
        <f>QS.CONTEXT.ADD.CURVE(C7665,"SOFR",$K$2:$K$7,$L$2:$L$7,,,"Actual360","LogLinear",TRUE)</f>
        <v/>
      </c>
      <c r="E7665" s="8">
        <f>QS.INSTRUMENT.SWAP("swap.7663",C7665,H7665,B7665,"USD","SOFR",I7665,J7665,0,"Actual360","Simple","Annual","Annual","Annual")</f>
        <v/>
      </c>
      <c r="F7665" s="8">
        <f>QS.TRADE.CREATE("trade.7663",C7665,E7665,A7665,"Receive")</f>
        <v/>
      </c>
      <c r="G7665" s="5"/>
      <c r="H7665" s="7" t="s">
        <v>7706</v>
      </c>
      <c r="I7665" s="9">
        <v>1766300</v>
      </c>
      <c r="J7665" s="10">
        <v>0.03630000000000001</v>
      </c>
    </row>
    <row r="7666" spans="1:10">
      <c r="A7666" s="7" t="s">
        <v>7700</v>
      </c>
      <c r="B7666" s="7" t="s">
        <v>9533</v>
      </c>
      <c r="C7666" s="8">
        <f>QS.CONTEXT.CREATE("market.7664",A7666,"USD","SOFR")</f>
        <v/>
      </c>
      <c r="D7666" s="8">
        <f>QS.CONTEXT.ADD.CURVE(C7666,"SOFR",$K$2:$K$7,$L$2:$L$7,,,"Actual360","LogLinear",TRUE)</f>
        <v/>
      </c>
      <c r="E7666" s="8">
        <f>QS.INSTRUMENT.SWAP("swap.7664",C7666,H7666,B7666,"USD","SOFR",I7666,J7666,0,"Actual360","Simple","Annual","Annual","Annual")</f>
        <v/>
      </c>
      <c r="F7666" s="8">
        <f>QS.TRADE.CREATE("trade.7664",C7666,E7666,A7666,"Receive")</f>
        <v/>
      </c>
      <c r="G7666" s="5"/>
      <c r="H7666" s="7" t="s">
        <v>7707</v>
      </c>
      <c r="I7666" s="9">
        <v>1766400</v>
      </c>
      <c r="J7666" s="10">
        <v>0.0364</v>
      </c>
    </row>
    <row r="7667" spans="1:10">
      <c r="A7667" s="7" t="s">
        <v>7701</v>
      </c>
      <c r="B7667" s="7" t="s">
        <v>9534</v>
      </c>
      <c r="C7667" s="8">
        <f>QS.CONTEXT.CREATE("market.7665",A7667,"USD","SOFR")</f>
        <v/>
      </c>
      <c r="D7667" s="8">
        <f>QS.CONTEXT.ADD.CURVE(C7667,"SOFR",$K$2:$K$7,$L$2:$L$7,,,"Actual360","LogLinear",TRUE)</f>
        <v/>
      </c>
      <c r="E7667" s="8">
        <f>QS.INSTRUMENT.SWAP("swap.7665",C7667,H7667,B7667,"USD","SOFR",I7667,J7667,0,"Actual360","Simple","Annual","Annual","Annual")</f>
        <v/>
      </c>
      <c r="F7667" s="8">
        <f>QS.TRADE.CREATE("trade.7665",C7667,E7667,A7667,"Receive")</f>
        <v/>
      </c>
      <c r="G7667" s="5"/>
      <c r="H7667" s="7" t="s">
        <v>7708</v>
      </c>
      <c r="I7667" s="9">
        <v>1766500</v>
      </c>
      <c r="J7667" s="10">
        <v>0.0365</v>
      </c>
    </row>
    <row r="7668" spans="1:10">
      <c r="A7668" s="7" t="s">
        <v>7702</v>
      </c>
      <c r="B7668" s="7" t="s">
        <v>9535</v>
      </c>
      <c r="C7668" s="8">
        <f>QS.CONTEXT.CREATE("market.7666",A7668,"USD","SOFR")</f>
        <v/>
      </c>
      <c r="D7668" s="8">
        <f>QS.CONTEXT.ADD.CURVE(C7668,"SOFR",$K$2:$K$7,$L$2:$L$7,,,"Actual360","LogLinear",TRUE)</f>
        <v/>
      </c>
      <c r="E7668" s="8">
        <f>QS.INSTRUMENT.SWAP("swap.7666",C7668,H7668,B7668,"USD","SOFR",I7668,J7668,0,"Actual360","Simple","Annual","Annual","Annual")</f>
        <v/>
      </c>
      <c r="F7668" s="8">
        <f>QS.TRADE.CREATE("trade.7666",C7668,E7668,A7668,"Receive")</f>
        <v/>
      </c>
      <c r="G7668" s="5"/>
      <c r="H7668" s="7" t="s">
        <v>7709</v>
      </c>
      <c r="I7668" s="9">
        <v>1766600</v>
      </c>
      <c r="J7668" s="10">
        <v>0.0366</v>
      </c>
    </row>
    <row r="7669" spans="1:10">
      <c r="A7669" s="7" t="s">
        <v>7703</v>
      </c>
      <c r="B7669" s="7" t="s">
        <v>9536</v>
      </c>
      <c r="C7669" s="8">
        <f>QS.CONTEXT.CREATE("market.7667",A7669,"USD","SOFR")</f>
        <v/>
      </c>
      <c r="D7669" s="8">
        <f>QS.CONTEXT.ADD.CURVE(C7669,"SOFR",$K$2:$K$7,$L$2:$L$7,,,"Actual360","LogLinear",TRUE)</f>
        <v/>
      </c>
      <c r="E7669" s="8">
        <f>QS.INSTRUMENT.SWAP("swap.7667",C7669,H7669,B7669,"USD","SOFR",I7669,J7669,0,"Actual360","Simple","Annual","Annual","Annual")</f>
        <v/>
      </c>
      <c r="F7669" s="8">
        <f>QS.TRADE.CREATE("trade.7667",C7669,E7669,A7669,"Receive")</f>
        <v/>
      </c>
      <c r="G7669" s="5"/>
      <c r="H7669" s="7" t="s">
        <v>7710</v>
      </c>
      <c r="I7669" s="9">
        <v>1766700</v>
      </c>
      <c r="J7669" s="10">
        <v>0.0367</v>
      </c>
    </row>
    <row r="7670" spans="1:10">
      <c r="A7670" s="7" t="s">
        <v>7704</v>
      </c>
      <c r="B7670" s="7" t="s">
        <v>9537</v>
      </c>
      <c r="C7670" s="8">
        <f>QS.CONTEXT.CREATE("market.7668",A7670,"USD","SOFR")</f>
        <v/>
      </c>
      <c r="D7670" s="8">
        <f>QS.CONTEXT.ADD.CURVE(C7670,"SOFR",$K$2:$K$7,$L$2:$L$7,,,"Actual360","LogLinear",TRUE)</f>
        <v/>
      </c>
      <c r="E7670" s="8">
        <f>QS.INSTRUMENT.SWAP("swap.7668",C7670,H7670,B7670,"USD","SOFR",I7670,J7670,0,"Actual360","Simple","Annual","Annual","Annual")</f>
        <v/>
      </c>
      <c r="F7670" s="8">
        <f>QS.TRADE.CREATE("trade.7668",C7670,E7670,A7670,"Receive")</f>
        <v/>
      </c>
      <c r="G7670" s="5"/>
      <c r="H7670" s="7" t="s">
        <v>7711</v>
      </c>
      <c r="I7670" s="9">
        <v>1766800</v>
      </c>
      <c r="J7670" s="10">
        <v>0.03680000000000001</v>
      </c>
    </row>
    <row r="7671" spans="1:10">
      <c r="A7671" s="7" t="s">
        <v>7705</v>
      </c>
      <c r="B7671" s="7" t="s">
        <v>9538</v>
      </c>
      <c r="C7671" s="8">
        <f>QS.CONTEXT.CREATE("market.7669",A7671,"USD","SOFR")</f>
        <v/>
      </c>
      <c r="D7671" s="8">
        <f>QS.CONTEXT.ADD.CURVE(C7671,"SOFR",$K$2:$K$7,$L$2:$L$7,,,"Actual360","LogLinear",TRUE)</f>
        <v/>
      </c>
      <c r="E7671" s="8">
        <f>QS.INSTRUMENT.SWAP("swap.7669",C7671,H7671,B7671,"USD","SOFR",I7671,J7671,0,"Actual360","Simple","Annual","Annual","Annual")</f>
        <v/>
      </c>
      <c r="F7671" s="8">
        <f>QS.TRADE.CREATE("trade.7669",C7671,E7671,A7671,"Receive")</f>
        <v/>
      </c>
      <c r="G7671" s="5"/>
      <c r="H7671" s="7" t="s">
        <v>7712</v>
      </c>
      <c r="I7671" s="9">
        <v>1766900</v>
      </c>
      <c r="J7671" s="10">
        <v>0.0369</v>
      </c>
    </row>
    <row r="7672" spans="1:10">
      <c r="A7672" s="7" t="s">
        <v>7706</v>
      </c>
      <c r="B7672" s="7" t="s">
        <v>9539</v>
      </c>
      <c r="C7672" s="8">
        <f>QS.CONTEXT.CREATE("market.7670",A7672,"USD","SOFR")</f>
        <v/>
      </c>
      <c r="D7672" s="8">
        <f>QS.CONTEXT.ADD.CURVE(C7672,"SOFR",$K$2:$K$7,$L$2:$L$7,,,"Actual360","LogLinear",TRUE)</f>
        <v/>
      </c>
      <c r="E7672" s="8">
        <f>QS.INSTRUMENT.SWAP("swap.7670",C7672,H7672,B7672,"USD","SOFR",I7672,J7672,0,"Actual360","Simple","Annual","Annual","Annual")</f>
        <v/>
      </c>
      <c r="F7672" s="8">
        <f>QS.TRADE.CREATE("trade.7670",C7672,E7672,A7672,"Receive")</f>
        <v/>
      </c>
      <c r="G7672" s="5"/>
      <c r="H7672" s="7" t="s">
        <v>7713</v>
      </c>
      <c r="I7672" s="9">
        <v>1767000</v>
      </c>
      <c r="J7672" s="10">
        <v>0.03700000000000001</v>
      </c>
    </row>
    <row r="7673" spans="1:10">
      <c r="A7673" s="7" t="s">
        <v>7707</v>
      </c>
      <c r="B7673" s="7" t="s">
        <v>9540</v>
      </c>
      <c r="C7673" s="8">
        <f>QS.CONTEXT.CREATE("market.7671",A7673,"USD","SOFR")</f>
        <v/>
      </c>
      <c r="D7673" s="8">
        <f>QS.CONTEXT.ADD.CURVE(C7673,"SOFR",$K$2:$K$7,$L$2:$L$7,,,"Actual360","LogLinear",TRUE)</f>
        <v/>
      </c>
      <c r="E7673" s="8">
        <f>QS.INSTRUMENT.SWAP("swap.7671",C7673,H7673,B7673,"USD","SOFR",I7673,J7673,0,"Actual360","Simple","Annual","Annual","Annual")</f>
        <v/>
      </c>
      <c r="F7673" s="8">
        <f>QS.TRADE.CREATE("trade.7671",C7673,E7673,A7673,"Receive")</f>
        <v/>
      </c>
      <c r="G7673" s="5"/>
      <c r="H7673" s="7" t="s">
        <v>7714</v>
      </c>
      <c r="I7673" s="9">
        <v>1767100</v>
      </c>
      <c r="J7673" s="10">
        <v>0.0371</v>
      </c>
    </row>
    <row r="7674" spans="1:10">
      <c r="A7674" s="7" t="s">
        <v>7708</v>
      </c>
      <c r="B7674" s="7" t="s">
        <v>9541</v>
      </c>
      <c r="C7674" s="8">
        <f>QS.CONTEXT.CREATE("market.7672",A7674,"USD","SOFR")</f>
        <v/>
      </c>
      <c r="D7674" s="8">
        <f>QS.CONTEXT.ADD.CURVE(C7674,"SOFR",$K$2:$K$7,$L$2:$L$7,,,"Actual360","LogLinear",TRUE)</f>
        <v/>
      </c>
      <c r="E7674" s="8">
        <f>QS.INSTRUMENT.SWAP("swap.7672",C7674,H7674,B7674,"USD","SOFR",I7674,J7674,0,"Actual360","Simple","Annual","Annual","Annual")</f>
        <v/>
      </c>
      <c r="F7674" s="8">
        <f>QS.TRADE.CREATE("trade.7672",C7674,E7674,A7674,"Receive")</f>
        <v/>
      </c>
      <c r="G7674" s="5"/>
      <c r="H7674" s="7" t="s">
        <v>7715</v>
      </c>
      <c r="I7674" s="9">
        <v>1767200</v>
      </c>
      <c r="J7674" s="10">
        <v>0.0372</v>
      </c>
    </row>
    <row r="7675" spans="1:10">
      <c r="A7675" s="7" t="s">
        <v>7709</v>
      </c>
      <c r="B7675" s="7" t="s">
        <v>9542</v>
      </c>
      <c r="C7675" s="8">
        <f>QS.CONTEXT.CREATE("market.7673",A7675,"USD","SOFR")</f>
        <v/>
      </c>
      <c r="D7675" s="8">
        <f>QS.CONTEXT.ADD.CURVE(C7675,"SOFR",$K$2:$K$7,$L$2:$L$7,,,"Actual360","LogLinear",TRUE)</f>
        <v/>
      </c>
      <c r="E7675" s="8">
        <f>QS.INSTRUMENT.SWAP("swap.7673",C7675,H7675,B7675,"USD","SOFR",I7675,J7675,0,"Actual360","Simple","Annual","Annual","Annual")</f>
        <v/>
      </c>
      <c r="F7675" s="8">
        <f>QS.TRADE.CREATE("trade.7673",C7675,E7675,A7675,"Receive")</f>
        <v/>
      </c>
      <c r="G7675" s="5"/>
      <c r="H7675" s="7" t="s">
        <v>7716</v>
      </c>
      <c r="I7675" s="9">
        <v>1767300</v>
      </c>
      <c r="J7675" s="10">
        <v>0.0373</v>
      </c>
    </row>
    <row r="7676" spans="1:10">
      <c r="A7676" s="7" t="s">
        <v>7710</v>
      </c>
      <c r="B7676" s="7" t="s">
        <v>9543</v>
      </c>
      <c r="C7676" s="8">
        <f>QS.CONTEXT.CREATE("market.7674",A7676,"USD","SOFR")</f>
        <v/>
      </c>
      <c r="D7676" s="8">
        <f>QS.CONTEXT.ADD.CURVE(C7676,"SOFR",$K$2:$K$7,$L$2:$L$7,,,"Actual360","LogLinear",TRUE)</f>
        <v/>
      </c>
      <c r="E7676" s="8">
        <f>QS.INSTRUMENT.SWAP("swap.7674",C7676,H7676,B7676,"USD","SOFR",I7676,J7676,0,"Actual360","Simple","Annual","Annual","Annual")</f>
        <v/>
      </c>
      <c r="F7676" s="8">
        <f>QS.TRADE.CREATE("trade.7674",C7676,E7676,A7676,"Receive")</f>
        <v/>
      </c>
      <c r="G7676" s="5"/>
      <c r="H7676" s="7" t="s">
        <v>7717</v>
      </c>
      <c r="I7676" s="9">
        <v>1767400</v>
      </c>
      <c r="J7676" s="10">
        <v>0.0374</v>
      </c>
    </row>
    <row r="7677" spans="1:10">
      <c r="A7677" s="7" t="s">
        <v>7711</v>
      </c>
      <c r="B7677" s="7" t="s">
        <v>9544</v>
      </c>
      <c r="C7677" s="8">
        <f>QS.CONTEXT.CREATE("market.7675",A7677,"USD","SOFR")</f>
        <v/>
      </c>
      <c r="D7677" s="8">
        <f>QS.CONTEXT.ADD.CURVE(C7677,"SOFR",$K$2:$K$7,$L$2:$L$7,,,"Actual360","LogLinear",TRUE)</f>
        <v/>
      </c>
      <c r="E7677" s="8">
        <f>QS.INSTRUMENT.SWAP("swap.7675",C7677,H7677,B7677,"USD","SOFR",I7677,J7677,0,"Actual360","Simple","Annual","Annual","Annual")</f>
        <v/>
      </c>
      <c r="F7677" s="8">
        <f>QS.TRADE.CREATE("trade.7675",C7677,E7677,A7677,"Receive")</f>
        <v/>
      </c>
      <c r="G7677" s="5"/>
      <c r="H7677" s="7" t="s">
        <v>7718</v>
      </c>
      <c r="I7677" s="9">
        <v>1767500</v>
      </c>
      <c r="J7677" s="10">
        <v>0.03750000000000001</v>
      </c>
    </row>
    <row r="7678" spans="1:10">
      <c r="A7678" s="7" t="s">
        <v>7712</v>
      </c>
      <c r="B7678" s="7" t="s">
        <v>9545</v>
      </c>
      <c r="C7678" s="8">
        <f>QS.CONTEXT.CREATE("market.7676",A7678,"USD","SOFR")</f>
        <v/>
      </c>
      <c r="D7678" s="8">
        <f>QS.CONTEXT.ADD.CURVE(C7678,"SOFR",$K$2:$K$7,$L$2:$L$7,,,"Actual360","LogLinear",TRUE)</f>
        <v/>
      </c>
      <c r="E7678" s="8">
        <f>QS.INSTRUMENT.SWAP("swap.7676",C7678,H7678,B7678,"USD","SOFR",I7678,J7678,0,"Actual360","Simple","Annual","Annual","Annual")</f>
        <v/>
      </c>
      <c r="F7678" s="8">
        <f>QS.TRADE.CREATE("trade.7676",C7678,E7678,A7678,"Receive")</f>
        <v/>
      </c>
      <c r="G7678" s="5"/>
      <c r="H7678" s="7" t="s">
        <v>7719</v>
      </c>
      <c r="I7678" s="9">
        <v>1767600</v>
      </c>
      <c r="J7678" s="10">
        <v>0.0376</v>
      </c>
    </row>
    <row r="7679" spans="1:10">
      <c r="A7679" s="7" t="s">
        <v>7713</v>
      </c>
      <c r="B7679" s="7" t="s">
        <v>9546</v>
      </c>
      <c r="C7679" s="8">
        <f>QS.CONTEXT.CREATE("market.7677",A7679,"USD","SOFR")</f>
        <v/>
      </c>
      <c r="D7679" s="8">
        <f>QS.CONTEXT.ADD.CURVE(C7679,"SOFR",$K$2:$K$7,$L$2:$L$7,,,"Actual360","LogLinear",TRUE)</f>
        <v/>
      </c>
      <c r="E7679" s="8">
        <f>QS.INSTRUMENT.SWAP("swap.7677",C7679,H7679,B7679,"USD","SOFR",I7679,J7679,0,"Actual360","Simple","Annual","Annual","Annual")</f>
        <v/>
      </c>
      <c r="F7679" s="8">
        <f>QS.TRADE.CREATE("trade.7677",C7679,E7679,A7679,"Receive")</f>
        <v/>
      </c>
      <c r="G7679" s="5"/>
      <c r="H7679" s="7" t="s">
        <v>7720</v>
      </c>
      <c r="I7679" s="9">
        <v>1767700</v>
      </c>
      <c r="J7679" s="10">
        <v>0.0377</v>
      </c>
    </row>
    <row r="7680" spans="1:10">
      <c r="A7680" s="7" t="s">
        <v>7714</v>
      </c>
      <c r="B7680" s="7" t="s">
        <v>9547</v>
      </c>
      <c r="C7680" s="8">
        <f>QS.CONTEXT.CREATE("market.7678",A7680,"USD","SOFR")</f>
        <v/>
      </c>
      <c r="D7680" s="8">
        <f>QS.CONTEXT.ADD.CURVE(C7680,"SOFR",$K$2:$K$7,$L$2:$L$7,,,"Actual360","LogLinear",TRUE)</f>
        <v/>
      </c>
      <c r="E7680" s="8">
        <f>QS.INSTRUMENT.SWAP("swap.7678",C7680,H7680,B7680,"USD","SOFR",I7680,J7680,0,"Actual360","Simple","Annual","Annual","Annual")</f>
        <v/>
      </c>
      <c r="F7680" s="8">
        <f>QS.TRADE.CREATE("trade.7678",C7680,E7680,A7680,"Receive")</f>
        <v/>
      </c>
      <c r="G7680" s="5"/>
      <c r="H7680" s="7" t="s">
        <v>7721</v>
      </c>
      <c r="I7680" s="9">
        <v>1767800</v>
      </c>
      <c r="J7680" s="10">
        <v>0.0378</v>
      </c>
    </row>
    <row r="7681" spans="1:10">
      <c r="A7681" s="7" t="s">
        <v>7715</v>
      </c>
      <c r="B7681" s="7" t="s">
        <v>9548</v>
      </c>
      <c r="C7681" s="8">
        <f>QS.CONTEXT.CREATE("market.7679",A7681,"USD","SOFR")</f>
        <v/>
      </c>
      <c r="D7681" s="8">
        <f>QS.CONTEXT.ADD.CURVE(C7681,"SOFR",$K$2:$K$7,$L$2:$L$7,,,"Actual360","LogLinear",TRUE)</f>
        <v/>
      </c>
      <c r="E7681" s="8">
        <f>QS.INSTRUMENT.SWAP("swap.7679",C7681,H7681,B7681,"USD","SOFR",I7681,J7681,0,"Actual360","Simple","Annual","Annual","Annual")</f>
        <v/>
      </c>
      <c r="F7681" s="8">
        <f>QS.TRADE.CREATE("trade.7679",C7681,E7681,A7681,"Receive")</f>
        <v/>
      </c>
      <c r="G7681" s="5"/>
      <c r="H7681" s="7" t="s">
        <v>7722</v>
      </c>
      <c r="I7681" s="9">
        <v>1767900</v>
      </c>
      <c r="J7681" s="10">
        <v>0.0379</v>
      </c>
    </row>
    <row r="7682" spans="1:10">
      <c r="A7682" s="7" t="s">
        <v>7716</v>
      </c>
      <c r="B7682" s="7" t="s">
        <v>9549</v>
      </c>
      <c r="C7682" s="8">
        <f>QS.CONTEXT.CREATE("market.7680",A7682,"USD","SOFR")</f>
        <v/>
      </c>
      <c r="D7682" s="8">
        <f>QS.CONTEXT.ADD.CURVE(C7682,"SOFR",$K$2:$K$7,$L$2:$L$7,,,"Actual360","LogLinear",TRUE)</f>
        <v/>
      </c>
      <c r="E7682" s="8">
        <f>QS.INSTRUMENT.SWAP("swap.7680",C7682,H7682,B7682,"USD","SOFR",I7682,J7682,0,"Actual360","Simple","Annual","Annual","Annual")</f>
        <v/>
      </c>
      <c r="F7682" s="8">
        <f>QS.TRADE.CREATE("trade.7680",C7682,E7682,A7682,"Receive")</f>
        <v/>
      </c>
      <c r="G7682" s="5"/>
      <c r="H7682" s="7" t="s">
        <v>7723</v>
      </c>
      <c r="I7682" s="9">
        <v>1768000</v>
      </c>
      <c r="J7682" s="10">
        <v>0.03800000000000001</v>
      </c>
    </row>
    <row r="7683" spans="1:10">
      <c r="A7683" s="7" t="s">
        <v>7717</v>
      </c>
      <c r="B7683" s="7" t="s">
        <v>9550</v>
      </c>
      <c r="C7683" s="8">
        <f>QS.CONTEXT.CREATE("market.7681",A7683,"USD","SOFR")</f>
        <v/>
      </c>
      <c r="D7683" s="8">
        <f>QS.CONTEXT.ADD.CURVE(C7683,"SOFR",$K$2:$K$7,$L$2:$L$7,,,"Actual360","LogLinear",TRUE)</f>
        <v/>
      </c>
      <c r="E7683" s="8">
        <f>QS.INSTRUMENT.SWAP("swap.7681",C7683,H7683,B7683,"USD","SOFR",I7683,J7683,0,"Actual360","Simple","Annual","Annual","Annual")</f>
        <v/>
      </c>
      <c r="F7683" s="8">
        <f>QS.TRADE.CREATE("trade.7681",C7683,E7683,A7683,"Receive")</f>
        <v/>
      </c>
      <c r="G7683" s="5"/>
      <c r="H7683" s="7" t="s">
        <v>7724</v>
      </c>
      <c r="I7683" s="9">
        <v>1768100</v>
      </c>
      <c r="J7683" s="10">
        <v>0.0381</v>
      </c>
    </row>
    <row r="7684" spans="1:10">
      <c r="A7684" s="7" t="s">
        <v>7718</v>
      </c>
      <c r="B7684" s="7" t="s">
        <v>9551</v>
      </c>
      <c r="C7684" s="8">
        <f>QS.CONTEXT.CREATE("market.7682",A7684,"USD","SOFR")</f>
        <v/>
      </c>
      <c r="D7684" s="8">
        <f>QS.CONTEXT.ADD.CURVE(C7684,"SOFR",$K$2:$K$7,$L$2:$L$7,,,"Actual360","LogLinear",TRUE)</f>
        <v/>
      </c>
      <c r="E7684" s="8">
        <f>QS.INSTRUMENT.SWAP("swap.7682",C7684,H7684,B7684,"USD","SOFR",I7684,J7684,0,"Actual360","Simple","Annual","Annual","Annual")</f>
        <v/>
      </c>
      <c r="F7684" s="8">
        <f>QS.TRADE.CREATE("trade.7682",C7684,E7684,A7684,"Receive")</f>
        <v/>
      </c>
      <c r="G7684" s="5"/>
      <c r="H7684" s="7" t="s">
        <v>7725</v>
      </c>
      <c r="I7684" s="9">
        <v>1768200</v>
      </c>
      <c r="J7684" s="10">
        <v>0.0382</v>
      </c>
    </row>
    <row r="7685" spans="1:10">
      <c r="A7685" s="7" t="s">
        <v>7719</v>
      </c>
      <c r="B7685" s="7" t="s">
        <v>9552</v>
      </c>
      <c r="C7685" s="8">
        <f>QS.CONTEXT.CREATE("market.7683",A7685,"USD","SOFR")</f>
        <v/>
      </c>
      <c r="D7685" s="8">
        <f>QS.CONTEXT.ADD.CURVE(C7685,"SOFR",$K$2:$K$7,$L$2:$L$7,,,"Actual360","LogLinear",TRUE)</f>
        <v/>
      </c>
      <c r="E7685" s="8">
        <f>QS.INSTRUMENT.SWAP("swap.7683",C7685,H7685,B7685,"USD","SOFR",I7685,J7685,0,"Actual360","Simple","Annual","Annual","Annual")</f>
        <v/>
      </c>
      <c r="F7685" s="8">
        <f>QS.TRADE.CREATE("trade.7683",C7685,E7685,A7685,"Receive")</f>
        <v/>
      </c>
      <c r="G7685" s="5"/>
      <c r="H7685" s="7" t="s">
        <v>7726</v>
      </c>
      <c r="I7685" s="9">
        <v>1768300</v>
      </c>
      <c r="J7685" s="10">
        <v>0.0383</v>
      </c>
    </row>
    <row r="7686" spans="1:10">
      <c r="A7686" s="7" t="s">
        <v>7720</v>
      </c>
      <c r="B7686" s="7" t="s">
        <v>9553</v>
      </c>
      <c r="C7686" s="8">
        <f>QS.CONTEXT.CREATE("market.7684",A7686,"USD","SOFR")</f>
        <v/>
      </c>
      <c r="D7686" s="8">
        <f>QS.CONTEXT.ADD.CURVE(C7686,"SOFR",$K$2:$K$7,$L$2:$L$7,,,"Actual360","LogLinear",TRUE)</f>
        <v/>
      </c>
      <c r="E7686" s="8">
        <f>QS.INSTRUMENT.SWAP("swap.7684",C7686,H7686,B7686,"USD","SOFR",I7686,J7686,0,"Actual360","Simple","Annual","Annual","Annual")</f>
        <v/>
      </c>
      <c r="F7686" s="8">
        <f>QS.TRADE.CREATE("trade.7684",C7686,E7686,A7686,"Receive")</f>
        <v/>
      </c>
      <c r="G7686" s="5"/>
      <c r="H7686" s="7" t="s">
        <v>7727</v>
      </c>
      <c r="I7686" s="9">
        <v>1768400</v>
      </c>
      <c r="J7686" s="10">
        <v>0.0384</v>
      </c>
    </row>
    <row r="7687" spans="1:10">
      <c r="A7687" s="7" t="s">
        <v>7721</v>
      </c>
      <c r="B7687" s="7" t="s">
        <v>9554</v>
      </c>
      <c r="C7687" s="8">
        <f>QS.CONTEXT.CREATE("market.7685",A7687,"USD","SOFR")</f>
        <v/>
      </c>
      <c r="D7687" s="8">
        <f>QS.CONTEXT.ADD.CURVE(C7687,"SOFR",$K$2:$K$7,$L$2:$L$7,,,"Actual360","LogLinear",TRUE)</f>
        <v/>
      </c>
      <c r="E7687" s="8">
        <f>QS.INSTRUMENT.SWAP("swap.7685",C7687,H7687,B7687,"USD","SOFR",I7687,J7687,0,"Actual360","Simple","Annual","Annual","Annual")</f>
        <v/>
      </c>
      <c r="F7687" s="8">
        <f>QS.TRADE.CREATE("trade.7685",C7687,E7687,A7687,"Receive")</f>
        <v/>
      </c>
      <c r="G7687" s="5"/>
      <c r="H7687" s="7" t="s">
        <v>7728</v>
      </c>
      <c r="I7687" s="9">
        <v>1768500</v>
      </c>
      <c r="J7687" s="10">
        <v>0.03850000000000001</v>
      </c>
    </row>
    <row r="7688" spans="1:10">
      <c r="A7688" s="7" t="s">
        <v>7722</v>
      </c>
      <c r="B7688" s="7" t="s">
        <v>9555</v>
      </c>
      <c r="C7688" s="8">
        <f>QS.CONTEXT.CREATE("market.7686",A7688,"USD","SOFR")</f>
        <v/>
      </c>
      <c r="D7688" s="8">
        <f>QS.CONTEXT.ADD.CURVE(C7688,"SOFR",$K$2:$K$7,$L$2:$L$7,,,"Actual360","LogLinear",TRUE)</f>
        <v/>
      </c>
      <c r="E7688" s="8">
        <f>QS.INSTRUMENT.SWAP("swap.7686",C7688,H7688,B7688,"USD","SOFR",I7688,J7688,0,"Actual360","Simple","Annual","Annual","Annual")</f>
        <v/>
      </c>
      <c r="F7688" s="8">
        <f>QS.TRADE.CREATE("trade.7686",C7688,E7688,A7688,"Receive")</f>
        <v/>
      </c>
      <c r="G7688" s="5"/>
      <c r="H7688" s="7" t="s">
        <v>7729</v>
      </c>
      <c r="I7688" s="9">
        <v>1768600</v>
      </c>
      <c r="J7688" s="10">
        <v>0.0386</v>
      </c>
    </row>
    <row r="7689" spans="1:10">
      <c r="A7689" s="7" t="s">
        <v>7723</v>
      </c>
      <c r="B7689" s="7" t="s">
        <v>9556</v>
      </c>
      <c r="C7689" s="8">
        <f>QS.CONTEXT.CREATE("market.7687",A7689,"USD","SOFR")</f>
        <v/>
      </c>
      <c r="D7689" s="8">
        <f>QS.CONTEXT.ADD.CURVE(C7689,"SOFR",$K$2:$K$7,$L$2:$L$7,,,"Actual360","LogLinear",TRUE)</f>
        <v/>
      </c>
      <c r="E7689" s="8">
        <f>QS.INSTRUMENT.SWAP("swap.7687",C7689,H7689,B7689,"USD","SOFR",I7689,J7689,0,"Actual360","Simple","Annual","Annual","Annual")</f>
        <v/>
      </c>
      <c r="F7689" s="8">
        <f>QS.TRADE.CREATE("trade.7687",C7689,E7689,A7689,"Receive")</f>
        <v/>
      </c>
      <c r="G7689" s="5"/>
      <c r="H7689" s="7" t="s">
        <v>7730</v>
      </c>
      <c r="I7689" s="9">
        <v>1768700</v>
      </c>
      <c r="J7689" s="10">
        <v>0.03870000000000001</v>
      </c>
    </row>
    <row r="7690" spans="1:10">
      <c r="A7690" s="7" t="s">
        <v>7724</v>
      </c>
      <c r="B7690" s="7" t="s">
        <v>9557</v>
      </c>
      <c r="C7690" s="8">
        <f>QS.CONTEXT.CREATE("market.7688",A7690,"USD","SOFR")</f>
        <v/>
      </c>
      <c r="D7690" s="8">
        <f>QS.CONTEXT.ADD.CURVE(C7690,"SOFR",$K$2:$K$7,$L$2:$L$7,,,"Actual360","LogLinear",TRUE)</f>
        <v/>
      </c>
      <c r="E7690" s="8">
        <f>QS.INSTRUMENT.SWAP("swap.7688",C7690,H7690,B7690,"USD","SOFR",I7690,J7690,0,"Actual360","Simple","Annual","Annual","Annual")</f>
        <v/>
      </c>
      <c r="F7690" s="8">
        <f>QS.TRADE.CREATE("trade.7688",C7690,E7690,A7690,"Receive")</f>
        <v/>
      </c>
      <c r="G7690" s="5"/>
      <c r="H7690" s="7" t="s">
        <v>7731</v>
      </c>
      <c r="I7690" s="9">
        <v>1768800</v>
      </c>
      <c r="J7690" s="10">
        <v>0.0388</v>
      </c>
    </row>
    <row r="7691" spans="1:10">
      <c r="A7691" s="7" t="s">
        <v>7725</v>
      </c>
      <c r="B7691" s="7" t="s">
        <v>9558</v>
      </c>
      <c r="C7691" s="8">
        <f>QS.CONTEXT.CREATE("market.7689",A7691,"USD","SOFR")</f>
        <v/>
      </c>
      <c r="D7691" s="8">
        <f>QS.CONTEXT.ADD.CURVE(C7691,"SOFR",$K$2:$K$7,$L$2:$L$7,,,"Actual360","LogLinear",TRUE)</f>
        <v/>
      </c>
      <c r="E7691" s="8">
        <f>QS.INSTRUMENT.SWAP("swap.7689",C7691,H7691,B7691,"USD","SOFR",I7691,J7691,0,"Actual360","Simple","Annual","Annual","Annual")</f>
        <v/>
      </c>
      <c r="F7691" s="8">
        <f>QS.TRADE.CREATE("trade.7689",C7691,E7691,A7691,"Receive")</f>
        <v/>
      </c>
      <c r="G7691" s="5"/>
      <c r="H7691" s="7" t="s">
        <v>7732</v>
      </c>
      <c r="I7691" s="9">
        <v>1768900</v>
      </c>
      <c r="J7691" s="10">
        <v>0.0389</v>
      </c>
    </row>
    <row r="7692" spans="1:10">
      <c r="A7692" s="7" t="s">
        <v>7726</v>
      </c>
      <c r="B7692" s="7" t="s">
        <v>9559</v>
      </c>
      <c r="C7692" s="8">
        <f>QS.CONTEXT.CREATE("market.7690",A7692,"USD","SOFR")</f>
        <v/>
      </c>
      <c r="D7692" s="8">
        <f>QS.CONTEXT.ADD.CURVE(C7692,"SOFR",$K$2:$K$7,$L$2:$L$7,,,"Actual360","LogLinear",TRUE)</f>
        <v/>
      </c>
      <c r="E7692" s="8">
        <f>QS.INSTRUMENT.SWAP("swap.7690",C7692,H7692,B7692,"USD","SOFR",I7692,J7692,0,"Actual360","Simple","Annual","Annual","Annual")</f>
        <v/>
      </c>
      <c r="F7692" s="8">
        <f>QS.TRADE.CREATE("trade.7690",C7692,E7692,A7692,"Receive")</f>
        <v/>
      </c>
      <c r="G7692" s="5"/>
      <c r="H7692" s="7" t="s">
        <v>7733</v>
      </c>
      <c r="I7692" s="9">
        <v>1769000</v>
      </c>
      <c r="J7692" s="10">
        <v>0.03900000000000001</v>
      </c>
    </row>
    <row r="7693" spans="1:10">
      <c r="A7693" s="7" t="s">
        <v>7727</v>
      </c>
      <c r="B7693" s="7" t="s">
        <v>9560</v>
      </c>
      <c r="C7693" s="8">
        <f>QS.CONTEXT.CREATE("market.7691",A7693,"USD","SOFR")</f>
        <v/>
      </c>
      <c r="D7693" s="8">
        <f>QS.CONTEXT.ADD.CURVE(C7693,"SOFR",$K$2:$K$7,$L$2:$L$7,,,"Actual360","LogLinear",TRUE)</f>
        <v/>
      </c>
      <c r="E7693" s="8">
        <f>QS.INSTRUMENT.SWAP("swap.7691",C7693,H7693,B7693,"USD","SOFR",I7693,J7693,0,"Actual360","Simple","Annual","Annual","Annual")</f>
        <v/>
      </c>
      <c r="F7693" s="8">
        <f>QS.TRADE.CREATE("trade.7691",C7693,E7693,A7693,"Receive")</f>
        <v/>
      </c>
      <c r="G7693" s="5"/>
      <c r="H7693" s="7" t="s">
        <v>7734</v>
      </c>
      <c r="I7693" s="9">
        <v>1769100</v>
      </c>
      <c r="J7693" s="10">
        <v>0.0391</v>
      </c>
    </row>
    <row r="7694" spans="1:10">
      <c r="A7694" s="7" t="s">
        <v>7728</v>
      </c>
      <c r="B7694" s="7" t="s">
        <v>9561</v>
      </c>
      <c r="C7694" s="8">
        <f>QS.CONTEXT.CREATE("market.7692",A7694,"USD","SOFR")</f>
        <v/>
      </c>
      <c r="D7694" s="8">
        <f>QS.CONTEXT.ADD.CURVE(C7694,"SOFR",$K$2:$K$7,$L$2:$L$7,,,"Actual360","LogLinear",TRUE)</f>
        <v/>
      </c>
      <c r="E7694" s="8">
        <f>QS.INSTRUMENT.SWAP("swap.7692",C7694,H7694,B7694,"USD","SOFR",I7694,J7694,0,"Actual360","Simple","Annual","Annual","Annual")</f>
        <v/>
      </c>
      <c r="F7694" s="8">
        <f>QS.TRADE.CREATE("trade.7692",C7694,E7694,A7694,"Receive")</f>
        <v/>
      </c>
      <c r="G7694" s="5"/>
      <c r="H7694" s="7" t="s">
        <v>7735</v>
      </c>
      <c r="I7694" s="9">
        <v>1769200</v>
      </c>
      <c r="J7694" s="10">
        <v>0.03920000000000001</v>
      </c>
    </row>
    <row r="7695" spans="1:10">
      <c r="A7695" s="7" t="s">
        <v>7729</v>
      </c>
      <c r="B7695" s="7" t="s">
        <v>9562</v>
      </c>
      <c r="C7695" s="8">
        <f>QS.CONTEXT.CREATE("market.7693",A7695,"USD","SOFR")</f>
        <v/>
      </c>
      <c r="D7695" s="8">
        <f>QS.CONTEXT.ADD.CURVE(C7695,"SOFR",$K$2:$K$7,$L$2:$L$7,,,"Actual360","LogLinear",TRUE)</f>
        <v/>
      </c>
      <c r="E7695" s="8">
        <f>QS.INSTRUMENT.SWAP("swap.7693",C7695,H7695,B7695,"USD","SOFR",I7695,J7695,0,"Actual360","Simple","Annual","Annual","Annual")</f>
        <v/>
      </c>
      <c r="F7695" s="8">
        <f>QS.TRADE.CREATE("trade.7693",C7695,E7695,A7695,"Receive")</f>
        <v/>
      </c>
      <c r="G7695" s="5"/>
      <c r="H7695" s="7" t="s">
        <v>7736</v>
      </c>
      <c r="I7695" s="9">
        <v>1769300</v>
      </c>
      <c r="J7695" s="10">
        <v>0.0393</v>
      </c>
    </row>
    <row r="7696" spans="1:10">
      <c r="A7696" s="7" t="s">
        <v>7730</v>
      </c>
      <c r="B7696" s="7" t="s">
        <v>9563</v>
      </c>
      <c r="C7696" s="8">
        <f>QS.CONTEXT.CREATE("market.7694",A7696,"USD","SOFR")</f>
        <v/>
      </c>
      <c r="D7696" s="8">
        <f>QS.CONTEXT.ADD.CURVE(C7696,"SOFR",$K$2:$K$7,$L$2:$L$7,,,"Actual360","LogLinear",TRUE)</f>
        <v/>
      </c>
      <c r="E7696" s="8">
        <f>QS.INSTRUMENT.SWAP("swap.7694",C7696,H7696,B7696,"USD","SOFR",I7696,J7696,0,"Actual360","Simple","Annual","Annual","Annual")</f>
        <v/>
      </c>
      <c r="F7696" s="8">
        <f>QS.TRADE.CREATE("trade.7694",C7696,E7696,A7696,"Receive")</f>
        <v/>
      </c>
      <c r="G7696" s="5"/>
      <c r="H7696" s="7" t="s">
        <v>7737</v>
      </c>
      <c r="I7696" s="9">
        <v>1769400</v>
      </c>
      <c r="J7696" s="10">
        <v>0.0394</v>
      </c>
    </row>
    <row r="7697" spans="1:10">
      <c r="A7697" s="7" t="s">
        <v>7731</v>
      </c>
      <c r="B7697" s="7" t="s">
        <v>9564</v>
      </c>
      <c r="C7697" s="8">
        <f>QS.CONTEXT.CREATE("market.7695",A7697,"USD","SOFR")</f>
        <v/>
      </c>
      <c r="D7697" s="8">
        <f>QS.CONTEXT.ADD.CURVE(C7697,"SOFR",$K$2:$K$7,$L$2:$L$7,,,"Actual360","LogLinear",TRUE)</f>
        <v/>
      </c>
      <c r="E7697" s="8">
        <f>QS.INSTRUMENT.SWAP("swap.7695",C7697,H7697,B7697,"USD","SOFR",I7697,J7697,0,"Actual360","Simple","Annual","Annual","Annual")</f>
        <v/>
      </c>
      <c r="F7697" s="8">
        <f>QS.TRADE.CREATE("trade.7695",C7697,E7697,A7697,"Receive")</f>
        <v/>
      </c>
      <c r="G7697" s="5"/>
      <c r="H7697" s="7" t="s">
        <v>7738</v>
      </c>
      <c r="I7697" s="9">
        <v>1769500</v>
      </c>
      <c r="J7697" s="10">
        <v>0.03950000000000001</v>
      </c>
    </row>
    <row r="7698" spans="1:10">
      <c r="A7698" s="7" t="s">
        <v>7732</v>
      </c>
      <c r="B7698" s="7" t="s">
        <v>9565</v>
      </c>
      <c r="C7698" s="8">
        <f>QS.CONTEXT.CREATE("market.7696",A7698,"USD","SOFR")</f>
        <v/>
      </c>
      <c r="D7698" s="8">
        <f>QS.CONTEXT.ADD.CURVE(C7698,"SOFR",$K$2:$K$7,$L$2:$L$7,,,"Actual360","LogLinear",TRUE)</f>
        <v/>
      </c>
      <c r="E7698" s="8">
        <f>QS.INSTRUMENT.SWAP("swap.7696",C7698,H7698,B7698,"USD","SOFR",I7698,J7698,0,"Actual360","Simple","Annual","Annual","Annual")</f>
        <v/>
      </c>
      <c r="F7698" s="8">
        <f>QS.TRADE.CREATE("trade.7696",C7698,E7698,A7698,"Receive")</f>
        <v/>
      </c>
      <c r="G7698" s="5"/>
      <c r="H7698" s="7" t="s">
        <v>7739</v>
      </c>
      <c r="I7698" s="9">
        <v>1769600</v>
      </c>
      <c r="J7698" s="10">
        <v>0.0396</v>
      </c>
    </row>
    <row r="7699" spans="1:10">
      <c r="A7699" s="7" t="s">
        <v>7733</v>
      </c>
      <c r="B7699" s="7" t="s">
        <v>9566</v>
      </c>
      <c r="C7699" s="8">
        <f>QS.CONTEXT.CREATE("market.7697",A7699,"USD","SOFR")</f>
        <v/>
      </c>
      <c r="D7699" s="8">
        <f>QS.CONTEXT.ADD.CURVE(C7699,"SOFR",$K$2:$K$7,$L$2:$L$7,,,"Actual360","LogLinear",TRUE)</f>
        <v/>
      </c>
      <c r="E7699" s="8">
        <f>QS.INSTRUMENT.SWAP("swap.7697",C7699,H7699,B7699,"USD","SOFR",I7699,J7699,0,"Actual360","Simple","Annual","Annual","Annual")</f>
        <v/>
      </c>
      <c r="F7699" s="8">
        <f>QS.TRADE.CREATE("trade.7697",C7699,E7699,A7699,"Receive")</f>
        <v/>
      </c>
      <c r="G7699" s="5"/>
      <c r="H7699" s="7" t="s">
        <v>7740</v>
      </c>
      <c r="I7699" s="9">
        <v>1769700</v>
      </c>
      <c r="J7699" s="10">
        <v>0.03970000000000001</v>
      </c>
    </row>
    <row r="7700" spans="1:10">
      <c r="A7700" s="7" t="s">
        <v>7734</v>
      </c>
      <c r="B7700" s="7" t="s">
        <v>9567</v>
      </c>
      <c r="C7700" s="8">
        <f>QS.CONTEXT.CREATE("market.7698",A7700,"USD","SOFR")</f>
        <v/>
      </c>
      <c r="D7700" s="8">
        <f>QS.CONTEXT.ADD.CURVE(C7700,"SOFR",$K$2:$K$7,$L$2:$L$7,,,"Actual360","LogLinear",TRUE)</f>
        <v/>
      </c>
      <c r="E7700" s="8">
        <f>QS.INSTRUMENT.SWAP("swap.7698",C7700,H7700,B7700,"USD","SOFR",I7700,J7700,0,"Actual360","Simple","Annual","Annual","Annual")</f>
        <v/>
      </c>
      <c r="F7700" s="8">
        <f>QS.TRADE.CREATE("trade.7698",C7700,E7700,A7700,"Receive")</f>
        <v/>
      </c>
      <c r="G7700" s="5"/>
      <c r="H7700" s="7" t="s">
        <v>7741</v>
      </c>
      <c r="I7700" s="9">
        <v>1769800</v>
      </c>
      <c r="J7700" s="10">
        <v>0.0398</v>
      </c>
    </row>
    <row r="7701" spans="1:10">
      <c r="A7701" s="7" t="s">
        <v>7735</v>
      </c>
      <c r="B7701" s="7" t="s">
        <v>9568</v>
      </c>
      <c r="C7701" s="8">
        <f>QS.CONTEXT.CREATE("market.7699",A7701,"USD","SOFR")</f>
        <v/>
      </c>
      <c r="D7701" s="8">
        <f>QS.CONTEXT.ADD.CURVE(C7701,"SOFR",$K$2:$K$7,$L$2:$L$7,,,"Actual360","LogLinear",TRUE)</f>
        <v/>
      </c>
      <c r="E7701" s="8">
        <f>QS.INSTRUMENT.SWAP("swap.7699",C7701,H7701,B7701,"USD","SOFR",I7701,J7701,0,"Actual360","Simple","Annual","Annual","Annual")</f>
        <v/>
      </c>
      <c r="F7701" s="8">
        <f>QS.TRADE.CREATE("trade.7699",C7701,E7701,A7701,"Receive")</f>
        <v/>
      </c>
      <c r="G7701" s="5"/>
      <c r="H7701" s="7" t="s">
        <v>7742</v>
      </c>
      <c r="I7701" s="9">
        <v>1769900</v>
      </c>
      <c r="J7701" s="10">
        <v>0.0399</v>
      </c>
    </row>
    <row r="7702" spans="1:10">
      <c r="A7702" s="7" t="s">
        <v>7736</v>
      </c>
      <c r="B7702" s="7" t="s">
        <v>9569</v>
      </c>
      <c r="C7702" s="8">
        <f>QS.CONTEXT.CREATE("market.7700",A7702,"USD","SOFR")</f>
        <v/>
      </c>
      <c r="D7702" s="8">
        <f>QS.CONTEXT.ADD.CURVE(C7702,"SOFR",$K$2:$K$7,$L$2:$L$7,,,"Actual360","LogLinear",TRUE)</f>
        <v/>
      </c>
      <c r="E7702" s="8">
        <f>QS.INSTRUMENT.SWAP("swap.7700",C7702,H7702,B7702,"USD","SOFR",I7702,J7702,0,"Actual360","Simple","Annual","Annual","Annual")</f>
        <v/>
      </c>
      <c r="F7702" s="8">
        <f>QS.TRADE.CREATE("trade.7700",C7702,E7702,A7702,"Receive")</f>
        <v/>
      </c>
      <c r="G7702" s="5"/>
      <c r="H7702" s="7" t="s">
        <v>7743</v>
      </c>
      <c r="I7702" s="9">
        <v>1770000</v>
      </c>
      <c r="J7702" s="10">
        <v>0.035</v>
      </c>
    </row>
    <row r="7703" spans="1:10">
      <c r="A7703" s="7" t="s">
        <v>7737</v>
      </c>
      <c r="B7703" s="7" t="s">
        <v>9570</v>
      </c>
      <c r="C7703" s="8">
        <f>QS.CONTEXT.CREATE("market.7701",A7703,"USD","SOFR")</f>
        <v/>
      </c>
      <c r="D7703" s="8">
        <f>QS.CONTEXT.ADD.CURVE(C7703,"SOFR",$K$2:$K$7,$L$2:$L$7,,,"Actual360","LogLinear",TRUE)</f>
        <v/>
      </c>
      <c r="E7703" s="8">
        <f>QS.INSTRUMENT.SWAP("swap.7701",C7703,H7703,B7703,"USD","SOFR",I7703,J7703,0,"Actual360","Simple","Annual","Annual","Annual")</f>
        <v/>
      </c>
      <c r="F7703" s="8">
        <f>QS.TRADE.CREATE("trade.7701",C7703,E7703,A7703,"Receive")</f>
        <v/>
      </c>
      <c r="G7703" s="5"/>
      <c r="H7703" s="7" t="s">
        <v>7744</v>
      </c>
      <c r="I7703" s="9">
        <v>1770100</v>
      </c>
      <c r="J7703" s="10">
        <v>0.03510000000000001</v>
      </c>
    </row>
    <row r="7704" spans="1:10">
      <c r="A7704" s="7" t="s">
        <v>7738</v>
      </c>
      <c r="B7704" s="7" t="s">
        <v>9571</v>
      </c>
      <c r="C7704" s="8">
        <f>QS.CONTEXT.CREATE("market.7702",A7704,"USD","SOFR")</f>
        <v/>
      </c>
      <c r="D7704" s="8">
        <f>QS.CONTEXT.ADD.CURVE(C7704,"SOFR",$K$2:$K$7,$L$2:$L$7,,,"Actual360","LogLinear",TRUE)</f>
        <v/>
      </c>
      <c r="E7704" s="8">
        <f>QS.INSTRUMENT.SWAP("swap.7702",C7704,H7704,B7704,"USD","SOFR",I7704,J7704,0,"Actual360","Simple","Annual","Annual","Annual")</f>
        <v/>
      </c>
      <c r="F7704" s="8">
        <f>QS.TRADE.CREATE("trade.7702",C7704,E7704,A7704,"Receive")</f>
        <v/>
      </c>
      <c r="G7704" s="5"/>
      <c r="H7704" s="7" t="s">
        <v>7745</v>
      </c>
      <c r="I7704" s="9">
        <v>1770200</v>
      </c>
      <c r="J7704" s="10">
        <v>0.0352</v>
      </c>
    </row>
    <row r="7705" spans="1:10">
      <c r="A7705" s="7" t="s">
        <v>7739</v>
      </c>
      <c r="B7705" s="7" t="s">
        <v>9572</v>
      </c>
      <c r="C7705" s="8">
        <f>QS.CONTEXT.CREATE("market.7703",A7705,"USD","SOFR")</f>
        <v/>
      </c>
      <c r="D7705" s="8">
        <f>QS.CONTEXT.ADD.CURVE(C7705,"SOFR",$K$2:$K$7,$L$2:$L$7,,,"Actual360","LogLinear",TRUE)</f>
        <v/>
      </c>
      <c r="E7705" s="8">
        <f>QS.INSTRUMENT.SWAP("swap.7703",C7705,H7705,B7705,"USD","SOFR",I7705,J7705,0,"Actual360","Simple","Annual","Annual","Annual")</f>
        <v/>
      </c>
      <c r="F7705" s="8">
        <f>QS.TRADE.CREATE("trade.7703",C7705,E7705,A7705,"Receive")</f>
        <v/>
      </c>
      <c r="G7705" s="5"/>
      <c r="H7705" s="7" t="s">
        <v>7746</v>
      </c>
      <c r="I7705" s="9">
        <v>1770300</v>
      </c>
      <c r="J7705" s="10">
        <v>0.0353</v>
      </c>
    </row>
    <row r="7706" spans="1:10">
      <c r="A7706" s="7" t="s">
        <v>7740</v>
      </c>
      <c r="B7706" s="7" t="s">
        <v>9573</v>
      </c>
      <c r="C7706" s="8">
        <f>QS.CONTEXT.CREATE("market.7704",A7706,"USD","SOFR")</f>
        <v/>
      </c>
      <c r="D7706" s="8">
        <f>QS.CONTEXT.ADD.CURVE(C7706,"SOFR",$K$2:$K$7,$L$2:$L$7,,,"Actual360","LogLinear",TRUE)</f>
        <v/>
      </c>
      <c r="E7706" s="8">
        <f>QS.INSTRUMENT.SWAP("swap.7704",C7706,H7706,B7706,"USD","SOFR",I7706,J7706,0,"Actual360","Simple","Annual","Annual","Annual")</f>
        <v/>
      </c>
      <c r="F7706" s="8">
        <f>QS.TRADE.CREATE("trade.7704",C7706,E7706,A7706,"Receive")</f>
        <v/>
      </c>
      <c r="G7706" s="5"/>
      <c r="H7706" s="7" t="s">
        <v>7747</v>
      </c>
      <c r="I7706" s="9">
        <v>1770400</v>
      </c>
      <c r="J7706" s="10">
        <v>0.0354</v>
      </c>
    </row>
    <row r="7707" spans="1:10">
      <c r="A7707" s="7" t="s">
        <v>7741</v>
      </c>
      <c r="B7707" s="7" t="s">
        <v>9574</v>
      </c>
      <c r="C7707" s="8">
        <f>QS.CONTEXT.CREATE("market.7705",A7707,"USD","SOFR")</f>
        <v/>
      </c>
      <c r="D7707" s="8">
        <f>QS.CONTEXT.ADD.CURVE(C7707,"SOFR",$K$2:$K$7,$L$2:$L$7,,,"Actual360","LogLinear",TRUE)</f>
        <v/>
      </c>
      <c r="E7707" s="8">
        <f>QS.INSTRUMENT.SWAP("swap.7705",C7707,H7707,B7707,"USD","SOFR",I7707,J7707,0,"Actual360","Simple","Annual","Annual","Annual")</f>
        <v/>
      </c>
      <c r="F7707" s="8">
        <f>QS.TRADE.CREATE("trade.7705",C7707,E7707,A7707,"Receive")</f>
        <v/>
      </c>
      <c r="G7707" s="5"/>
      <c r="H7707" s="7" t="s">
        <v>7748</v>
      </c>
      <c r="I7707" s="9">
        <v>1770500</v>
      </c>
      <c r="J7707" s="10">
        <v>0.0355</v>
      </c>
    </row>
    <row r="7708" spans="1:10">
      <c r="A7708" s="7" t="s">
        <v>7742</v>
      </c>
      <c r="B7708" s="7" t="s">
        <v>9575</v>
      </c>
      <c r="C7708" s="8">
        <f>QS.CONTEXT.CREATE("market.7706",A7708,"USD","SOFR")</f>
        <v/>
      </c>
      <c r="D7708" s="8">
        <f>QS.CONTEXT.ADD.CURVE(C7708,"SOFR",$K$2:$K$7,$L$2:$L$7,,,"Actual360","LogLinear",TRUE)</f>
        <v/>
      </c>
      <c r="E7708" s="8">
        <f>QS.INSTRUMENT.SWAP("swap.7706",C7708,H7708,B7708,"USD","SOFR",I7708,J7708,0,"Actual360","Simple","Annual","Annual","Annual")</f>
        <v/>
      </c>
      <c r="F7708" s="8">
        <f>QS.TRADE.CREATE("trade.7706",C7708,E7708,A7708,"Receive")</f>
        <v/>
      </c>
      <c r="G7708" s="5"/>
      <c r="H7708" s="7" t="s">
        <v>7749</v>
      </c>
      <c r="I7708" s="9">
        <v>1770600</v>
      </c>
      <c r="J7708" s="10">
        <v>0.03560000000000001</v>
      </c>
    </row>
    <row r="7709" spans="1:10">
      <c r="A7709" s="7" t="s">
        <v>7743</v>
      </c>
      <c r="B7709" s="7" t="s">
        <v>9576</v>
      </c>
      <c r="C7709" s="8">
        <f>QS.CONTEXT.CREATE("market.7707",A7709,"USD","SOFR")</f>
        <v/>
      </c>
      <c r="D7709" s="8">
        <f>QS.CONTEXT.ADD.CURVE(C7709,"SOFR",$K$2:$K$7,$L$2:$L$7,,,"Actual360","LogLinear",TRUE)</f>
        <v/>
      </c>
      <c r="E7709" s="8">
        <f>QS.INSTRUMENT.SWAP("swap.7707",C7709,H7709,B7709,"USD","SOFR",I7709,J7709,0,"Actual360","Simple","Annual","Annual","Annual")</f>
        <v/>
      </c>
      <c r="F7709" s="8">
        <f>QS.TRADE.CREATE("trade.7707",C7709,E7709,A7709,"Receive")</f>
        <v/>
      </c>
      <c r="G7709" s="5"/>
      <c r="H7709" s="7" t="s">
        <v>7750</v>
      </c>
      <c r="I7709" s="9">
        <v>1770700</v>
      </c>
      <c r="J7709" s="10">
        <v>0.0357</v>
      </c>
    </row>
    <row r="7710" spans="1:10">
      <c r="A7710" s="7" t="s">
        <v>7744</v>
      </c>
      <c r="B7710" s="7" t="s">
        <v>9577</v>
      </c>
      <c r="C7710" s="8">
        <f>QS.CONTEXT.CREATE("market.7708",A7710,"USD","SOFR")</f>
        <v/>
      </c>
      <c r="D7710" s="8">
        <f>QS.CONTEXT.ADD.CURVE(C7710,"SOFR",$K$2:$K$7,$L$2:$L$7,,,"Actual360","LogLinear",TRUE)</f>
        <v/>
      </c>
      <c r="E7710" s="8">
        <f>QS.INSTRUMENT.SWAP("swap.7708",C7710,H7710,B7710,"USD","SOFR",I7710,J7710,0,"Actual360","Simple","Annual","Annual","Annual")</f>
        <v/>
      </c>
      <c r="F7710" s="8">
        <f>QS.TRADE.CREATE("trade.7708",C7710,E7710,A7710,"Receive")</f>
        <v/>
      </c>
      <c r="G7710" s="5"/>
      <c r="H7710" s="7" t="s">
        <v>7751</v>
      </c>
      <c r="I7710" s="9">
        <v>1770800</v>
      </c>
      <c r="J7710" s="10">
        <v>0.03580000000000001</v>
      </c>
    </row>
    <row r="7711" spans="1:10">
      <c r="A7711" s="7" t="s">
        <v>7745</v>
      </c>
      <c r="B7711" s="7" t="s">
        <v>9578</v>
      </c>
      <c r="C7711" s="8">
        <f>QS.CONTEXT.CREATE("market.7709",A7711,"USD","SOFR")</f>
        <v/>
      </c>
      <c r="D7711" s="8">
        <f>QS.CONTEXT.ADD.CURVE(C7711,"SOFR",$K$2:$K$7,$L$2:$L$7,,,"Actual360","LogLinear",TRUE)</f>
        <v/>
      </c>
      <c r="E7711" s="8">
        <f>QS.INSTRUMENT.SWAP("swap.7709",C7711,H7711,B7711,"USD","SOFR",I7711,J7711,0,"Actual360","Simple","Annual","Annual","Annual")</f>
        <v/>
      </c>
      <c r="F7711" s="8">
        <f>QS.TRADE.CREATE("trade.7709",C7711,E7711,A7711,"Receive")</f>
        <v/>
      </c>
      <c r="G7711" s="5"/>
      <c r="H7711" s="7" t="s">
        <v>7752</v>
      </c>
      <c r="I7711" s="9">
        <v>1770900</v>
      </c>
      <c r="J7711" s="10">
        <v>0.0359</v>
      </c>
    </row>
    <row r="7712" spans="1:10">
      <c r="A7712" s="7" t="s">
        <v>7746</v>
      </c>
      <c r="B7712" s="7" t="s">
        <v>9579</v>
      </c>
      <c r="C7712" s="8">
        <f>QS.CONTEXT.CREATE("market.7710",A7712,"USD","SOFR")</f>
        <v/>
      </c>
      <c r="D7712" s="8">
        <f>QS.CONTEXT.ADD.CURVE(C7712,"SOFR",$K$2:$K$7,$L$2:$L$7,,,"Actual360","LogLinear",TRUE)</f>
        <v/>
      </c>
      <c r="E7712" s="8">
        <f>QS.INSTRUMENT.SWAP("swap.7710",C7712,H7712,B7712,"USD","SOFR",I7712,J7712,0,"Actual360","Simple","Annual","Annual","Annual")</f>
        <v/>
      </c>
      <c r="F7712" s="8">
        <f>QS.TRADE.CREATE("trade.7710",C7712,E7712,A7712,"Receive")</f>
        <v/>
      </c>
      <c r="G7712" s="5"/>
      <c r="H7712" s="7" t="s">
        <v>7753</v>
      </c>
      <c r="I7712" s="9">
        <v>1771000</v>
      </c>
      <c r="J7712" s="10">
        <v>0.036</v>
      </c>
    </row>
    <row r="7713" spans="1:10">
      <c r="A7713" s="7" t="s">
        <v>7747</v>
      </c>
      <c r="B7713" s="7" t="s">
        <v>9580</v>
      </c>
      <c r="C7713" s="8">
        <f>QS.CONTEXT.CREATE("market.7711",A7713,"USD","SOFR")</f>
        <v/>
      </c>
      <c r="D7713" s="8">
        <f>QS.CONTEXT.ADD.CURVE(C7713,"SOFR",$K$2:$K$7,$L$2:$L$7,,,"Actual360","LogLinear",TRUE)</f>
        <v/>
      </c>
      <c r="E7713" s="8">
        <f>QS.INSTRUMENT.SWAP("swap.7711",C7713,H7713,B7713,"USD","SOFR",I7713,J7713,0,"Actual360","Simple","Annual","Annual","Annual")</f>
        <v/>
      </c>
      <c r="F7713" s="8">
        <f>QS.TRADE.CREATE("trade.7711",C7713,E7713,A7713,"Receive")</f>
        <v/>
      </c>
      <c r="G7713" s="5"/>
      <c r="H7713" s="7" t="s">
        <v>7754</v>
      </c>
      <c r="I7713" s="9">
        <v>1771100</v>
      </c>
      <c r="J7713" s="10">
        <v>0.0361</v>
      </c>
    </row>
    <row r="7714" spans="1:10">
      <c r="A7714" s="7" t="s">
        <v>7748</v>
      </c>
      <c r="B7714" s="7" t="s">
        <v>9581</v>
      </c>
      <c r="C7714" s="8">
        <f>QS.CONTEXT.CREATE("market.7712",A7714,"USD","SOFR")</f>
        <v/>
      </c>
      <c r="D7714" s="8">
        <f>QS.CONTEXT.ADD.CURVE(C7714,"SOFR",$K$2:$K$7,$L$2:$L$7,,,"Actual360","LogLinear",TRUE)</f>
        <v/>
      </c>
      <c r="E7714" s="8">
        <f>QS.INSTRUMENT.SWAP("swap.7712",C7714,H7714,B7714,"USD","SOFR",I7714,J7714,0,"Actual360","Simple","Annual","Annual","Annual")</f>
        <v/>
      </c>
      <c r="F7714" s="8">
        <f>QS.TRADE.CREATE("trade.7712",C7714,E7714,A7714,"Receive")</f>
        <v/>
      </c>
      <c r="G7714" s="5"/>
      <c r="H7714" s="7" t="s">
        <v>7755</v>
      </c>
      <c r="I7714" s="9">
        <v>1771200</v>
      </c>
      <c r="J7714" s="10">
        <v>0.0362</v>
      </c>
    </row>
    <row r="7715" spans="1:10">
      <c r="A7715" s="7" t="s">
        <v>7749</v>
      </c>
      <c r="B7715" s="7" t="s">
        <v>9582</v>
      </c>
      <c r="C7715" s="8">
        <f>QS.CONTEXT.CREATE("market.7713",A7715,"USD","SOFR")</f>
        <v/>
      </c>
      <c r="D7715" s="8">
        <f>QS.CONTEXT.ADD.CURVE(C7715,"SOFR",$K$2:$K$7,$L$2:$L$7,,,"Actual360","LogLinear",TRUE)</f>
        <v/>
      </c>
      <c r="E7715" s="8">
        <f>QS.INSTRUMENT.SWAP("swap.7713",C7715,H7715,B7715,"USD","SOFR",I7715,J7715,0,"Actual360","Simple","Annual","Annual","Annual")</f>
        <v/>
      </c>
      <c r="F7715" s="8">
        <f>QS.TRADE.CREATE("trade.7713",C7715,E7715,A7715,"Receive")</f>
        <v/>
      </c>
      <c r="G7715" s="5"/>
      <c r="H7715" s="7" t="s">
        <v>7756</v>
      </c>
      <c r="I7715" s="9">
        <v>1771300</v>
      </c>
      <c r="J7715" s="10">
        <v>0.03630000000000001</v>
      </c>
    </row>
    <row r="7716" spans="1:10">
      <c r="A7716" s="7" t="s">
        <v>7750</v>
      </c>
      <c r="B7716" s="7" t="s">
        <v>9583</v>
      </c>
      <c r="C7716" s="8">
        <f>QS.CONTEXT.CREATE("market.7714",A7716,"USD","SOFR")</f>
        <v/>
      </c>
      <c r="D7716" s="8">
        <f>QS.CONTEXT.ADD.CURVE(C7716,"SOFR",$K$2:$K$7,$L$2:$L$7,,,"Actual360","LogLinear",TRUE)</f>
        <v/>
      </c>
      <c r="E7716" s="8">
        <f>QS.INSTRUMENT.SWAP("swap.7714",C7716,H7716,B7716,"USD","SOFR",I7716,J7716,0,"Actual360","Simple","Annual","Annual","Annual")</f>
        <v/>
      </c>
      <c r="F7716" s="8">
        <f>QS.TRADE.CREATE("trade.7714",C7716,E7716,A7716,"Receive")</f>
        <v/>
      </c>
      <c r="G7716" s="5"/>
      <c r="H7716" s="7" t="s">
        <v>7757</v>
      </c>
      <c r="I7716" s="9">
        <v>1771400</v>
      </c>
      <c r="J7716" s="10">
        <v>0.0364</v>
      </c>
    </row>
    <row r="7717" spans="1:10">
      <c r="A7717" s="7" t="s">
        <v>7751</v>
      </c>
      <c r="B7717" s="7" t="s">
        <v>9584</v>
      </c>
      <c r="C7717" s="8">
        <f>QS.CONTEXT.CREATE("market.7715",A7717,"USD","SOFR")</f>
        <v/>
      </c>
      <c r="D7717" s="8">
        <f>QS.CONTEXT.ADD.CURVE(C7717,"SOFR",$K$2:$K$7,$L$2:$L$7,,,"Actual360","LogLinear",TRUE)</f>
        <v/>
      </c>
      <c r="E7717" s="8">
        <f>QS.INSTRUMENT.SWAP("swap.7715",C7717,H7717,B7717,"USD","SOFR",I7717,J7717,0,"Actual360","Simple","Annual","Annual","Annual")</f>
        <v/>
      </c>
      <c r="F7717" s="8">
        <f>QS.TRADE.CREATE("trade.7715",C7717,E7717,A7717,"Receive")</f>
        <v/>
      </c>
      <c r="G7717" s="5"/>
      <c r="H7717" s="7" t="s">
        <v>7758</v>
      </c>
      <c r="I7717" s="9">
        <v>1771500</v>
      </c>
      <c r="J7717" s="10">
        <v>0.0365</v>
      </c>
    </row>
    <row r="7718" spans="1:10">
      <c r="A7718" s="7" t="s">
        <v>7752</v>
      </c>
      <c r="B7718" s="7" t="s">
        <v>9585</v>
      </c>
      <c r="C7718" s="8">
        <f>QS.CONTEXT.CREATE("market.7716",A7718,"USD","SOFR")</f>
        <v/>
      </c>
      <c r="D7718" s="8">
        <f>QS.CONTEXT.ADD.CURVE(C7718,"SOFR",$K$2:$K$7,$L$2:$L$7,,,"Actual360","LogLinear",TRUE)</f>
        <v/>
      </c>
      <c r="E7718" s="8">
        <f>QS.INSTRUMENT.SWAP("swap.7716",C7718,H7718,B7718,"USD","SOFR",I7718,J7718,0,"Actual360","Simple","Annual","Annual","Annual")</f>
        <v/>
      </c>
      <c r="F7718" s="8">
        <f>QS.TRADE.CREATE("trade.7716",C7718,E7718,A7718,"Receive")</f>
        <v/>
      </c>
      <c r="G7718" s="5"/>
      <c r="H7718" s="7" t="s">
        <v>7759</v>
      </c>
      <c r="I7718" s="9">
        <v>1771600</v>
      </c>
      <c r="J7718" s="10">
        <v>0.0366</v>
      </c>
    </row>
    <row r="7719" spans="1:10">
      <c r="A7719" s="7" t="s">
        <v>7753</v>
      </c>
      <c r="B7719" s="7" t="s">
        <v>9586</v>
      </c>
      <c r="C7719" s="8">
        <f>QS.CONTEXT.CREATE("market.7717",A7719,"USD","SOFR")</f>
        <v/>
      </c>
      <c r="D7719" s="8">
        <f>QS.CONTEXT.ADD.CURVE(C7719,"SOFR",$K$2:$K$7,$L$2:$L$7,,,"Actual360","LogLinear",TRUE)</f>
        <v/>
      </c>
      <c r="E7719" s="8">
        <f>QS.INSTRUMENT.SWAP("swap.7717",C7719,H7719,B7719,"USD","SOFR",I7719,J7719,0,"Actual360","Simple","Annual","Annual","Annual")</f>
        <v/>
      </c>
      <c r="F7719" s="8">
        <f>QS.TRADE.CREATE("trade.7717",C7719,E7719,A7719,"Receive")</f>
        <v/>
      </c>
      <c r="G7719" s="5"/>
      <c r="H7719" s="7" t="s">
        <v>7760</v>
      </c>
      <c r="I7719" s="9">
        <v>1771700</v>
      </c>
      <c r="J7719" s="10">
        <v>0.0367</v>
      </c>
    </row>
    <row r="7720" spans="1:10">
      <c r="A7720" s="7" t="s">
        <v>7754</v>
      </c>
      <c r="B7720" s="7" t="s">
        <v>9587</v>
      </c>
      <c r="C7720" s="8">
        <f>QS.CONTEXT.CREATE("market.7718",A7720,"USD","SOFR")</f>
        <v/>
      </c>
      <c r="D7720" s="8">
        <f>QS.CONTEXT.ADD.CURVE(C7720,"SOFR",$K$2:$K$7,$L$2:$L$7,,,"Actual360","LogLinear",TRUE)</f>
        <v/>
      </c>
      <c r="E7720" s="8">
        <f>QS.INSTRUMENT.SWAP("swap.7718",C7720,H7720,B7720,"USD","SOFR",I7720,J7720,0,"Actual360","Simple","Annual","Annual","Annual")</f>
        <v/>
      </c>
      <c r="F7720" s="8">
        <f>QS.TRADE.CREATE("trade.7718",C7720,E7720,A7720,"Receive")</f>
        <v/>
      </c>
      <c r="G7720" s="5"/>
      <c r="H7720" s="7" t="s">
        <v>7761</v>
      </c>
      <c r="I7720" s="9">
        <v>1771800</v>
      </c>
      <c r="J7720" s="10">
        <v>0.03680000000000001</v>
      </c>
    </row>
    <row r="7721" spans="1:10">
      <c r="A7721" s="7" t="s">
        <v>7755</v>
      </c>
      <c r="B7721" s="7" t="s">
        <v>9588</v>
      </c>
      <c r="C7721" s="8">
        <f>QS.CONTEXT.CREATE("market.7719",A7721,"USD","SOFR")</f>
        <v/>
      </c>
      <c r="D7721" s="8">
        <f>QS.CONTEXT.ADD.CURVE(C7721,"SOFR",$K$2:$K$7,$L$2:$L$7,,,"Actual360","LogLinear",TRUE)</f>
        <v/>
      </c>
      <c r="E7721" s="8">
        <f>QS.INSTRUMENT.SWAP("swap.7719",C7721,H7721,B7721,"USD","SOFR",I7721,J7721,0,"Actual360","Simple","Annual","Annual","Annual")</f>
        <v/>
      </c>
      <c r="F7721" s="8">
        <f>QS.TRADE.CREATE("trade.7719",C7721,E7721,A7721,"Receive")</f>
        <v/>
      </c>
      <c r="G7721" s="5"/>
      <c r="H7721" s="7" t="s">
        <v>7762</v>
      </c>
      <c r="I7721" s="9">
        <v>1771900</v>
      </c>
      <c r="J7721" s="10">
        <v>0.0369</v>
      </c>
    </row>
    <row r="7722" spans="1:10">
      <c r="A7722" s="7" t="s">
        <v>7756</v>
      </c>
      <c r="B7722" s="7" t="s">
        <v>9589</v>
      </c>
      <c r="C7722" s="8">
        <f>QS.CONTEXT.CREATE("market.7720",A7722,"USD","SOFR")</f>
        <v/>
      </c>
      <c r="D7722" s="8">
        <f>QS.CONTEXT.ADD.CURVE(C7722,"SOFR",$K$2:$K$7,$L$2:$L$7,,,"Actual360","LogLinear",TRUE)</f>
        <v/>
      </c>
      <c r="E7722" s="8">
        <f>QS.INSTRUMENT.SWAP("swap.7720",C7722,H7722,B7722,"USD","SOFR",I7722,J7722,0,"Actual360","Simple","Annual","Annual","Annual")</f>
        <v/>
      </c>
      <c r="F7722" s="8">
        <f>QS.TRADE.CREATE("trade.7720",C7722,E7722,A7722,"Receive")</f>
        <v/>
      </c>
      <c r="G7722" s="5"/>
      <c r="H7722" s="7" t="s">
        <v>7763</v>
      </c>
      <c r="I7722" s="9">
        <v>1772000</v>
      </c>
      <c r="J7722" s="10">
        <v>0.03700000000000001</v>
      </c>
    </row>
    <row r="7723" spans="1:10">
      <c r="A7723" s="7" t="s">
        <v>7757</v>
      </c>
      <c r="B7723" s="7" t="s">
        <v>9590</v>
      </c>
      <c r="C7723" s="8">
        <f>QS.CONTEXT.CREATE("market.7721",A7723,"USD","SOFR")</f>
        <v/>
      </c>
      <c r="D7723" s="8">
        <f>QS.CONTEXT.ADD.CURVE(C7723,"SOFR",$K$2:$K$7,$L$2:$L$7,,,"Actual360","LogLinear",TRUE)</f>
        <v/>
      </c>
      <c r="E7723" s="8">
        <f>QS.INSTRUMENT.SWAP("swap.7721",C7723,H7723,B7723,"USD","SOFR",I7723,J7723,0,"Actual360","Simple","Annual","Annual","Annual")</f>
        <v/>
      </c>
      <c r="F7723" s="8">
        <f>QS.TRADE.CREATE("trade.7721",C7723,E7723,A7723,"Receive")</f>
        <v/>
      </c>
      <c r="G7723" s="5"/>
      <c r="H7723" s="7" t="s">
        <v>7764</v>
      </c>
      <c r="I7723" s="9">
        <v>1772100</v>
      </c>
      <c r="J7723" s="10">
        <v>0.0371</v>
      </c>
    </row>
    <row r="7724" spans="1:10">
      <c r="A7724" s="7" t="s">
        <v>7758</v>
      </c>
      <c r="B7724" s="7" t="s">
        <v>9591</v>
      </c>
      <c r="C7724" s="8">
        <f>QS.CONTEXT.CREATE("market.7722",A7724,"USD","SOFR")</f>
        <v/>
      </c>
      <c r="D7724" s="8">
        <f>QS.CONTEXT.ADD.CURVE(C7724,"SOFR",$K$2:$K$7,$L$2:$L$7,,,"Actual360","LogLinear",TRUE)</f>
        <v/>
      </c>
      <c r="E7724" s="8">
        <f>QS.INSTRUMENT.SWAP("swap.7722",C7724,H7724,B7724,"USD","SOFR",I7724,J7724,0,"Actual360","Simple","Annual","Annual","Annual")</f>
        <v/>
      </c>
      <c r="F7724" s="8">
        <f>QS.TRADE.CREATE("trade.7722",C7724,E7724,A7724,"Receive")</f>
        <v/>
      </c>
      <c r="G7724" s="5"/>
      <c r="H7724" s="7" t="s">
        <v>7765</v>
      </c>
      <c r="I7724" s="9">
        <v>1772200</v>
      </c>
      <c r="J7724" s="10">
        <v>0.0372</v>
      </c>
    </row>
    <row r="7725" spans="1:10">
      <c r="A7725" s="7" t="s">
        <v>7759</v>
      </c>
      <c r="B7725" s="7" t="s">
        <v>9592</v>
      </c>
      <c r="C7725" s="8">
        <f>QS.CONTEXT.CREATE("market.7723",A7725,"USD","SOFR")</f>
        <v/>
      </c>
      <c r="D7725" s="8">
        <f>QS.CONTEXT.ADD.CURVE(C7725,"SOFR",$K$2:$K$7,$L$2:$L$7,,,"Actual360","LogLinear",TRUE)</f>
        <v/>
      </c>
      <c r="E7725" s="8">
        <f>QS.INSTRUMENT.SWAP("swap.7723",C7725,H7725,B7725,"USD","SOFR",I7725,J7725,0,"Actual360","Simple","Annual","Annual","Annual")</f>
        <v/>
      </c>
      <c r="F7725" s="8">
        <f>QS.TRADE.CREATE("trade.7723",C7725,E7725,A7725,"Receive")</f>
        <v/>
      </c>
      <c r="G7725" s="5"/>
      <c r="H7725" s="7" t="s">
        <v>7766</v>
      </c>
      <c r="I7725" s="9">
        <v>1772300</v>
      </c>
      <c r="J7725" s="10">
        <v>0.0373</v>
      </c>
    </row>
    <row r="7726" spans="1:10">
      <c r="A7726" s="7" t="s">
        <v>7760</v>
      </c>
      <c r="B7726" s="7" t="s">
        <v>9593</v>
      </c>
      <c r="C7726" s="8">
        <f>QS.CONTEXT.CREATE("market.7724",A7726,"USD","SOFR")</f>
        <v/>
      </c>
      <c r="D7726" s="8">
        <f>QS.CONTEXT.ADD.CURVE(C7726,"SOFR",$K$2:$K$7,$L$2:$L$7,,,"Actual360","LogLinear",TRUE)</f>
        <v/>
      </c>
      <c r="E7726" s="8">
        <f>QS.INSTRUMENT.SWAP("swap.7724",C7726,H7726,B7726,"USD","SOFR",I7726,J7726,0,"Actual360","Simple","Annual","Annual","Annual")</f>
        <v/>
      </c>
      <c r="F7726" s="8">
        <f>QS.TRADE.CREATE("trade.7724",C7726,E7726,A7726,"Receive")</f>
        <v/>
      </c>
      <c r="G7726" s="5"/>
      <c r="H7726" s="7" t="s">
        <v>7767</v>
      </c>
      <c r="I7726" s="9">
        <v>1772400</v>
      </c>
      <c r="J7726" s="10">
        <v>0.0374</v>
      </c>
    </row>
    <row r="7727" spans="1:10">
      <c r="A7727" s="7" t="s">
        <v>7761</v>
      </c>
      <c r="B7727" s="7" t="s">
        <v>9594</v>
      </c>
      <c r="C7727" s="8">
        <f>QS.CONTEXT.CREATE("market.7725",A7727,"USD","SOFR")</f>
        <v/>
      </c>
      <c r="D7727" s="8">
        <f>QS.CONTEXT.ADD.CURVE(C7727,"SOFR",$K$2:$K$7,$L$2:$L$7,,,"Actual360","LogLinear",TRUE)</f>
        <v/>
      </c>
      <c r="E7727" s="8">
        <f>QS.INSTRUMENT.SWAP("swap.7725",C7727,H7727,B7727,"USD","SOFR",I7727,J7727,0,"Actual360","Simple","Annual","Annual","Annual")</f>
        <v/>
      </c>
      <c r="F7727" s="8">
        <f>QS.TRADE.CREATE("trade.7725",C7727,E7727,A7727,"Receive")</f>
        <v/>
      </c>
      <c r="G7727" s="5"/>
      <c r="H7727" s="7" t="s">
        <v>7768</v>
      </c>
      <c r="I7727" s="9">
        <v>1772500</v>
      </c>
      <c r="J7727" s="10">
        <v>0.03750000000000001</v>
      </c>
    </row>
    <row r="7728" spans="1:10">
      <c r="A7728" s="7" t="s">
        <v>7762</v>
      </c>
      <c r="B7728" s="7" t="s">
        <v>9595</v>
      </c>
      <c r="C7728" s="8">
        <f>QS.CONTEXT.CREATE("market.7726",A7728,"USD","SOFR")</f>
        <v/>
      </c>
      <c r="D7728" s="8">
        <f>QS.CONTEXT.ADD.CURVE(C7728,"SOFR",$K$2:$K$7,$L$2:$L$7,,,"Actual360","LogLinear",TRUE)</f>
        <v/>
      </c>
      <c r="E7728" s="8">
        <f>QS.INSTRUMENT.SWAP("swap.7726",C7728,H7728,B7728,"USD","SOFR",I7728,J7728,0,"Actual360","Simple","Annual","Annual","Annual")</f>
        <v/>
      </c>
      <c r="F7728" s="8">
        <f>QS.TRADE.CREATE("trade.7726",C7728,E7728,A7728,"Receive")</f>
        <v/>
      </c>
      <c r="G7728" s="5"/>
      <c r="H7728" s="7" t="s">
        <v>7769</v>
      </c>
      <c r="I7728" s="9">
        <v>1772600</v>
      </c>
      <c r="J7728" s="10">
        <v>0.0376</v>
      </c>
    </row>
    <row r="7729" spans="1:10">
      <c r="A7729" s="7" t="s">
        <v>7763</v>
      </c>
      <c r="B7729" s="7" t="s">
        <v>9596</v>
      </c>
      <c r="C7729" s="8">
        <f>QS.CONTEXT.CREATE("market.7727",A7729,"USD","SOFR")</f>
        <v/>
      </c>
      <c r="D7729" s="8">
        <f>QS.CONTEXT.ADD.CURVE(C7729,"SOFR",$K$2:$K$7,$L$2:$L$7,,,"Actual360","LogLinear",TRUE)</f>
        <v/>
      </c>
      <c r="E7729" s="8">
        <f>QS.INSTRUMENT.SWAP("swap.7727",C7729,H7729,B7729,"USD","SOFR",I7729,J7729,0,"Actual360","Simple","Annual","Annual","Annual")</f>
        <v/>
      </c>
      <c r="F7729" s="8">
        <f>QS.TRADE.CREATE("trade.7727",C7729,E7729,A7729,"Receive")</f>
        <v/>
      </c>
      <c r="G7729" s="5"/>
      <c r="H7729" s="7" t="s">
        <v>7770</v>
      </c>
      <c r="I7729" s="9">
        <v>1772700</v>
      </c>
      <c r="J7729" s="10">
        <v>0.0377</v>
      </c>
    </row>
    <row r="7730" spans="1:10">
      <c r="A7730" s="7" t="s">
        <v>7764</v>
      </c>
      <c r="B7730" s="7" t="s">
        <v>9597</v>
      </c>
      <c r="C7730" s="8">
        <f>QS.CONTEXT.CREATE("market.7728",A7730,"USD","SOFR")</f>
        <v/>
      </c>
      <c r="D7730" s="8">
        <f>QS.CONTEXT.ADD.CURVE(C7730,"SOFR",$K$2:$K$7,$L$2:$L$7,,,"Actual360","LogLinear",TRUE)</f>
        <v/>
      </c>
      <c r="E7730" s="8">
        <f>QS.INSTRUMENT.SWAP("swap.7728",C7730,H7730,B7730,"USD","SOFR",I7730,J7730,0,"Actual360","Simple","Annual","Annual","Annual")</f>
        <v/>
      </c>
      <c r="F7730" s="8">
        <f>QS.TRADE.CREATE("trade.7728",C7730,E7730,A7730,"Receive")</f>
        <v/>
      </c>
      <c r="G7730" s="5"/>
      <c r="H7730" s="7" t="s">
        <v>7771</v>
      </c>
      <c r="I7730" s="9">
        <v>1772800</v>
      </c>
      <c r="J7730" s="10">
        <v>0.0378</v>
      </c>
    </row>
    <row r="7731" spans="1:10">
      <c r="A7731" s="7" t="s">
        <v>7765</v>
      </c>
      <c r="B7731" s="7" t="s">
        <v>9598</v>
      </c>
      <c r="C7731" s="8">
        <f>QS.CONTEXT.CREATE("market.7729",A7731,"USD","SOFR")</f>
        <v/>
      </c>
      <c r="D7731" s="8">
        <f>QS.CONTEXT.ADD.CURVE(C7731,"SOFR",$K$2:$K$7,$L$2:$L$7,,,"Actual360","LogLinear",TRUE)</f>
        <v/>
      </c>
      <c r="E7731" s="8">
        <f>QS.INSTRUMENT.SWAP("swap.7729",C7731,H7731,B7731,"USD","SOFR",I7731,J7731,0,"Actual360","Simple","Annual","Annual","Annual")</f>
        <v/>
      </c>
      <c r="F7731" s="8">
        <f>QS.TRADE.CREATE("trade.7729",C7731,E7731,A7731,"Receive")</f>
        <v/>
      </c>
      <c r="G7731" s="5"/>
      <c r="H7731" s="7" t="s">
        <v>7772</v>
      </c>
      <c r="I7731" s="9">
        <v>1772900</v>
      </c>
      <c r="J7731" s="10">
        <v>0.0379</v>
      </c>
    </row>
    <row r="7732" spans="1:10">
      <c r="A7732" s="7" t="s">
        <v>7766</v>
      </c>
      <c r="B7732" s="7" t="s">
        <v>9599</v>
      </c>
      <c r="C7732" s="8">
        <f>QS.CONTEXT.CREATE("market.7730",A7732,"USD","SOFR")</f>
        <v/>
      </c>
      <c r="D7732" s="8">
        <f>QS.CONTEXT.ADD.CURVE(C7732,"SOFR",$K$2:$K$7,$L$2:$L$7,,,"Actual360","LogLinear",TRUE)</f>
        <v/>
      </c>
      <c r="E7732" s="8">
        <f>QS.INSTRUMENT.SWAP("swap.7730",C7732,H7732,B7732,"USD","SOFR",I7732,J7732,0,"Actual360","Simple","Annual","Annual","Annual")</f>
        <v/>
      </c>
      <c r="F7732" s="8">
        <f>QS.TRADE.CREATE("trade.7730",C7732,E7732,A7732,"Receive")</f>
        <v/>
      </c>
      <c r="G7732" s="5"/>
      <c r="H7732" s="7" t="s">
        <v>7773</v>
      </c>
      <c r="I7732" s="9">
        <v>1773000</v>
      </c>
      <c r="J7732" s="10">
        <v>0.03800000000000001</v>
      </c>
    </row>
    <row r="7733" spans="1:10">
      <c r="A7733" s="7" t="s">
        <v>7767</v>
      </c>
      <c r="B7733" s="7" t="s">
        <v>9600</v>
      </c>
      <c r="C7733" s="8">
        <f>QS.CONTEXT.CREATE("market.7731",A7733,"USD","SOFR")</f>
        <v/>
      </c>
      <c r="D7733" s="8">
        <f>QS.CONTEXT.ADD.CURVE(C7733,"SOFR",$K$2:$K$7,$L$2:$L$7,,,"Actual360","LogLinear",TRUE)</f>
        <v/>
      </c>
      <c r="E7733" s="8">
        <f>QS.INSTRUMENT.SWAP("swap.7731",C7733,H7733,B7733,"USD","SOFR",I7733,J7733,0,"Actual360","Simple","Annual","Annual","Annual")</f>
        <v/>
      </c>
      <c r="F7733" s="8">
        <f>QS.TRADE.CREATE("trade.7731",C7733,E7733,A7733,"Receive")</f>
        <v/>
      </c>
      <c r="G7733" s="5"/>
      <c r="H7733" s="7" t="s">
        <v>7774</v>
      </c>
      <c r="I7733" s="9">
        <v>1773100</v>
      </c>
      <c r="J7733" s="10">
        <v>0.0381</v>
      </c>
    </row>
    <row r="7734" spans="1:10">
      <c r="A7734" s="7" t="s">
        <v>7768</v>
      </c>
      <c r="B7734" s="7" t="s">
        <v>9601</v>
      </c>
      <c r="C7734" s="8">
        <f>QS.CONTEXT.CREATE("market.7732",A7734,"USD","SOFR")</f>
        <v/>
      </c>
      <c r="D7734" s="8">
        <f>QS.CONTEXT.ADD.CURVE(C7734,"SOFR",$K$2:$K$7,$L$2:$L$7,,,"Actual360","LogLinear",TRUE)</f>
        <v/>
      </c>
      <c r="E7734" s="8">
        <f>QS.INSTRUMENT.SWAP("swap.7732",C7734,H7734,B7734,"USD","SOFR",I7734,J7734,0,"Actual360","Simple","Annual","Annual","Annual")</f>
        <v/>
      </c>
      <c r="F7734" s="8">
        <f>QS.TRADE.CREATE("trade.7732",C7734,E7734,A7734,"Receive")</f>
        <v/>
      </c>
      <c r="G7734" s="5"/>
      <c r="H7734" s="7" t="s">
        <v>7775</v>
      </c>
      <c r="I7734" s="9">
        <v>1773200</v>
      </c>
      <c r="J7734" s="10">
        <v>0.0382</v>
      </c>
    </row>
    <row r="7735" spans="1:10">
      <c r="A7735" s="7" t="s">
        <v>7769</v>
      </c>
      <c r="B7735" s="7" t="s">
        <v>9602</v>
      </c>
      <c r="C7735" s="8">
        <f>QS.CONTEXT.CREATE("market.7733",A7735,"USD","SOFR")</f>
        <v/>
      </c>
      <c r="D7735" s="8">
        <f>QS.CONTEXT.ADD.CURVE(C7735,"SOFR",$K$2:$K$7,$L$2:$L$7,,,"Actual360","LogLinear",TRUE)</f>
        <v/>
      </c>
      <c r="E7735" s="8">
        <f>QS.INSTRUMENT.SWAP("swap.7733",C7735,H7735,B7735,"USD","SOFR",I7735,J7735,0,"Actual360","Simple","Annual","Annual","Annual")</f>
        <v/>
      </c>
      <c r="F7735" s="8">
        <f>QS.TRADE.CREATE("trade.7733",C7735,E7735,A7735,"Receive")</f>
        <v/>
      </c>
      <c r="G7735" s="5"/>
      <c r="H7735" s="7" t="s">
        <v>7776</v>
      </c>
      <c r="I7735" s="9">
        <v>1773300</v>
      </c>
      <c r="J7735" s="10">
        <v>0.0383</v>
      </c>
    </row>
    <row r="7736" spans="1:10">
      <c r="A7736" s="7" t="s">
        <v>7770</v>
      </c>
      <c r="B7736" s="7" t="s">
        <v>9603</v>
      </c>
      <c r="C7736" s="8">
        <f>QS.CONTEXT.CREATE("market.7734",A7736,"USD","SOFR")</f>
        <v/>
      </c>
      <c r="D7736" s="8">
        <f>QS.CONTEXT.ADD.CURVE(C7736,"SOFR",$K$2:$K$7,$L$2:$L$7,,,"Actual360","LogLinear",TRUE)</f>
        <v/>
      </c>
      <c r="E7736" s="8">
        <f>QS.INSTRUMENT.SWAP("swap.7734",C7736,H7736,B7736,"USD","SOFR",I7736,J7736,0,"Actual360","Simple","Annual","Annual","Annual")</f>
        <v/>
      </c>
      <c r="F7736" s="8">
        <f>QS.TRADE.CREATE("trade.7734",C7736,E7736,A7736,"Receive")</f>
        <v/>
      </c>
      <c r="G7736" s="5"/>
      <c r="H7736" s="7" t="s">
        <v>7777</v>
      </c>
      <c r="I7736" s="9">
        <v>1773400</v>
      </c>
      <c r="J7736" s="10">
        <v>0.0384</v>
      </c>
    </row>
    <row r="7737" spans="1:10">
      <c r="A7737" s="7" t="s">
        <v>7771</v>
      </c>
      <c r="B7737" s="7" t="s">
        <v>9604</v>
      </c>
      <c r="C7737" s="8">
        <f>QS.CONTEXT.CREATE("market.7735",A7737,"USD","SOFR")</f>
        <v/>
      </c>
      <c r="D7737" s="8">
        <f>QS.CONTEXT.ADD.CURVE(C7737,"SOFR",$K$2:$K$7,$L$2:$L$7,,,"Actual360","LogLinear",TRUE)</f>
        <v/>
      </c>
      <c r="E7737" s="8">
        <f>QS.INSTRUMENT.SWAP("swap.7735",C7737,H7737,B7737,"USD","SOFR",I7737,J7737,0,"Actual360","Simple","Annual","Annual","Annual")</f>
        <v/>
      </c>
      <c r="F7737" s="8">
        <f>QS.TRADE.CREATE("trade.7735",C7737,E7737,A7737,"Receive")</f>
        <v/>
      </c>
      <c r="G7737" s="5"/>
      <c r="H7737" s="7" t="s">
        <v>7778</v>
      </c>
      <c r="I7737" s="9">
        <v>1773500</v>
      </c>
      <c r="J7737" s="10">
        <v>0.03850000000000001</v>
      </c>
    </row>
    <row r="7738" spans="1:10">
      <c r="A7738" s="7" t="s">
        <v>7772</v>
      </c>
      <c r="B7738" s="7" t="s">
        <v>9605</v>
      </c>
      <c r="C7738" s="8">
        <f>QS.CONTEXT.CREATE("market.7736",A7738,"USD","SOFR")</f>
        <v/>
      </c>
      <c r="D7738" s="8">
        <f>QS.CONTEXT.ADD.CURVE(C7738,"SOFR",$K$2:$K$7,$L$2:$L$7,,,"Actual360","LogLinear",TRUE)</f>
        <v/>
      </c>
      <c r="E7738" s="8">
        <f>QS.INSTRUMENT.SWAP("swap.7736",C7738,H7738,B7738,"USD","SOFR",I7738,J7738,0,"Actual360","Simple","Annual","Annual","Annual")</f>
        <v/>
      </c>
      <c r="F7738" s="8">
        <f>QS.TRADE.CREATE("trade.7736",C7738,E7738,A7738,"Receive")</f>
        <v/>
      </c>
      <c r="G7738" s="5"/>
      <c r="H7738" s="7" t="s">
        <v>7779</v>
      </c>
      <c r="I7738" s="9">
        <v>1773600</v>
      </c>
      <c r="J7738" s="10">
        <v>0.0386</v>
      </c>
    </row>
    <row r="7739" spans="1:10">
      <c r="A7739" s="7" t="s">
        <v>7773</v>
      </c>
      <c r="B7739" s="7" t="s">
        <v>9606</v>
      </c>
      <c r="C7739" s="8">
        <f>QS.CONTEXT.CREATE("market.7737",A7739,"USD","SOFR")</f>
        <v/>
      </c>
      <c r="D7739" s="8">
        <f>QS.CONTEXT.ADD.CURVE(C7739,"SOFR",$K$2:$K$7,$L$2:$L$7,,,"Actual360","LogLinear",TRUE)</f>
        <v/>
      </c>
      <c r="E7739" s="8">
        <f>QS.INSTRUMENT.SWAP("swap.7737",C7739,H7739,B7739,"USD","SOFR",I7739,J7739,0,"Actual360","Simple","Annual","Annual","Annual")</f>
        <v/>
      </c>
      <c r="F7739" s="8">
        <f>QS.TRADE.CREATE("trade.7737",C7739,E7739,A7739,"Receive")</f>
        <v/>
      </c>
      <c r="G7739" s="5"/>
      <c r="H7739" s="7" t="s">
        <v>7780</v>
      </c>
      <c r="I7739" s="9">
        <v>1773700</v>
      </c>
      <c r="J7739" s="10">
        <v>0.03870000000000001</v>
      </c>
    </row>
    <row r="7740" spans="1:10">
      <c r="A7740" s="7" t="s">
        <v>7774</v>
      </c>
      <c r="B7740" s="7" t="s">
        <v>9607</v>
      </c>
      <c r="C7740" s="8">
        <f>QS.CONTEXT.CREATE("market.7738",A7740,"USD","SOFR")</f>
        <v/>
      </c>
      <c r="D7740" s="8">
        <f>QS.CONTEXT.ADD.CURVE(C7740,"SOFR",$K$2:$K$7,$L$2:$L$7,,,"Actual360","LogLinear",TRUE)</f>
        <v/>
      </c>
      <c r="E7740" s="8">
        <f>QS.INSTRUMENT.SWAP("swap.7738",C7740,H7740,B7740,"USD","SOFR",I7740,J7740,0,"Actual360","Simple","Annual","Annual","Annual")</f>
        <v/>
      </c>
      <c r="F7740" s="8">
        <f>QS.TRADE.CREATE("trade.7738",C7740,E7740,A7740,"Receive")</f>
        <v/>
      </c>
      <c r="G7740" s="5"/>
      <c r="H7740" s="7" t="s">
        <v>7781</v>
      </c>
      <c r="I7740" s="9">
        <v>1773800</v>
      </c>
      <c r="J7740" s="10">
        <v>0.0388</v>
      </c>
    </row>
    <row r="7741" spans="1:10">
      <c r="A7741" s="7" t="s">
        <v>7775</v>
      </c>
      <c r="B7741" s="7" t="s">
        <v>9608</v>
      </c>
      <c r="C7741" s="8">
        <f>QS.CONTEXT.CREATE("market.7739",A7741,"USD","SOFR")</f>
        <v/>
      </c>
      <c r="D7741" s="8">
        <f>QS.CONTEXT.ADD.CURVE(C7741,"SOFR",$K$2:$K$7,$L$2:$L$7,,,"Actual360","LogLinear",TRUE)</f>
        <v/>
      </c>
      <c r="E7741" s="8">
        <f>QS.INSTRUMENT.SWAP("swap.7739",C7741,H7741,B7741,"USD","SOFR",I7741,J7741,0,"Actual360","Simple","Annual","Annual","Annual")</f>
        <v/>
      </c>
      <c r="F7741" s="8">
        <f>QS.TRADE.CREATE("trade.7739",C7741,E7741,A7741,"Receive")</f>
        <v/>
      </c>
      <c r="G7741" s="5"/>
      <c r="H7741" s="7" t="s">
        <v>7782</v>
      </c>
      <c r="I7741" s="9">
        <v>1773900</v>
      </c>
      <c r="J7741" s="10">
        <v>0.0389</v>
      </c>
    </row>
    <row r="7742" spans="1:10">
      <c r="A7742" s="7" t="s">
        <v>7776</v>
      </c>
      <c r="B7742" s="7" t="s">
        <v>9609</v>
      </c>
      <c r="C7742" s="8">
        <f>QS.CONTEXT.CREATE("market.7740",A7742,"USD","SOFR")</f>
        <v/>
      </c>
      <c r="D7742" s="8">
        <f>QS.CONTEXT.ADD.CURVE(C7742,"SOFR",$K$2:$K$7,$L$2:$L$7,,,"Actual360","LogLinear",TRUE)</f>
        <v/>
      </c>
      <c r="E7742" s="8">
        <f>QS.INSTRUMENT.SWAP("swap.7740",C7742,H7742,B7742,"USD","SOFR",I7742,J7742,0,"Actual360","Simple","Annual","Annual","Annual")</f>
        <v/>
      </c>
      <c r="F7742" s="8">
        <f>QS.TRADE.CREATE("trade.7740",C7742,E7742,A7742,"Receive")</f>
        <v/>
      </c>
      <c r="G7742" s="5"/>
      <c r="H7742" s="7" t="s">
        <v>7783</v>
      </c>
      <c r="I7742" s="9">
        <v>1774000</v>
      </c>
      <c r="J7742" s="10">
        <v>0.03900000000000001</v>
      </c>
    </row>
    <row r="7743" spans="1:10">
      <c r="A7743" s="7" t="s">
        <v>7777</v>
      </c>
      <c r="B7743" s="7" t="s">
        <v>9610</v>
      </c>
      <c r="C7743" s="8">
        <f>QS.CONTEXT.CREATE("market.7741",A7743,"USD","SOFR")</f>
        <v/>
      </c>
      <c r="D7743" s="8">
        <f>QS.CONTEXT.ADD.CURVE(C7743,"SOFR",$K$2:$K$7,$L$2:$L$7,,,"Actual360","LogLinear",TRUE)</f>
        <v/>
      </c>
      <c r="E7743" s="8">
        <f>QS.INSTRUMENT.SWAP("swap.7741",C7743,H7743,B7743,"USD","SOFR",I7743,J7743,0,"Actual360","Simple","Annual","Annual","Annual")</f>
        <v/>
      </c>
      <c r="F7743" s="8">
        <f>QS.TRADE.CREATE("trade.7741",C7743,E7743,A7743,"Receive")</f>
        <v/>
      </c>
      <c r="G7743" s="5"/>
      <c r="H7743" s="7" t="s">
        <v>7784</v>
      </c>
      <c r="I7743" s="9">
        <v>1774100</v>
      </c>
      <c r="J7743" s="10">
        <v>0.0391</v>
      </c>
    </row>
    <row r="7744" spans="1:10">
      <c r="A7744" s="7" t="s">
        <v>7778</v>
      </c>
      <c r="B7744" s="7" t="s">
        <v>9611</v>
      </c>
      <c r="C7744" s="8">
        <f>QS.CONTEXT.CREATE("market.7742",A7744,"USD","SOFR")</f>
        <v/>
      </c>
      <c r="D7744" s="8">
        <f>QS.CONTEXT.ADD.CURVE(C7744,"SOFR",$K$2:$K$7,$L$2:$L$7,,,"Actual360","LogLinear",TRUE)</f>
        <v/>
      </c>
      <c r="E7744" s="8">
        <f>QS.INSTRUMENT.SWAP("swap.7742",C7744,H7744,B7744,"USD","SOFR",I7744,J7744,0,"Actual360","Simple","Annual","Annual","Annual")</f>
        <v/>
      </c>
      <c r="F7744" s="8">
        <f>QS.TRADE.CREATE("trade.7742",C7744,E7744,A7744,"Receive")</f>
        <v/>
      </c>
      <c r="G7744" s="5"/>
      <c r="H7744" s="7" t="s">
        <v>7785</v>
      </c>
      <c r="I7744" s="9">
        <v>1774200</v>
      </c>
      <c r="J7744" s="10">
        <v>0.03920000000000001</v>
      </c>
    </row>
    <row r="7745" spans="1:10">
      <c r="A7745" s="7" t="s">
        <v>7779</v>
      </c>
      <c r="B7745" s="7" t="s">
        <v>9612</v>
      </c>
      <c r="C7745" s="8">
        <f>QS.CONTEXT.CREATE("market.7743",A7745,"USD","SOFR")</f>
        <v/>
      </c>
      <c r="D7745" s="8">
        <f>QS.CONTEXT.ADD.CURVE(C7745,"SOFR",$K$2:$K$7,$L$2:$L$7,,,"Actual360","LogLinear",TRUE)</f>
        <v/>
      </c>
      <c r="E7745" s="8">
        <f>QS.INSTRUMENT.SWAP("swap.7743",C7745,H7745,B7745,"USD","SOFR",I7745,J7745,0,"Actual360","Simple","Annual","Annual","Annual")</f>
        <v/>
      </c>
      <c r="F7745" s="8">
        <f>QS.TRADE.CREATE("trade.7743",C7745,E7745,A7745,"Receive")</f>
        <v/>
      </c>
      <c r="G7745" s="5"/>
      <c r="H7745" s="7" t="s">
        <v>7786</v>
      </c>
      <c r="I7745" s="9">
        <v>1774300</v>
      </c>
      <c r="J7745" s="10">
        <v>0.0393</v>
      </c>
    </row>
    <row r="7746" spans="1:10">
      <c r="A7746" s="7" t="s">
        <v>7780</v>
      </c>
      <c r="B7746" s="7" t="s">
        <v>9613</v>
      </c>
      <c r="C7746" s="8">
        <f>QS.CONTEXT.CREATE("market.7744",A7746,"USD","SOFR")</f>
        <v/>
      </c>
      <c r="D7746" s="8">
        <f>QS.CONTEXT.ADD.CURVE(C7746,"SOFR",$K$2:$K$7,$L$2:$L$7,,,"Actual360","LogLinear",TRUE)</f>
        <v/>
      </c>
      <c r="E7746" s="8">
        <f>QS.INSTRUMENT.SWAP("swap.7744",C7746,H7746,B7746,"USD","SOFR",I7746,J7746,0,"Actual360","Simple","Annual","Annual","Annual")</f>
        <v/>
      </c>
      <c r="F7746" s="8">
        <f>QS.TRADE.CREATE("trade.7744",C7746,E7746,A7746,"Receive")</f>
        <v/>
      </c>
      <c r="G7746" s="5"/>
      <c r="H7746" s="7" t="s">
        <v>7787</v>
      </c>
      <c r="I7746" s="9">
        <v>1774400</v>
      </c>
      <c r="J7746" s="10">
        <v>0.0394</v>
      </c>
    </row>
    <row r="7747" spans="1:10">
      <c r="A7747" s="7" t="s">
        <v>7781</v>
      </c>
      <c r="B7747" s="7" t="s">
        <v>9614</v>
      </c>
      <c r="C7747" s="8">
        <f>QS.CONTEXT.CREATE("market.7745",A7747,"USD","SOFR")</f>
        <v/>
      </c>
      <c r="D7747" s="8">
        <f>QS.CONTEXT.ADD.CURVE(C7747,"SOFR",$K$2:$K$7,$L$2:$L$7,,,"Actual360","LogLinear",TRUE)</f>
        <v/>
      </c>
      <c r="E7747" s="8">
        <f>QS.INSTRUMENT.SWAP("swap.7745",C7747,H7747,B7747,"USD","SOFR",I7747,J7747,0,"Actual360","Simple","Annual","Annual","Annual")</f>
        <v/>
      </c>
      <c r="F7747" s="8">
        <f>QS.TRADE.CREATE("trade.7745",C7747,E7747,A7747,"Receive")</f>
        <v/>
      </c>
      <c r="G7747" s="5"/>
      <c r="H7747" s="7" t="s">
        <v>7788</v>
      </c>
      <c r="I7747" s="9">
        <v>1774500</v>
      </c>
      <c r="J7747" s="10">
        <v>0.03950000000000001</v>
      </c>
    </row>
    <row r="7748" spans="1:10">
      <c r="A7748" s="7" t="s">
        <v>7782</v>
      </c>
      <c r="B7748" s="7" t="s">
        <v>9615</v>
      </c>
      <c r="C7748" s="8">
        <f>QS.CONTEXT.CREATE("market.7746",A7748,"USD","SOFR")</f>
        <v/>
      </c>
      <c r="D7748" s="8">
        <f>QS.CONTEXT.ADD.CURVE(C7748,"SOFR",$K$2:$K$7,$L$2:$L$7,,,"Actual360","LogLinear",TRUE)</f>
        <v/>
      </c>
      <c r="E7748" s="8">
        <f>QS.INSTRUMENT.SWAP("swap.7746",C7748,H7748,B7748,"USD","SOFR",I7748,J7748,0,"Actual360","Simple","Annual","Annual","Annual")</f>
        <v/>
      </c>
      <c r="F7748" s="8">
        <f>QS.TRADE.CREATE("trade.7746",C7748,E7748,A7748,"Receive")</f>
        <v/>
      </c>
      <c r="G7748" s="5"/>
      <c r="H7748" s="7" t="s">
        <v>7789</v>
      </c>
      <c r="I7748" s="9">
        <v>1774600</v>
      </c>
      <c r="J7748" s="10">
        <v>0.0396</v>
      </c>
    </row>
    <row r="7749" spans="1:10">
      <c r="A7749" s="7" t="s">
        <v>7783</v>
      </c>
      <c r="B7749" s="7" t="s">
        <v>9616</v>
      </c>
      <c r="C7749" s="8">
        <f>QS.CONTEXT.CREATE("market.7747",A7749,"USD","SOFR")</f>
        <v/>
      </c>
      <c r="D7749" s="8">
        <f>QS.CONTEXT.ADD.CURVE(C7749,"SOFR",$K$2:$K$7,$L$2:$L$7,,,"Actual360","LogLinear",TRUE)</f>
        <v/>
      </c>
      <c r="E7749" s="8">
        <f>QS.INSTRUMENT.SWAP("swap.7747",C7749,H7749,B7749,"USD","SOFR",I7749,J7749,0,"Actual360","Simple","Annual","Annual","Annual")</f>
        <v/>
      </c>
      <c r="F7749" s="8">
        <f>QS.TRADE.CREATE("trade.7747",C7749,E7749,A7749,"Receive")</f>
        <v/>
      </c>
      <c r="G7749" s="5"/>
      <c r="H7749" s="7" t="s">
        <v>7790</v>
      </c>
      <c r="I7749" s="9">
        <v>1774700</v>
      </c>
      <c r="J7749" s="10">
        <v>0.03970000000000001</v>
      </c>
    </row>
    <row r="7750" spans="1:10">
      <c r="A7750" s="7" t="s">
        <v>7784</v>
      </c>
      <c r="B7750" s="7" t="s">
        <v>9617</v>
      </c>
      <c r="C7750" s="8">
        <f>QS.CONTEXT.CREATE("market.7748",A7750,"USD","SOFR")</f>
        <v/>
      </c>
      <c r="D7750" s="8">
        <f>QS.CONTEXT.ADD.CURVE(C7750,"SOFR",$K$2:$K$7,$L$2:$L$7,,,"Actual360","LogLinear",TRUE)</f>
        <v/>
      </c>
      <c r="E7750" s="8">
        <f>QS.INSTRUMENT.SWAP("swap.7748",C7750,H7750,B7750,"USD","SOFR",I7750,J7750,0,"Actual360","Simple","Annual","Annual","Annual")</f>
        <v/>
      </c>
      <c r="F7750" s="8">
        <f>QS.TRADE.CREATE("trade.7748",C7750,E7750,A7750,"Receive")</f>
        <v/>
      </c>
      <c r="G7750" s="5"/>
      <c r="H7750" s="7" t="s">
        <v>7791</v>
      </c>
      <c r="I7750" s="9">
        <v>1774800</v>
      </c>
      <c r="J7750" s="10">
        <v>0.0398</v>
      </c>
    </row>
    <row r="7751" spans="1:10">
      <c r="A7751" s="7" t="s">
        <v>7785</v>
      </c>
      <c r="B7751" s="7" t="s">
        <v>9618</v>
      </c>
      <c r="C7751" s="8">
        <f>QS.CONTEXT.CREATE("market.7749",A7751,"USD","SOFR")</f>
        <v/>
      </c>
      <c r="D7751" s="8">
        <f>QS.CONTEXT.ADD.CURVE(C7751,"SOFR",$K$2:$K$7,$L$2:$L$7,,,"Actual360","LogLinear",TRUE)</f>
        <v/>
      </c>
      <c r="E7751" s="8">
        <f>QS.INSTRUMENT.SWAP("swap.7749",C7751,H7751,B7751,"USD","SOFR",I7751,J7751,0,"Actual360","Simple","Annual","Annual","Annual")</f>
        <v/>
      </c>
      <c r="F7751" s="8">
        <f>QS.TRADE.CREATE("trade.7749",C7751,E7751,A7751,"Receive")</f>
        <v/>
      </c>
      <c r="G7751" s="5"/>
      <c r="H7751" s="7" t="s">
        <v>7792</v>
      </c>
      <c r="I7751" s="9">
        <v>1774900</v>
      </c>
      <c r="J7751" s="10">
        <v>0.0399</v>
      </c>
    </row>
    <row r="7752" spans="1:10">
      <c r="A7752" s="7" t="s">
        <v>7786</v>
      </c>
      <c r="B7752" s="7" t="s">
        <v>9619</v>
      </c>
      <c r="C7752" s="8">
        <f>QS.CONTEXT.CREATE("market.7750",A7752,"USD","SOFR")</f>
        <v/>
      </c>
      <c r="D7752" s="8">
        <f>QS.CONTEXT.ADD.CURVE(C7752,"SOFR",$K$2:$K$7,$L$2:$L$7,,,"Actual360","LogLinear",TRUE)</f>
        <v/>
      </c>
      <c r="E7752" s="8">
        <f>QS.INSTRUMENT.SWAP("swap.7750",C7752,H7752,B7752,"USD","SOFR",I7752,J7752,0,"Actual360","Simple","Annual","Annual","Annual")</f>
        <v/>
      </c>
      <c r="F7752" s="8">
        <f>QS.TRADE.CREATE("trade.7750",C7752,E7752,A7752,"Receive")</f>
        <v/>
      </c>
      <c r="G7752" s="5"/>
      <c r="H7752" s="7" t="s">
        <v>7793</v>
      </c>
      <c r="I7752" s="9">
        <v>1775000</v>
      </c>
      <c r="J7752" s="10">
        <v>0.035</v>
      </c>
    </row>
    <row r="7753" spans="1:10">
      <c r="A7753" s="7" t="s">
        <v>7787</v>
      </c>
      <c r="B7753" s="7" t="s">
        <v>9620</v>
      </c>
      <c r="C7753" s="8">
        <f>QS.CONTEXT.CREATE("market.7751",A7753,"USD","SOFR")</f>
        <v/>
      </c>
      <c r="D7753" s="8">
        <f>QS.CONTEXT.ADD.CURVE(C7753,"SOFR",$K$2:$K$7,$L$2:$L$7,,,"Actual360","LogLinear",TRUE)</f>
        <v/>
      </c>
      <c r="E7753" s="8">
        <f>QS.INSTRUMENT.SWAP("swap.7751",C7753,H7753,B7753,"USD","SOFR",I7753,J7753,0,"Actual360","Simple","Annual","Annual","Annual")</f>
        <v/>
      </c>
      <c r="F7753" s="8">
        <f>QS.TRADE.CREATE("trade.7751",C7753,E7753,A7753,"Receive")</f>
        <v/>
      </c>
      <c r="G7753" s="5"/>
      <c r="H7753" s="7" t="s">
        <v>7794</v>
      </c>
      <c r="I7753" s="9">
        <v>1775100</v>
      </c>
      <c r="J7753" s="10">
        <v>0.03510000000000001</v>
      </c>
    </row>
    <row r="7754" spans="1:10">
      <c r="A7754" s="7" t="s">
        <v>7788</v>
      </c>
      <c r="B7754" s="7" t="s">
        <v>9621</v>
      </c>
      <c r="C7754" s="8">
        <f>QS.CONTEXT.CREATE("market.7752",A7754,"USD","SOFR")</f>
        <v/>
      </c>
      <c r="D7754" s="8">
        <f>QS.CONTEXT.ADD.CURVE(C7754,"SOFR",$K$2:$K$7,$L$2:$L$7,,,"Actual360","LogLinear",TRUE)</f>
        <v/>
      </c>
      <c r="E7754" s="8">
        <f>QS.INSTRUMENT.SWAP("swap.7752",C7754,H7754,B7754,"USD","SOFR",I7754,J7754,0,"Actual360","Simple","Annual","Annual","Annual")</f>
        <v/>
      </c>
      <c r="F7754" s="8">
        <f>QS.TRADE.CREATE("trade.7752",C7754,E7754,A7754,"Receive")</f>
        <v/>
      </c>
      <c r="G7754" s="5"/>
      <c r="H7754" s="7" t="s">
        <v>7795</v>
      </c>
      <c r="I7754" s="9">
        <v>1775200</v>
      </c>
      <c r="J7754" s="10">
        <v>0.0352</v>
      </c>
    </row>
    <row r="7755" spans="1:10">
      <c r="A7755" s="7" t="s">
        <v>7789</v>
      </c>
      <c r="B7755" s="7" t="s">
        <v>9622</v>
      </c>
      <c r="C7755" s="8">
        <f>QS.CONTEXT.CREATE("market.7753",A7755,"USD","SOFR")</f>
        <v/>
      </c>
      <c r="D7755" s="8">
        <f>QS.CONTEXT.ADD.CURVE(C7755,"SOFR",$K$2:$K$7,$L$2:$L$7,,,"Actual360","LogLinear",TRUE)</f>
        <v/>
      </c>
      <c r="E7755" s="8">
        <f>QS.INSTRUMENT.SWAP("swap.7753",C7755,H7755,B7755,"USD","SOFR",I7755,J7755,0,"Actual360","Simple","Annual","Annual","Annual")</f>
        <v/>
      </c>
      <c r="F7755" s="8">
        <f>QS.TRADE.CREATE("trade.7753",C7755,E7755,A7755,"Receive")</f>
        <v/>
      </c>
      <c r="G7755" s="5"/>
      <c r="H7755" s="7" t="s">
        <v>7796</v>
      </c>
      <c r="I7755" s="9">
        <v>1775300</v>
      </c>
      <c r="J7755" s="10">
        <v>0.0353</v>
      </c>
    </row>
    <row r="7756" spans="1:10">
      <c r="A7756" s="7" t="s">
        <v>7790</v>
      </c>
      <c r="B7756" s="7" t="s">
        <v>9623</v>
      </c>
      <c r="C7756" s="8">
        <f>QS.CONTEXT.CREATE("market.7754",A7756,"USD","SOFR")</f>
        <v/>
      </c>
      <c r="D7756" s="8">
        <f>QS.CONTEXT.ADD.CURVE(C7756,"SOFR",$K$2:$K$7,$L$2:$L$7,,,"Actual360","LogLinear",TRUE)</f>
        <v/>
      </c>
      <c r="E7756" s="8">
        <f>QS.INSTRUMENT.SWAP("swap.7754",C7756,H7756,B7756,"USD","SOFR",I7756,J7756,0,"Actual360","Simple","Annual","Annual","Annual")</f>
        <v/>
      </c>
      <c r="F7756" s="8">
        <f>QS.TRADE.CREATE("trade.7754",C7756,E7756,A7756,"Receive")</f>
        <v/>
      </c>
      <c r="G7756" s="5"/>
      <c r="H7756" s="7" t="s">
        <v>7797</v>
      </c>
      <c r="I7756" s="9">
        <v>1775400</v>
      </c>
      <c r="J7756" s="10">
        <v>0.0354</v>
      </c>
    </row>
    <row r="7757" spans="1:10">
      <c r="A7757" s="7" t="s">
        <v>7791</v>
      </c>
      <c r="B7757" s="7" t="s">
        <v>9624</v>
      </c>
      <c r="C7757" s="8">
        <f>QS.CONTEXT.CREATE("market.7755",A7757,"USD","SOFR")</f>
        <v/>
      </c>
      <c r="D7757" s="8">
        <f>QS.CONTEXT.ADD.CURVE(C7757,"SOFR",$K$2:$K$7,$L$2:$L$7,,,"Actual360","LogLinear",TRUE)</f>
        <v/>
      </c>
      <c r="E7757" s="8">
        <f>QS.INSTRUMENT.SWAP("swap.7755",C7757,H7757,B7757,"USD","SOFR",I7757,J7757,0,"Actual360","Simple","Annual","Annual","Annual")</f>
        <v/>
      </c>
      <c r="F7757" s="8">
        <f>QS.TRADE.CREATE("trade.7755",C7757,E7757,A7757,"Receive")</f>
        <v/>
      </c>
      <c r="G7757" s="5"/>
      <c r="H7757" s="7" t="s">
        <v>7798</v>
      </c>
      <c r="I7757" s="9">
        <v>1775500</v>
      </c>
      <c r="J7757" s="10">
        <v>0.0355</v>
      </c>
    </row>
    <row r="7758" spans="1:10">
      <c r="A7758" s="7" t="s">
        <v>7792</v>
      </c>
      <c r="B7758" s="7" t="s">
        <v>9625</v>
      </c>
      <c r="C7758" s="8">
        <f>QS.CONTEXT.CREATE("market.7756",A7758,"USD","SOFR")</f>
        <v/>
      </c>
      <c r="D7758" s="8">
        <f>QS.CONTEXT.ADD.CURVE(C7758,"SOFR",$K$2:$K$7,$L$2:$L$7,,,"Actual360","LogLinear",TRUE)</f>
        <v/>
      </c>
      <c r="E7758" s="8">
        <f>QS.INSTRUMENT.SWAP("swap.7756",C7758,H7758,B7758,"USD","SOFR",I7758,J7758,0,"Actual360","Simple","Annual","Annual","Annual")</f>
        <v/>
      </c>
      <c r="F7758" s="8">
        <f>QS.TRADE.CREATE("trade.7756",C7758,E7758,A7758,"Receive")</f>
        <v/>
      </c>
      <c r="G7758" s="5"/>
      <c r="H7758" s="7" t="s">
        <v>7799</v>
      </c>
      <c r="I7758" s="9">
        <v>1775600</v>
      </c>
      <c r="J7758" s="10">
        <v>0.03560000000000001</v>
      </c>
    </row>
    <row r="7759" spans="1:10">
      <c r="A7759" s="7" t="s">
        <v>7793</v>
      </c>
      <c r="B7759" s="7" t="s">
        <v>9626</v>
      </c>
      <c r="C7759" s="8">
        <f>QS.CONTEXT.CREATE("market.7757",A7759,"USD","SOFR")</f>
        <v/>
      </c>
      <c r="D7759" s="8">
        <f>QS.CONTEXT.ADD.CURVE(C7759,"SOFR",$K$2:$K$7,$L$2:$L$7,,,"Actual360","LogLinear",TRUE)</f>
        <v/>
      </c>
      <c r="E7759" s="8">
        <f>QS.INSTRUMENT.SWAP("swap.7757",C7759,H7759,B7759,"USD","SOFR",I7759,J7759,0,"Actual360","Simple","Annual","Annual","Annual")</f>
        <v/>
      </c>
      <c r="F7759" s="8">
        <f>QS.TRADE.CREATE("trade.7757",C7759,E7759,A7759,"Receive")</f>
        <v/>
      </c>
      <c r="G7759" s="5"/>
      <c r="H7759" s="7" t="s">
        <v>7800</v>
      </c>
      <c r="I7759" s="9">
        <v>1775700</v>
      </c>
      <c r="J7759" s="10">
        <v>0.0357</v>
      </c>
    </row>
    <row r="7760" spans="1:10">
      <c r="A7760" s="7" t="s">
        <v>7794</v>
      </c>
      <c r="B7760" s="7" t="s">
        <v>9627</v>
      </c>
      <c r="C7760" s="8">
        <f>QS.CONTEXT.CREATE("market.7758",A7760,"USD","SOFR")</f>
        <v/>
      </c>
      <c r="D7760" s="8">
        <f>QS.CONTEXT.ADD.CURVE(C7760,"SOFR",$K$2:$K$7,$L$2:$L$7,,,"Actual360","LogLinear",TRUE)</f>
        <v/>
      </c>
      <c r="E7760" s="8">
        <f>QS.INSTRUMENT.SWAP("swap.7758",C7760,H7760,B7760,"USD","SOFR",I7760,J7760,0,"Actual360","Simple","Annual","Annual","Annual")</f>
        <v/>
      </c>
      <c r="F7760" s="8">
        <f>QS.TRADE.CREATE("trade.7758",C7760,E7760,A7760,"Receive")</f>
        <v/>
      </c>
      <c r="G7760" s="5"/>
      <c r="H7760" s="7" t="s">
        <v>7801</v>
      </c>
      <c r="I7760" s="9">
        <v>1775800</v>
      </c>
      <c r="J7760" s="10">
        <v>0.03580000000000001</v>
      </c>
    </row>
    <row r="7761" spans="1:10">
      <c r="A7761" s="7" t="s">
        <v>7795</v>
      </c>
      <c r="B7761" s="7" t="s">
        <v>9628</v>
      </c>
      <c r="C7761" s="8">
        <f>QS.CONTEXT.CREATE("market.7759",A7761,"USD","SOFR")</f>
        <v/>
      </c>
      <c r="D7761" s="8">
        <f>QS.CONTEXT.ADD.CURVE(C7761,"SOFR",$K$2:$K$7,$L$2:$L$7,,,"Actual360","LogLinear",TRUE)</f>
        <v/>
      </c>
      <c r="E7761" s="8">
        <f>QS.INSTRUMENT.SWAP("swap.7759",C7761,H7761,B7761,"USD","SOFR",I7761,J7761,0,"Actual360","Simple","Annual","Annual","Annual")</f>
        <v/>
      </c>
      <c r="F7761" s="8">
        <f>QS.TRADE.CREATE("trade.7759",C7761,E7761,A7761,"Receive")</f>
        <v/>
      </c>
      <c r="G7761" s="5"/>
      <c r="H7761" s="7" t="s">
        <v>7802</v>
      </c>
      <c r="I7761" s="9">
        <v>1775900</v>
      </c>
      <c r="J7761" s="10">
        <v>0.0359</v>
      </c>
    </row>
    <row r="7762" spans="1:10">
      <c r="A7762" s="7" t="s">
        <v>7796</v>
      </c>
      <c r="B7762" s="7" t="s">
        <v>9629</v>
      </c>
      <c r="C7762" s="8">
        <f>QS.CONTEXT.CREATE("market.7760",A7762,"USD","SOFR")</f>
        <v/>
      </c>
      <c r="D7762" s="8">
        <f>QS.CONTEXT.ADD.CURVE(C7762,"SOFR",$K$2:$K$7,$L$2:$L$7,,,"Actual360","LogLinear",TRUE)</f>
        <v/>
      </c>
      <c r="E7762" s="8">
        <f>QS.INSTRUMENT.SWAP("swap.7760",C7762,H7762,B7762,"USD","SOFR",I7762,J7762,0,"Actual360","Simple","Annual","Annual","Annual")</f>
        <v/>
      </c>
      <c r="F7762" s="8">
        <f>QS.TRADE.CREATE("trade.7760",C7762,E7762,A7762,"Receive")</f>
        <v/>
      </c>
      <c r="G7762" s="5"/>
      <c r="H7762" s="7" t="s">
        <v>7803</v>
      </c>
      <c r="I7762" s="9">
        <v>1776000</v>
      </c>
      <c r="J7762" s="10">
        <v>0.036</v>
      </c>
    </row>
    <row r="7763" spans="1:10">
      <c r="A7763" s="7" t="s">
        <v>7797</v>
      </c>
      <c r="B7763" s="7" t="s">
        <v>9630</v>
      </c>
      <c r="C7763" s="8">
        <f>QS.CONTEXT.CREATE("market.7761",A7763,"USD","SOFR")</f>
        <v/>
      </c>
      <c r="D7763" s="8">
        <f>QS.CONTEXT.ADD.CURVE(C7763,"SOFR",$K$2:$K$7,$L$2:$L$7,,,"Actual360","LogLinear",TRUE)</f>
        <v/>
      </c>
      <c r="E7763" s="8">
        <f>QS.INSTRUMENT.SWAP("swap.7761",C7763,H7763,B7763,"USD","SOFR",I7763,J7763,0,"Actual360","Simple","Annual","Annual","Annual")</f>
        <v/>
      </c>
      <c r="F7763" s="8">
        <f>QS.TRADE.CREATE("trade.7761",C7763,E7763,A7763,"Receive")</f>
        <v/>
      </c>
      <c r="G7763" s="5"/>
      <c r="H7763" s="7" t="s">
        <v>7804</v>
      </c>
      <c r="I7763" s="9">
        <v>1776100</v>
      </c>
      <c r="J7763" s="10">
        <v>0.0361</v>
      </c>
    </row>
    <row r="7764" spans="1:10">
      <c r="A7764" s="7" t="s">
        <v>7798</v>
      </c>
      <c r="B7764" s="7" t="s">
        <v>9631</v>
      </c>
      <c r="C7764" s="8">
        <f>QS.CONTEXT.CREATE("market.7762",A7764,"USD","SOFR")</f>
        <v/>
      </c>
      <c r="D7764" s="8">
        <f>QS.CONTEXT.ADD.CURVE(C7764,"SOFR",$K$2:$K$7,$L$2:$L$7,,,"Actual360","LogLinear",TRUE)</f>
        <v/>
      </c>
      <c r="E7764" s="8">
        <f>QS.INSTRUMENT.SWAP("swap.7762",C7764,H7764,B7764,"USD","SOFR",I7764,J7764,0,"Actual360","Simple","Annual","Annual","Annual")</f>
        <v/>
      </c>
      <c r="F7764" s="8">
        <f>QS.TRADE.CREATE("trade.7762",C7764,E7764,A7764,"Receive")</f>
        <v/>
      </c>
      <c r="G7764" s="5"/>
      <c r="H7764" s="7" t="s">
        <v>7805</v>
      </c>
      <c r="I7764" s="9">
        <v>1776200</v>
      </c>
      <c r="J7764" s="10">
        <v>0.0362</v>
      </c>
    </row>
    <row r="7765" spans="1:10">
      <c r="A7765" s="7" t="s">
        <v>7799</v>
      </c>
      <c r="B7765" s="7" t="s">
        <v>9632</v>
      </c>
      <c r="C7765" s="8">
        <f>QS.CONTEXT.CREATE("market.7763",A7765,"USD","SOFR")</f>
        <v/>
      </c>
      <c r="D7765" s="8">
        <f>QS.CONTEXT.ADD.CURVE(C7765,"SOFR",$K$2:$K$7,$L$2:$L$7,,,"Actual360","LogLinear",TRUE)</f>
        <v/>
      </c>
      <c r="E7765" s="8">
        <f>QS.INSTRUMENT.SWAP("swap.7763",C7765,H7765,B7765,"USD","SOFR",I7765,J7765,0,"Actual360","Simple","Annual","Annual","Annual")</f>
        <v/>
      </c>
      <c r="F7765" s="8">
        <f>QS.TRADE.CREATE("trade.7763",C7765,E7765,A7765,"Receive")</f>
        <v/>
      </c>
      <c r="G7765" s="5"/>
      <c r="H7765" s="7" t="s">
        <v>7806</v>
      </c>
      <c r="I7765" s="9">
        <v>1776300</v>
      </c>
      <c r="J7765" s="10">
        <v>0.03630000000000001</v>
      </c>
    </row>
    <row r="7766" spans="1:10">
      <c r="A7766" s="7" t="s">
        <v>7800</v>
      </c>
      <c r="B7766" s="7" t="s">
        <v>9633</v>
      </c>
      <c r="C7766" s="8">
        <f>QS.CONTEXT.CREATE("market.7764",A7766,"USD","SOFR")</f>
        <v/>
      </c>
      <c r="D7766" s="8">
        <f>QS.CONTEXT.ADD.CURVE(C7766,"SOFR",$K$2:$K$7,$L$2:$L$7,,,"Actual360","LogLinear",TRUE)</f>
        <v/>
      </c>
      <c r="E7766" s="8">
        <f>QS.INSTRUMENT.SWAP("swap.7764",C7766,H7766,B7766,"USD","SOFR",I7766,J7766,0,"Actual360","Simple","Annual","Annual","Annual")</f>
        <v/>
      </c>
      <c r="F7766" s="8">
        <f>QS.TRADE.CREATE("trade.7764",C7766,E7766,A7766,"Receive")</f>
        <v/>
      </c>
      <c r="G7766" s="5"/>
      <c r="H7766" s="7" t="s">
        <v>7807</v>
      </c>
      <c r="I7766" s="9">
        <v>1776400</v>
      </c>
      <c r="J7766" s="10">
        <v>0.0364</v>
      </c>
    </row>
    <row r="7767" spans="1:10">
      <c r="A7767" s="7" t="s">
        <v>7801</v>
      </c>
      <c r="B7767" s="7" t="s">
        <v>9634</v>
      </c>
      <c r="C7767" s="8">
        <f>QS.CONTEXT.CREATE("market.7765",A7767,"USD","SOFR")</f>
        <v/>
      </c>
      <c r="D7767" s="8">
        <f>QS.CONTEXT.ADD.CURVE(C7767,"SOFR",$K$2:$K$7,$L$2:$L$7,,,"Actual360","LogLinear",TRUE)</f>
        <v/>
      </c>
      <c r="E7767" s="8">
        <f>QS.INSTRUMENT.SWAP("swap.7765",C7767,H7767,B7767,"USD","SOFR",I7767,J7767,0,"Actual360","Simple","Annual","Annual","Annual")</f>
        <v/>
      </c>
      <c r="F7767" s="8">
        <f>QS.TRADE.CREATE("trade.7765",C7767,E7767,A7767,"Receive")</f>
        <v/>
      </c>
      <c r="G7767" s="5"/>
      <c r="H7767" s="7" t="s">
        <v>7808</v>
      </c>
      <c r="I7767" s="9">
        <v>1776500</v>
      </c>
      <c r="J7767" s="10">
        <v>0.0365</v>
      </c>
    </row>
    <row r="7768" spans="1:10">
      <c r="A7768" s="7" t="s">
        <v>7802</v>
      </c>
      <c r="B7768" s="7" t="s">
        <v>9635</v>
      </c>
      <c r="C7768" s="8">
        <f>QS.CONTEXT.CREATE("market.7766",A7768,"USD","SOFR")</f>
        <v/>
      </c>
      <c r="D7768" s="8">
        <f>QS.CONTEXT.ADD.CURVE(C7768,"SOFR",$K$2:$K$7,$L$2:$L$7,,,"Actual360","LogLinear",TRUE)</f>
        <v/>
      </c>
      <c r="E7768" s="8">
        <f>QS.INSTRUMENT.SWAP("swap.7766",C7768,H7768,B7768,"USD","SOFR",I7768,J7768,0,"Actual360","Simple","Annual","Annual","Annual")</f>
        <v/>
      </c>
      <c r="F7768" s="8">
        <f>QS.TRADE.CREATE("trade.7766",C7768,E7768,A7768,"Receive")</f>
        <v/>
      </c>
      <c r="G7768" s="5"/>
      <c r="H7768" s="7" t="s">
        <v>7809</v>
      </c>
      <c r="I7768" s="9">
        <v>1776600</v>
      </c>
      <c r="J7768" s="10">
        <v>0.0366</v>
      </c>
    </row>
    <row r="7769" spans="1:10">
      <c r="A7769" s="7" t="s">
        <v>7803</v>
      </c>
      <c r="B7769" s="7" t="s">
        <v>9636</v>
      </c>
      <c r="C7769" s="8">
        <f>QS.CONTEXT.CREATE("market.7767",A7769,"USD","SOFR")</f>
        <v/>
      </c>
      <c r="D7769" s="8">
        <f>QS.CONTEXT.ADD.CURVE(C7769,"SOFR",$K$2:$K$7,$L$2:$L$7,,,"Actual360","LogLinear",TRUE)</f>
        <v/>
      </c>
      <c r="E7769" s="8">
        <f>QS.INSTRUMENT.SWAP("swap.7767",C7769,H7769,B7769,"USD","SOFR",I7769,J7769,0,"Actual360","Simple","Annual","Annual","Annual")</f>
        <v/>
      </c>
      <c r="F7769" s="8">
        <f>QS.TRADE.CREATE("trade.7767",C7769,E7769,A7769,"Receive")</f>
        <v/>
      </c>
      <c r="G7769" s="5"/>
      <c r="H7769" s="7" t="s">
        <v>7810</v>
      </c>
      <c r="I7769" s="9">
        <v>1776700</v>
      </c>
      <c r="J7769" s="10">
        <v>0.0367</v>
      </c>
    </row>
    <row r="7770" spans="1:10">
      <c r="A7770" s="7" t="s">
        <v>7804</v>
      </c>
      <c r="B7770" s="7" t="s">
        <v>9637</v>
      </c>
      <c r="C7770" s="8">
        <f>QS.CONTEXT.CREATE("market.7768",A7770,"USD","SOFR")</f>
        <v/>
      </c>
      <c r="D7770" s="8">
        <f>QS.CONTEXT.ADD.CURVE(C7770,"SOFR",$K$2:$K$7,$L$2:$L$7,,,"Actual360","LogLinear",TRUE)</f>
        <v/>
      </c>
      <c r="E7770" s="8">
        <f>QS.INSTRUMENT.SWAP("swap.7768",C7770,H7770,B7770,"USD","SOFR",I7770,J7770,0,"Actual360","Simple","Annual","Annual","Annual")</f>
        <v/>
      </c>
      <c r="F7770" s="8">
        <f>QS.TRADE.CREATE("trade.7768",C7770,E7770,A7770,"Receive")</f>
        <v/>
      </c>
      <c r="G7770" s="5"/>
      <c r="H7770" s="7" t="s">
        <v>7811</v>
      </c>
      <c r="I7770" s="9">
        <v>1776800</v>
      </c>
      <c r="J7770" s="10">
        <v>0.03680000000000001</v>
      </c>
    </row>
    <row r="7771" spans="1:10">
      <c r="A7771" s="7" t="s">
        <v>7805</v>
      </c>
      <c r="B7771" s="7" t="s">
        <v>9638</v>
      </c>
      <c r="C7771" s="8">
        <f>QS.CONTEXT.CREATE("market.7769",A7771,"USD","SOFR")</f>
        <v/>
      </c>
      <c r="D7771" s="8">
        <f>QS.CONTEXT.ADD.CURVE(C7771,"SOFR",$K$2:$K$7,$L$2:$L$7,,,"Actual360","LogLinear",TRUE)</f>
        <v/>
      </c>
      <c r="E7771" s="8">
        <f>QS.INSTRUMENT.SWAP("swap.7769",C7771,H7771,B7771,"USD","SOFR",I7771,J7771,0,"Actual360","Simple","Annual","Annual","Annual")</f>
        <v/>
      </c>
      <c r="F7771" s="8">
        <f>QS.TRADE.CREATE("trade.7769",C7771,E7771,A7771,"Receive")</f>
        <v/>
      </c>
      <c r="G7771" s="5"/>
      <c r="H7771" s="7" t="s">
        <v>7812</v>
      </c>
      <c r="I7771" s="9">
        <v>1776900</v>
      </c>
      <c r="J7771" s="10">
        <v>0.0369</v>
      </c>
    </row>
    <row r="7772" spans="1:10">
      <c r="A7772" s="7" t="s">
        <v>7806</v>
      </c>
      <c r="B7772" s="7" t="s">
        <v>9639</v>
      </c>
      <c r="C7772" s="8">
        <f>QS.CONTEXT.CREATE("market.7770",A7772,"USD","SOFR")</f>
        <v/>
      </c>
      <c r="D7772" s="8">
        <f>QS.CONTEXT.ADD.CURVE(C7772,"SOFR",$K$2:$K$7,$L$2:$L$7,,,"Actual360","LogLinear",TRUE)</f>
        <v/>
      </c>
      <c r="E7772" s="8">
        <f>QS.INSTRUMENT.SWAP("swap.7770",C7772,H7772,B7772,"USD","SOFR",I7772,J7772,0,"Actual360","Simple","Annual","Annual","Annual")</f>
        <v/>
      </c>
      <c r="F7772" s="8">
        <f>QS.TRADE.CREATE("trade.7770",C7772,E7772,A7772,"Receive")</f>
        <v/>
      </c>
      <c r="G7772" s="5"/>
      <c r="H7772" s="7" t="s">
        <v>7813</v>
      </c>
      <c r="I7772" s="9">
        <v>1777000</v>
      </c>
      <c r="J7772" s="10">
        <v>0.03700000000000001</v>
      </c>
    </row>
    <row r="7773" spans="1:10">
      <c r="A7773" s="7" t="s">
        <v>7807</v>
      </c>
      <c r="B7773" s="7" t="s">
        <v>9640</v>
      </c>
      <c r="C7773" s="8">
        <f>QS.CONTEXT.CREATE("market.7771",A7773,"USD","SOFR")</f>
        <v/>
      </c>
      <c r="D7773" s="8">
        <f>QS.CONTEXT.ADD.CURVE(C7773,"SOFR",$K$2:$K$7,$L$2:$L$7,,,"Actual360","LogLinear",TRUE)</f>
        <v/>
      </c>
      <c r="E7773" s="8">
        <f>QS.INSTRUMENT.SWAP("swap.7771",C7773,H7773,B7773,"USD","SOFR",I7773,J7773,0,"Actual360","Simple","Annual","Annual","Annual")</f>
        <v/>
      </c>
      <c r="F7773" s="8">
        <f>QS.TRADE.CREATE("trade.7771",C7773,E7773,A7773,"Receive")</f>
        <v/>
      </c>
      <c r="G7773" s="5"/>
      <c r="H7773" s="7" t="s">
        <v>7814</v>
      </c>
      <c r="I7773" s="9">
        <v>1777100</v>
      </c>
      <c r="J7773" s="10">
        <v>0.0371</v>
      </c>
    </row>
    <row r="7774" spans="1:10">
      <c r="A7774" s="7" t="s">
        <v>7808</v>
      </c>
      <c r="B7774" s="7" t="s">
        <v>9641</v>
      </c>
      <c r="C7774" s="8">
        <f>QS.CONTEXT.CREATE("market.7772",A7774,"USD","SOFR")</f>
        <v/>
      </c>
      <c r="D7774" s="8">
        <f>QS.CONTEXT.ADD.CURVE(C7774,"SOFR",$K$2:$K$7,$L$2:$L$7,,,"Actual360","LogLinear",TRUE)</f>
        <v/>
      </c>
      <c r="E7774" s="8">
        <f>QS.INSTRUMENT.SWAP("swap.7772",C7774,H7774,B7774,"USD","SOFR",I7774,J7774,0,"Actual360","Simple","Annual","Annual","Annual")</f>
        <v/>
      </c>
      <c r="F7774" s="8">
        <f>QS.TRADE.CREATE("trade.7772",C7774,E7774,A7774,"Receive")</f>
        <v/>
      </c>
      <c r="G7774" s="5"/>
      <c r="H7774" s="7" t="s">
        <v>7815</v>
      </c>
      <c r="I7774" s="9">
        <v>1777200</v>
      </c>
      <c r="J7774" s="10">
        <v>0.0372</v>
      </c>
    </row>
    <row r="7775" spans="1:10">
      <c r="A7775" s="7" t="s">
        <v>7809</v>
      </c>
      <c r="B7775" s="7" t="s">
        <v>9642</v>
      </c>
      <c r="C7775" s="8">
        <f>QS.CONTEXT.CREATE("market.7773",A7775,"USD","SOFR")</f>
        <v/>
      </c>
      <c r="D7775" s="8">
        <f>QS.CONTEXT.ADD.CURVE(C7775,"SOFR",$K$2:$K$7,$L$2:$L$7,,,"Actual360","LogLinear",TRUE)</f>
        <v/>
      </c>
      <c r="E7775" s="8">
        <f>QS.INSTRUMENT.SWAP("swap.7773",C7775,H7775,B7775,"USD","SOFR",I7775,J7775,0,"Actual360","Simple","Annual","Annual","Annual")</f>
        <v/>
      </c>
      <c r="F7775" s="8">
        <f>QS.TRADE.CREATE("trade.7773",C7775,E7775,A7775,"Receive")</f>
        <v/>
      </c>
      <c r="G7775" s="5"/>
      <c r="H7775" s="7" t="s">
        <v>7816</v>
      </c>
      <c r="I7775" s="9">
        <v>1777300</v>
      </c>
      <c r="J7775" s="10">
        <v>0.0373</v>
      </c>
    </row>
    <row r="7776" spans="1:10">
      <c r="A7776" s="7" t="s">
        <v>7810</v>
      </c>
      <c r="B7776" s="7" t="s">
        <v>9643</v>
      </c>
      <c r="C7776" s="8">
        <f>QS.CONTEXT.CREATE("market.7774",A7776,"USD","SOFR")</f>
        <v/>
      </c>
      <c r="D7776" s="8">
        <f>QS.CONTEXT.ADD.CURVE(C7776,"SOFR",$K$2:$K$7,$L$2:$L$7,,,"Actual360","LogLinear",TRUE)</f>
        <v/>
      </c>
      <c r="E7776" s="8">
        <f>QS.INSTRUMENT.SWAP("swap.7774",C7776,H7776,B7776,"USD","SOFR",I7776,J7776,0,"Actual360","Simple","Annual","Annual","Annual")</f>
        <v/>
      </c>
      <c r="F7776" s="8">
        <f>QS.TRADE.CREATE("trade.7774",C7776,E7776,A7776,"Receive")</f>
        <v/>
      </c>
      <c r="G7776" s="5"/>
      <c r="H7776" s="7" t="s">
        <v>7817</v>
      </c>
      <c r="I7776" s="9">
        <v>1777400</v>
      </c>
      <c r="J7776" s="10">
        <v>0.0374</v>
      </c>
    </row>
    <row r="7777" spans="1:10">
      <c r="A7777" s="7" t="s">
        <v>7811</v>
      </c>
      <c r="B7777" s="7" t="s">
        <v>9644</v>
      </c>
      <c r="C7777" s="8">
        <f>QS.CONTEXT.CREATE("market.7775",A7777,"USD","SOFR")</f>
        <v/>
      </c>
      <c r="D7777" s="8">
        <f>QS.CONTEXT.ADD.CURVE(C7777,"SOFR",$K$2:$K$7,$L$2:$L$7,,,"Actual360","LogLinear",TRUE)</f>
        <v/>
      </c>
      <c r="E7777" s="8">
        <f>QS.INSTRUMENT.SWAP("swap.7775",C7777,H7777,B7777,"USD","SOFR",I7777,J7777,0,"Actual360","Simple","Annual","Annual","Annual")</f>
        <v/>
      </c>
      <c r="F7777" s="8">
        <f>QS.TRADE.CREATE("trade.7775",C7777,E7777,A7777,"Receive")</f>
        <v/>
      </c>
      <c r="G7777" s="5"/>
      <c r="H7777" s="7" t="s">
        <v>7818</v>
      </c>
      <c r="I7777" s="9">
        <v>1777500</v>
      </c>
      <c r="J7777" s="10">
        <v>0.03750000000000001</v>
      </c>
    </row>
    <row r="7778" spans="1:10">
      <c r="A7778" s="7" t="s">
        <v>7812</v>
      </c>
      <c r="B7778" s="7" t="s">
        <v>9645</v>
      </c>
      <c r="C7778" s="8">
        <f>QS.CONTEXT.CREATE("market.7776",A7778,"USD","SOFR")</f>
        <v/>
      </c>
      <c r="D7778" s="8">
        <f>QS.CONTEXT.ADD.CURVE(C7778,"SOFR",$K$2:$K$7,$L$2:$L$7,,,"Actual360","LogLinear",TRUE)</f>
        <v/>
      </c>
      <c r="E7778" s="8">
        <f>QS.INSTRUMENT.SWAP("swap.7776",C7778,H7778,B7778,"USD","SOFR",I7778,J7778,0,"Actual360","Simple","Annual","Annual","Annual")</f>
        <v/>
      </c>
      <c r="F7778" s="8">
        <f>QS.TRADE.CREATE("trade.7776",C7778,E7778,A7778,"Receive")</f>
        <v/>
      </c>
      <c r="G7778" s="5"/>
      <c r="H7778" s="7" t="s">
        <v>7819</v>
      </c>
      <c r="I7778" s="9">
        <v>1777600</v>
      </c>
      <c r="J7778" s="10">
        <v>0.0376</v>
      </c>
    </row>
    <row r="7779" spans="1:10">
      <c r="A7779" s="7" t="s">
        <v>7813</v>
      </c>
      <c r="B7779" s="7" t="s">
        <v>9646</v>
      </c>
      <c r="C7779" s="8">
        <f>QS.CONTEXT.CREATE("market.7777",A7779,"USD","SOFR")</f>
        <v/>
      </c>
      <c r="D7779" s="8">
        <f>QS.CONTEXT.ADD.CURVE(C7779,"SOFR",$K$2:$K$7,$L$2:$L$7,,,"Actual360","LogLinear",TRUE)</f>
        <v/>
      </c>
      <c r="E7779" s="8">
        <f>QS.INSTRUMENT.SWAP("swap.7777",C7779,H7779,B7779,"USD","SOFR",I7779,J7779,0,"Actual360","Simple","Annual","Annual","Annual")</f>
        <v/>
      </c>
      <c r="F7779" s="8">
        <f>QS.TRADE.CREATE("trade.7777",C7779,E7779,A7779,"Receive")</f>
        <v/>
      </c>
      <c r="G7779" s="5"/>
      <c r="H7779" s="7" t="s">
        <v>7820</v>
      </c>
      <c r="I7779" s="9">
        <v>1777700</v>
      </c>
      <c r="J7779" s="10">
        <v>0.0377</v>
      </c>
    </row>
    <row r="7780" spans="1:10">
      <c r="A7780" s="7" t="s">
        <v>7814</v>
      </c>
      <c r="B7780" s="7" t="s">
        <v>9647</v>
      </c>
      <c r="C7780" s="8">
        <f>QS.CONTEXT.CREATE("market.7778",A7780,"USD","SOFR")</f>
        <v/>
      </c>
      <c r="D7780" s="8">
        <f>QS.CONTEXT.ADD.CURVE(C7780,"SOFR",$K$2:$K$7,$L$2:$L$7,,,"Actual360","LogLinear",TRUE)</f>
        <v/>
      </c>
      <c r="E7780" s="8">
        <f>QS.INSTRUMENT.SWAP("swap.7778",C7780,H7780,B7780,"USD","SOFR",I7780,J7780,0,"Actual360","Simple","Annual","Annual","Annual")</f>
        <v/>
      </c>
      <c r="F7780" s="8">
        <f>QS.TRADE.CREATE("trade.7778",C7780,E7780,A7780,"Receive")</f>
        <v/>
      </c>
      <c r="G7780" s="5"/>
      <c r="H7780" s="7" t="s">
        <v>7821</v>
      </c>
      <c r="I7780" s="9">
        <v>1777800</v>
      </c>
      <c r="J7780" s="10">
        <v>0.0378</v>
      </c>
    </row>
    <row r="7781" spans="1:10">
      <c r="A7781" s="7" t="s">
        <v>7815</v>
      </c>
      <c r="B7781" s="7" t="s">
        <v>9648</v>
      </c>
      <c r="C7781" s="8">
        <f>QS.CONTEXT.CREATE("market.7779",A7781,"USD","SOFR")</f>
        <v/>
      </c>
      <c r="D7781" s="8">
        <f>QS.CONTEXT.ADD.CURVE(C7781,"SOFR",$K$2:$K$7,$L$2:$L$7,,,"Actual360","LogLinear",TRUE)</f>
        <v/>
      </c>
      <c r="E7781" s="8">
        <f>QS.INSTRUMENT.SWAP("swap.7779",C7781,H7781,B7781,"USD","SOFR",I7781,J7781,0,"Actual360","Simple","Annual","Annual","Annual")</f>
        <v/>
      </c>
      <c r="F7781" s="8">
        <f>QS.TRADE.CREATE("trade.7779",C7781,E7781,A7781,"Receive")</f>
        <v/>
      </c>
      <c r="G7781" s="5"/>
      <c r="H7781" s="7" t="s">
        <v>7822</v>
      </c>
      <c r="I7781" s="9">
        <v>1777900</v>
      </c>
      <c r="J7781" s="10">
        <v>0.0379</v>
      </c>
    </row>
    <row r="7782" spans="1:10">
      <c r="A7782" s="7" t="s">
        <v>7816</v>
      </c>
      <c r="B7782" s="7" t="s">
        <v>9649</v>
      </c>
      <c r="C7782" s="8">
        <f>QS.CONTEXT.CREATE("market.7780",A7782,"USD","SOFR")</f>
        <v/>
      </c>
      <c r="D7782" s="8">
        <f>QS.CONTEXT.ADD.CURVE(C7782,"SOFR",$K$2:$K$7,$L$2:$L$7,,,"Actual360","LogLinear",TRUE)</f>
        <v/>
      </c>
      <c r="E7782" s="8">
        <f>QS.INSTRUMENT.SWAP("swap.7780",C7782,H7782,B7782,"USD","SOFR",I7782,J7782,0,"Actual360","Simple","Annual","Annual","Annual")</f>
        <v/>
      </c>
      <c r="F7782" s="8">
        <f>QS.TRADE.CREATE("trade.7780",C7782,E7782,A7782,"Receive")</f>
        <v/>
      </c>
      <c r="G7782" s="5"/>
      <c r="H7782" s="7" t="s">
        <v>7823</v>
      </c>
      <c r="I7782" s="9">
        <v>1778000</v>
      </c>
      <c r="J7782" s="10">
        <v>0.03800000000000001</v>
      </c>
    </row>
    <row r="7783" spans="1:10">
      <c r="A7783" s="7" t="s">
        <v>7817</v>
      </c>
      <c r="B7783" s="7" t="s">
        <v>9650</v>
      </c>
      <c r="C7783" s="8">
        <f>QS.CONTEXT.CREATE("market.7781",A7783,"USD","SOFR")</f>
        <v/>
      </c>
      <c r="D7783" s="8">
        <f>QS.CONTEXT.ADD.CURVE(C7783,"SOFR",$K$2:$K$7,$L$2:$L$7,,,"Actual360","LogLinear",TRUE)</f>
        <v/>
      </c>
      <c r="E7783" s="8">
        <f>QS.INSTRUMENT.SWAP("swap.7781",C7783,H7783,B7783,"USD","SOFR",I7783,J7783,0,"Actual360","Simple","Annual","Annual","Annual")</f>
        <v/>
      </c>
      <c r="F7783" s="8">
        <f>QS.TRADE.CREATE("trade.7781",C7783,E7783,A7783,"Receive")</f>
        <v/>
      </c>
      <c r="G7783" s="5"/>
      <c r="H7783" s="7" t="s">
        <v>7824</v>
      </c>
      <c r="I7783" s="9">
        <v>1778100</v>
      </c>
      <c r="J7783" s="10">
        <v>0.0381</v>
      </c>
    </row>
    <row r="7784" spans="1:10">
      <c r="A7784" s="7" t="s">
        <v>7818</v>
      </c>
      <c r="B7784" s="7" t="s">
        <v>9651</v>
      </c>
      <c r="C7784" s="8">
        <f>QS.CONTEXT.CREATE("market.7782",A7784,"USD","SOFR")</f>
        <v/>
      </c>
      <c r="D7784" s="8">
        <f>QS.CONTEXT.ADD.CURVE(C7784,"SOFR",$K$2:$K$7,$L$2:$L$7,,,"Actual360","LogLinear",TRUE)</f>
        <v/>
      </c>
      <c r="E7784" s="8">
        <f>QS.INSTRUMENT.SWAP("swap.7782",C7784,H7784,B7784,"USD","SOFR",I7784,J7784,0,"Actual360","Simple","Annual","Annual","Annual")</f>
        <v/>
      </c>
      <c r="F7784" s="8">
        <f>QS.TRADE.CREATE("trade.7782",C7784,E7784,A7784,"Receive")</f>
        <v/>
      </c>
      <c r="G7784" s="5"/>
      <c r="H7784" s="7" t="s">
        <v>7825</v>
      </c>
      <c r="I7784" s="9">
        <v>1778200</v>
      </c>
      <c r="J7784" s="10">
        <v>0.0382</v>
      </c>
    </row>
    <row r="7785" spans="1:10">
      <c r="A7785" s="7" t="s">
        <v>7819</v>
      </c>
      <c r="B7785" s="7" t="s">
        <v>9652</v>
      </c>
      <c r="C7785" s="8">
        <f>QS.CONTEXT.CREATE("market.7783",A7785,"USD","SOFR")</f>
        <v/>
      </c>
      <c r="D7785" s="8">
        <f>QS.CONTEXT.ADD.CURVE(C7785,"SOFR",$K$2:$K$7,$L$2:$L$7,,,"Actual360","LogLinear",TRUE)</f>
        <v/>
      </c>
      <c r="E7785" s="8">
        <f>QS.INSTRUMENT.SWAP("swap.7783",C7785,H7785,B7785,"USD","SOFR",I7785,J7785,0,"Actual360","Simple","Annual","Annual","Annual")</f>
        <v/>
      </c>
      <c r="F7785" s="8">
        <f>QS.TRADE.CREATE("trade.7783",C7785,E7785,A7785,"Receive")</f>
        <v/>
      </c>
      <c r="G7785" s="5"/>
      <c r="H7785" s="7" t="s">
        <v>7826</v>
      </c>
      <c r="I7785" s="9">
        <v>1778300</v>
      </c>
      <c r="J7785" s="10">
        <v>0.0383</v>
      </c>
    </row>
    <row r="7786" spans="1:10">
      <c r="A7786" s="7" t="s">
        <v>7820</v>
      </c>
      <c r="B7786" s="7" t="s">
        <v>9653</v>
      </c>
      <c r="C7786" s="8">
        <f>QS.CONTEXT.CREATE("market.7784",A7786,"USD","SOFR")</f>
        <v/>
      </c>
      <c r="D7786" s="8">
        <f>QS.CONTEXT.ADD.CURVE(C7786,"SOFR",$K$2:$K$7,$L$2:$L$7,,,"Actual360","LogLinear",TRUE)</f>
        <v/>
      </c>
      <c r="E7786" s="8">
        <f>QS.INSTRUMENT.SWAP("swap.7784",C7786,H7786,B7786,"USD","SOFR",I7786,J7786,0,"Actual360","Simple","Annual","Annual","Annual")</f>
        <v/>
      </c>
      <c r="F7786" s="8">
        <f>QS.TRADE.CREATE("trade.7784",C7786,E7786,A7786,"Receive")</f>
        <v/>
      </c>
      <c r="G7786" s="5"/>
      <c r="H7786" s="7" t="s">
        <v>7827</v>
      </c>
      <c r="I7786" s="9">
        <v>1778400</v>
      </c>
      <c r="J7786" s="10">
        <v>0.0384</v>
      </c>
    </row>
    <row r="7787" spans="1:10">
      <c r="A7787" s="7" t="s">
        <v>7821</v>
      </c>
      <c r="B7787" s="7" t="s">
        <v>9654</v>
      </c>
      <c r="C7787" s="8">
        <f>QS.CONTEXT.CREATE("market.7785",A7787,"USD","SOFR")</f>
        <v/>
      </c>
      <c r="D7787" s="8">
        <f>QS.CONTEXT.ADD.CURVE(C7787,"SOFR",$K$2:$K$7,$L$2:$L$7,,,"Actual360","LogLinear",TRUE)</f>
        <v/>
      </c>
      <c r="E7787" s="8">
        <f>QS.INSTRUMENT.SWAP("swap.7785",C7787,H7787,B7787,"USD","SOFR",I7787,J7787,0,"Actual360","Simple","Annual","Annual","Annual")</f>
        <v/>
      </c>
      <c r="F7787" s="8">
        <f>QS.TRADE.CREATE("trade.7785",C7787,E7787,A7787,"Receive")</f>
        <v/>
      </c>
      <c r="G7787" s="5"/>
      <c r="H7787" s="7" t="s">
        <v>7828</v>
      </c>
      <c r="I7787" s="9">
        <v>1778500</v>
      </c>
      <c r="J7787" s="10">
        <v>0.03850000000000001</v>
      </c>
    </row>
    <row r="7788" spans="1:10">
      <c r="A7788" s="7" t="s">
        <v>7822</v>
      </c>
      <c r="B7788" s="7" t="s">
        <v>9655</v>
      </c>
      <c r="C7788" s="8">
        <f>QS.CONTEXT.CREATE("market.7786",A7788,"USD","SOFR")</f>
        <v/>
      </c>
      <c r="D7788" s="8">
        <f>QS.CONTEXT.ADD.CURVE(C7788,"SOFR",$K$2:$K$7,$L$2:$L$7,,,"Actual360","LogLinear",TRUE)</f>
        <v/>
      </c>
      <c r="E7788" s="8">
        <f>QS.INSTRUMENT.SWAP("swap.7786",C7788,H7788,B7788,"USD","SOFR",I7788,J7788,0,"Actual360","Simple","Annual","Annual","Annual")</f>
        <v/>
      </c>
      <c r="F7788" s="8">
        <f>QS.TRADE.CREATE("trade.7786",C7788,E7788,A7788,"Receive")</f>
        <v/>
      </c>
      <c r="G7788" s="5"/>
      <c r="H7788" s="7" t="s">
        <v>7829</v>
      </c>
      <c r="I7788" s="9">
        <v>1778600</v>
      </c>
      <c r="J7788" s="10">
        <v>0.0386</v>
      </c>
    </row>
    <row r="7789" spans="1:10">
      <c r="A7789" s="7" t="s">
        <v>7823</v>
      </c>
      <c r="B7789" s="7" t="s">
        <v>9656</v>
      </c>
      <c r="C7789" s="8">
        <f>QS.CONTEXT.CREATE("market.7787",A7789,"USD","SOFR")</f>
        <v/>
      </c>
      <c r="D7789" s="8">
        <f>QS.CONTEXT.ADD.CURVE(C7789,"SOFR",$K$2:$K$7,$L$2:$L$7,,,"Actual360","LogLinear",TRUE)</f>
        <v/>
      </c>
      <c r="E7789" s="8">
        <f>QS.INSTRUMENT.SWAP("swap.7787",C7789,H7789,B7789,"USD","SOFR",I7789,J7789,0,"Actual360","Simple","Annual","Annual","Annual")</f>
        <v/>
      </c>
      <c r="F7789" s="8">
        <f>QS.TRADE.CREATE("trade.7787",C7789,E7789,A7789,"Receive")</f>
        <v/>
      </c>
      <c r="G7789" s="5"/>
      <c r="H7789" s="7" t="s">
        <v>7830</v>
      </c>
      <c r="I7789" s="9">
        <v>1778700</v>
      </c>
      <c r="J7789" s="10">
        <v>0.03870000000000001</v>
      </c>
    </row>
    <row r="7790" spans="1:10">
      <c r="A7790" s="7" t="s">
        <v>7824</v>
      </c>
      <c r="B7790" s="7" t="s">
        <v>9657</v>
      </c>
      <c r="C7790" s="8">
        <f>QS.CONTEXT.CREATE("market.7788",A7790,"USD","SOFR")</f>
        <v/>
      </c>
      <c r="D7790" s="8">
        <f>QS.CONTEXT.ADD.CURVE(C7790,"SOFR",$K$2:$K$7,$L$2:$L$7,,,"Actual360","LogLinear",TRUE)</f>
        <v/>
      </c>
      <c r="E7790" s="8">
        <f>QS.INSTRUMENT.SWAP("swap.7788",C7790,H7790,B7790,"USD","SOFR",I7790,J7790,0,"Actual360","Simple","Annual","Annual","Annual")</f>
        <v/>
      </c>
      <c r="F7790" s="8">
        <f>QS.TRADE.CREATE("trade.7788",C7790,E7790,A7790,"Receive")</f>
        <v/>
      </c>
      <c r="G7790" s="5"/>
      <c r="H7790" s="7" t="s">
        <v>7831</v>
      </c>
      <c r="I7790" s="9">
        <v>1778800</v>
      </c>
      <c r="J7790" s="10">
        <v>0.0388</v>
      </c>
    </row>
    <row r="7791" spans="1:10">
      <c r="A7791" s="7" t="s">
        <v>7825</v>
      </c>
      <c r="B7791" s="7" t="s">
        <v>9658</v>
      </c>
      <c r="C7791" s="8">
        <f>QS.CONTEXT.CREATE("market.7789",A7791,"USD","SOFR")</f>
        <v/>
      </c>
      <c r="D7791" s="8">
        <f>QS.CONTEXT.ADD.CURVE(C7791,"SOFR",$K$2:$K$7,$L$2:$L$7,,,"Actual360","LogLinear",TRUE)</f>
        <v/>
      </c>
      <c r="E7791" s="8">
        <f>QS.INSTRUMENT.SWAP("swap.7789",C7791,H7791,B7791,"USD","SOFR",I7791,J7791,0,"Actual360","Simple","Annual","Annual","Annual")</f>
        <v/>
      </c>
      <c r="F7791" s="8">
        <f>QS.TRADE.CREATE("trade.7789",C7791,E7791,A7791,"Receive")</f>
        <v/>
      </c>
      <c r="G7791" s="5"/>
      <c r="H7791" s="7" t="s">
        <v>7832</v>
      </c>
      <c r="I7791" s="9">
        <v>1778900</v>
      </c>
      <c r="J7791" s="10">
        <v>0.0389</v>
      </c>
    </row>
    <row r="7792" spans="1:10">
      <c r="A7792" s="7" t="s">
        <v>7826</v>
      </c>
      <c r="B7792" s="7" t="s">
        <v>9659</v>
      </c>
      <c r="C7792" s="8">
        <f>QS.CONTEXT.CREATE("market.7790",A7792,"USD","SOFR")</f>
        <v/>
      </c>
      <c r="D7792" s="8">
        <f>QS.CONTEXT.ADD.CURVE(C7792,"SOFR",$K$2:$K$7,$L$2:$L$7,,,"Actual360","LogLinear",TRUE)</f>
        <v/>
      </c>
      <c r="E7792" s="8">
        <f>QS.INSTRUMENT.SWAP("swap.7790",C7792,H7792,B7792,"USD","SOFR",I7792,J7792,0,"Actual360","Simple","Annual","Annual","Annual")</f>
        <v/>
      </c>
      <c r="F7792" s="8">
        <f>QS.TRADE.CREATE("trade.7790",C7792,E7792,A7792,"Receive")</f>
        <v/>
      </c>
      <c r="G7792" s="5"/>
      <c r="H7792" s="7" t="s">
        <v>7833</v>
      </c>
      <c r="I7792" s="9">
        <v>1779000</v>
      </c>
      <c r="J7792" s="10">
        <v>0.03900000000000001</v>
      </c>
    </row>
    <row r="7793" spans="1:10">
      <c r="A7793" s="7" t="s">
        <v>7827</v>
      </c>
      <c r="B7793" s="7" t="s">
        <v>9660</v>
      </c>
      <c r="C7793" s="8">
        <f>QS.CONTEXT.CREATE("market.7791",A7793,"USD","SOFR")</f>
        <v/>
      </c>
      <c r="D7793" s="8">
        <f>QS.CONTEXT.ADD.CURVE(C7793,"SOFR",$K$2:$K$7,$L$2:$L$7,,,"Actual360","LogLinear",TRUE)</f>
        <v/>
      </c>
      <c r="E7793" s="8">
        <f>QS.INSTRUMENT.SWAP("swap.7791",C7793,H7793,B7793,"USD","SOFR",I7793,J7793,0,"Actual360","Simple","Annual","Annual","Annual")</f>
        <v/>
      </c>
      <c r="F7793" s="8">
        <f>QS.TRADE.CREATE("trade.7791",C7793,E7793,A7793,"Receive")</f>
        <v/>
      </c>
      <c r="G7793" s="5"/>
      <c r="H7793" s="7" t="s">
        <v>7834</v>
      </c>
      <c r="I7793" s="9">
        <v>1779100</v>
      </c>
      <c r="J7793" s="10">
        <v>0.0391</v>
      </c>
    </row>
    <row r="7794" spans="1:10">
      <c r="A7794" s="7" t="s">
        <v>7828</v>
      </c>
      <c r="B7794" s="7" t="s">
        <v>9661</v>
      </c>
      <c r="C7794" s="8">
        <f>QS.CONTEXT.CREATE("market.7792",A7794,"USD","SOFR")</f>
        <v/>
      </c>
      <c r="D7794" s="8">
        <f>QS.CONTEXT.ADD.CURVE(C7794,"SOFR",$K$2:$K$7,$L$2:$L$7,,,"Actual360","LogLinear",TRUE)</f>
        <v/>
      </c>
      <c r="E7794" s="8">
        <f>QS.INSTRUMENT.SWAP("swap.7792",C7794,H7794,B7794,"USD","SOFR",I7794,J7794,0,"Actual360","Simple","Annual","Annual","Annual")</f>
        <v/>
      </c>
      <c r="F7794" s="8">
        <f>QS.TRADE.CREATE("trade.7792",C7794,E7794,A7794,"Receive")</f>
        <v/>
      </c>
      <c r="G7794" s="5"/>
      <c r="H7794" s="7" t="s">
        <v>7835</v>
      </c>
      <c r="I7794" s="9">
        <v>1779200</v>
      </c>
      <c r="J7794" s="10">
        <v>0.03920000000000001</v>
      </c>
    </row>
    <row r="7795" spans="1:10">
      <c r="A7795" s="7" t="s">
        <v>7829</v>
      </c>
      <c r="B7795" s="7" t="s">
        <v>9662</v>
      </c>
      <c r="C7795" s="8">
        <f>QS.CONTEXT.CREATE("market.7793",A7795,"USD","SOFR")</f>
        <v/>
      </c>
      <c r="D7795" s="8">
        <f>QS.CONTEXT.ADD.CURVE(C7795,"SOFR",$K$2:$K$7,$L$2:$L$7,,,"Actual360","LogLinear",TRUE)</f>
        <v/>
      </c>
      <c r="E7795" s="8">
        <f>QS.INSTRUMENT.SWAP("swap.7793",C7795,H7795,B7795,"USD","SOFR",I7795,J7795,0,"Actual360","Simple","Annual","Annual","Annual")</f>
        <v/>
      </c>
      <c r="F7795" s="8">
        <f>QS.TRADE.CREATE("trade.7793",C7795,E7795,A7795,"Receive")</f>
        <v/>
      </c>
      <c r="G7795" s="5"/>
      <c r="H7795" s="7" t="s">
        <v>7836</v>
      </c>
      <c r="I7795" s="9">
        <v>1779300</v>
      </c>
      <c r="J7795" s="10">
        <v>0.0393</v>
      </c>
    </row>
    <row r="7796" spans="1:10">
      <c r="A7796" s="7" t="s">
        <v>7830</v>
      </c>
      <c r="B7796" s="7" t="s">
        <v>9663</v>
      </c>
      <c r="C7796" s="8">
        <f>QS.CONTEXT.CREATE("market.7794",A7796,"USD","SOFR")</f>
        <v/>
      </c>
      <c r="D7796" s="8">
        <f>QS.CONTEXT.ADD.CURVE(C7796,"SOFR",$K$2:$K$7,$L$2:$L$7,,,"Actual360","LogLinear",TRUE)</f>
        <v/>
      </c>
      <c r="E7796" s="8">
        <f>QS.INSTRUMENT.SWAP("swap.7794",C7796,H7796,B7796,"USD","SOFR",I7796,J7796,0,"Actual360","Simple","Annual","Annual","Annual")</f>
        <v/>
      </c>
      <c r="F7796" s="8">
        <f>QS.TRADE.CREATE("trade.7794",C7796,E7796,A7796,"Receive")</f>
        <v/>
      </c>
      <c r="G7796" s="5"/>
      <c r="H7796" s="7" t="s">
        <v>7837</v>
      </c>
      <c r="I7796" s="9">
        <v>1779400</v>
      </c>
      <c r="J7796" s="10">
        <v>0.0394</v>
      </c>
    </row>
    <row r="7797" spans="1:10">
      <c r="A7797" s="7" t="s">
        <v>7831</v>
      </c>
      <c r="B7797" s="7" t="s">
        <v>9664</v>
      </c>
      <c r="C7797" s="8">
        <f>QS.CONTEXT.CREATE("market.7795",A7797,"USD","SOFR")</f>
        <v/>
      </c>
      <c r="D7797" s="8">
        <f>QS.CONTEXT.ADD.CURVE(C7797,"SOFR",$K$2:$K$7,$L$2:$L$7,,,"Actual360","LogLinear",TRUE)</f>
        <v/>
      </c>
      <c r="E7797" s="8">
        <f>QS.INSTRUMENT.SWAP("swap.7795",C7797,H7797,B7797,"USD","SOFR",I7797,J7797,0,"Actual360","Simple","Annual","Annual","Annual")</f>
        <v/>
      </c>
      <c r="F7797" s="8">
        <f>QS.TRADE.CREATE("trade.7795",C7797,E7797,A7797,"Receive")</f>
        <v/>
      </c>
      <c r="G7797" s="5"/>
      <c r="H7797" s="7" t="s">
        <v>7838</v>
      </c>
      <c r="I7797" s="9">
        <v>1779500</v>
      </c>
      <c r="J7797" s="10">
        <v>0.03950000000000001</v>
      </c>
    </row>
    <row r="7798" spans="1:10">
      <c r="A7798" s="7" t="s">
        <v>7832</v>
      </c>
      <c r="B7798" s="7" t="s">
        <v>9665</v>
      </c>
      <c r="C7798" s="8">
        <f>QS.CONTEXT.CREATE("market.7796",A7798,"USD","SOFR")</f>
        <v/>
      </c>
      <c r="D7798" s="8">
        <f>QS.CONTEXT.ADD.CURVE(C7798,"SOFR",$K$2:$K$7,$L$2:$L$7,,,"Actual360","LogLinear",TRUE)</f>
        <v/>
      </c>
      <c r="E7798" s="8">
        <f>QS.INSTRUMENT.SWAP("swap.7796",C7798,H7798,B7798,"USD","SOFR",I7798,J7798,0,"Actual360","Simple","Annual","Annual","Annual")</f>
        <v/>
      </c>
      <c r="F7798" s="8">
        <f>QS.TRADE.CREATE("trade.7796",C7798,E7798,A7798,"Receive")</f>
        <v/>
      </c>
      <c r="G7798" s="5"/>
      <c r="H7798" s="7" t="s">
        <v>7839</v>
      </c>
      <c r="I7798" s="9">
        <v>1779600</v>
      </c>
      <c r="J7798" s="10">
        <v>0.0396</v>
      </c>
    </row>
    <row r="7799" spans="1:10">
      <c r="A7799" s="7" t="s">
        <v>7833</v>
      </c>
      <c r="B7799" s="7" t="s">
        <v>9666</v>
      </c>
      <c r="C7799" s="8">
        <f>QS.CONTEXT.CREATE("market.7797",A7799,"USD","SOFR")</f>
        <v/>
      </c>
      <c r="D7799" s="8">
        <f>QS.CONTEXT.ADD.CURVE(C7799,"SOFR",$K$2:$K$7,$L$2:$L$7,,,"Actual360","LogLinear",TRUE)</f>
        <v/>
      </c>
      <c r="E7799" s="8">
        <f>QS.INSTRUMENT.SWAP("swap.7797",C7799,H7799,B7799,"USD","SOFR",I7799,J7799,0,"Actual360","Simple","Annual","Annual","Annual")</f>
        <v/>
      </c>
      <c r="F7799" s="8">
        <f>QS.TRADE.CREATE("trade.7797",C7799,E7799,A7799,"Receive")</f>
        <v/>
      </c>
      <c r="G7799" s="5"/>
      <c r="H7799" s="7" t="s">
        <v>7840</v>
      </c>
      <c r="I7799" s="9">
        <v>1779700</v>
      </c>
      <c r="J7799" s="10">
        <v>0.03970000000000001</v>
      </c>
    </row>
    <row r="7800" spans="1:10">
      <c r="A7800" s="7" t="s">
        <v>7834</v>
      </c>
      <c r="B7800" s="7" t="s">
        <v>9667</v>
      </c>
      <c r="C7800" s="8">
        <f>QS.CONTEXT.CREATE("market.7798",A7800,"USD","SOFR")</f>
        <v/>
      </c>
      <c r="D7800" s="8">
        <f>QS.CONTEXT.ADD.CURVE(C7800,"SOFR",$K$2:$K$7,$L$2:$L$7,,,"Actual360","LogLinear",TRUE)</f>
        <v/>
      </c>
      <c r="E7800" s="8">
        <f>QS.INSTRUMENT.SWAP("swap.7798",C7800,H7800,B7800,"USD","SOFR",I7800,J7800,0,"Actual360","Simple","Annual","Annual","Annual")</f>
        <v/>
      </c>
      <c r="F7800" s="8">
        <f>QS.TRADE.CREATE("trade.7798",C7800,E7800,A7800,"Receive")</f>
        <v/>
      </c>
      <c r="G7800" s="5"/>
      <c r="H7800" s="7" t="s">
        <v>7841</v>
      </c>
      <c r="I7800" s="9">
        <v>1779800</v>
      </c>
      <c r="J7800" s="10">
        <v>0.0398</v>
      </c>
    </row>
    <row r="7801" spans="1:10">
      <c r="A7801" s="7" t="s">
        <v>7835</v>
      </c>
      <c r="B7801" s="7" t="s">
        <v>9668</v>
      </c>
      <c r="C7801" s="8">
        <f>QS.CONTEXT.CREATE("market.7799",A7801,"USD","SOFR")</f>
        <v/>
      </c>
      <c r="D7801" s="8">
        <f>QS.CONTEXT.ADD.CURVE(C7801,"SOFR",$K$2:$K$7,$L$2:$L$7,,,"Actual360","LogLinear",TRUE)</f>
        <v/>
      </c>
      <c r="E7801" s="8">
        <f>QS.INSTRUMENT.SWAP("swap.7799",C7801,H7801,B7801,"USD","SOFR",I7801,J7801,0,"Actual360","Simple","Annual","Annual","Annual")</f>
        <v/>
      </c>
      <c r="F7801" s="8">
        <f>QS.TRADE.CREATE("trade.7799",C7801,E7801,A7801,"Receive")</f>
        <v/>
      </c>
      <c r="G7801" s="5"/>
      <c r="H7801" s="7" t="s">
        <v>7842</v>
      </c>
      <c r="I7801" s="9">
        <v>1779900</v>
      </c>
      <c r="J7801" s="10">
        <v>0.0399</v>
      </c>
    </row>
    <row r="7802" spans="1:10">
      <c r="A7802" s="7" t="s">
        <v>7836</v>
      </c>
      <c r="B7802" s="7" t="s">
        <v>9669</v>
      </c>
      <c r="C7802" s="8">
        <f>QS.CONTEXT.CREATE("market.7800",A7802,"USD","SOFR")</f>
        <v/>
      </c>
      <c r="D7802" s="8">
        <f>QS.CONTEXT.ADD.CURVE(C7802,"SOFR",$K$2:$K$7,$L$2:$L$7,,,"Actual360","LogLinear",TRUE)</f>
        <v/>
      </c>
      <c r="E7802" s="8">
        <f>QS.INSTRUMENT.SWAP("swap.7800",C7802,H7802,B7802,"USD","SOFR",I7802,J7802,0,"Actual360","Simple","Annual","Annual","Annual")</f>
        <v/>
      </c>
      <c r="F7802" s="8">
        <f>QS.TRADE.CREATE("trade.7800",C7802,E7802,A7802,"Receive")</f>
        <v/>
      </c>
      <c r="G7802" s="5"/>
      <c r="H7802" s="7" t="s">
        <v>7843</v>
      </c>
      <c r="I7802" s="9">
        <v>1780000</v>
      </c>
      <c r="J7802" s="10">
        <v>0.035</v>
      </c>
    </row>
    <row r="7803" spans="1:10">
      <c r="A7803" s="7" t="s">
        <v>7837</v>
      </c>
      <c r="B7803" s="7" t="s">
        <v>9670</v>
      </c>
      <c r="C7803" s="8">
        <f>QS.CONTEXT.CREATE("market.7801",A7803,"USD","SOFR")</f>
        <v/>
      </c>
      <c r="D7803" s="8">
        <f>QS.CONTEXT.ADD.CURVE(C7803,"SOFR",$K$2:$K$7,$L$2:$L$7,,,"Actual360","LogLinear",TRUE)</f>
        <v/>
      </c>
      <c r="E7803" s="8">
        <f>QS.INSTRUMENT.SWAP("swap.7801",C7803,H7803,B7803,"USD","SOFR",I7803,J7803,0,"Actual360","Simple","Annual","Annual","Annual")</f>
        <v/>
      </c>
      <c r="F7803" s="8">
        <f>QS.TRADE.CREATE("trade.7801",C7803,E7803,A7803,"Receive")</f>
        <v/>
      </c>
      <c r="G7803" s="5"/>
      <c r="H7803" s="7" t="s">
        <v>7844</v>
      </c>
      <c r="I7803" s="9">
        <v>1780100</v>
      </c>
      <c r="J7803" s="10">
        <v>0.03510000000000001</v>
      </c>
    </row>
    <row r="7804" spans="1:10">
      <c r="A7804" s="7" t="s">
        <v>7838</v>
      </c>
      <c r="B7804" s="7" t="s">
        <v>9671</v>
      </c>
      <c r="C7804" s="8">
        <f>QS.CONTEXT.CREATE("market.7802",A7804,"USD","SOFR")</f>
        <v/>
      </c>
      <c r="D7804" s="8">
        <f>QS.CONTEXT.ADD.CURVE(C7804,"SOFR",$K$2:$K$7,$L$2:$L$7,,,"Actual360","LogLinear",TRUE)</f>
        <v/>
      </c>
      <c r="E7804" s="8">
        <f>QS.INSTRUMENT.SWAP("swap.7802",C7804,H7804,B7804,"USD","SOFR",I7804,J7804,0,"Actual360","Simple","Annual","Annual","Annual")</f>
        <v/>
      </c>
      <c r="F7804" s="8">
        <f>QS.TRADE.CREATE("trade.7802",C7804,E7804,A7804,"Receive")</f>
        <v/>
      </c>
      <c r="G7804" s="5"/>
      <c r="H7804" s="7" t="s">
        <v>7845</v>
      </c>
      <c r="I7804" s="9">
        <v>1780200</v>
      </c>
      <c r="J7804" s="10">
        <v>0.0352</v>
      </c>
    </row>
    <row r="7805" spans="1:10">
      <c r="A7805" s="7" t="s">
        <v>7839</v>
      </c>
      <c r="B7805" s="7" t="s">
        <v>9672</v>
      </c>
      <c r="C7805" s="8">
        <f>QS.CONTEXT.CREATE("market.7803",A7805,"USD","SOFR")</f>
        <v/>
      </c>
      <c r="D7805" s="8">
        <f>QS.CONTEXT.ADD.CURVE(C7805,"SOFR",$K$2:$K$7,$L$2:$L$7,,,"Actual360","LogLinear",TRUE)</f>
        <v/>
      </c>
      <c r="E7805" s="8">
        <f>QS.INSTRUMENT.SWAP("swap.7803",C7805,H7805,B7805,"USD","SOFR",I7805,J7805,0,"Actual360","Simple","Annual","Annual","Annual")</f>
        <v/>
      </c>
      <c r="F7805" s="8">
        <f>QS.TRADE.CREATE("trade.7803",C7805,E7805,A7805,"Receive")</f>
        <v/>
      </c>
      <c r="G7805" s="5"/>
      <c r="H7805" s="7" t="s">
        <v>7846</v>
      </c>
      <c r="I7805" s="9">
        <v>1780300</v>
      </c>
      <c r="J7805" s="10">
        <v>0.0353</v>
      </c>
    </row>
    <row r="7806" spans="1:10">
      <c r="A7806" s="7" t="s">
        <v>7840</v>
      </c>
      <c r="B7806" s="7" t="s">
        <v>9673</v>
      </c>
      <c r="C7806" s="8">
        <f>QS.CONTEXT.CREATE("market.7804",A7806,"USD","SOFR")</f>
        <v/>
      </c>
      <c r="D7806" s="8">
        <f>QS.CONTEXT.ADD.CURVE(C7806,"SOFR",$K$2:$K$7,$L$2:$L$7,,,"Actual360","LogLinear",TRUE)</f>
        <v/>
      </c>
      <c r="E7806" s="8">
        <f>QS.INSTRUMENT.SWAP("swap.7804",C7806,H7806,B7806,"USD","SOFR",I7806,J7806,0,"Actual360","Simple","Annual","Annual","Annual")</f>
        <v/>
      </c>
      <c r="F7806" s="8">
        <f>QS.TRADE.CREATE("trade.7804",C7806,E7806,A7806,"Receive")</f>
        <v/>
      </c>
      <c r="G7806" s="5"/>
      <c r="H7806" s="7" t="s">
        <v>7847</v>
      </c>
      <c r="I7806" s="9">
        <v>1780400</v>
      </c>
      <c r="J7806" s="10">
        <v>0.0354</v>
      </c>
    </row>
    <row r="7807" spans="1:10">
      <c r="A7807" s="7" t="s">
        <v>7841</v>
      </c>
      <c r="B7807" s="7" t="s">
        <v>9674</v>
      </c>
      <c r="C7807" s="8">
        <f>QS.CONTEXT.CREATE("market.7805",A7807,"USD","SOFR")</f>
        <v/>
      </c>
      <c r="D7807" s="8">
        <f>QS.CONTEXT.ADD.CURVE(C7807,"SOFR",$K$2:$K$7,$L$2:$L$7,,,"Actual360","LogLinear",TRUE)</f>
        <v/>
      </c>
      <c r="E7807" s="8">
        <f>QS.INSTRUMENT.SWAP("swap.7805",C7807,H7807,B7807,"USD","SOFR",I7807,J7807,0,"Actual360","Simple","Annual","Annual","Annual")</f>
        <v/>
      </c>
      <c r="F7807" s="8">
        <f>QS.TRADE.CREATE("trade.7805",C7807,E7807,A7807,"Receive")</f>
        <v/>
      </c>
      <c r="G7807" s="5"/>
      <c r="H7807" s="7" t="s">
        <v>7848</v>
      </c>
      <c r="I7807" s="9">
        <v>1780500</v>
      </c>
      <c r="J7807" s="10">
        <v>0.0355</v>
      </c>
    </row>
    <row r="7808" spans="1:10">
      <c r="A7808" s="7" t="s">
        <v>7842</v>
      </c>
      <c r="B7808" s="7" t="s">
        <v>9675</v>
      </c>
      <c r="C7808" s="8">
        <f>QS.CONTEXT.CREATE("market.7806",A7808,"USD","SOFR")</f>
        <v/>
      </c>
      <c r="D7808" s="8">
        <f>QS.CONTEXT.ADD.CURVE(C7808,"SOFR",$K$2:$K$7,$L$2:$L$7,,,"Actual360","LogLinear",TRUE)</f>
        <v/>
      </c>
      <c r="E7808" s="8">
        <f>QS.INSTRUMENT.SWAP("swap.7806",C7808,H7808,B7808,"USD","SOFR",I7808,J7808,0,"Actual360","Simple","Annual","Annual","Annual")</f>
        <v/>
      </c>
      <c r="F7808" s="8">
        <f>QS.TRADE.CREATE("trade.7806",C7808,E7808,A7808,"Receive")</f>
        <v/>
      </c>
      <c r="G7808" s="5"/>
      <c r="H7808" s="7" t="s">
        <v>7849</v>
      </c>
      <c r="I7808" s="9">
        <v>1780600</v>
      </c>
      <c r="J7808" s="10">
        <v>0.03560000000000001</v>
      </c>
    </row>
    <row r="7809" spans="1:10">
      <c r="A7809" s="7" t="s">
        <v>7843</v>
      </c>
      <c r="B7809" s="7" t="s">
        <v>9676</v>
      </c>
      <c r="C7809" s="8">
        <f>QS.CONTEXT.CREATE("market.7807",A7809,"USD","SOFR")</f>
        <v/>
      </c>
      <c r="D7809" s="8">
        <f>QS.CONTEXT.ADD.CURVE(C7809,"SOFR",$K$2:$K$7,$L$2:$L$7,,,"Actual360","LogLinear",TRUE)</f>
        <v/>
      </c>
      <c r="E7809" s="8">
        <f>QS.INSTRUMENT.SWAP("swap.7807",C7809,H7809,B7809,"USD","SOFR",I7809,J7809,0,"Actual360","Simple","Annual","Annual","Annual")</f>
        <v/>
      </c>
      <c r="F7809" s="8">
        <f>QS.TRADE.CREATE("trade.7807",C7809,E7809,A7809,"Receive")</f>
        <v/>
      </c>
      <c r="G7809" s="5"/>
      <c r="H7809" s="7" t="s">
        <v>7850</v>
      </c>
      <c r="I7809" s="9">
        <v>1780700</v>
      </c>
      <c r="J7809" s="10">
        <v>0.0357</v>
      </c>
    </row>
    <row r="7810" spans="1:10">
      <c r="A7810" s="7" t="s">
        <v>7844</v>
      </c>
      <c r="B7810" s="7" t="s">
        <v>9677</v>
      </c>
      <c r="C7810" s="8">
        <f>QS.CONTEXT.CREATE("market.7808",A7810,"USD","SOFR")</f>
        <v/>
      </c>
      <c r="D7810" s="8">
        <f>QS.CONTEXT.ADD.CURVE(C7810,"SOFR",$K$2:$K$7,$L$2:$L$7,,,"Actual360","LogLinear",TRUE)</f>
        <v/>
      </c>
      <c r="E7810" s="8">
        <f>QS.INSTRUMENT.SWAP("swap.7808",C7810,H7810,B7810,"USD","SOFR",I7810,J7810,0,"Actual360","Simple","Annual","Annual","Annual")</f>
        <v/>
      </c>
      <c r="F7810" s="8">
        <f>QS.TRADE.CREATE("trade.7808",C7810,E7810,A7810,"Receive")</f>
        <v/>
      </c>
      <c r="G7810" s="5"/>
      <c r="H7810" s="7" t="s">
        <v>7851</v>
      </c>
      <c r="I7810" s="9">
        <v>1780800</v>
      </c>
      <c r="J7810" s="10">
        <v>0.03580000000000001</v>
      </c>
    </row>
    <row r="7811" spans="1:10">
      <c r="A7811" s="7" t="s">
        <v>7845</v>
      </c>
      <c r="B7811" s="7" t="s">
        <v>9678</v>
      </c>
      <c r="C7811" s="8">
        <f>QS.CONTEXT.CREATE("market.7809",A7811,"USD","SOFR")</f>
        <v/>
      </c>
      <c r="D7811" s="8">
        <f>QS.CONTEXT.ADD.CURVE(C7811,"SOFR",$K$2:$K$7,$L$2:$L$7,,,"Actual360","LogLinear",TRUE)</f>
        <v/>
      </c>
      <c r="E7811" s="8">
        <f>QS.INSTRUMENT.SWAP("swap.7809",C7811,H7811,B7811,"USD","SOFR",I7811,J7811,0,"Actual360","Simple","Annual","Annual","Annual")</f>
        <v/>
      </c>
      <c r="F7811" s="8">
        <f>QS.TRADE.CREATE("trade.7809",C7811,E7811,A7811,"Receive")</f>
        <v/>
      </c>
      <c r="G7811" s="5"/>
      <c r="H7811" s="7" t="s">
        <v>7852</v>
      </c>
      <c r="I7811" s="9">
        <v>1780900</v>
      </c>
      <c r="J7811" s="10">
        <v>0.0359</v>
      </c>
    </row>
    <row r="7812" spans="1:10">
      <c r="A7812" s="7" t="s">
        <v>7846</v>
      </c>
      <c r="B7812" s="7" t="s">
        <v>9679</v>
      </c>
      <c r="C7812" s="8">
        <f>QS.CONTEXT.CREATE("market.7810",A7812,"USD","SOFR")</f>
        <v/>
      </c>
      <c r="D7812" s="8">
        <f>QS.CONTEXT.ADD.CURVE(C7812,"SOFR",$K$2:$K$7,$L$2:$L$7,,,"Actual360","LogLinear",TRUE)</f>
        <v/>
      </c>
      <c r="E7812" s="8">
        <f>QS.INSTRUMENT.SWAP("swap.7810",C7812,H7812,B7812,"USD","SOFR",I7812,J7812,0,"Actual360","Simple","Annual","Annual","Annual")</f>
        <v/>
      </c>
      <c r="F7812" s="8">
        <f>QS.TRADE.CREATE("trade.7810",C7812,E7812,A7812,"Receive")</f>
        <v/>
      </c>
      <c r="G7812" s="5"/>
      <c r="H7812" s="7" t="s">
        <v>7853</v>
      </c>
      <c r="I7812" s="9">
        <v>1781000</v>
      </c>
      <c r="J7812" s="10">
        <v>0.036</v>
      </c>
    </row>
    <row r="7813" spans="1:10">
      <c r="A7813" s="7" t="s">
        <v>7847</v>
      </c>
      <c r="B7813" s="7" t="s">
        <v>9680</v>
      </c>
      <c r="C7813" s="8">
        <f>QS.CONTEXT.CREATE("market.7811",A7813,"USD","SOFR")</f>
        <v/>
      </c>
      <c r="D7813" s="8">
        <f>QS.CONTEXT.ADD.CURVE(C7813,"SOFR",$K$2:$K$7,$L$2:$L$7,,,"Actual360","LogLinear",TRUE)</f>
        <v/>
      </c>
      <c r="E7813" s="8">
        <f>QS.INSTRUMENT.SWAP("swap.7811",C7813,H7813,B7813,"USD","SOFR",I7813,J7813,0,"Actual360","Simple","Annual","Annual","Annual")</f>
        <v/>
      </c>
      <c r="F7813" s="8">
        <f>QS.TRADE.CREATE("trade.7811",C7813,E7813,A7813,"Receive")</f>
        <v/>
      </c>
      <c r="G7813" s="5"/>
      <c r="H7813" s="7" t="s">
        <v>7854</v>
      </c>
      <c r="I7813" s="9">
        <v>1781100</v>
      </c>
      <c r="J7813" s="10">
        <v>0.0361</v>
      </c>
    </row>
    <row r="7814" spans="1:10">
      <c r="A7814" s="7" t="s">
        <v>7848</v>
      </c>
      <c r="B7814" s="7" t="s">
        <v>9681</v>
      </c>
      <c r="C7814" s="8">
        <f>QS.CONTEXT.CREATE("market.7812",A7814,"USD","SOFR")</f>
        <v/>
      </c>
      <c r="D7814" s="8">
        <f>QS.CONTEXT.ADD.CURVE(C7814,"SOFR",$K$2:$K$7,$L$2:$L$7,,,"Actual360","LogLinear",TRUE)</f>
        <v/>
      </c>
      <c r="E7814" s="8">
        <f>QS.INSTRUMENT.SWAP("swap.7812",C7814,H7814,B7814,"USD","SOFR",I7814,J7814,0,"Actual360","Simple","Annual","Annual","Annual")</f>
        <v/>
      </c>
      <c r="F7814" s="8">
        <f>QS.TRADE.CREATE("trade.7812",C7814,E7814,A7814,"Receive")</f>
        <v/>
      </c>
      <c r="G7814" s="5"/>
      <c r="H7814" s="7" t="s">
        <v>7855</v>
      </c>
      <c r="I7814" s="9">
        <v>1781200</v>
      </c>
      <c r="J7814" s="10">
        <v>0.0362</v>
      </c>
    </row>
    <row r="7815" spans="1:10">
      <c r="A7815" s="7" t="s">
        <v>7849</v>
      </c>
      <c r="B7815" s="7" t="s">
        <v>9682</v>
      </c>
      <c r="C7815" s="8">
        <f>QS.CONTEXT.CREATE("market.7813",A7815,"USD","SOFR")</f>
        <v/>
      </c>
      <c r="D7815" s="8">
        <f>QS.CONTEXT.ADD.CURVE(C7815,"SOFR",$K$2:$K$7,$L$2:$L$7,,,"Actual360","LogLinear",TRUE)</f>
        <v/>
      </c>
      <c r="E7815" s="8">
        <f>QS.INSTRUMENT.SWAP("swap.7813",C7815,H7815,B7815,"USD","SOFR",I7815,J7815,0,"Actual360","Simple","Annual","Annual","Annual")</f>
        <v/>
      </c>
      <c r="F7815" s="8">
        <f>QS.TRADE.CREATE("trade.7813",C7815,E7815,A7815,"Receive")</f>
        <v/>
      </c>
      <c r="G7815" s="5"/>
      <c r="H7815" s="7" t="s">
        <v>7856</v>
      </c>
      <c r="I7815" s="9">
        <v>1781300</v>
      </c>
      <c r="J7815" s="10">
        <v>0.03630000000000001</v>
      </c>
    </row>
    <row r="7816" spans="1:10">
      <c r="A7816" s="7" t="s">
        <v>7850</v>
      </c>
      <c r="B7816" s="7" t="s">
        <v>9683</v>
      </c>
      <c r="C7816" s="8">
        <f>QS.CONTEXT.CREATE("market.7814",A7816,"USD","SOFR")</f>
        <v/>
      </c>
      <c r="D7816" s="8">
        <f>QS.CONTEXT.ADD.CURVE(C7816,"SOFR",$K$2:$K$7,$L$2:$L$7,,,"Actual360","LogLinear",TRUE)</f>
        <v/>
      </c>
      <c r="E7816" s="8">
        <f>QS.INSTRUMENT.SWAP("swap.7814",C7816,H7816,B7816,"USD","SOFR",I7816,J7816,0,"Actual360","Simple","Annual","Annual","Annual")</f>
        <v/>
      </c>
      <c r="F7816" s="8">
        <f>QS.TRADE.CREATE("trade.7814",C7816,E7816,A7816,"Receive")</f>
        <v/>
      </c>
      <c r="G7816" s="5"/>
      <c r="H7816" s="7" t="s">
        <v>7857</v>
      </c>
      <c r="I7816" s="9">
        <v>1781400</v>
      </c>
      <c r="J7816" s="10">
        <v>0.0364</v>
      </c>
    </row>
    <row r="7817" spans="1:10">
      <c r="A7817" s="7" t="s">
        <v>7851</v>
      </c>
      <c r="B7817" s="7" t="s">
        <v>9684</v>
      </c>
      <c r="C7817" s="8">
        <f>QS.CONTEXT.CREATE("market.7815",A7817,"USD","SOFR")</f>
        <v/>
      </c>
      <c r="D7817" s="8">
        <f>QS.CONTEXT.ADD.CURVE(C7817,"SOFR",$K$2:$K$7,$L$2:$L$7,,,"Actual360","LogLinear",TRUE)</f>
        <v/>
      </c>
      <c r="E7817" s="8">
        <f>QS.INSTRUMENT.SWAP("swap.7815",C7817,H7817,B7817,"USD","SOFR",I7817,J7817,0,"Actual360","Simple","Annual","Annual","Annual")</f>
        <v/>
      </c>
      <c r="F7817" s="8">
        <f>QS.TRADE.CREATE("trade.7815",C7817,E7817,A7817,"Receive")</f>
        <v/>
      </c>
      <c r="G7817" s="5"/>
      <c r="H7817" s="7" t="s">
        <v>7858</v>
      </c>
      <c r="I7817" s="9">
        <v>1781500</v>
      </c>
      <c r="J7817" s="10">
        <v>0.0365</v>
      </c>
    </row>
    <row r="7818" spans="1:10">
      <c r="A7818" s="7" t="s">
        <v>7852</v>
      </c>
      <c r="B7818" s="7" t="s">
        <v>9685</v>
      </c>
      <c r="C7818" s="8">
        <f>QS.CONTEXT.CREATE("market.7816",A7818,"USD","SOFR")</f>
        <v/>
      </c>
      <c r="D7818" s="8">
        <f>QS.CONTEXT.ADD.CURVE(C7818,"SOFR",$K$2:$K$7,$L$2:$L$7,,,"Actual360","LogLinear",TRUE)</f>
        <v/>
      </c>
      <c r="E7818" s="8">
        <f>QS.INSTRUMENT.SWAP("swap.7816",C7818,H7818,B7818,"USD","SOFR",I7818,J7818,0,"Actual360","Simple","Annual","Annual","Annual")</f>
        <v/>
      </c>
      <c r="F7818" s="8">
        <f>QS.TRADE.CREATE("trade.7816",C7818,E7818,A7818,"Receive")</f>
        <v/>
      </c>
      <c r="G7818" s="5"/>
      <c r="H7818" s="7" t="s">
        <v>7859</v>
      </c>
      <c r="I7818" s="9">
        <v>1781600</v>
      </c>
      <c r="J7818" s="10">
        <v>0.0366</v>
      </c>
    </row>
    <row r="7819" spans="1:10">
      <c r="A7819" s="7" t="s">
        <v>7853</v>
      </c>
      <c r="B7819" s="7" t="s">
        <v>9686</v>
      </c>
      <c r="C7819" s="8">
        <f>QS.CONTEXT.CREATE("market.7817",A7819,"USD","SOFR")</f>
        <v/>
      </c>
      <c r="D7819" s="8">
        <f>QS.CONTEXT.ADD.CURVE(C7819,"SOFR",$K$2:$K$7,$L$2:$L$7,,,"Actual360","LogLinear",TRUE)</f>
        <v/>
      </c>
      <c r="E7819" s="8">
        <f>QS.INSTRUMENT.SWAP("swap.7817",C7819,H7819,B7819,"USD","SOFR",I7819,J7819,0,"Actual360","Simple","Annual","Annual","Annual")</f>
        <v/>
      </c>
      <c r="F7819" s="8">
        <f>QS.TRADE.CREATE("trade.7817",C7819,E7819,A7819,"Receive")</f>
        <v/>
      </c>
      <c r="G7819" s="5"/>
      <c r="H7819" s="7" t="s">
        <v>7860</v>
      </c>
      <c r="I7819" s="9">
        <v>1781700</v>
      </c>
      <c r="J7819" s="10">
        <v>0.0367</v>
      </c>
    </row>
    <row r="7820" spans="1:10">
      <c r="A7820" s="7" t="s">
        <v>7854</v>
      </c>
      <c r="B7820" s="7" t="s">
        <v>9687</v>
      </c>
      <c r="C7820" s="8">
        <f>QS.CONTEXT.CREATE("market.7818",A7820,"USD","SOFR")</f>
        <v/>
      </c>
      <c r="D7820" s="8">
        <f>QS.CONTEXT.ADD.CURVE(C7820,"SOFR",$K$2:$K$7,$L$2:$L$7,,,"Actual360","LogLinear",TRUE)</f>
        <v/>
      </c>
      <c r="E7820" s="8">
        <f>QS.INSTRUMENT.SWAP("swap.7818",C7820,H7820,B7820,"USD","SOFR",I7820,J7820,0,"Actual360","Simple","Annual","Annual","Annual")</f>
        <v/>
      </c>
      <c r="F7820" s="8">
        <f>QS.TRADE.CREATE("trade.7818",C7820,E7820,A7820,"Receive")</f>
        <v/>
      </c>
      <c r="G7820" s="5"/>
      <c r="H7820" s="7" t="s">
        <v>7861</v>
      </c>
      <c r="I7820" s="9">
        <v>1781800</v>
      </c>
      <c r="J7820" s="10">
        <v>0.03680000000000001</v>
      </c>
    </row>
    <row r="7821" spans="1:10">
      <c r="A7821" s="7" t="s">
        <v>7855</v>
      </c>
      <c r="B7821" s="7" t="s">
        <v>9688</v>
      </c>
      <c r="C7821" s="8">
        <f>QS.CONTEXT.CREATE("market.7819",A7821,"USD","SOFR")</f>
        <v/>
      </c>
      <c r="D7821" s="8">
        <f>QS.CONTEXT.ADD.CURVE(C7821,"SOFR",$K$2:$K$7,$L$2:$L$7,,,"Actual360","LogLinear",TRUE)</f>
        <v/>
      </c>
      <c r="E7821" s="8">
        <f>QS.INSTRUMENT.SWAP("swap.7819",C7821,H7821,B7821,"USD","SOFR",I7821,J7821,0,"Actual360","Simple","Annual","Annual","Annual")</f>
        <v/>
      </c>
      <c r="F7821" s="8">
        <f>QS.TRADE.CREATE("trade.7819",C7821,E7821,A7821,"Receive")</f>
        <v/>
      </c>
      <c r="G7821" s="5"/>
      <c r="H7821" s="7" t="s">
        <v>7862</v>
      </c>
      <c r="I7821" s="9">
        <v>1781900</v>
      </c>
      <c r="J7821" s="10">
        <v>0.0369</v>
      </c>
    </row>
    <row r="7822" spans="1:10">
      <c r="A7822" s="7" t="s">
        <v>7856</v>
      </c>
      <c r="B7822" s="7" t="s">
        <v>9689</v>
      </c>
      <c r="C7822" s="8">
        <f>QS.CONTEXT.CREATE("market.7820",A7822,"USD","SOFR")</f>
        <v/>
      </c>
      <c r="D7822" s="8">
        <f>QS.CONTEXT.ADD.CURVE(C7822,"SOFR",$K$2:$K$7,$L$2:$L$7,,,"Actual360","LogLinear",TRUE)</f>
        <v/>
      </c>
      <c r="E7822" s="8">
        <f>QS.INSTRUMENT.SWAP("swap.7820",C7822,H7822,B7822,"USD","SOFR",I7822,J7822,0,"Actual360","Simple","Annual","Annual","Annual")</f>
        <v/>
      </c>
      <c r="F7822" s="8">
        <f>QS.TRADE.CREATE("trade.7820",C7822,E7822,A7822,"Receive")</f>
        <v/>
      </c>
      <c r="G7822" s="5"/>
      <c r="H7822" s="7" t="s">
        <v>7863</v>
      </c>
      <c r="I7822" s="9">
        <v>1782000</v>
      </c>
      <c r="J7822" s="10">
        <v>0.03700000000000001</v>
      </c>
    </row>
    <row r="7823" spans="1:10">
      <c r="A7823" s="7" t="s">
        <v>7857</v>
      </c>
      <c r="B7823" s="7" t="s">
        <v>9690</v>
      </c>
      <c r="C7823" s="8">
        <f>QS.CONTEXT.CREATE("market.7821",A7823,"USD","SOFR")</f>
        <v/>
      </c>
      <c r="D7823" s="8">
        <f>QS.CONTEXT.ADD.CURVE(C7823,"SOFR",$K$2:$K$7,$L$2:$L$7,,,"Actual360","LogLinear",TRUE)</f>
        <v/>
      </c>
      <c r="E7823" s="8">
        <f>QS.INSTRUMENT.SWAP("swap.7821",C7823,H7823,B7823,"USD","SOFR",I7823,J7823,0,"Actual360","Simple","Annual","Annual","Annual")</f>
        <v/>
      </c>
      <c r="F7823" s="8">
        <f>QS.TRADE.CREATE("trade.7821",C7823,E7823,A7823,"Receive")</f>
        <v/>
      </c>
      <c r="G7823" s="5"/>
      <c r="H7823" s="7" t="s">
        <v>7864</v>
      </c>
      <c r="I7823" s="9">
        <v>1782100</v>
      </c>
      <c r="J7823" s="10">
        <v>0.0371</v>
      </c>
    </row>
    <row r="7824" spans="1:10">
      <c r="A7824" s="7" t="s">
        <v>7858</v>
      </c>
      <c r="B7824" s="7" t="s">
        <v>9691</v>
      </c>
      <c r="C7824" s="8">
        <f>QS.CONTEXT.CREATE("market.7822",A7824,"USD","SOFR")</f>
        <v/>
      </c>
      <c r="D7824" s="8">
        <f>QS.CONTEXT.ADD.CURVE(C7824,"SOFR",$K$2:$K$7,$L$2:$L$7,,,"Actual360","LogLinear",TRUE)</f>
        <v/>
      </c>
      <c r="E7824" s="8">
        <f>QS.INSTRUMENT.SWAP("swap.7822",C7824,H7824,B7824,"USD","SOFR",I7824,J7824,0,"Actual360","Simple","Annual","Annual","Annual")</f>
        <v/>
      </c>
      <c r="F7824" s="8">
        <f>QS.TRADE.CREATE("trade.7822",C7824,E7824,A7824,"Receive")</f>
        <v/>
      </c>
      <c r="G7824" s="5"/>
      <c r="H7824" s="7" t="s">
        <v>7865</v>
      </c>
      <c r="I7824" s="9">
        <v>1782200</v>
      </c>
      <c r="J7824" s="10">
        <v>0.0372</v>
      </c>
    </row>
    <row r="7825" spans="1:10">
      <c r="A7825" s="7" t="s">
        <v>7859</v>
      </c>
      <c r="B7825" s="7" t="s">
        <v>9692</v>
      </c>
      <c r="C7825" s="8">
        <f>QS.CONTEXT.CREATE("market.7823",A7825,"USD","SOFR")</f>
        <v/>
      </c>
      <c r="D7825" s="8">
        <f>QS.CONTEXT.ADD.CURVE(C7825,"SOFR",$K$2:$K$7,$L$2:$L$7,,,"Actual360","LogLinear",TRUE)</f>
        <v/>
      </c>
      <c r="E7825" s="8">
        <f>QS.INSTRUMENT.SWAP("swap.7823",C7825,H7825,B7825,"USD","SOFR",I7825,J7825,0,"Actual360","Simple","Annual","Annual","Annual")</f>
        <v/>
      </c>
      <c r="F7825" s="8">
        <f>QS.TRADE.CREATE("trade.7823",C7825,E7825,A7825,"Receive")</f>
        <v/>
      </c>
      <c r="G7825" s="5"/>
      <c r="H7825" s="7" t="s">
        <v>7866</v>
      </c>
      <c r="I7825" s="9">
        <v>1782300</v>
      </c>
      <c r="J7825" s="10">
        <v>0.0373</v>
      </c>
    </row>
    <row r="7826" spans="1:10">
      <c r="A7826" s="7" t="s">
        <v>7860</v>
      </c>
      <c r="B7826" s="7" t="s">
        <v>9693</v>
      </c>
      <c r="C7826" s="8">
        <f>QS.CONTEXT.CREATE("market.7824",A7826,"USD","SOFR")</f>
        <v/>
      </c>
      <c r="D7826" s="8">
        <f>QS.CONTEXT.ADD.CURVE(C7826,"SOFR",$K$2:$K$7,$L$2:$L$7,,,"Actual360","LogLinear",TRUE)</f>
        <v/>
      </c>
      <c r="E7826" s="8">
        <f>QS.INSTRUMENT.SWAP("swap.7824",C7826,H7826,B7826,"USD","SOFR",I7826,J7826,0,"Actual360","Simple","Annual","Annual","Annual")</f>
        <v/>
      </c>
      <c r="F7826" s="8">
        <f>QS.TRADE.CREATE("trade.7824",C7826,E7826,A7826,"Receive")</f>
        <v/>
      </c>
      <c r="G7826" s="5"/>
      <c r="H7826" s="7" t="s">
        <v>7867</v>
      </c>
      <c r="I7826" s="9">
        <v>1782400</v>
      </c>
      <c r="J7826" s="10">
        <v>0.0374</v>
      </c>
    </row>
    <row r="7827" spans="1:10">
      <c r="A7827" s="7" t="s">
        <v>7861</v>
      </c>
      <c r="B7827" s="7" t="s">
        <v>9694</v>
      </c>
      <c r="C7827" s="8">
        <f>QS.CONTEXT.CREATE("market.7825",A7827,"USD","SOFR")</f>
        <v/>
      </c>
      <c r="D7827" s="8">
        <f>QS.CONTEXT.ADD.CURVE(C7827,"SOFR",$K$2:$K$7,$L$2:$L$7,,,"Actual360","LogLinear",TRUE)</f>
        <v/>
      </c>
      <c r="E7827" s="8">
        <f>QS.INSTRUMENT.SWAP("swap.7825",C7827,H7827,B7827,"USD","SOFR",I7827,J7827,0,"Actual360","Simple","Annual","Annual","Annual")</f>
        <v/>
      </c>
      <c r="F7827" s="8">
        <f>QS.TRADE.CREATE("trade.7825",C7827,E7827,A7827,"Receive")</f>
        <v/>
      </c>
      <c r="G7827" s="5"/>
      <c r="H7827" s="7" t="s">
        <v>7868</v>
      </c>
      <c r="I7827" s="9">
        <v>1782500</v>
      </c>
      <c r="J7827" s="10">
        <v>0.03750000000000001</v>
      </c>
    </row>
    <row r="7828" spans="1:10">
      <c r="A7828" s="7" t="s">
        <v>7862</v>
      </c>
      <c r="B7828" s="7" t="s">
        <v>9695</v>
      </c>
      <c r="C7828" s="8">
        <f>QS.CONTEXT.CREATE("market.7826",A7828,"USD","SOFR")</f>
        <v/>
      </c>
      <c r="D7828" s="8">
        <f>QS.CONTEXT.ADD.CURVE(C7828,"SOFR",$K$2:$K$7,$L$2:$L$7,,,"Actual360","LogLinear",TRUE)</f>
        <v/>
      </c>
      <c r="E7828" s="8">
        <f>QS.INSTRUMENT.SWAP("swap.7826",C7828,H7828,B7828,"USD","SOFR",I7828,J7828,0,"Actual360","Simple","Annual","Annual","Annual")</f>
        <v/>
      </c>
      <c r="F7828" s="8">
        <f>QS.TRADE.CREATE("trade.7826",C7828,E7828,A7828,"Receive")</f>
        <v/>
      </c>
      <c r="G7828" s="5"/>
      <c r="H7828" s="7" t="s">
        <v>7869</v>
      </c>
      <c r="I7828" s="9">
        <v>1782600</v>
      </c>
      <c r="J7828" s="10">
        <v>0.0376</v>
      </c>
    </row>
    <row r="7829" spans="1:10">
      <c r="A7829" s="7" t="s">
        <v>7863</v>
      </c>
      <c r="B7829" s="7" t="s">
        <v>9696</v>
      </c>
      <c r="C7829" s="8">
        <f>QS.CONTEXT.CREATE("market.7827",A7829,"USD","SOFR")</f>
        <v/>
      </c>
      <c r="D7829" s="8">
        <f>QS.CONTEXT.ADD.CURVE(C7829,"SOFR",$K$2:$K$7,$L$2:$L$7,,,"Actual360","LogLinear",TRUE)</f>
        <v/>
      </c>
      <c r="E7829" s="8">
        <f>QS.INSTRUMENT.SWAP("swap.7827",C7829,H7829,B7829,"USD","SOFR",I7829,J7829,0,"Actual360","Simple","Annual","Annual","Annual")</f>
        <v/>
      </c>
      <c r="F7829" s="8">
        <f>QS.TRADE.CREATE("trade.7827",C7829,E7829,A7829,"Receive")</f>
        <v/>
      </c>
      <c r="G7829" s="5"/>
      <c r="H7829" s="7" t="s">
        <v>7870</v>
      </c>
      <c r="I7829" s="9">
        <v>1782700</v>
      </c>
      <c r="J7829" s="10">
        <v>0.0377</v>
      </c>
    </row>
    <row r="7830" spans="1:10">
      <c r="A7830" s="7" t="s">
        <v>7864</v>
      </c>
      <c r="B7830" s="7" t="s">
        <v>9697</v>
      </c>
      <c r="C7830" s="8">
        <f>QS.CONTEXT.CREATE("market.7828",A7830,"USD","SOFR")</f>
        <v/>
      </c>
      <c r="D7830" s="8">
        <f>QS.CONTEXT.ADD.CURVE(C7830,"SOFR",$K$2:$K$7,$L$2:$L$7,,,"Actual360","LogLinear",TRUE)</f>
        <v/>
      </c>
      <c r="E7830" s="8">
        <f>QS.INSTRUMENT.SWAP("swap.7828",C7830,H7830,B7830,"USD","SOFR",I7830,J7830,0,"Actual360","Simple","Annual","Annual","Annual")</f>
        <v/>
      </c>
      <c r="F7830" s="8">
        <f>QS.TRADE.CREATE("trade.7828",C7830,E7830,A7830,"Receive")</f>
        <v/>
      </c>
      <c r="G7830" s="5"/>
      <c r="H7830" s="7" t="s">
        <v>7871</v>
      </c>
      <c r="I7830" s="9">
        <v>1782800</v>
      </c>
      <c r="J7830" s="10">
        <v>0.0378</v>
      </c>
    </row>
    <row r="7831" spans="1:10">
      <c r="A7831" s="7" t="s">
        <v>7865</v>
      </c>
      <c r="B7831" s="7" t="s">
        <v>9698</v>
      </c>
      <c r="C7831" s="8">
        <f>QS.CONTEXT.CREATE("market.7829",A7831,"USD","SOFR")</f>
        <v/>
      </c>
      <c r="D7831" s="8">
        <f>QS.CONTEXT.ADD.CURVE(C7831,"SOFR",$K$2:$K$7,$L$2:$L$7,,,"Actual360","LogLinear",TRUE)</f>
        <v/>
      </c>
      <c r="E7831" s="8">
        <f>QS.INSTRUMENT.SWAP("swap.7829",C7831,H7831,B7831,"USD","SOFR",I7831,J7831,0,"Actual360","Simple","Annual","Annual","Annual")</f>
        <v/>
      </c>
      <c r="F7831" s="8">
        <f>QS.TRADE.CREATE("trade.7829",C7831,E7831,A7831,"Receive")</f>
        <v/>
      </c>
      <c r="G7831" s="5"/>
      <c r="H7831" s="7" t="s">
        <v>7872</v>
      </c>
      <c r="I7831" s="9">
        <v>1782900</v>
      </c>
      <c r="J7831" s="10">
        <v>0.0379</v>
      </c>
    </row>
    <row r="7832" spans="1:10">
      <c r="A7832" s="7" t="s">
        <v>7866</v>
      </c>
      <c r="B7832" s="7" t="s">
        <v>9699</v>
      </c>
      <c r="C7832" s="8">
        <f>QS.CONTEXT.CREATE("market.7830",A7832,"USD","SOFR")</f>
        <v/>
      </c>
      <c r="D7832" s="8">
        <f>QS.CONTEXT.ADD.CURVE(C7832,"SOFR",$K$2:$K$7,$L$2:$L$7,,,"Actual360","LogLinear",TRUE)</f>
        <v/>
      </c>
      <c r="E7832" s="8">
        <f>QS.INSTRUMENT.SWAP("swap.7830",C7832,H7832,B7832,"USD","SOFR",I7832,J7832,0,"Actual360","Simple","Annual","Annual","Annual")</f>
        <v/>
      </c>
      <c r="F7832" s="8">
        <f>QS.TRADE.CREATE("trade.7830",C7832,E7832,A7832,"Receive")</f>
        <v/>
      </c>
      <c r="G7832" s="5"/>
      <c r="H7832" s="7" t="s">
        <v>7873</v>
      </c>
      <c r="I7832" s="9">
        <v>1783000</v>
      </c>
      <c r="J7832" s="10">
        <v>0.03800000000000001</v>
      </c>
    </row>
    <row r="7833" spans="1:10">
      <c r="A7833" s="7" t="s">
        <v>7867</v>
      </c>
      <c r="B7833" s="7" t="s">
        <v>9700</v>
      </c>
      <c r="C7833" s="8">
        <f>QS.CONTEXT.CREATE("market.7831",A7833,"USD","SOFR")</f>
        <v/>
      </c>
      <c r="D7833" s="8">
        <f>QS.CONTEXT.ADD.CURVE(C7833,"SOFR",$K$2:$K$7,$L$2:$L$7,,,"Actual360","LogLinear",TRUE)</f>
        <v/>
      </c>
      <c r="E7833" s="8">
        <f>QS.INSTRUMENT.SWAP("swap.7831",C7833,H7833,B7833,"USD","SOFR",I7833,J7833,0,"Actual360","Simple","Annual","Annual","Annual")</f>
        <v/>
      </c>
      <c r="F7833" s="8">
        <f>QS.TRADE.CREATE("trade.7831",C7833,E7833,A7833,"Receive")</f>
        <v/>
      </c>
      <c r="G7833" s="5"/>
      <c r="H7833" s="7" t="s">
        <v>7874</v>
      </c>
      <c r="I7833" s="9">
        <v>1783100</v>
      </c>
      <c r="J7833" s="10">
        <v>0.0381</v>
      </c>
    </row>
    <row r="7834" spans="1:10">
      <c r="A7834" s="7" t="s">
        <v>7868</v>
      </c>
      <c r="B7834" s="7" t="s">
        <v>9701</v>
      </c>
      <c r="C7834" s="8">
        <f>QS.CONTEXT.CREATE("market.7832",A7834,"USD","SOFR")</f>
        <v/>
      </c>
      <c r="D7834" s="8">
        <f>QS.CONTEXT.ADD.CURVE(C7834,"SOFR",$K$2:$K$7,$L$2:$L$7,,,"Actual360","LogLinear",TRUE)</f>
        <v/>
      </c>
      <c r="E7834" s="8">
        <f>QS.INSTRUMENT.SWAP("swap.7832",C7834,H7834,B7834,"USD","SOFR",I7834,J7834,0,"Actual360","Simple","Annual","Annual","Annual")</f>
        <v/>
      </c>
      <c r="F7834" s="8">
        <f>QS.TRADE.CREATE("trade.7832",C7834,E7834,A7834,"Receive")</f>
        <v/>
      </c>
      <c r="G7834" s="5"/>
      <c r="H7834" s="7" t="s">
        <v>7875</v>
      </c>
      <c r="I7834" s="9">
        <v>1783200</v>
      </c>
      <c r="J7834" s="10">
        <v>0.0382</v>
      </c>
    </row>
    <row r="7835" spans="1:10">
      <c r="A7835" s="7" t="s">
        <v>7869</v>
      </c>
      <c r="B7835" s="7" t="s">
        <v>9702</v>
      </c>
      <c r="C7835" s="8">
        <f>QS.CONTEXT.CREATE("market.7833",A7835,"USD","SOFR")</f>
        <v/>
      </c>
      <c r="D7835" s="8">
        <f>QS.CONTEXT.ADD.CURVE(C7835,"SOFR",$K$2:$K$7,$L$2:$L$7,,,"Actual360","LogLinear",TRUE)</f>
        <v/>
      </c>
      <c r="E7835" s="8">
        <f>QS.INSTRUMENT.SWAP("swap.7833",C7835,H7835,B7835,"USD","SOFR",I7835,J7835,0,"Actual360","Simple","Annual","Annual","Annual")</f>
        <v/>
      </c>
      <c r="F7835" s="8">
        <f>QS.TRADE.CREATE("trade.7833",C7835,E7835,A7835,"Receive")</f>
        <v/>
      </c>
      <c r="G7835" s="5"/>
      <c r="H7835" s="7" t="s">
        <v>7876</v>
      </c>
      <c r="I7835" s="9">
        <v>1783300</v>
      </c>
      <c r="J7835" s="10">
        <v>0.0383</v>
      </c>
    </row>
    <row r="7836" spans="1:10">
      <c r="A7836" s="7" t="s">
        <v>7870</v>
      </c>
      <c r="B7836" s="7" t="s">
        <v>9703</v>
      </c>
      <c r="C7836" s="8">
        <f>QS.CONTEXT.CREATE("market.7834",A7836,"USD","SOFR")</f>
        <v/>
      </c>
      <c r="D7836" s="8">
        <f>QS.CONTEXT.ADD.CURVE(C7836,"SOFR",$K$2:$K$7,$L$2:$L$7,,,"Actual360","LogLinear",TRUE)</f>
        <v/>
      </c>
      <c r="E7836" s="8">
        <f>QS.INSTRUMENT.SWAP("swap.7834",C7836,H7836,B7836,"USD","SOFR",I7836,J7836,0,"Actual360","Simple","Annual","Annual","Annual")</f>
        <v/>
      </c>
      <c r="F7836" s="8">
        <f>QS.TRADE.CREATE("trade.7834",C7836,E7836,A7836,"Receive")</f>
        <v/>
      </c>
      <c r="G7836" s="5"/>
      <c r="H7836" s="7" t="s">
        <v>7877</v>
      </c>
      <c r="I7836" s="9">
        <v>1783400</v>
      </c>
      <c r="J7836" s="10">
        <v>0.0384</v>
      </c>
    </row>
    <row r="7837" spans="1:10">
      <c r="A7837" s="7" t="s">
        <v>7871</v>
      </c>
      <c r="B7837" s="7" t="s">
        <v>9704</v>
      </c>
      <c r="C7837" s="8">
        <f>QS.CONTEXT.CREATE("market.7835",A7837,"USD","SOFR")</f>
        <v/>
      </c>
      <c r="D7837" s="8">
        <f>QS.CONTEXT.ADD.CURVE(C7837,"SOFR",$K$2:$K$7,$L$2:$L$7,,,"Actual360","LogLinear",TRUE)</f>
        <v/>
      </c>
      <c r="E7837" s="8">
        <f>QS.INSTRUMENT.SWAP("swap.7835",C7837,H7837,B7837,"USD","SOFR",I7837,J7837,0,"Actual360","Simple","Annual","Annual","Annual")</f>
        <v/>
      </c>
      <c r="F7837" s="8">
        <f>QS.TRADE.CREATE("trade.7835",C7837,E7837,A7837,"Receive")</f>
        <v/>
      </c>
      <c r="G7837" s="5"/>
      <c r="H7837" s="7" t="s">
        <v>7878</v>
      </c>
      <c r="I7837" s="9">
        <v>1783500</v>
      </c>
      <c r="J7837" s="10">
        <v>0.03850000000000001</v>
      </c>
    </row>
    <row r="7838" spans="1:10">
      <c r="A7838" s="7" t="s">
        <v>7872</v>
      </c>
      <c r="B7838" s="7" t="s">
        <v>9705</v>
      </c>
      <c r="C7838" s="8">
        <f>QS.CONTEXT.CREATE("market.7836",A7838,"USD","SOFR")</f>
        <v/>
      </c>
      <c r="D7838" s="8">
        <f>QS.CONTEXT.ADD.CURVE(C7838,"SOFR",$K$2:$K$7,$L$2:$L$7,,,"Actual360","LogLinear",TRUE)</f>
        <v/>
      </c>
      <c r="E7838" s="8">
        <f>QS.INSTRUMENT.SWAP("swap.7836",C7838,H7838,B7838,"USD","SOFR",I7838,J7838,0,"Actual360","Simple","Annual","Annual","Annual")</f>
        <v/>
      </c>
      <c r="F7838" s="8">
        <f>QS.TRADE.CREATE("trade.7836",C7838,E7838,A7838,"Receive")</f>
        <v/>
      </c>
      <c r="G7838" s="5"/>
      <c r="H7838" s="7" t="s">
        <v>7879</v>
      </c>
      <c r="I7838" s="9">
        <v>1783600</v>
      </c>
      <c r="J7838" s="10">
        <v>0.0386</v>
      </c>
    </row>
    <row r="7839" spans="1:10">
      <c r="A7839" s="7" t="s">
        <v>7873</v>
      </c>
      <c r="B7839" s="7" t="s">
        <v>9706</v>
      </c>
      <c r="C7839" s="8">
        <f>QS.CONTEXT.CREATE("market.7837",A7839,"USD","SOFR")</f>
        <v/>
      </c>
      <c r="D7839" s="8">
        <f>QS.CONTEXT.ADD.CURVE(C7839,"SOFR",$K$2:$K$7,$L$2:$L$7,,,"Actual360","LogLinear",TRUE)</f>
        <v/>
      </c>
      <c r="E7839" s="8">
        <f>QS.INSTRUMENT.SWAP("swap.7837",C7839,H7839,B7839,"USD","SOFR",I7839,J7839,0,"Actual360","Simple","Annual","Annual","Annual")</f>
        <v/>
      </c>
      <c r="F7839" s="8">
        <f>QS.TRADE.CREATE("trade.7837",C7839,E7839,A7839,"Receive")</f>
        <v/>
      </c>
      <c r="G7839" s="5"/>
      <c r="H7839" s="7" t="s">
        <v>7880</v>
      </c>
      <c r="I7839" s="9">
        <v>1783700</v>
      </c>
      <c r="J7839" s="10">
        <v>0.03870000000000001</v>
      </c>
    </row>
    <row r="7840" spans="1:10">
      <c r="A7840" s="7" t="s">
        <v>7874</v>
      </c>
      <c r="B7840" s="7" t="s">
        <v>9707</v>
      </c>
      <c r="C7840" s="8">
        <f>QS.CONTEXT.CREATE("market.7838",A7840,"USD","SOFR")</f>
        <v/>
      </c>
      <c r="D7840" s="8">
        <f>QS.CONTEXT.ADD.CURVE(C7840,"SOFR",$K$2:$K$7,$L$2:$L$7,,,"Actual360","LogLinear",TRUE)</f>
        <v/>
      </c>
      <c r="E7840" s="8">
        <f>QS.INSTRUMENT.SWAP("swap.7838",C7840,H7840,B7840,"USD","SOFR",I7840,J7840,0,"Actual360","Simple","Annual","Annual","Annual")</f>
        <v/>
      </c>
      <c r="F7840" s="8">
        <f>QS.TRADE.CREATE("trade.7838",C7840,E7840,A7840,"Receive")</f>
        <v/>
      </c>
      <c r="G7840" s="5"/>
      <c r="H7840" s="7" t="s">
        <v>7881</v>
      </c>
      <c r="I7840" s="9">
        <v>1783800</v>
      </c>
      <c r="J7840" s="10">
        <v>0.0388</v>
      </c>
    </row>
    <row r="7841" spans="1:10">
      <c r="A7841" s="7" t="s">
        <v>7875</v>
      </c>
      <c r="B7841" s="7" t="s">
        <v>9708</v>
      </c>
      <c r="C7841" s="8">
        <f>QS.CONTEXT.CREATE("market.7839",A7841,"USD","SOFR")</f>
        <v/>
      </c>
      <c r="D7841" s="8">
        <f>QS.CONTEXT.ADD.CURVE(C7841,"SOFR",$K$2:$K$7,$L$2:$L$7,,,"Actual360","LogLinear",TRUE)</f>
        <v/>
      </c>
      <c r="E7841" s="8">
        <f>QS.INSTRUMENT.SWAP("swap.7839",C7841,H7841,B7841,"USD","SOFR",I7841,J7841,0,"Actual360","Simple","Annual","Annual","Annual")</f>
        <v/>
      </c>
      <c r="F7841" s="8">
        <f>QS.TRADE.CREATE("trade.7839",C7841,E7841,A7841,"Receive")</f>
        <v/>
      </c>
      <c r="G7841" s="5"/>
      <c r="H7841" s="7" t="s">
        <v>7882</v>
      </c>
      <c r="I7841" s="9">
        <v>1783900</v>
      </c>
      <c r="J7841" s="10">
        <v>0.0389</v>
      </c>
    </row>
    <row r="7842" spans="1:10">
      <c r="A7842" s="7" t="s">
        <v>7876</v>
      </c>
      <c r="B7842" s="7" t="s">
        <v>9709</v>
      </c>
      <c r="C7842" s="8">
        <f>QS.CONTEXT.CREATE("market.7840",A7842,"USD","SOFR")</f>
        <v/>
      </c>
      <c r="D7842" s="8">
        <f>QS.CONTEXT.ADD.CURVE(C7842,"SOFR",$K$2:$K$7,$L$2:$L$7,,,"Actual360","LogLinear",TRUE)</f>
        <v/>
      </c>
      <c r="E7842" s="8">
        <f>QS.INSTRUMENT.SWAP("swap.7840",C7842,H7842,B7842,"USD","SOFR",I7842,J7842,0,"Actual360","Simple","Annual","Annual","Annual")</f>
        <v/>
      </c>
      <c r="F7842" s="8">
        <f>QS.TRADE.CREATE("trade.7840",C7842,E7842,A7842,"Receive")</f>
        <v/>
      </c>
      <c r="G7842" s="5"/>
      <c r="H7842" s="7" t="s">
        <v>7883</v>
      </c>
      <c r="I7842" s="9">
        <v>1784000</v>
      </c>
      <c r="J7842" s="10">
        <v>0.03900000000000001</v>
      </c>
    </row>
    <row r="7843" spans="1:10">
      <c r="A7843" s="7" t="s">
        <v>7877</v>
      </c>
      <c r="B7843" s="7" t="s">
        <v>9710</v>
      </c>
      <c r="C7843" s="8">
        <f>QS.CONTEXT.CREATE("market.7841",A7843,"USD","SOFR")</f>
        <v/>
      </c>
      <c r="D7843" s="8">
        <f>QS.CONTEXT.ADD.CURVE(C7843,"SOFR",$K$2:$K$7,$L$2:$L$7,,,"Actual360","LogLinear",TRUE)</f>
        <v/>
      </c>
      <c r="E7843" s="8">
        <f>QS.INSTRUMENT.SWAP("swap.7841",C7843,H7843,B7843,"USD","SOFR",I7843,J7843,0,"Actual360","Simple","Annual","Annual","Annual")</f>
        <v/>
      </c>
      <c r="F7843" s="8">
        <f>QS.TRADE.CREATE("trade.7841",C7843,E7843,A7843,"Receive")</f>
        <v/>
      </c>
      <c r="G7843" s="5"/>
      <c r="H7843" s="7" t="s">
        <v>7884</v>
      </c>
      <c r="I7843" s="9">
        <v>1784100</v>
      </c>
      <c r="J7843" s="10">
        <v>0.0391</v>
      </c>
    </row>
    <row r="7844" spans="1:10">
      <c r="A7844" s="7" t="s">
        <v>7878</v>
      </c>
      <c r="B7844" s="7" t="s">
        <v>9711</v>
      </c>
      <c r="C7844" s="8">
        <f>QS.CONTEXT.CREATE("market.7842",A7844,"USD","SOFR")</f>
        <v/>
      </c>
      <c r="D7844" s="8">
        <f>QS.CONTEXT.ADD.CURVE(C7844,"SOFR",$K$2:$K$7,$L$2:$L$7,,,"Actual360","LogLinear",TRUE)</f>
        <v/>
      </c>
      <c r="E7844" s="8">
        <f>QS.INSTRUMENT.SWAP("swap.7842",C7844,H7844,B7844,"USD","SOFR",I7844,J7844,0,"Actual360","Simple","Annual","Annual","Annual")</f>
        <v/>
      </c>
      <c r="F7844" s="8">
        <f>QS.TRADE.CREATE("trade.7842",C7844,E7844,A7844,"Receive")</f>
        <v/>
      </c>
      <c r="G7844" s="5"/>
      <c r="H7844" s="7" t="s">
        <v>7885</v>
      </c>
      <c r="I7844" s="9">
        <v>1784200</v>
      </c>
      <c r="J7844" s="10">
        <v>0.03920000000000001</v>
      </c>
    </row>
    <row r="7845" spans="1:10">
      <c r="A7845" s="7" t="s">
        <v>7879</v>
      </c>
      <c r="B7845" s="7" t="s">
        <v>9712</v>
      </c>
      <c r="C7845" s="8">
        <f>QS.CONTEXT.CREATE("market.7843",A7845,"USD","SOFR")</f>
        <v/>
      </c>
      <c r="D7845" s="8">
        <f>QS.CONTEXT.ADD.CURVE(C7845,"SOFR",$K$2:$K$7,$L$2:$L$7,,,"Actual360","LogLinear",TRUE)</f>
        <v/>
      </c>
      <c r="E7845" s="8">
        <f>QS.INSTRUMENT.SWAP("swap.7843",C7845,H7845,B7845,"USD","SOFR",I7845,J7845,0,"Actual360","Simple","Annual","Annual","Annual")</f>
        <v/>
      </c>
      <c r="F7845" s="8">
        <f>QS.TRADE.CREATE("trade.7843",C7845,E7845,A7845,"Receive")</f>
        <v/>
      </c>
      <c r="G7845" s="5"/>
      <c r="H7845" s="7" t="s">
        <v>7886</v>
      </c>
      <c r="I7845" s="9">
        <v>1784300</v>
      </c>
      <c r="J7845" s="10">
        <v>0.0393</v>
      </c>
    </row>
    <row r="7846" spans="1:10">
      <c r="A7846" s="7" t="s">
        <v>7880</v>
      </c>
      <c r="B7846" s="7" t="s">
        <v>9713</v>
      </c>
      <c r="C7846" s="8">
        <f>QS.CONTEXT.CREATE("market.7844",A7846,"USD","SOFR")</f>
        <v/>
      </c>
      <c r="D7846" s="8">
        <f>QS.CONTEXT.ADD.CURVE(C7846,"SOFR",$K$2:$K$7,$L$2:$L$7,,,"Actual360","LogLinear",TRUE)</f>
        <v/>
      </c>
      <c r="E7846" s="8">
        <f>QS.INSTRUMENT.SWAP("swap.7844",C7846,H7846,B7846,"USD","SOFR",I7846,J7846,0,"Actual360","Simple","Annual","Annual","Annual")</f>
        <v/>
      </c>
      <c r="F7846" s="8">
        <f>QS.TRADE.CREATE("trade.7844",C7846,E7846,A7846,"Receive")</f>
        <v/>
      </c>
      <c r="G7846" s="5"/>
      <c r="H7846" s="7" t="s">
        <v>7887</v>
      </c>
      <c r="I7846" s="9">
        <v>1784400</v>
      </c>
      <c r="J7846" s="10">
        <v>0.0394</v>
      </c>
    </row>
    <row r="7847" spans="1:10">
      <c r="A7847" s="7" t="s">
        <v>7881</v>
      </c>
      <c r="B7847" s="7" t="s">
        <v>9714</v>
      </c>
      <c r="C7847" s="8">
        <f>QS.CONTEXT.CREATE("market.7845",A7847,"USD","SOFR")</f>
        <v/>
      </c>
      <c r="D7847" s="8">
        <f>QS.CONTEXT.ADD.CURVE(C7847,"SOFR",$K$2:$K$7,$L$2:$L$7,,,"Actual360","LogLinear",TRUE)</f>
        <v/>
      </c>
      <c r="E7847" s="8">
        <f>QS.INSTRUMENT.SWAP("swap.7845",C7847,H7847,B7847,"USD","SOFR",I7847,J7847,0,"Actual360","Simple","Annual","Annual","Annual")</f>
        <v/>
      </c>
      <c r="F7847" s="8">
        <f>QS.TRADE.CREATE("trade.7845",C7847,E7847,A7847,"Receive")</f>
        <v/>
      </c>
      <c r="G7847" s="5"/>
      <c r="H7847" s="7" t="s">
        <v>7888</v>
      </c>
      <c r="I7847" s="9">
        <v>1784500</v>
      </c>
      <c r="J7847" s="10">
        <v>0.03950000000000001</v>
      </c>
    </row>
    <row r="7848" spans="1:10">
      <c r="A7848" s="7" t="s">
        <v>7882</v>
      </c>
      <c r="B7848" s="7" t="s">
        <v>9715</v>
      </c>
      <c r="C7848" s="8">
        <f>QS.CONTEXT.CREATE("market.7846",A7848,"USD","SOFR")</f>
        <v/>
      </c>
      <c r="D7848" s="8">
        <f>QS.CONTEXT.ADD.CURVE(C7848,"SOFR",$K$2:$K$7,$L$2:$L$7,,,"Actual360","LogLinear",TRUE)</f>
        <v/>
      </c>
      <c r="E7848" s="8">
        <f>QS.INSTRUMENT.SWAP("swap.7846",C7848,H7848,B7848,"USD","SOFR",I7848,J7848,0,"Actual360","Simple","Annual","Annual","Annual")</f>
        <v/>
      </c>
      <c r="F7848" s="8">
        <f>QS.TRADE.CREATE("trade.7846",C7848,E7848,A7848,"Receive")</f>
        <v/>
      </c>
      <c r="G7848" s="5"/>
      <c r="H7848" s="7" t="s">
        <v>7889</v>
      </c>
      <c r="I7848" s="9">
        <v>1784600</v>
      </c>
      <c r="J7848" s="10">
        <v>0.0396</v>
      </c>
    </row>
    <row r="7849" spans="1:10">
      <c r="A7849" s="7" t="s">
        <v>7883</v>
      </c>
      <c r="B7849" s="7" t="s">
        <v>9716</v>
      </c>
      <c r="C7849" s="8">
        <f>QS.CONTEXT.CREATE("market.7847",A7849,"USD","SOFR")</f>
        <v/>
      </c>
      <c r="D7849" s="8">
        <f>QS.CONTEXT.ADD.CURVE(C7849,"SOFR",$K$2:$K$7,$L$2:$L$7,,,"Actual360","LogLinear",TRUE)</f>
        <v/>
      </c>
      <c r="E7849" s="8">
        <f>QS.INSTRUMENT.SWAP("swap.7847",C7849,H7849,B7849,"USD","SOFR",I7849,J7849,0,"Actual360","Simple","Annual","Annual","Annual")</f>
        <v/>
      </c>
      <c r="F7849" s="8">
        <f>QS.TRADE.CREATE("trade.7847",C7849,E7849,A7849,"Receive")</f>
        <v/>
      </c>
      <c r="G7849" s="5"/>
      <c r="H7849" s="7" t="s">
        <v>7890</v>
      </c>
      <c r="I7849" s="9">
        <v>1784700</v>
      </c>
      <c r="J7849" s="10">
        <v>0.03970000000000001</v>
      </c>
    </row>
    <row r="7850" spans="1:10">
      <c r="A7850" s="7" t="s">
        <v>7884</v>
      </c>
      <c r="B7850" s="7" t="s">
        <v>9717</v>
      </c>
      <c r="C7850" s="8">
        <f>QS.CONTEXT.CREATE("market.7848",A7850,"USD","SOFR")</f>
        <v/>
      </c>
      <c r="D7850" s="8">
        <f>QS.CONTEXT.ADD.CURVE(C7850,"SOFR",$K$2:$K$7,$L$2:$L$7,,,"Actual360","LogLinear",TRUE)</f>
        <v/>
      </c>
      <c r="E7850" s="8">
        <f>QS.INSTRUMENT.SWAP("swap.7848",C7850,H7850,B7850,"USD","SOFR",I7850,J7850,0,"Actual360","Simple","Annual","Annual","Annual")</f>
        <v/>
      </c>
      <c r="F7850" s="8">
        <f>QS.TRADE.CREATE("trade.7848",C7850,E7850,A7850,"Receive")</f>
        <v/>
      </c>
      <c r="G7850" s="5"/>
      <c r="H7850" s="7" t="s">
        <v>7891</v>
      </c>
      <c r="I7850" s="9">
        <v>1784800</v>
      </c>
      <c r="J7850" s="10">
        <v>0.0398</v>
      </c>
    </row>
    <row r="7851" spans="1:10">
      <c r="A7851" s="7" t="s">
        <v>7885</v>
      </c>
      <c r="B7851" s="7" t="s">
        <v>9718</v>
      </c>
      <c r="C7851" s="8">
        <f>QS.CONTEXT.CREATE("market.7849",A7851,"USD","SOFR")</f>
        <v/>
      </c>
      <c r="D7851" s="8">
        <f>QS.CONTEXT.ADD.CURVE(C7851,"SOFR",$K$2:$K$7,$L$2:$L$7,,,"Actual360","LogLinear",TRUE)</f>
        <v/>
      </c>
      <c r="E7851" s="8">
        <f>QS.INSTRUMENT.SWAP("swap.7849",C7851,H7851,B7851,"USD","SOFR",I7851,J7851,0,"Actual360","Simple","Annual","Annual","Annual")</f>
        <v/>
      </c>
      <c r="F7851" s="8">
        <f>QS.TRADE.CREATE("trade.7849",C7851,E7851,A7851,"Receive")</f>
        <v/>
      </c>
      <c r="G7851" s="5"/>
      <c r="H7851" s="7" t="s">
        <v>7892</v>
      </c>
      <c r="I7851" s="9">
        <v>1784900</v>
      </c>
      <c r="J7851" s="10">
        <v>0.0399</v>
      </c>
    </row>
    <row r="7852" spans="1:10">
      <c r="A7852" s="7" t="s">
        <v>7886</v>
      </c>
      <c r="B7852" s="7" t="s">
        <v>9719</v>
      </c>
      <c r="C7852" s="8">
        <f>QS.CONTEXT.CREATE("market.7850",A7852,"USD","SOFR")</f>
        <v/>
      </c>
      <c r="D7852" s="8">
        <f>QS.CONTEXT.ADD.CURVE(C7852,"SOFR",$K$2:$K$7,$L$2:$L$7,,,"Actual360","LogLinear",TRUE)</f>
        <v/>
      </c>
      <c r="E7852" s="8">
        <f>QS.INSTRUMENT.SWAP("swap.7850",C7852,H7852,B7852,"USD","SOFR",I7852,J7852,0,"Actual360","Simple","Annual","Annual","Annual")</f>
        <v/>
      </c>
      <c r="F7852" s="8">
        <f>QS.TRADE.CREATE("trade.7850",C7852,E7852,A7852,"Receive")</f>
        <v/>
      </c>
      <c r="G7852" s="5"/>
      <c r="H7852" s="7" t="s">
        <v>7893</v>
      </c>
      <c r="I7852" s="9">
        <v>1785000</v>
      </c>
      <c r="J7852" s="10">
        <v>0.035</v>
      </c>
    </row>
    <row r="7853" spans="1:10">
      <c r="A7853" s="7" t="s">
        <v>7887</v>
      </c>
      <c r="B7853" s="7" t="s">
        <v>9720</v>
      </c>
      <c r="C7853" s="8">
        <f>QS.CONTEXT.CREATE("market.7851",A7853,"USD","SOFR")</f>
        <v/>
      </c>
      <c r="D7853" s="8">
        <f>QS.CONTEXT.ADD.CURVE(C7853,"SOFR",$K$2:$K$7,$L$2:$L$7,,,"Actual360","LogLinear",TRUE)</f>
        <v/>
      </c>
      <c r="E7853" s="8">
        <f>QS.INSTRUMENT.SWAP("swap.7851",C7853,H7853,B7853,"USD","SOFR",I7853,J7853,0,"Actual360","Simple","Annual","Annual","Annual")</f>
        <v/>
      </c>
      <c r="F7853" s="8">
        <f>QS.TRADE.CREATE("trade.7851",C7853,E7853,A7853,"Receive")</f>
        <v/>
      </c>
      <c r="G7853" s="5"/>
      <c r="H7853" s="7" t="s">
        <v>7894</v>
      </c>
      <c r="I7853" s="9">
        <v>1785100</v>
      </c>
      <c r="J7853" s="10">
        <v>0.03510000000000001</v>
      </c>
    </row>
    <row r="7854" spans="1:10">
      <c r="A7854" s="7" t="s">
        <v>7888</v>
      </c>
      <c r="B7854" s="7" t="s">
        <v>9721</v>
      </c>
      <c r="C7854" s="8">
        <f>QS.CONTEXT.CREATE("market.7852",A7854,"USD","SOFR")</f>
        <v/>
      </c>
      <c r="D7854" s="8">
        <f>QS.CONTEXT.ADD.CURVE(C7854,"SOFR",$K$2:$K$7,$L$2:$L$7,,,"Actual360","LogLinear",TRUE)</f>
        <v/>
      </c>
      <c r="E7854" s="8">
        <f>QS.INSTRUMENT.SWAP("swap.7852",C7854,H7854,B7854,"USD","SOFR",I7854,J7854,0,"Actual360","Simple","Annual","Annual","Annual")</f>
        <v/>
      </c>
      <c r="F7854" s="8">
        <f>QS.TRADE.CREATE("trade.7852",C7854,E7854,A7854,"Receive")</f>
        <v/>
      </c>
      <c r="G7854" s="5"/>
      <c r="H7854" s="7" t="s">
        <v>7895</v>
      </c>
      <c r="I7854" s="9">
        <v>1785200</v>
      </c>
      <c r="J7854" s="10">
        <v>0.0352</v>
      </c>
    </row>
    <row r="7855" spans="1:10">
      <c r="A7855" s="7" t="s">
        <v>7889</v>
      </c>
      <c r="B7855" s="7" t="s">
        <v>9722</v>
      </c>
      <c r="C7855" s="8">
        <f>QS.CONTEXT.CREATE("market.7853",A7855,"USD","SOFR")</f>
        <v/>
      </c>
      <c r="D7855" s="8">
        <f>QS.CONTEXT.ADD.CURVE(C7855,"SOFR",$K$2:$K$7,$L$2:$L$7,,,"Actual360","LogLinear",TRUE)</f>
        <v/>
      </c>
      <c r="E7855" s="8">
        <f>QS.INSTRUMENT.SWAP("swap.7853",C7855,H7855,B7855,"USD","SOFR",I7855,J7855,0,"Actual360","Simple","Annual","Annual","Annual")</f>
        <v/>
      </c>
      <c r="F7855" s="8">
        <f>QS.TRADE.CREATE("trade.7853",C7855,E7855,A7855,"Receive")</f>
        <v/>
      </c>
      <c r="G7855" s="5"/>
      <c r="H7855" s="7" t="s">
        <v>7896</v>
      </c>
      <c r="I7855" s="9">
        <v>1785300</v>
      </c>
      <c r="J7855" s="10">
        <v>0.0353</v>
      </c>
    </row>
    <row r="7856" spans="1:10">
      <c r="A7856" s="7" t="s">
        <v>7890</v>
      </c>
      <c r="B7856" s="7" t="s">
        <v>9723</v>
      </c>
      <c r="C7856" s="8">
        <f>QS.CONTEXT.CREATE("market.7854",A7856,"USD","SOFR")</f>
        <v/>
      </c>
      <c r="D7856" s="8">
        <f>QS.CONTEXT.ADD.CURVE(C7856,"SOFR",$K$2:$K$7,$L$2:$L$7,,,"Actual360","LogLinear",TRUE)</f>
        <v/>
      </c>
      <c r="E7856" s="8">
        <f>QS.INSTRUMENT.SWAP("swap.7854",C7856,H7856,B7856,"USD","SOFR",I7856,J7856,0,"Actual360","Simple","Annual","Annual","Annual")</f>
        <v/>
      </c>
      <c r="F7856" s="8">
        <f>QS.TRADE.CREATE("trade.7854",C7856,E7856,A7856,"Receive")</f>
        <v/>
      </c>
      <c r="G7856" s="5"/>
      <c r="H7856" s="7" t="s">
        <v>7897</v>
      </c>
      <c r="I7856" s="9">
        <v>1785400</v>
      </c>
      <c r="J7856" s="10">
        <v>0.0354</v>
      </c>
    </row>
    <row r="7857" spans="1:10">
      <c r="A7857" s="7" t="s">
        <v>7891</v>
      </c>
      <c r="B7857" s="7" t="s">
        <v>9724</v>
      </c>
      <c r="C7857" s="8">
        <f>QS.CONTEXT.CREATE("market.7855",A7857,"USD","SOFR")</f>
        <v/>
      </c>
      <c r="D7857" s="8">
        <f>QS.CONTEXT.ADD.CURVE(C7857,"SOFR",$K$2:$K$7,$L$2:$L$7,,,"Actual360","LogLinear",TRUE)</f>
        <v/>
      </c>
      <c r="E7857" s="8">
        <f>QS.INSTRUMENT.SWAP("swap.7855",C7857,H7857,B7857,"USD","SOFR",I7857,J7857,0,"Actual360","Simple","Annual","Annual","Annual")</f>
        <v/>
      </c>
      <c r="F7857" s="8">
        <f>QS.TRADE.CREATE("trade.7855",C7857,E7857,A7857,"Receive")</f>
        <v/>
      </c>
      <c r="G7857" s="5"/>
      <c r="H7857" s="7" t="s">
        <v>7898</v>
      </c>
      <c r="I7857" s="9">
        <v>1785500</v>
      </c>
      <c r="J7857" s="10">
        <v>0.0355</v>
      </c>
    </row>
    <row r="7858" spans="1:10">
      <c r="A7858" s="7" t="s">
        <v>7892</v>
      </c>
      <c r="B7858" s="7" t="s">
        <v>9725</v>
      </c>
      <c r="C7858" s="8">
        <f>QS.CONTEXT.CREATE("market.7856",A7858,"USD","SOFR")</f>
        <v/>
      </c>
      <c r="D7858" s="8">
        <f>QS.CONTEXT.ADD.CURVE(C7858,"SOFR",$K$2:$K$7,$L$2:$L$7,,,"Actual360","LogLinear",TRUE)</f>
        <v/>
      </c>
      <c r="E7858" s="8">
        <f>QS.INSTRUMENT.SWAP("swap.7856",C7858,H7858,B7858,"USD","SOFR",I7858,J7858,0,"Actual360","Simple","Annual","Annual","Annual")</f>
        <v/>
      </c>
      <c r="F7858" s="8">
        <f>QS.TRADE.CREATE("trade.7856",C7858,E7858,A7858,"Receive")</f>
        <v/>
      </c>
      <c r="G7858" s="5"/>
      <c r="H7858" s="7" t="s">
        <v>7899</v>
      </c>
      <c r="I7858" s="9">
        <v>1785600</v>
      </c>
      <c r="J7858" s="10">
        <v>0.03560000000000001</v>
      </c>
    </row>
    <row r="7859" spans="1:10">
      <c r="A7859" s="7" t="s">
        <v>7893</v>
      </c>
      <c r="B7859" s="7" t="s">
        <v>9726</v>
      </c>
      <c r="C7859" s="8">
        <f>QS.CONTEXT.CREATE("market.7857",A7859,"USD","SOFR")</f>
        <v/>
      </c>
      <c r="D7859" s="8">
        <f>QS.CONTEXT.ADD.CURVE(C7859,"SOFR",$K$2:$K$7,$L$2:$L$7,,,"Actual360","LogLinear",TRUE)</f>
        <v/>
      </c>
      <c r="E7859" s="8">
        <f>QS.INSTRUMENT.SWAP("swap.7857",C7859,H7859,B7859,"USD","SOFR",I7859,J7859,0,"Actual360","Simple","Annual","Annual","Annual")</f>
        <v/>
      </c>
      <c r="F7859" s="8">
        <f>QS.TRADE.CREATE("trade.7857",C7859,E7859,A7859,"Receive")</f>
        <v/>
      </c>
      <c r="G7859" s="5"/>
      <c r="H7859" s="7" t="s">
        <v>7900</v>
      </c>
      <c r="I7859" s="9">
        <v>1785700</v>
      </c>
      <c r="J7859" s="10">
        <v>0.0357</v>
      </c>
    </row>
    <row r="7860" spans="1:10">
      <c r="A7860" s="7" t="s">
        <v>7894</v>
      </c>
      <c r="B7860" s="7" t="s">
        <v>9727</v>
      </c>
      <c r="C7860" s="8">
        <f>QS.CONTEXT.CREATE("market.7858",A7860,"USD","SOFR")</f>
        <v/>
      </c>
      <c r="D7860" s="8">
        <f>QS.CONTEXT.ADD.CURVE(C7860,"SOFR",$K$2:$K$7,$L$2:$L$7,,,"Actual360","LogLinear",TRUE)</f>
        <v/>
      </c>
      <c r="E7860" s="8">
        <f>QS.INSTRUMENT.SWAP("swap.7858",C7860,H7860,B7860,"USD","SOFR",I7860,J7860,0,"Actual360","Simple","Annual","Annual","Annual")</f>
        <v/>
      </c>
      <c r="F7860" s="8">
        <f>QS.TRADE.CREATE("trade.7858",C7860,E7860,A7860,"Receive")</f>
        <v/>
      </c>
      <c r="G7860" s="5"/>
      <c r="H7860" s="7" t="s">
        <v>7901</v>
      </c>
      <c r="I7860" s="9">
        <v>1785800</v>
      </c>
      <c r="J7860" s="10">
        <v>0.03580000000000001</v>
      </c>
    </row>
    <row r="7861" spans="1:10">
      <c r="A7861" s="7" t="s">
        <v>7895</v>
      </c>
      <c r="B7861" s="7" t="s">
        <v>9728</v>
      </c>
      <c r="C7861" s="8">
        <f>QS.CONTEXT.CREATE("market.7859",A7861,"USD","SOFR")</f>
        <v/>
      </c>
      <c r="D7861" s="8">
        <f>QS.CONTEXT.ADD.CURVE(C7861,"SOFR",$K$2:$K$7,$L$2:$L$7,,,"Actual360","LogLinear",TRUE)</f>
        <v/>
      </c>
      <c r="E7861" s="8">
        <f>QS.INSTRUMENT.SWAP("swap.7859",C7861,H7861,B7861,"USD","SOFR",I7861,J7861,0,"Actual360","Simple","Annual","Annual","Annual")</f>
        <v/>
      </c>
      <c r="F7861" s="8">
        <f>QS.TRADE.CREATE("trade.7859",C7861,E7861,A7861,"Receive")</f>
        <v/>
      </c>
      <c r="G7861" s="5"/>
      <c r="H7861" s="7" t="s">
        <v>7902</v>
      </c>
      <c r="I7861" s="9">
        <v>1785900</v>
      </c>
      <c r="J7861" s="10">
        <v>0.0359</v>
      </c>
    </row>
    <row r="7862" spans="1:10">
      <c r="A7862" s="7" t="s">
        <v>7896</v>
      </c>
      <c r="B7862" s="7" t="s">
        <v>9729</v>
      </c>
      <c r="C7862" s="8">
        <f>QS.CONTEXT.CREATE("market.7860",A7862,"USD","SOFR")</f>
        <v/>
      </c>
      <c r="D7862" s="8">
        <f>QS.CONTEXT.ADD.CURVE(C7862,"SOFR",$K$2:$K$7,$L$2:$L$7,,,"Actual360","LogLinear",TRUE)</f>
        <v/>
      </c>
      <c r="E7862" s="8">
        <f>QS.INSTRUMENT.SWAP("swap.7860",C7862,H7862,B7862,"USD","SOFR",I7862,J7862,0,"Actual360","Simple","Annual","Annual","Annual")</f>
        <v/>
      </c>
      <c r="F7862" s="8">
        <f>QS.TRADE.CREATE("trade.7860",C7862,E7862,A7862,"Receive")</f>
        <v/>
      </c>
      <c r="G7862" s="5"/>
      <c r="H7862" s="7" t="s">
        <v>7903</v>
      </c>
      <c r="I7862" s="9">
        <v>1786000</v>
      </c>
      <c r="J7862" s="10">
        <v>0.036</v>
      </c>
    </row>
    <row r="7863" spans="1:10">
      <c r="A7863" s="7" t="s">
        <v>7897</v>
      </c>
      <c r="B7863" s="7" t="s">
        <v>9730</v>
      </c>
      <c r="C7863" s="8">
        <f>QS.CONTEXT.CREATE("market.7861",A7863,"USD","SOFR")</f>
        <v/>
      </c>
      <c r="D7863" s="8">
        <f>QS.CONTEXT.ADD.CURVE(C7863,"SOFR",$K$2:$K$7,$L$2:$L$7,,,"Actual360","LogLinear",TRUE)</f>
        <v/>
      </c>
      <c r="E7863" s="8">
        <f>QS.INSTRUMENT.SWAP("swap.7861",C7863,H7863,B7863,"USD","SOFR",I7863,J7863,0,"Actual360","Simple","Annual","Annual","Annual")</f>
        <v/>
      </c>
      <c r="F7863" s="8">
        <f>QS.TRADE.CREATE("trade.7861",C7863,E7863,A7863,"Receive")</f>
        <v/>
      </c>
      <c r="G7863" s="5"/>
      <c r="H7863" s="7" t="s">
        <v>7904</v>
      </c>
      <c r="I7863" s="9">
        <v>1786100</v>
      </c>
      <c r="J7863" s="10">
        <v>0.0361</v>
      </c>
    </row>
    <row r="7864" spans="1:10">
      <c r="A7864" s="7" t="s">
        <v>7898</v>
      </c>
      <c r="B7864" s="7" t="s">
        <v>9731</v>
      </c>
      <c r="C7864" s="8">
        <f>QS.CONTEXT.CREATE("market.7862",A7864,"USD","SOFR")</f>
        <v/>
      </c>
      <c r="D7864" s="8">
        <f>QS.CONTEXT.ADD.CURVE(C7864,"SOFR",$K$2:$K$7,$L$2:$L$7,,,"Actual360","LogLinear",TRUE)</f>
        <v/>
      </c>
      <c r="E7864" s="8">
        <f>QS.INSTRUMENT.SWAP("swap.7862",C7864,H7864,B7864,"USD","SOFR",I7864,J7864,0,"Actual360","Simple","Annual","Annual","Annual")</f>
        <v/>
      </c>
      <c r="F7864" s="8">
        <f>QS.TRADE.CREATE("trade.7862",C7864,E7864,A7864,"Receive")</f>
        <v/>
      </c>
      <c r="G7864" s="5"/>
      <c r="H7864" s="7" t="s">
        <v>7905</v>
      </c>
      <c r="I7864" s="9">
        <v>1786200</v>
      </c>
      <c r="J7864" s="10">
        <v>0.0362</v>
      </c>
    </row>
    <row r="7865" spans="1:10">
      <c r="A7865" s="7" t="s">
        <v>7899</v>
      </c>
      <c r="B7865" s="7" t="s">
        <v>9732</v>
      </c>
      <c r="C7865" s="8">
        <f>QS.CONTEXT.CREATE("market.7863",A7865,"USD","SOFR")</f>
        <v/>
      </c>
      <c r="D7865" s="8">
        <f>QS.CONTEXT.ADD.CURVE(C7865,"SOFR",$K$2:$K$7,$L$2:$L$7,,,"Actual360","LogLinear",TRUE)</f>
        <v/>
      </c>
      <c r="E7865" s="8">
        <f>QS.INSTRUMENT.SWAP("swap.7863",C7865,H7865,B7865,"USD","SOFR",I7865,J7865,0,"Actual360","Simple","Annual","Annual","Annual")</f>
        <v/>
      </c>
      <c r="F7865" s="8">
        <f>QS.TRADE.CREATE("trade.7863",C7865,E7865,A7865,"Receive")</f>
        <v/>
      </c>
      <c r="G7865" s="5"/>
      <c r="H7865" s="7" t="s">
        <v>7906</v>
      </c>
      <c r="I7865" s="9">
        <v>1786300</v>
      </c>
      <c r="J7865" s="10">
        <v>0.03630000000000001</v>
      </c>
    </row>
    <row r="7866" spans="1:10">
      <c r="A7866" s="7" t="s">
        <v>7900</v>
      </c>
      <c r="B7866" s="7" t="s">
        <v>9733</v>
      </c>
      <c r="C7866" s="8">
        <f>QS.CONTEXT.CREATE("market.7864",A7866,"USD","SOFR")</f>
        <v/>
      </c>
      <c r="D7866" s="8">
        <f>QS.CONTEXT.ADD.CURVE(C7866,"SOFR",$K$2:$K$7,$L$2:$L$7,,,"Actual360","LogLinear",TRUE)</f>
        <v/>
      </c>
      <c r="E7866" s="8">
        <f>QS.INSTRUMENT.SWAP("swap.7864",C7866,H7866,B7866,"USD","SOFR",I7866,J7866,0,"Actual360","Simple","Annual","Annual","Annual")</f>
        <v/>
      </c>
      <c r="F7866" s="8">
        <f>QS.TRADE.CREATE("trade.7864",C7866,E7866,A7866,"Receive")</f>
        <v/>
      </c>
      <c r="G7866" s="5"/>
      <c r="H7866" s="7" t="s">
        <v>7907</v>
      </c>
      <c r="I7866" s="9">
        <v>1786400</v>
      </c>
      <c r="J7866" s="10">
        <v>0.0364</v>
      </c>
    </row>
    <row r="7867" spans="1:10">
      <c r="A7867" s="7" t="s">
        <v>7901</v>
      </c>
      <c r="B7867" s="7" t="s">
        <v>9734</v>
      </c>
      <c r="C7867" s="8">
        <f>QS.CONTEXT.CREATE("market.7865",A7867,"USD","SOFR")</f>
        <v/>
      </c>
      <c r="D7867" s="8">
        <f>QS.CONTEXT.ADD.CURVE(C7867,"SOFR",$K$2:$K$7,$L$2:$L$7,,,"Actual360","LogLinear",TRUE)</f>
        <v/>
      </c>
      <c r="E7867" s="8">
        <f>QS.INSTRUMENT.SWAP("swap.7865",C7867,H7867,B7867,"USD","SOFR",I7867,J7867,0,"Actual360","Simple","Annual","Annual","Annual")</f>
        <v/>
      </c>
      <c r="F7867" s="8">
        <f>QS.TRADE.CREATE("trade.7865",C7867,E7867,A7867,"Receive")</f>
        <v/>
      </c>
      <c r="G7867" s="5"/>
      <c r="H7867" s="7" t="s">
        <v>7908</v>
      </c>
      <c r="I7867" s="9">
        <v>1786500</v>
      </c>
      <c r="J7867" s="10">
        <v>0.0365</v>
      </c>
    </row>
    <row r="7868" spans="1:10">
      <c r="A7868" s="7" t="s">
        <v>7902</v>
      </c>
      <c r="B7868" s="7" t="s">
        <v>9735</v>
      </c>
      <c r="C7868" s="8">
        <f>QS.CONTEXT.CREATE("market.7866",A7868,"USD","SOFR")</f>
        <v/>
      </c>
      <c r="D7868" s="8">
        <f>QS.CONTEXT.ADD.CURVE(C7868,"SOFR",$K$2:$K$7,$L$2:$L$7,,,"Actual360","LogLinear",TRUE)</f>
        <v/>
      </c>
      <c r="E7868" s="8">
        <f>QS.INSTRUMENT.SWAP("swap.7866",C7868,H7868,B7868,"USD","SOFR",I7868,J7868,0,"Actual360","Simple","Annual","Annual","Annual")</f>
        <v/>
      </c>
      <c r="F7868" s="8">
        <f>QS.TRADE.CREATE("trade.7866",C7868,E7868,A7868,"Receive")</f>
        <v/>
      </c>
      <c r="G7868" s="5"/>
      <c r="H7868" s="7" t="s">
        <v>7909</v>
      </c>
      <c r="I7868" s="9">
        <v>1786600</v>
      </c>
      <c r="J7868" s="10">
        <v>0.0366</v>
      </c>
    </row>
    <row r="7869" spans="1:10">
      <c r="A7869" s="7" t="s">
        <v>7903</v>
      </c>
      <c r="B7869" s="7" t="s">
        <v>9736</v>
      </c>
      <c r="C7869" s="8">
        <f>QS.CONTEXT.CREATE("market.7867",A7869,"USD","SOFR")</f>
        <v/>
      </c>
      <c r="D7869" s="8">
        <f>QS.CONTEXT.ADD.CURVE(C7869,"SOFR",$K$2:$K$7,$L$2:$L$7,,,"Actual360","LogLinear",TRUE)</f>
        <v/>
      </c>
      <c r="E7869" s="8">
        <f>QS.INSTRUMENT.SWAP("swap.7867",C7869,H7869,B7869,"USD","SOFR",I7869,J7869,0,"Actual360","Simple","Annual","Annual","Annual")</f>
        <v/>
      </c>
      <c r="F7869" s="8">
        <f>QS.TRADE.CREATE("trade.7867",C7869,E7869,A7869,"Receive")</f>
        <v/>
      </c>
      <c r="G7869" s="5"/>
      <c r="H7869" s="7" t="s">
        <v>7910</v>
      </c>
      <c r="I7869" s="9">
        <v>1786700</v>
      </c>
      <c r="J7869" s="10">
        <v>0.0367</v>
      </c>
    </row>
    <row r="7870" spans="1:10">
      <c r="A7870" s="7" t="s">
        <v>7904</v>
      </c>
      <c r="B7870" s="7" t="s">
        <v>9737</v>
      </c>
      <c r="C7870" s="8">
        <f>QS.CONTEXT.CREATE("market.7868",A7870,"USD","SOFR")</f>
        <v/>
      </c>
      <c r="D7870" s="8">
        <f>QS.CONTEXT.ADD.CURVE(C7870,"SOFR",$K$2:$K$7,$L$2:$L$7,,,"Actual360","LogLinear",TRUE)</f>
        <v/>
      </c>
      <c r="E7870" s="8">
        <f>QS.INSTRUMENT.SWAP("swap.7868",C7870,H7870,B7870,"USD","SOFR",I7870,J7870,0,"Actual360","Simple","Annual","Annual","Annual")</f>
        <v/>
      </c>
      <c r="F7870" s="8">
        <f>QS.TRADE.CREATE("trade.7868",C7870,E7870,A7870,"Receive")</f>
        <v/>
      </c>
      <c r="G7870" s="5"/>
      <c r="H7870" s="7" t="s">
        <v>7911</v>
      </c>
      <c r="I7870" s="9">
        <v>1786800</v>
      </c>
      <c r="J7870" s="10">
        <v>0.03680000000000001</v>
      </c>
    </row>
    <row r="7871" spans="1:10">
      <c r="A7871" s="7" t="s">
        <v>7905</v>
      </c>
      <c r="B7871" s="7" t="s">
        <v>9738</v>
      </c>
      <c r="C7871" s="8">
        <f>QS.CONTEXT.CREATE("market.7869",A7871,"USD","SOFR")</f>
        <v/>
      </c>
      <c r="D7871" s="8">
        <f>QS.CONTEXT.ADD.CURVE(C7871,"SOFR",$K$2:$K$7,$L$2:$L$7,,,"Actual360","LogLinear",TRUE)</f>
        <v/>
      </c>
      <c r="E7871" s="8">
        <f>QS.INSTRUMENT.SWAP("swap.7869",C7871,H7871,B7871,"USD","SOFR",I7871,J7871,0,"Actual360","Simple","Annual","Annual","Annual")</f>
        <v/>
      </c>
      <c r="F7871" s="8">
        <f>QS.TRADE.CREATE("trade.7869",C7871,E7871,A7871,"Receive")</f>
        <v/>
      </c>
      <c r="G7871" s="5"/>
      <c r="H7871" s="7" t="s">
        <v>7912</v>
      </c>
      <c r="I7871" s="9">
        <v>1786900</v>
      </c>
      <c r="J7871" s="10">
        <v>0.0369</v>
      </c>
    </row>
    <row r="7872" spans="1:10">
      <c r="A7872" s="7" t="s">
        <v>7906</v>
      </c>
      <c r="B7872" s="7" t="s">
        <v>9739</v>
      </c>
      <c r="C7872" s="8">
        <f>QS.CONTEXT.CREATE("market.7870",A7872,"USD","SOFR")</f>
        <v/>
      </c>
      <c r="D7872" s="8">
        <f>QS.CONTEXT.ADD.CURVE(C7872,"SOFR",$K$2:$K$7,$L$2:$L$7,,,"Actual360","LogLinear",TRUE)</f>
        <v/>
      </c>
      <c r="E7872" s="8">
        <f>QS.INSTRUMENT.SWAP("swap.7870",C7872,H7872,B7872,"USD","SOFR",I7872,J7872,0,"Actual360","Simple","Annual","Annual","Annual")</f>
        <v/>
      </c>
      <c r="F7872" s="8">
        <f>QS.TRADE.CREATE("trade.7870",C7872,E7872,A7872,"Receive")</f>
        <v/>
      </c>
      <c r="G7872" s="5"/>
      <c r="H7872" s="7" t="s">
        <v>7913</v>
      </c>
      <c r="I7872" s="9">
        <v>1787000</v>
      </c>
      <c r="J7872" s="10">
        <v>0.03700000000000001</v>
      </c>
    </row>
    <row r="7873" spans="1:10">
      <c r="A7873" s="7" t="s">
        <v>7907</v>
      </c>
      <c r="B7873" s="7" t="s">
        <v>9740</v>
      </c>
      <c r="C7873" s="8">
        <f>QS.CONTEXT.CREATE("market.7871",A7873,"USD","SOFR")</f>
        <v/>
      </c>
      <c r="D7873" s="8">
        <f>QS.CONTEXT.ADD.CURVE(C7873,"SOFR",$K$2:$K$7,$L$2:$L$7,,,"Actual360","LogLinear",TRUE)</f>
        <v/>
      </c>
      <c r="E7873" s="8">
        <f>QS.INSTRUMENT.SWAP("swap.7871",C7873,H7873,B7873,"USD","SOFR",I7873,J7873,0,"Actual360","Simple","Annual","Annual","Annual")</f>
        <v/>
      </c>
      <c r="F7873" s="8">
        <f>QS.TRADE.CREATE("trade.7871",C7873,E7873,A7873,"Receive")</f>
        <v/>
      </c>
      <c r="G7873" s="5"/>
      <c r="H7873" s="7" t="s">
        <v>7914</v>
      </c>
      <c r="I7873" s="9">
        <v>1787100</v>
      </c>
      <c r="J7873" s="10">
        <v>0.0371</v>
      </c>
    </row>
    <row r="7874" spans="1:10">
      <c r="A7874" s="7" t="s">
        <v>7908</v>
      </c>
      <c r="B7874" s="7" t="s">
        <v>9741</v>
      </c>
      <c r="C7874" s="8">
        <f>QS.CONTEXT.CREATE("market.7872",A7874,"USD","SOFR")</f>
        <v/>
      </c>
      <c r="D7874" s="8">
        <f>QS.CONTEXT.ADD.CURVE(C7874,"SOFR",$K$2:$K$7,$L$2:$L$7,,,"Actual360","LogLinear",TRUE)</f>
        <v/>
      </c>
      <c r="E7874" s="8">
        <f>QS.INSTRUMENT.SWAP("swap.7872",C7874,H7874,B7874,"USD","SOFR",I7874,J7874,0,"Actual360","Simple","Annual","Annual","Annual")</f>
        <v/>
      </c>
      <c r="F7874" s="8">
        <f>QS.TRADE.CREATE("trade.7872",C7874,E7874,A7874,"Receive")</f>
        <v/>
      </c>
      <c r="G7874" s="5"/>
      <c r="H7874" s="7" t="s">
        <v>7915</v>
      </c>
      <c r="I7874" s="9">
        <v>1787200</v>
      </c>
      <c r="J7874" s="10">
        <v>0.0372</v>
      </c>
    </row>
    <row r="7875" spans="1:10">
      <c r="A7875" s="7" t="s">
        <v>7909</v>
      </c>
      <c r="B7875" s="7" t="s">
        <v>9742</v>
      </c>
      <c r="C7875" s="8">
        <f>QS.CONTEXT.CREATE("market.7873",A7875,"USD","SOFR")</f>
        <v/>
      </c>
      <c r="D7875" s="8">
        <f>QS.CONTEXT.ADD.CURVE(C7875,"SOFR",$K$2:$K$7,$L$2:$L$7,,,"Actual360","LogLinear",TRUE)</f>
        <v/>
      </c>
      <c r="E7875" s="8">
        <f>QS.INSTRUMENT.SWAP("swap.7873",C7875,H7875,B7875,"USD","SOFR",I7875,J7875,0,"Actual360","Simple","Annual","Annual","Annual")</f>
        <v/>
      </c>
      <c r="F7875" s="8">
        <f>QS.TRADE.CREATE("trade.7873",C7875,E7875,A7875,"Receive")</f>
        <v/>
      </c>
      <c r="G7875" s="5"/>
      <c r="H7875" s="7" t="s">
        <v>7916</v>
      </c>
      <c r="I7875" s="9">
        <v>1787300</v>
      </c>
      <c r="J7875" s="10">
        <v>0.0373</v>
      </c>
    </row>
    <row r="7876" spans="1:10">
      <c r="A7876" s="7" t="s">
        <v>7910</v>
      </c>
      <c r="B7876" s="7" t="s">
        <v>9743</v>
      </c>
      <c r="C7876" s="8">
        <f>QS.CONTEXT.CREATE("market.7874",A7876,"USD","SOFR")</f>
        <v/>
      </c>
      <c r="D7876" s="8">
        <f>QS.CONTEXT.ADD.CURVE(C7876,"SOFR",$K$2:$K$7,$L$2:$L$7,,,"Actual360","LogLinear",TRUE)</f>
        <v/>
      </c>
      <c r="E7876" s="8">
        <f>QS.INSTRUMENT.SWAP("swap.7874",C7876,H7876,B7876,"USD","SOFR",I7876,J7876,0,"Actual360","Simple","Annual","Annual","Annual")</f>
        <v/>
      </c>
      <c r="F7876" s="8">
        <f>QS.TRADE.CREATE("trade.7874",C7876,E7876,A7876,"Receive")</f>
        <v/>
      </c>
      <c r="G7876" s="5"/>
      <c r="H7876" s="7" t="s">
        <v>7917</v>
      </c>
      <c r="I7876" s="9">
        <v>1787400</v>
      </c>
      <c r="J7876" s="10">
        <v>0.0374</v>
      </c>
    </row>
    <row r="7877" spans="1:10">
      <c r="A7877" s="7" t="s">
        <v>7911</v>
      </c>
      <c r="B7877" s="7" t="s">
        <v>9744</v>
      </c>
      <c r="C7877" s="8">
        <f>QS.CONTEXT.CREATE("market.7875",A7877,"USD","SOFR")</f>
        <v/>
      </c>
      <c r="D7877" s="8">
        <f>QS.CONTEXT.ADD.CURVE(C7877,"SOFR",$K$2:$K$7,$L$2:$L$7,,,"Actual360","LogLinear",TRUE)</f>
        <v/>
      </c>
      <c r="E7877" s="8">
        <f>QS.INSTRUMENT.SWAP("swap.7875",C7877,H7877,B7877,"USD","SOFR",I7877,J7877,0,"Actual360","Simple","Annual","Annual","Annual")</f>
        <v/>
      </c>
      <c r="F7877" s="8">
        <f>QS.TRADE.CREATE("trade.7875",C7877,E7877,A7877,"Receive")</f>
        <v/>
      </c>
      <c r="G7877" s="5"/>
      <c r="H7877" s="7" t="s">
        <v>7918</v>
      </c>
      <c r="I7877" s="9">
        <v>1787500</v>
      </c>
      <c r="J7877" s="10">
        <v>0.03750000000000001</v>
      </c>
    </row>
    <row r="7878" spans="1:10">
      <c r="A7878" s="7" t="s">
        <v>7912</v>
      </c>
      <c r="B7878" s="7" t="s">
        <v>9745</v>
      </c>
      <c r="C7878" s="8">
        <f>QS.CONTEXT.CREATE("market.7876",A7878,"USD","SOFR")</f>
        <v/>
      </c>
      <c r="D7878" s="8">
        <f>QS.CONTEXT.ADD.CURVE(C7878,"SOFR",$K$2:$K$7,$L$2:$L$7,,,"Actual360","LogLinear",TRUE)</f>
        <v/>
      </c>
      <c r="E7878" s="8">
        <f>QS.INSTRUMENT.SWAP("swap.7876",C7878,H7878,B7878,"USD","SOFR",I7878,J7878,0,"Actual360","Simple","Annual","Annual","Annual")</f>
        <v/>
      </c>
      <c r="F7878" s="8">
        <f>QS.TRADE.CREATE("trade.7876",C7878,E7878,A7878,"Receive")</f>
        <v/>
      </c>
      <c r="G7878" s="5"/>
      <c r="H7878" s="7" t="s">
        <v>7919</v>
      </c>
      <c r="I7878" s="9">
        <v>1787600</v>
      </c>
      <c r="J7878" s="10">
        <v>0.0376</v>
      </c>
    </row>
    <row r="7879" spans="1:10">
      <c r="A7879" s="7" t="s">
        <v>7913</v>
      </c>
      <c r="B7879" s="7" t="s">
        <v>9746</v>
      </c>
      <c r="C7879" s="8">
        <f>QS.CONTEXT.CREATE("market.7877",A7879,"USD","SOFR")</f>
        <v/>
      </c>
      <c r="D7879" s="8">
        <f>QS.CONTEXT.ADD.CURVE(C7879,"SOFR",$K$2:$K$7,$L$2:$L$7,,,"Actual360","LogLinear",TRUE)</f>
        <v/>
      </c>
      <c r="E7879" s="8">
        <f>QS.INSTRUMENT.SWAP("swap.7877",C7879,H7879,B7879,"USD","SOFR",I7879,J7879,0,"Actual360","Simple","Annual","Annual","Annual")</f>
        <v/>
      </c>
      <c r="F7879" s="8">
        <f>QS.TRADE.CREATE("trade.7877",C7879,E7879,A7879,"Receive")</f>
        <v/>
      </c>
      <c r="G7879" s="5"/>
      <c r="H7879" s="7" t="s">
        <v>7920</v>
      </c>
      <c r="I7879" s="9">
        <v>1787700</v>
      </c>
      <c r="J7879" s="10">
        <v>0.0377</v>
      </c>
    </row>
    <row r="7880" spans="1:10">
      <c r="A7880" s="7" t="s">
        <v>7914</v>
      </c>
      <c r="B7880" s="7" t="s">
        <v>9747</v>
      </c>
      <c r="C7880" s="8">
        <f>QS.CONTEXT.CREATE("market.7878",A7880,"USD","SOFR")</f>
        <v/>
      </c>
      <c r="D7880" s="8">
        <f>QS.CONTEXT.ADD.CURVE(C7880,"SOFR",$K$2:$K$7,$L$2:$L$7,,,"Actual360","LogLinear",TRUE)</f>
        <v/>
      </c>
      <c r="E7880" s="8">
        <f>QS.INSTRUMENT.SWAP("swap.7878",C7880,H7880,B7880,"USD","SOFR",I7880,J7880,0,"Actual360","Simple","Annual","Annual","Annual")</f>
        <v/>
      </c>
      <c r="F7880" s="8">
        <f>QS.TRADE.CREATE("trade.7878",C7880,E7880,A7880,"Receive")</f>
        <v/>
      </c>
      <c r="G7880" s="5"/>
      <c r="H7880" s="7" t="s">
        <v>7921</v>
      </c>
      <c r="I7880" s="9">
        <v>1787800</v>
      </c>
      <c r="J7880" s="10">
        <v>0.0378</v>
      </c>
    </row>
    <row r="7881" spans="1:10">
      <c r="A7881" s="7" t="s">
        <v>7915</v>
      </c>
      <c r="B7881" s="7" t="s">
        <v>9748</v>
      </c>
      <c r="C7881" s="8">
        <f>QS.CONTEXT.CREATE("market.7879",A7881,"USD","SOFR")</f>
        <v/>
      </c>
      <c r="D7881" s="8">
        <f>QS.CONTEXT.ADD.CURVE(C7881,"SOFR",$K$2:$K$7,$L$2:$L$7,,,"Actual360","LogLinear",TRUE)</f>
        <v/>
      </c>
      <c r="E7881" s="8">
        <f>QS.INSTRUMENT.SWAP("swap.7879",C7881,H7881,B7881,"USD","SOFR",I7881,J7881,0,"Actual360","Simple","Annual","Annual","Annual")</f>
        <v/>
      </c>
      <c r="F7881" s="8">
        <f>QS.TRADE.CREATE("trade.7879",C7881,E7881,A7881,"Receive")</f>
        <v/>
      </c>
      <c r="G7881" s="5"/>
      <c r="H7881" s="7" t="s">
        <v>7922</v>
      </c>
      <c r="I7881" s="9">
        <v>1787900</v>
      </c>
      <c r="J7881" s="10">
        <v>0.0379</v>
      </c>
    </row>
    <row r="7882" spans="1:10">
      <c r="A7882" s="7" t="s">
        <v>7916</v>
      </c>
      <c r="B7882" s="7" t="s">
        <v>9749</v>
      </c>
      <c r="C7882" s="8">
        <f>QS.CONTEXT.CREATE("market.7880",A7882,"USD","SOFR")</f>
        <v/>
      </c>
      <c r="D7882" s="8">
        <f>QS.CONTEXT.ADD.CURVE(C7882,"SOFR",$K$2:$K$7,$L$2:$L$7,,,"Actual360","LogLinear",TRUE)</f>
        <v/>
      </c>
      <c r="E7882" s="8">
        <f>QS.INSTRUMENT.SWAP("swap.7880",C7882,H7882,B7882,"USD","SOFR",I7882,J7882,0,"Actual360","Simple","Annual","Annual","Annual")</f>
        <v/>
      </c>
      <c r="F7882" s="8">
        <f>QS.TRADE.CREATE("trade.7880",C7882,E7882,A7882,"Receive")</f>
        <v/>
      </c>
      <c r="G7882" s="5"/>
      <c r="H7882" s="7" t="s">
        <v>7923</v>
      </c>
      <c r="I7882" s="9">
        <v>1788000</v>
      </c>
      <c r="J7882" s="10">
        <v>0.03800000000000001</v>
      </c>
    </row>
    <row r="7883" spans="1:10">
      <c r="A7883" s="7" t="s">
        <v>7917</v>
      </c>
      <c r="B7883" s="7" t="s">
        <v>9750</v>
      </c>
      <c r="C7883" s="8">
        <f>QS.CONTEXT.CREATE("market.7881",A7883,"USD","SOFR")</f>
        <v/>
      </c>
      <c r="D7883" s="8">
        <f>QS.CONTEXT.ADD.CURVE(C7883,"SOFR",$K$2:$K$7,$L$2:$L$7,,,"Actual360","LogLinear",TRUE)</f>
        <v/>
      </c>
      <c r="E7883" s="8">
        <f>QS.INSTRUMENT.SWAP("swap.7881",C7883,H7883,B7883,"USD","SOFR",I7883,J7883,0,"Actual360","Simple","Annual","Annual","Annual")</f>
        <v/>
      </c>
      <c r="F7883" s="8">
        <f>QS.TRADE.CREATE("trade.7881",C7883,E7883,A7883,"Receive")</f>
        <v/>
      </c>
      <c r="G7883" s="5"/>
      <c r="H7883" s="7" t="s">
        <v>7924</v>
      </c>
      <c r="I7883" s="9">
        <v>1788100</v>
      </c>
      <c r="J7883" s="10">
        <v>0.0381</v>
      </c>
    </row>
    <row r="7884" spans="1:10">
      <c r="A7884" s="7" t="s">
        <v>7918</v>
      </c>
      <c r="B7884" s="7" t="s">
        <v>9751</v>
      </c>
      <c r="C7884" s="8">
        <f>QS.CONTEXT.CREATE("market.7882",A7884,"USD","SOFR")</f>
        <v/>
      </c>
      <c r="D7884" s="8">
        <f>QS.CONTEXT.ADD.CURVE(C7884,"SOFR",$K$2:$K$7,$L$2:$L$7,,,"Actual360","LogLinear",TRUE)</f>
        <v/>
      </c>
      <c r="E7884" s="8">
        <f>QS.INSTRUMENT.SWAP("swap.7882",C7884,H7884,B7884,"USD","SOFR",I7884,J7884,0,"Actual360","Simple","Annual","Annual","Annual")</f>
        <v/>
      </c>
      <c r="F7884" s="8">
        <f>QS.TRADE.CREATE("trade.7882",C7884,E7884,A7884,"Receive")</f>
        <v/>
      </c>
      <c r="G7884" s="5"/>
      <c r="H7884" s="7" t="s">
        <v>7925</v>
      </c>
      <c r="I7884" s="9">
        <v>1788200</v>
      </c>
      <c r="J7884" s="10">
        <v>0.0382</v>
      </c>
    </row>
    <row r="7885" spans="1:10">
      <c r="A7885" s="7" t="s">
        <v>7919</v>
      </c>
      <c r="B7885" s="7" t="s">
        <v>9752</v>
      </c>
      <c r="C7885" s="8">
        <f>QS.CONTEXT.CREATE("market.7883",A7885,"USD","SOFR")</f>
        <v/>
      </c>
      <c r="D7885" s="8">
        <f>QS.CONTEXT.ADD.CURVE(C7885,"SOFR",$K$2:$K$7,$L$2:$L$7,,,"Actual360","LogLinear",TRUE)</f>
        <v/>
      </c>
      <c r="E7885" s="8">
        <f>QS.INSTRUMENT.SWAP("swap.7883",C7885,H7885,B7885,"USD","SOFR",I7885,J7885,0,"Actual360","Simple","Annual","Annual","Annual")</f>
        <v/>
      </c>
      <c r="F7885" s="8">
        <f>QS.TRADE.CREATE("trade.7883",C7885,E7885,A7885,"Receive")</f>
        <v/>
      </c>
      <c r="G7885" s="5"/>
      <c r="H7885" s="7" t="s">
        <v>7926</v>
      </c>
      <c r="I7885" s="9">
        <v>1788300</v>
      </c>
      <c r="J7885" s="10">
        <v>0.0383</v>
      </c>
    </row>
    <row r="7886" spans="1:10">
      <c r="A7886" s="7" t="s">
        <v>7920</v>
      </c>
      <c r="B7886" s="7" t="s">
        <v>9753</v>
      </c>
      <c r="C7886" s="8">
        <f>QS.CONTEXT.CREATE("market.7884",A7886,"USD","SOFR")</f>
        <v/>
      </c>
      <c r="D7886" s="8">
        <f>QS.CONTEXT.ADD.CURVE(C7886,"SOFR",$K$2:$K$7,$L$2:$L$7,,,"Actual360","LogLinear",TRUE)</f>
        <v/>
      </c>
      <c r="E7886" s="8">
        <f>QS.INSTRUMENT.SWAP("swap.7884",C7886,H7886,B7886,"USD","SOFR",I7886,J7886,0,"Actual360","Simple","Annual","Annual","Annual")</f>
        <v/>
      </c>
      <c r="F7886" s="8">
        <f>QS.TRADE.CREATE("trade.7884",C7886,E7886,A7886,"Receive")</f>
        <v/>
      </c>
      <c r="G7886" s="5"/>
      <c r="H7886" s="7" t="s">
        <v>7927</v>
      </c>
      <c r="I7886" s="9">
        <v>1788400</v>
      </c>
      <c r="J7886" s="10">
        <v>0.0384</v>
      </c>
    </row>
    <row r="7887" spans="1:10">
      <c r="A7887" s="7" t="s">
        <v>7921</v>
      </c>
      <c r="B7887" s="7" t="s">
        <v>9754</v>
      </c>
      <c r="C7887" s="8">
        <f>QS.CONTEXT.CREATE("market.7885",A7887,"USD","SOFR")</f>
        <v/>
      </c>
      <c r="D7887" s="8">
        <f>QS.CONTEXT.ADD.CURVE(C7887,"SOFR",$K$2:$K$7,$L$2:$L$7,,,"Actual360","LogLinear",TRUE)</f>
        <v/>
      </c>
      <c r="E7887" s="8">
        <f>QS.INSTRUMENT.SWAP("swap.7885",C7887,H7887,B7887,"USD","SOFR",I7887,J7887,0,"Actual360","Simple","Annual","Annual","Annual")</f>
        <v/>
      </c>
      <c r="F7887" s="8">
        <f>QS.TRADE.CREATE("trade.7885",C7887,E7887,A7887,"Receive")</f>
        <v/>
      </c>
      <c r="G7887" s="5"/>
      <c r="H7887" s="7" t="s">
        <v>7928</v>
      </c>
      <c r="I7887" s="9">
        <v>1788500</v>
      </c>
      <c r="J7887" s="10">
        <v>0.03850000000000001</v>
      </c>
    </row>
    <row r="7888" spans="1:10">
      <c r="A7888" s="7" t="s">
        <v>7922</v>
      </c>
      <c r="B7888" s="7" t="s">
        <v>9755</v>
      </c>
      <c r="C7888" s="8">
        <f>QS.CONTEXT.CREATE("market.7886",A7888,"USD","SOFR")</f>
        <v/>
      </c>
      <c r="D7888" s="8">
        <f>QS.CONTEXT.ADD.CURVE(C7888,"SOFR",$K$2:$K$7,$L$2:$L$7,,,"Actual360","LogLinear",TRUE)</f>
        <v/>
      </c>
      <c r="E7888" s="8">
        <f>QS.INSTRUMENT.SWAP("swap.7886",C7888,H7888,B7888,"USD","SOFR",I7888,J7888,0,"Actual360","Simple","Annual","Annual","Annual")</f>
        <v/>
      </c>
      <c r="F7888" s="8">
        <f>QS.TRADE.CREATE("trade.7886",C7888,E7888,A7888,"Receive")</f>
        <v/>
      </c>
      <c r="G7888" s="5"/>
      <c r="H7888" s="7" t="s">
        <v>7929</v>
      </c>
      <c r="I7888" s="9">
        <v>1788600</v>
      </c>
      <c r="J7888" s="10">
        <v>0.0386</v>
      </c>
    </row>
    <row r="7889" spans="1:10">
      <c r="A7889" s="7" t="s">
        <v>7923</v>
      </c>
      <c r="B7889" s="7" t="s">
        <v>9756</v>
      </c>
      <c r="C7889" s="8">
        <f>QS.CONTEXT.CREATE("market.7887",A7889,"USD","SOFR")</f>
        <v/>
      </c>
      <c r="D7889" s="8">
        <f>QS.CONTEXT.ADD.CURVE(C7889,"SOFR",$K$2:$K$7,$L$2:$L$7,,,"Actual360","LogLinear",TRUE)</f>
        <v/>
      </c>
      <c r="E7889" s="8">
        <f>QS.INSTRUMENT.SWAP("swap.7887",C7889,H7889,B7889,"USD","SOFR",I7889,J7889,0,"Actual360","Simple","Annual","Annual","Annual")</f>
        <v/>
      </c>
      <c r="F7889" s="8">
        <f>QS.TRADE.CREATE("trade.7887",C7889,E7889,A7889,"Receive")</f>
        <v/>
      </c>
      <c r="G7889" s="5"/>
      <c r="H7889" s="7" t="s">
        <v>7930</v>
      </c>
      <c r="I7889" s="9">
        <v>1788700</v>
      </c>
      <c r="J7889" s="10">
        <v>0.03870000000000001</v>
      </c>
    </row>
    <row r="7890" spans="1:10">
      <c r="A7890" s="7" t="s">
        <v>7924</v>
      </c>
      <c r="B7890" s="7" t="s">
        <v>9757</v>
      </c>
      <c r="C7890" s="8">
        <f>QS.CONTEXT.CREATE("market.7888",A7890,"USD","SOFR")</f>
        <v/>
      </c>
      <c r="D7890" s="8">
        <f>QS.CONTEXT.ADD.CURVE(C7890,"SOFR",$K$2:$K$7,$L$2:$L$7,,,"Actual360","LogLinear",TRUE)</f>
        <v/>
      </c>
      <c r="E7890" s="8">
        <f>QS.INSTRUMENT.SWAP("swap.7888",C7890,H7890,B7890,"USD","SOFR",I7890,J7890,0,"Actual360","Simple","Annual","Annual","Annual")</f>
        <v/>
      </c>
      <c r="F7890" s="8">
        <f>QS.TRADE.CREATE("trade.7888",C7890,E7890,A7890,"Receive")</f>
        <v/>
      </c>
      <c r="G7890" s="5"/>
      <c r="H7890" s="7" t="s">
        <v>7931</v>
      </c>
      <c r="I7890" s="9">
        <v>1788800</v>
      </c>
      <c r="J7890" s="10">
        <v>0.0388</v>
      </c>
    </row>
    <row r="7891" spans="1:10">
      <c r="A7891" s="7" t="s">
        <v>7925</v>
      </c>
      <c r="B7891" s="7" t="s">
        <v>9758</v>
      </c>
      <c r="C7891" s="8">
        <f>QS.CONTEXT.CREATE("market.7889",A7891,"USD","SOFR")</f>
        <v/>
      </c>
      <c r="D7891" s="8">
        <f>QS.CONTEXT.ADD.CURVE(C7891,"SOFR",$K$2:$K$7,$L$2:$L$7,,,"Actual360","LogLinear",TRUE)</f>
        <v/>
      </c>
      <c r="E7891" s="8">
        <f>QS.INSTRUMENT.SWAP("swap.7889",C7891,H7891,B7891,"USD","SOFR",I7891,J7891,0,"Actual360","Simple","Annual","Annual","Annual")</f>
        <v/>
      </c>
      <c r="F7891" s="8">
        <f>QS.TRADE.CREATE("trade.7889",C7891,E7891,A7891,"Receive")</f>
        <v/>
      </c>
      <c r="G7891" s="5"/>
      <c r="H7891" s="7" t="s">
        <v>7932</v>
      </c>
      <c r="I7891" s="9">
        <v>1788900</v>
      </c>
      <c r="J7891" s="10">
        <v>0.0389</v>
      </c>
    </row>
    <row r="7892" spans="1:10">
      <c r="A7892" s="7" t="s">
        <v>7926</v>
      </c>
      <c r="B7892" s="7" t="s">
        <v>9759</v>
      </c>
      <c r="C7892" s="8">
        <f>QS.CONTEXT.CREATE("market.7890",A7892,"USD","SOFR")</f>
        <v/>
      </c>
      <c r="D7892" s="8">
        <f>QS.CONTEXT.ADD.CURVE(C7892,"SOFR",$K$2:$K$7,$L$2:$L$7,,,"Actual360","LogLinear",TRUE)</f>
        <v/>
      </c>
      <c r="E7892" s="8">
        <f>QS.INSTRUMENT.SWAP("swap.7890",C7892,H7892,B7892,"USD","SOFR",I7892,J7892,0,"Actual360","Simple","Annual","Annual","Annual")</f>
        <v/>
      </c>
      <c r="F7892" s="8">
        <f>QS.TRADE.CREATE("trade.7890",C7892,E7892,A7892,"Receive")</f>
        <v/>
      </c>
      <c r="G7892" s="5"/>
      <c r="H7892" s="7" t="s">
        <v>7933</v>
      </c>
      <c r="I7892" s="9">
        <v>1789000</v>
      </c>
      <c r="J7892" s="10">
        <v>0.03900000000000001</v>
      </c>
    </row>
    <row r="7893" spans="1:10">
      <c r="A7893" s="7" t="s">
        <v>7927</v>
      </c>
      <c r="B7893" s="7" t="s">
        <v>9760</v>
      </c>
      <c r="C7893" s="8">
        <f>QS.CONTEXT.CREATE("market.7891",A7893,"USD","SOFR")</f>
        <v/>
      </c>
      <c r="D7893" s="8">
        <f>QS.CONTEXT.ADD.CURVE(C7893,"SOFR",$K$2:$K$7,$L$2:$L$7,,,"Actual360","LogLinear",TRUE)</f>
        <v/>
      </c>
      <c r="E7893" s="8">
        <f>QS.INSTRUMENT.SWAP("swap.7891",C7893,H7893,B7893,"USD","SOFR",I7893,J7893,0,"Actual360","Simple","Annual","Annual","Annual")</f>
        <v/>
      </c>
      <c r="F7893" s="8">
        <f>QS.TRADE.CREATE("trade.7891",C7893,E7893,A7893,"Receive")</f>
        <v/>
      </c>
      <c r="G7893" s="5"/>
      <c r="H7893" s="7" t="s">
        <v>7934</v>
      </c>
      <c r="I7893" s="9">
        <v>1789100</v>
      </c>
      <c r="J7893" s="10">
        <v>0.0391</v>
      </c>
    </row>
    <row r="7894" spans="1:10">
      <c r="A7894" s="7" t="s">
        <v>7928</v>
      </c>
      <c r="B7894" s="7" t="s">
        <v>9761</v>
      </c>
      <c r="C7894" s="8">
        <f>QS.CONTEXT.CREATE("market.7892",A7894,"USD","SOFR")</f>
        <v/>
      </c>
      <c r="D7894" s="8">
        <f>QS.CONTEXT.ADD.CURVE(C7894,"SOFR",$K$2:$K$7,$L$2:$L$7,,,"Actual360","LogLinear",TRUE)</f>
        <v/>
      </c>
      <c r="E7894" s="8">
        <f>QS.INSTRUMENT.SWAP("swap.7892",C7894,H7894,B7894,"USD","SOFR",I7894,J7894,0,"Actual360","Simple","Annual","Annual","Annual")</f>
        <v/>
      </c>
      <c r="F7894" s="8">
        <f>QS.TRADE.CREATE("trade.7892",C7894,E7894,A7894,"Receive")</f>
        <v/>
      </c>
      <c r="G7894" s="5"/>
      <c r="H7894" s="7" t="s">
        <v>7935</v>
      </c>
      <c r="I7894" s="9">
        <v>1789200</v>
      </c>
      <c r="J7894" s="10">
        <v>0.03920000000000001</v>
      </c>
    </row>
    <row r="7895" spans="1:10">
      <c r="A7895" s="7" t="s">
        <v>7929</v>
      </c>
      <c r="B7895" s="7" t="s">
        <v>9762</v>
      </c>
      <c r="C7895" s="8">
        <f>QS.CONTEXT.CREATE("market.7893",A7895,"USD","SOFR")</f>
        <v/>
      </c>
      <c r="D7895" s="8">
        <f>QS.CONTEXT.ADD.CURVE(C7895,"SOFR",$K$2:$K$7,$L$2:$L$7,,,"Actual360","LogLinear",TRUE)</f>
        <v/>
      </c>
      <c r="E7895" s="8">
        <f>QS.INSTRUMENT.SWAP("swap.7893",C7895,H7895,B7895,"USD","SOFR",I7895,J7895,0,"Actual360","Simple","Annual","Annual","Annual")</f>
        <v/>
      </c>
      <c r="F7895" s="8">
        <f>QS.TRADE.CREATE("trade.7893",C7895,E7895,A7895,"Receive")</f>
        <v/>
      </c>
      <c r="G7895" s="5"/>
      <c r="H7895" s="7" t="s">
        <v>7936</v>
      </c>
      <c r="I7895" s="9">
        <v>1789300</v>
      </c>
      <c r="J7895" s="10">
        <v>0.0393</v>
      </c>
    </row>
    <row r="7896" spans="1:10">
      <c r="A7896" s="7" t="s">
        <v>7930</v>
      </c>
      <c r="B7896" s="7" t="s">
        <v>9763</v>
      </c>
      <c r="C7896" s="8">
        <f>QS.CONTEXT.CREATE("market.7894",A7896,"USD","SOFR")</f>
        <v/>
      </c>
      <c r="D7896" s="8">
        <f>QS.CONTEXT.ADD.CURVE(C7896,"SOFR",$K$2:$K$7,$L$2:$L$7,,,"Actual360","LogLinear",TRUE)</f>
        <v/>
      </c>
      <c r="E7896" s="8">
        <f>QS.INSTRUMENT.SWAP("swap.7894",C7896,H7896,B7896,"USD","SOFR",I7896,J7896,0,"Actual360","Simple","Annual","Annual","Annual")</f>
        <v/>
      </c>
      <c r="F7896" s="8">
        <f>QS.TRADE.CREATE("trade.7894",C7896,E7896,A7896,"Receive")</f>
        <v/>
      </c>
      <c r="G7896" s="5"/>
      <c r="H7896" s="7" t="s">
        <v>7937</v>
      </c>
      <c r="I7896" s="9">
        <v>1789400</v>
      </c>
      <c r="J7896" s="10">
        <v>0.0394</v>
      </c>
    </row>
    <row r="7897" spans="1:10">
      <c r="A7897" s="7" t="s">
        <v>7931</v>
      </c>
      <c r="B7897" s="7" t="s">
        <v>9764</v>
      </c>
      <c r="C7897" s="8">
        <f>QS.CONTEXT.CREATE("market.7895",A7897,"USD","SOFR")</f>
        <v/>
      </c>
      <c r="D7897" s="8">
        <f>QS.CONTEXT.ADD.CURVE(C7897,"SOFR",$K$2:$K$7,$L$2:$L$7,,,"Actual360","LogLinear",TRUE)</f>
        <v/>
      </c>
      <c r="E7897" s="8">
        <f>QS.INSTRUMENT.SWAP("swap.7895",C7897,H7897,B7897,"USD","SOFR",I7897,J7897,0,"Actual360","Simple","Annual","Annual","Annual")</f>
        <v/>
      </c>
      <c r="F7897" s="8">
        <f>QS.TRADE.CREATE("trade.7895",C7897,E7897,A7897,"Receive")</f>
        <v/>
      </c>
      <c r="G7897" s="5"/>
      <c r="H7897" s="7" t="s">
        <v>7938</v>
      </c>
      <c r="I7897" s="9">
        <v>1789500</v>
      </c>
      <c r="J7897" s="10">
        <v>0.03950000000000001</v>
      </c>
    </row>
    <row r="7898" spans="1:10">
      <c r="A7898" s="7" t="s">
        <v>7932</v>
      </c>
      <c r="B7898" s="7" t="s">
        <v>9765</v>
      </c>
      <c r="C7898" s="8">
        <f>QS.CONTEXT.CREATE("market.7896",A7898,"USD","SOFR")</f>
        <v/>
      </c>
      <c r="D7898" s="8">
        <f>QS.CONTEXT.ADD.CURVE(C7898,"SOFR",$K$2:$K$7,$L$2:$L$7,,,"Actual360","LogLinear",TRUE)</f>
        <v/>
      </c>
      <c r="E7898" s="8">
        <f>QS.INSTRUMENT.SWAP("swap.7896",C7898,H7898,B7898,"USD","SOFR",I7898,J7898,0,"Actual360","Simple","Annual","Annual","Annual")</f>
        <v/>
      </c>
      <c r="F7898" s="8">
        <f>QS.TRADE.CREATE("trade.7896",C7898,E7898,A7898,"Receive")</f>
        <v/>
      </c>
      <c r="G7898" s="5"/>
      <c r="H7898" s="7" t="s">
        <v>7939</v>
      </c>
      <c r="I7898" s="9">
        <v>1789600</v>
      </c>
      <c r="J7898" s="10">
        <v>0.0396</v>
      </c>
    </row>
    <row r="7899" spans="1:10">
      <c r="A7899" s="7" t="s">
        <v>7933</v>
      </c>
      <c r="B7899" s="7" t="s">
        <v>9766</v>
      </c>
      <c r="C7899" s="8">
        <f>QS.CONTEXT.CREATE("market.7897",A7899,"USD","SOFR")</f>
        <v/>
      </c>
      <c r="D7899" s="8">
        <f>QS.CONTEXT.ADD.CURVE(C7899,"SOFR",$K$2:$K$7,$L$2:$L$7,,,"Actual360","LogLinear",TRUE)</f>
        <v/>
      </c>
      <c r="E7899" s="8">
        <f>QS.INSTRUMENT.SWAP("swap.7897",C7899,H7899,B7899,"USD","SOFR",I7899,J7899,0,"Actual360","Simple","Annual","Annual","Annual")</f>
        <v/>
      </c>
      <c r="F7899" s="8">
        <f>QS.TRADE.CREATE("trade.7897",C7899,E7899,A7899,"Receive")</f>
        <v/>
      </c>
      <c r="G7899" s="5"/>
      <c r="H7899" s="7" t="s">
        <v>7940</v>
      </c>
      <c r="I7899" s="9">
        <v>1789700</v>
      </c>
      <c r="J7899" s="10">
        <v>0.03970000000000001</v>
      </c>
    </row>
    <row r="7900" spans="1:10">
      <c r="A7900" s="7" t="s">
        <v>7934</v>
      </c>
      <c r="B7900" s="7" t="s">
        <v>9767</v>
      </c>
      <c r="C7900" s="8">
        <f>QS.CONTEXT.CREATE("market.7898",A7900,"USD","SOFR")</f>
        <v/>
      </c>
      <c r="D7900" s="8">
        <f>QS.CONTEXT.ADD.CURVE(C7900,"SOFR",$K$2:$K$7,$L$2:$L$7,,,"Actual360","LogLinear",TRUE)</f>
        <v/>
      </c>
      <c r="E7900" s="8">
        <f>QS.INSTRUMENT.SWAP("swap.7898",C7900,H7900,B7900,"USD","SOFR",I7900,J7900,0,"Actual360","Simple","Annual","Annual","Annual")</f>
        <v/>
      </c>
      <c r="F7900" s="8">
        <f>QS.TRADE.CREATE("trade.7898",C7900,E7900,A7900,"Receive")</f>
        <v/>
      </c>
      <c r="G7900" s="5"/>
      <c r="H7900" s="7" t="s">
        <v>7941</v>
      </c>
      <c r="I7900" s="9">
        <v>1789800</v>
      </c>
      <c r="J7900" s="10">
        <v>0.0398</v>
      </c>
    </row>
    <row r="7901" spans="1:10">
      <c r="A7901" s="7" t="s">
        <v>7935</v>
      </c>
      <c r="B7901" s="7" t="s">
        <v>9768</v>
      </c>
      <c r="C7901" s="8">
        <f>QS.CONTEXT.CREATE("market.7899",A7901,"USD","SOFR")</f>
        <v/>
      </c>
      <c r="D7901" s="8">
        <f>QS.CONTEXT.ADD.CURVE(C7901,"SOFR",$K$2:$K$7,$L$2:$L$7,,,"Actual360","LogLinear",TRUE)</f>
        <v/>
      </c>
      <c r="E7901" s="8">
        <f>QS.INSTRUMENT.SWAP("swap.7899",C7901,H7901,B7901,"USD","SOFR",I7901,J7901,0,"Actual360","Simple","Annual","Annual","Annual")</f>
        <v/>
      </c>
      <c r="F7901" s="8">
        <f>QS.TRADE.CREATE("trade.7899",C7901,E7901,A7901,"Receive")</f>
        <v/>
      </c>
      <c r="G7901" s="5"/>
      <c r="H7901" s="7" t="s">
        <v>7942</v>
      </c>
      <c r="I7901" s="9">
        <v>1789900</v>
      </c>
      <c r="J7901" s="10">
        <v>0.0399</v>
      </c>
    </row>
    <row r="7902" spans="1:10">
      <c r="A7902" s="7" t="s">
        <v>7936</v>
      </c>
      <c r="B7902" s="7" t="s">
        <v>9769</v>
      </c>
      <c r="C7902" s="8">
        <f>QS.CONTEXT.CREATE("market.7900",A7902,"USD","SOFR")</f>
        <v/>
      </c>
      <c r="D7902" s="8">
        <f>QS.CONTEXT.ADD.CURVE(C7902,"SOFR",$K$2:$K$7,$L$2:$L$7,,,"Actual360","LogLinear",TRUE)</f>
        <v/>
      </c>
      <c r="E7902" s="8">
        <f>QS.INSTRUMENT.SWAP("swap.7900",C7902,H7902,B7902,"USD","SOFR",I7902,J7902,0,"Actual360","Simple","Annual","Annual","Annual")</f>
        <v/>
      </c>
      <c r="F7902" s="8">
        <f>QS.TRADE.CREATE("trade.7900",C7902,E7902,A7902,"Receive")</f>
        <v/>
      </c>
      <c r="G7902" s="5"/>
      <c r="H7902" s="7" t="s">
        <v>7943</v>
      </c>
      <c r="I7902" s="9">
        <v>1790000</v>
      </c>
      <c r="J7902" s="10">
        <v>0.035</v>
      </c>
    </row>
    <row r="7903" spans="1:10">
      <c r="A7903" s="7" t="s">
        <v>7937</v>
      </c>
      <c r="B7903" s="7" t="s">
        <v>9770</v>
      </c>
      <c r="C7903" s="8">
        <f>QS.CONTEXT.CREATE("market.7901",A7903,"USD","SOFR")</f>
        <v/>
      </c>
      <c r="D7903" s="8">
        <f>QS.CONTEXT.ADD.CURVE(C7903,"SOFR",$K$2:$K$7,$L$2:$L$7,,,"Actual360","LogLinear",TRUE)</f>
        <v/>
      </c>
      <c r="E7903" s="8">
        <f>QS.INSTRUMENT.SWAP("swap.7901",C7903,H7903,B7903,"USD","SOFR",I7903,J7903,0,"Actual360","Simple","Annual","Annual","Annual")</f>
        <v/>
      </c>
      <c r="F7903" s="8">
        <f>QS.TRADE.CREATE("trade.7901",C7903,E7903,A7903,"Receive")</f>
        <v/>
      </c>
      <c r="G7903" s="5"/>
      <c r="H7903" s="7" t="s">
        <v>7944</v>
      </c>
      <c r="I7903" s="9">
        <v>1790100</v>
      </c>
      <c r="J7903" s="10">
        <v>0.03510000000000001</v>
      </c>
    </row>
    <row r="7904" spans="1:10">
      <c r="A7904" s="7" t="s">
        <v>7938</v>
      </c>
      <c r="B7904" s="7" t="s">
        <v>9771</v>
      </c>
      <c r="C7904" s="8">
        <f>QS.CONTEXT.CREATE("market.7902",A7904,"USD","SOFR")</f>
        <v/>
      </c>
      <c r="D7904" s="8">
        <f>QS.CONTEXT.ADD.CURVE(C7904,"SOFR",$K$2:$K$7,$L$2:$L$7,,,"Actual360","LogLinear",TRUE)</f>
        <v/>
      </c>
      <c r="E7904" s="8">
        <f>QS.INSTRUMENT.SWAP("swap.7902",C7904,H7904,B7904,"USD","SOFR",I7904,J7904,0,"Actual360","Simple","Annual","Annual","Annual")</f>
        <v/>
      </c>
      <c r="F7904" s="8">
        <f>QS.TRADE.CREATE("trade.7902",C7904,E7904,A7904,"Receive")</f>
        <v/>
      </c>
      <c r="G7904" s="5"/>
      <c r="H7904" s="7" t="s">
        <v>7945</v>
      </c>
      <c r="I7904" s="9">
        <v>1790200</v>
      </c>
      <c r="J7904" s="10">
        <v>0.0352</v>
      </c>
    </row>
    <row r="7905" spans="1:10">
      <c r="A7905" s="7" t="s">
        <v>7939</v>
      </c>
      <c r="B7905" s="7" t="s">
        <v>9772</v>
      </c>
      <c r="C7905" s="8">
        <f>QS.CONTEXT.CREATE("market.7903",A7905,"USD","SOFR")</f>
        <v/>
      </c>
      <c r="D7905" s="8">
        <f>QS.CONTEXT.ADD.CURVE(C7905,"SOFR",$K$2:$K$7,$L$2:$L$7,,,"Actual360","LogLinear",TRUE)</f>
        <v/>
      </c>
      <c r="E7905" s="8">
        <f>QS.INSTRUMENT.SWAP("swap.7903",C7905,H7905,B7905,"USD","SOFR",I7905,J7905,0,"Actual360","Simple","Annual","Annual","Annual")</f>
        <v/>
      </c>
      <c r="F7905" s="8">
        <f>QS.TRADE.CREATE("trade.7903",C7905,E7905,A7905,"Receive")</f>
        <v/>
      </c>
      <c r="G7905" s="5"/>
      <c r="H7905" s="7" t="s">
        <v>7946</v>
      </c>
      <c r="I7905" s="9">
        <v>1790300</v>
      </c>
      <c r="J7905" s="10">
        <v>0.0353</v>
      </c>
    </row>
    <row r="7906" spans="1:10">
      <c r="A7906" s="7" t="s">
        <v>7940</v>
      </c>
      <c r="B7906" s="7" t="s">
        <v>9773</v>
      </c>
      <c r="C7906" s="8">
        <f>QS.CONTEXT.CREATE("market.7904",A7906,"USD","SOFR")</f>
        <v/>
      </c>
      <c r="D7906" s="8">
        <f>QS.CONTEXT.ADD.CURVE(C7906,"SOFR",$K$2:$K$7,$L$2:$L$7,,,"Actual360","LogLinear",TRUE)</f>
        <v/>
      </c>
      <c r="E7906" s="8">
        <f>QS.INSTRUMENT.SWAP("swap.7904",C7906,H7906,B7906,"USD","SOFR",I7906,J7906,0,"Actual360","Simple","Annual","Annual","Annual")</f>
        <v/>
      </c>
      <c r="F7906" s="8">
        <f>QS.TRADE.CREATE("trade.7904",C7906,E7906,A7906,"Receive")</f>
        <v/>
      </c>
      <c r="G7906" s="5"/>
      <c r="H7906" s="7" t="s">
        <v>7947</v>
      </c>
      <c r="I7906" s="9">
        <v>1790400</v>
      </c>
      <c r="J7906" s="10">
        <v>0.0354</v>
      </c>
    </row>
    <row r="7907" spans="1:10">
      <c r="A7907" s="7" t="s">
        <v>7941</v>
      </c>
      <c r="B7907" s="7" t="s">
        <v>9774</v>
      </c>
      <c r="C7907" s="8">
        <f>QS.CONTEXT.CREATE("market.7905",A7907,"USD","SOFR")</f>
        <v/>
      </c>
      <c r="D7907" s="8">
        <f>QS.CONTEXT.ADD.CURVE(C7907,"SOFR",$K$2:$K$7,$L$2:$L$7,,,"Actual360","LogLinear",TRUE)</f>
        <v/>
      </c>
      <c r="E7907" s="8">
        <f>QS.INSTRUMENT.SWAP("swap.7905",C7907,H7907,B7907,"USD","SOFR",I7907,J7907,0,"Actual360","Simple","Annual","Annual","Annual")</f>
        <v/>
      </c>
      <c r="F7907" s="8">
        <f>QS.TRADE.CREATE("trade.7905",C7907,E7907,A7907,"Receive")</f>
        <v/>
      </c>
      <c r="G7907" s="5"/>
      <c r="H7907" s="7" t="s">
        <v>7948</v>
      </c>
      <c r="I7907" s="9">
        <v>1790500</v>
      </c>
      <c r="J7907" s="10">
        <v>0.0355</v>
      </c>
    </row>
    <row r="7908" spans="1:10">
      <c r="A7908" s="7" t="s">
        <v>7942</v>
      </c>
      <c r="B7908" s="7" t="s">
        <v>9775</v>
      </c>
      <c r="C7908" s="8">
        <f>QS.CONTEXT.CREATE("market.7906",A7908,"USD","SOFR")</f>
        <v/>
      </c>
      <c r="D7908" s="8">
        <f>QS.CONTEXT.ADD.CURVE(C7908,"SOFR",$K$2:$K$7,$L$2:$L$7,,,"Actual360","LogLinear",TRUE)</f>
        <v/>
      </c>
      <c r="E7908" s="8">
        <f>QS.INSTRUMENT.SWAP("swap.7906",C7908,H7908,B7908,"USD","SOFR",I7908,J7908,0,"Actual360","Simple","Annual","Annual","Annual")</f>
        <v/>
      </c>
      <c r="F7908" s="8">
        <f>QS.TRADE.CREATE("trade.7906",C7908,E7908,A7908,"Receive")</f>
        <v/>
      </c>
      <c r="G7908" s="5"/>
      <c r="H7908" s="7" t="s">
        <v>7949</v>
      </c>
      <c r="I7908" s="9">
        <v>1790600</v>
      </c>
      <c r="J7908" s="10">
        <v>0.03560000000000001</v>
      </c>
    </row>
    <row r="7909" spans="1:10">
      <c r="A7909" s="7" t="s">
        <v>7943</v>
      </c>
      <c r="B7909" s="7" t="s">
        <v>9776</v>
      </c>
      <c r="C7909" s="8">
        <f>QS.CONTEXT.CREATE("market.7907",A7909,"USD","SOFR")</f>
        <v/>
      </c>
      <c r="D7909" s="8">
        <f>QS.CONTEXT.ADD.CURVE(C7909,"SOFR",$K$2:$K$7,$L$2:$L$7,,,"Actual360","LogLinear",TRUE)</f>
        <v/>
      </c>
      <c r="E7909" s="8">
        <f>QS.INSTRUMENT.SWAP("swap.7907",C7909,H7909,B7909,"USD","SOFR",I7909,J7909,0,"Actual360","Simple","Annual","Annual","Annual")</f>
        <v/>
      </c>
      <c r="F7909" s="8">
        <f>QS.TRADE.CREATE("trade.7907",C7909,E7909,A7909,"Receive")</f>
        <v/>
      </c>
      <c r="G7909" s="5"/>
      <c r="H7909" s="7" t="s">
        <v>7950</v>
      </c>
      <c r="I7909" s="9">
        <v>1790700</v>
      </c>
      <c r="J7909" s="10">
        <v>0.0357</v>
      </c>
    </row>
    <row r="7910" spans="1:10">
      <c r="A7910" s="7" t="s">
        <v>7944</v>
      </c>
      <c r="B7910" s="7" t="s">
        <v>9777</v>
      </c>
      <c r="C7910" s="8">
        <f>QS.CONTEXT.CREATE("market.7908",A7910,"USD","SOFR")</f>
        <v/>
      </c>
      <c r="D7910" s="8">
        <f>QS.CONTEXT.ADD.CURVE(C7910,"SOFR",$K$2:$K$7,$L$2:$L$7,,,"Actual360","LogLinear",TRUE)</f>
        <v/>
      </c>
      <c r="E7910" s="8">
        <f>QS.INSTRUMENT.SWAP("swap.7908",C7910,H7910,B7910,"USD","SOFR",I7910,J7910,0,"Actual360","Simple","Annual","Annual","Annual")</f>
        <v/>
      </c>
      <c r="F7910" s="8">
        <f>QS.TRADE.CREATE("trade.7908",C7910,E7910,A7910,"Receive")</f>
        <v/>
      </c>
      <c r="G7910" s="5"/>
      <c r="H7910" s="7" t="s">
        <v>7951</v>
      </c>
      <c r="I7910" s="9">
        <v>1790800</v>
      </c>
      <c r="J7910" s="10">
        <v>0.03580000000000001</v>
      </c>
    </row>
    <row r="7911" spans="1:10">
      <c r="A7911" s="7" t="s">
        <v>7945</v>
      </c>
      <c r="B7911" s="7" t="s">
        <v>9778</v>
      </c>
      <c r="C7911" s="8">
        <f>QS.CONTEXT.CREATE("market.7909",A7911,"USD","SOFR")</f>
        <v/>
      </c>
      <c r="D7911" s="8">
        <f>QS.CONTEXT.ADD.CURVE(C7911,"SOFR",$K$2:$K$7,$L$2:$L$7,,,"Actual360","LogLinear",TRUE)</f>
        <v/>
      </c>
      <c r="E7911" s="8">
        <f>QS.INSTRUMENT.SWAP("swap.7909",C7911,H7911,B7911,"USD","SOFR",I7911,J7911,0,"Actual360","Simple","Annual","Annual","Annual")</f>
        <v/>
      </c>
      <c r="F7911" s="8">
        <f>QS.TRADE.CREATE("trade.7909",C7911,E7911,A7911,"Receive")</f>
        <v/>
      </c>
      <c r="G7911" s="5"/>
      <c r="H7911" s="7" t="s">
        <v>7952</v>
      </c>
      <c r="I7911" s="9">
        <v>1790900</v>
      </c>
      <c r="J7911" s="10">
        <v>0.0359</v>
      </c>
    </row>
    <row r="7912" spans="1:10">
      <c r="A7912" s="7" t="s">
        <v>7946</v>
      </c>
      <c r="B7912" s="7" t="s">
        <v>9779</v>
      </c>
      <c r="C7912" s="8">
        <f>QS.CONTEXT.CREATE("market.7910",A7912,"USD","SOFR")</f>
        <v/>
      </c>
      <c r="D7912" s="8">
        <f>QS.CONTEXT.ADD.CURVE(C7912,"SOFR",$K$2:$K$7,$L$2:$L$7,,,"Actual360","LogLinear",TRUE)</f>
        <v/>
      </c>
      <c r="E7912" s="8">
        <f>QS.INSTRUMENT.SWAP("swap.7910",C7912,H7912,B7912,"USD","SOFR",I7912,J7912,0,"Actual360","Simple","Annual","Annual","Annual")</f>
        <v/>
      </c>
      <c r="F7912" s="8">
        <f>QS.TRADE.CREATE("trade.7910",C7912,E7912,A7912,"Receive")</f>
        <v/>
      </c>
      <c r="G7912" s="5"/>
      <c r="H7912" s="7" t="s">
        <v>7953</v>
      </c>
      <c r="I7912" s="9">
        <v>1791000</v>
      </c>
      <c r="J7912" s="10">
        <v>0.036</v>
      </c>
    </row>
    <row r="7913" spans="1:10">
      <c r="A7913" s="7" t="s">
        <v>7947</v>
      </c>
      <c r="B7913" s="7" t="s">
        <v>9780</v>
      </c>
      <c r="C7913" s="8">
        <f>QS.CONTEXT.CREATE("market.7911",A7913,"USD","SOFR")</f>
        <v/>
      </c>
      <c r="D7913" s="8">
        <f>QS.CONTEXT.ADD.CURVE(C7913,"SOFR",$K$2:$K$7,$L$2:$L$7,,,"Actual360","LogLinear",TRUE)</f>
        <v/>
      </c>
      <c r="E7913" s="8">
        <f>QS.INSTRUMENT.SWAP("swap.7911",C7913,H7913,B7913,"USD","SOFR",I7913,J7913,0,"Actual360","Simple","Annual","Annual","Annual")</f>
        <v/>
      </c>
      <c r="F7913" s="8">
        <f>QS.TRADE.CREATE("trade.7911",C7913,E7913,A7913,"Receive")</f>
        <v/>
      </c>
      <c r="G7913" s="5"/>
      <c r="H7913" s="7" t="s">
        <v>7954</v>
      </c>
      <c r="I7913" s="9">
        <v>1791100</v>
      </c>
      <c r="J7913" s="10">
        <v>0.0361</v>
      </c>
    </row>
    <row r="7914" spans="1:10">
      <c r="A7914" s="7" t="s">
        <v>7948</v>
      </c>
      <c r="B7914" s="7" t="s">
        <v>9781</v>
      </c>
      <c r="C7914" s="8">
        <f>QS.CONTEXT.CREATE("market.7912",A7914,"USD","SOFR")</f>
        <v/>
      </c>
      <c r="D7914" s="8">
        <f>QS.CONTEXT.ADD.CURVE(C7914,"SOFR",$K$2:$K$7,$L$2:$L$7,,,"Actual360","LogLinear",TRUE)</f>
        <v/>
      </c>
      <c r="E7914" s="8">
        <f>QS.INSTRUMENT.SWAP("swap.7912",C7914,H7914,B7914,"USD","SOFR",I7914,J7914,0,"Actual360","Simple","Annual","Annual","Annual")</f>
        <v/>
      </c>
      <c r="F7914" s="8">
        <f>QS.TRADE.CREATE("trade.7912",C7914,E7914,A7914,"Receive")</f>
        <v/>
      </c>
      <c r="G7914" s="5"/>
      <c r="H7914" s="7" t="s">
        <v>7955</v>
      </c>
      <c r="I7914" s="9">
        <v>1791200</v>
      </c>
      <c r="J7914" s="10">
        <v>0.0362</v>
      </c>
    </row>
    <row r="7915" spans="1:10">
      <c r="A7915" s="7" t="s">
        <v>7949</v>
      </c>
      <c r="B7915" s="7" t="s">
        <v>9782</v>
      </c>
      <c r="C7915" s="8">
        <f>QS.CONTEXT.CREATE("market.7913",A7915,"USD","SOFR")</f>
        <v/>
      </c>
      <c r="D7915" s="8">
        <f>QS.CONTEXT.ADD.CURVE(C7915,"SOFR",$K$2:$K$7,$L$2:$L$7,,,"Actual360","LogLinear",TRUE)</f>
        <v/>
      </c>
      <c r="E7915" s="8">
        <f>QS.INSTRUMENT.SWAP("swap.7913",C7915,H7915,B7915,"USD","SOFR",I7915,J7915,0,"Actual360","Simple","Annual","Annual","Annual")</f>
        <v/>
      </c>
      <c r="F7915" s="8">
        <f>QS.TRADE.CREATE("trade.7913",C7915,E7915,A7915,"Receive")</f>
        <v/>
      </c>
      <c r="G7915" s="5"/>
      <c r="H7915" s="7" t="s">
        <v>7956</v>
      </c>
      <c r="I7915" s="9">
        <v>1791300</v>
      </c>
      <c r="J7915" s="10">
        <v>0.03630000000000001</v>
      </c>
    </row>
    <row r="7916" spans="1:10">
      <c r="A7916" s="7" t="s">
        <v>7950</v>
      </c>
      <c r="B7916" s="7" t="s">
        <v>9783</v>
      </c>
      <c r="C7916" s="8">
        <f>QS.CONTEXT.CREATE("market.7914",A7916,"USD","SOFR")</f>
        <v/>
      </c>
      <c r="D7916" s="8">
        <f>QS.CONTEXT.ADD.CURVE(C7916,"SOFR",$K$2:$K$7,$L$2:$L$7,,,"Actual360","LogLinear",TRUE)</f>
        <v/>
      </c>
      <c r="E7916" s="8">
        <f>QS.INSTRUMENT.SWAP("swap.7914",C7916,H7916,B7916,"USD","SOFR",I7916,J7916,0,"Actual360","Simple","Annual","Annual","Annual")</f>
        <v/>
      </c>
      <c r="F7916" s="8">
        <f>QS.TRADE.CREATE("trade.7914",C7916,E7916,A7916,"Receive")</f>
        <v/>
      </c>
      <c r="G7916" s="5"/>
      <c r="H7916" s="7" t="s">
        <v>7957</v>
      </c>
      <c r="I7916" s="9">
        <v>1791400</v>
      </c>
      <c r="J7916" s="10">
        <v>0.0364</v>
      </c>
    </row>
    <row r="7917" spans="1:10">
      <c r="A7917" s="7" t="s">
        <v>7951</v>
      </c>
      <c r="B7917" s="7" t="s">
        <v>9784</v>
      </c>
      <c r="C7917" s="8">
        <f>QS.CONTEXT.CREATE("market.7915",A7917,"USD","SOFR")</f>
        <v/>
      </c>
      <c r="D7917" s="8">
        <f>QS.CONTEXT.ADD.CURVE(C7917,"SOFR",$K$2:$K$7,$L$2:$L$7,,,"Actual360","LogLinear",TRUE)</f>
        <v/>
      </c>
      <c r="E7917" s="8">
        <f>QS.INSTRUMENT.SWAP("swap.7915",C7917,H7917,B7917,"USD","SOFR",I7917,J7917,0,"Actual360","Simple","Annual","Annual","Annual")</f>
        <v/>
      </c>
      <c r="F7917" s="8">
        <f>QS.TRADE.CREATE("trade.7915",C7917,E7917,A7917,"Receive")</f>
        <v/>
      </c>
      <c r="G7917" s="5"/>
      <c r="H7917" s="7" t="s">
        <v>7958</v>
      </c>
      <c r="I7917" s="9">
        <v>1791500</v>
      </c>
      <c r="J7917" s="10">
        <v>0.0365</v>
      </c>
    </row>
    <row r="7918" spans="1:10">
      <c r="A7918" s="7" t="s">
        <v>7952</v>
      </c>
      <c r="B7918" s="7" t="s">
        <v>9785</v>
      </c>
      <c r="C7918" s="8">
        <f>QS.CONTEXT.CREATE("market.7916",A7918,"USD","SOFR")</f>
        <v/>
      </c>
      <c r="D7918" s="8">
        <f>QS.CONTEXT.ADD.CURVE(C7918,"SOFR",$K$2:$K$7,$L$2:$L$7,,,"Actual360","LogLinear",TRUE)</f>
        <v/>
      </c>
      <c r="E7918" s="8">
        <f>QS.INSTRUMENT.SWAP("swap.7916",C7918,H7918,B7918,"USD","SOFR",I7918,J7918,0,"Actual360","Simple","Annual","Annual","Annual")</f>
        <v/>
      </c>
      <c r="F7918" s="8">
        <f>QS.TRADE.CREATE("trade.7916",C7918,E7918,A7918,"Receive")</f>
        <v/>
      </c>
      <c r="G7918" s="5"/>
      <c r="H7918" s="7" t="s">
        <v>7959</v>
      </c>
      <c r="I7918" s="9">
        <v>1791600</v>
      </c>
      <c r="J7918" s="10">
        <v>0.0366</v>
      </c>
    </row>
    <row r="7919" spans="1:10">
      <c r="A7919" s="7" t="s">
        <v>7953</v>
      </c>
      <c r="B7919" s="7" t="s">
        <v>9786</v>
      </c>
      <c r="C7919" s="8">
        <f>QS.CONTEXT.CREATE("market.7917",A7919,"USD","SOFR")</f>
        <v/>
      </c>
      <c r="D7919" s="8">
        <f>QS.CONTEXT.ADD.CURVE(C7919,"SOFR",$K$2:$K$7,$L$2:$L$7,,,"Actual360","LogLinear",TRUE)</f>
        <v/>
      </c>
      <c r="E7919" s="8">
        <f>QS.INSTRUMENT.SWAP("swap.7917",C7919,H7919,B7919,"USD","SOFR",I7919,J7919,0,"Actual360","Simple","Annual","Annual","Annual")</f>
        <v/>
      </c>
      <c r="F7919" s="8">
        <f>QS.TRADE.CREATE("trade.7917",C7919,E7919,A7919,"Receive")</f>
        <v/>
      </c>
      <c r="G7919" s="5"/>
      <c r="H7919" s="7" t="s">
        <v>7960</v>
      </c>
      <c r="I7919" s="9">
        <v>1791700</v>
      </c>
      <c r="J7919" s="10">
        <v>0.0367</v>
      </c>
    </row>
    <row r="7920" spans="1:10">
      <c r="A7920" s="7" t="s">
        <v>7954</v>
      </c>
      <c r="B7920" s="7" t="s">
        <v>9787</v>
      </c>
      <c r="C7920" s="8">
        <f>QS.CONTEXT.CREATE("market.7918",A7920,"USD","SOFR")</f>
        <v/>
      </c>
      <c r="D7920" s="8">
        <f>QS.CONTEXT.ADD.CURVE(C7920,"SOFR",$K$2:$K$7,$L$2:$L$7,,,"Actual360","LogLinear",TRUE)</f>
        <v/>
      </c>
      <c r="E7920" s="8">
        <f>QS.INSTRUMENT.SWAP("swap.7918",C7920,H7920,B7920,"USD","SOFR",I7920,J7920,0,"Actual360","Simple","Annual","Annual","Annual")</f>
        <v/>
      </c>
      <c r="F7920" s="8">
        <f>QS.TRADE.CREATE("trade.7918",C7920,E7920,A7920,"Receive")</f>
        <v/>
      </c>
      <c r="G7920" s="5"/>
      <c r="H7920" s="7" t="s">
        <v>7961</v>
      </c>
      <c r="I7920" s="9">
        <v>1791800</v>
      </c>
      <c r="J7920" s="10">
        <v>0.03680000000000001</v>
      </c>
    </row>
    <row r="7921" spans="1:10">
      <c r="A7921" s="7" t="s">
        <v>7955</v>
      </c>
      <c r="B7921" s="7" t="s">
        <v>9788</v>
      </c>
      <c r="C7921" s="8">
        <f>QS.CONTEXT.CREATE("market.7919",A7921,"USD","SOFR")</f>
        <v/>
      </c>
      <c r="D7921" s="8">
        <f>QS.CONTEXT.ADD.CURVE(C7921,"SOFR",$K$2:$K$7,$L$2:$L$7,,,"Actual360","LogLinear",TRUE)</f>
        <v/>
      </c>
      <c r="E7921" s="8">
        <f>QS.INSTRUMENT.SWAP("swap.7919",C7921,H7921,B7921,"USD","SOFR",I7921,J7921,0,"Actual360","Simple","Annual","Annual","Annual")</f>
        <v/>
      </c>
      <c r="F7921" s="8">
        <f>QS.TRADE.CREATE("trade.7919",C7921,E7921,A7921,"Receive")</f>
        <v/>
      </c>
      <c r="G7921" s="5"/>
      <c r="H7921" s="7" t="s">
        <v>7962</v>
      </c>
      <c r="I7921" s="9">
        <v>1791900</v>
      </c>
      <c r="J7921" s="10">
        <v>0.0369</v>
      </c>
    </row>
    <row r="7922" spans="1:10">
      <c r="A7922" s="7" t="s">
        <v>7956</v>
      </c>
      <c r="B7922" s="7" t="s">
        <v>9789</v>
      </c>
      <c r="C7922" s="8">
        <f>QS.CONTEXT.CREATE("market.7920",A7922,"USD","SOFR")</f>
        <v/>
      </c>
      <c r="D7922" s="8">
        <f>QS.CONTEXT.ADD.CURVE(C7922,"SOFR",$K$2:$K$7,$L$2:$L$7,,,"Actual360","LogLinear",TRUE)</f>
        <v/>
      </c>
      <c r="E7922" s="8">
        <f>QS.INSTRUMENT.SWAP("swap.7920",C7922,H7922,B7922,"USD","SOFR",I7922,J7922,0,"Actual360","Simple","Annual","Annual","Annual")</f>
        <v/>
      </c>
      <c r="F7922" s="8">
        <f>QS.TRADE.CREATE("trade.7920",C7922,E7922,A7922,"Receive")</f>
        <v/>
      </c>
      <c r="G7922" s="5"/>
      <c r="H7922" s="7" t="s">
        <v>7963</v>
      </c>
      <c r="I7922" s="9">
        <v>1792000</v>
      </c>
      <c r="J7922" s="10">
        <v>0.03700000000000001</v>
      </c>
    </row>
    <row r="7923" spans="1:10">
      <c r="A7923" s="7" t="s">
        <v>7957</v>
      </c>
      <c r="B7923" s="7" t="s">
        <v>9790</v>
      </c>
      <c r="C7923" s="8">
        <f>QS.CONTEXT.CREATE("market.7921",A7923,"USD","SOFR")</f>
        <v/>
      </c>
      <c r="D7923" s="8">
        <f>QS.CONTEXT.ADD.CURVE(C7923,"SOFR",$K$2:$K$7,$L$2:$L$7,,,"Actual360","LogLinear",TRUE)</f>
        <v/>
      </c>
      <c r="E7923" s="8">
        <f>QS.INSTRUMENT.SWAP("swap.7921",C7923,H7923,B7923,"USD","SOFR",I7923,J7923,0,"Actual360","Simple","Annual","Annual","Annual")</f>
        <v/>
      </c>
      <c r="F7923" s="8">
        <f>QS.TRADE.CREATE("trade.7921",C7923,E7923,A7923,"Receive")</f>
        <v/>
      </c>
      <c r="G7923" s="5"/>
      <c r="H7923" s="7" t="s">
        <v>7964</v>
      </c>
      <c r="I7923" s="9">
        <v>1792100</v>
      </c>
      <c r="J7923" s="10">
        <v>0.0371</v>
      </c>
    </row>
    <row r="7924" spans="1:10">
      <c r="A7924" s="7" t="s">
        <v>7958</v>
      </c>
      <c r="B7924" s="7" t="s">
        <v>9791</v>
      </c>
      <c r="C7924" s="8">
        <f>QS.CONTEXT.CREATE("market.7922",A7924,"USD","SOFR")</f>
        <v/>
      </c>
      <c r="D7924" s="8">
        <f>QS.CONTEXT.ADD.CURVE(C7924,"SOFR",$K$2:$K$7,$L$2:$L$7,,,"Actual360","LogLinear",TRUE)</f>
        <v/>
      </c>
      <c r="E7924" s="8">
        <f>QS.INSTRUMENT.SWAP("swap.7922",C7924,H7924,B7924,"USD","SOFR",I7924,J7924,0,"Actual360","Simple","Annual","Annual","Annual")</f>
        <v/>
      </c>
      <c r="F7924" s="8">
        <f>QS.TRADE.CREATE("trade.7922",C7924,E7924,A7924,"Receive")</f>
        <v/>
      </c>
      <c r="G7924" s="5"/>
      <c r="H7924" s="7" t="s">
        <v>7965</v>
      </c>
      <c r="I7924" s="9">
        <v>1792200</v>
      </c>
      <c r="J7924" s="10">
        <v>0.0372</v>
      </c>
    </row>
    <row r="7925" spans="1:10">
      <c r="A7925" s="7" t="s">
        <v>7959</v>
      </c>
      <c r="B7925" s="7" t="s">
        <v>9792</v>
      </c>
      <c r="C7925" s="8">
        <f>QS.CONTEXT.CREATE("market.7923",A7925,"USD","SOFR")</f>
        <v/>
      </c>
      <c r="D7925" s="8">
        <f>QS.CONTEXT.ADD.CURVE(C7925,"SOFR",$K$2:$K$7,$L$2:$L$7,,,"Actual360","LogLinear",TRUE)</f>
        <v/>
      </c>
      <c r="E7925" s="8">
        <f>QS.INSTRUMENT.SWAP("swap.7923",C7925,H7925,B7925,"USD","SOFR",I7925,J7925,0,"Actual360","Simple","Annual","Annual","Annual")</f>
        <v/>
      </c>
      <c r="F7925" s="8">
        <f>QS.TRADE.CREATE("trade.7923",C7925,E7925,A7925,"Receive")</f>
        <v/>
      </c>
      <c r="G7925" s="5"/>
      <c r="H7925" s="7" t="s">
        <v>7966</v>
      </c>
      <c r="I7925" s="9">
        <v>1792300</v>
      </c>
      <c r="J7925" s="10">
        <v>0.0373</v>
      </c>
    </row>
    <row r="7926" spans="1:10">
      <c r="A7926" s="7" t="s">
        <v>7960</v>
      </c>
      <c r="B7926" s="7" t="s">
        <v>9793</v>
      </c>
      <c r="C7926" s="8">
        <f>QS.CONTEXT.CREATE("market.7924",A7926,"USD","SOFR")</f>
        <v/>
      </c>
      <c r="D7926" s="8">
        <f>QS.CONTEXT.ADD.CURVE(C7926,"SOFR",$K$2:$K$7,$L$2:$L$7,,,"Actual360","LogLinear",TRUE)</f>
        <v/>
      </c>
      <c r="E7926" s="8">
        <f>QS.INSTRUMENT.SWAP("swap.7924",C7926,H7926,B7926,"USD","SOFR",I7926,J7926,0,"Actual360","Simple","Annual","Annual","Annual")</f>
        <v/>
      </c>
      <c r="F7926" s="8">
        <f>QS.TRADE.CREATE("trade.7924",C7926,E7926,A7926,"Receive")</f>
        <v/>
      </c>
      <c r="G7926" s="5"/>
      <c r="H7926" s="7" t="s">
        <v>7967</v>
      </c>
      <c r="I7926" s="9">
        <v>1792400</v>
      </c>
      <c r="J7926" s="10">
        <v>0.0374</v>
      </c>
    </row>
    <row r="7927" spans="1:10">
      <c r="A7927" s="7" t="s">
        <v>7961</v>
      </c>
      <c r="B7927" s="7" t="s">
        <v>9794</v>
      </c>
      <c r="C7927" s="8">
        <f>QS.CONTEXT.CREATE("market.7925",A7927,"USD","SOFR")</f>
        <v/>
      </c>
      <c r="D7927" s="8">
        <f>QS.CONTEXT.ADD.CURVE(C7927,"SOFR",$K$2:$K$7,$L$2:$L$7,,,"Actual360","LogLinear",TRUE)</f>
        <v/>
      </c>
      <c r="E7927" s="8">
        <f>QS.INSTRUMENT.SWAP("swap.7925",C7927,H7927,B7927,"USD","SOFR",I7927,J7927,0,"Actual360","Simple","Annual","Annual","Annual")</f>
        <v/>
      </c>
      <c r="F7927" s="8">
        <f>QS.TRADE.CREATE("trade.7925",C7927,E7927,A7927,"Receive")</f>
        <v/>
      </c>
      <c r="G7927" s="5"/>
      <c r="H7927" s="7" t="s">
        <v>7968</v>
      </c>
      <c r="I7927" s="9">
        <v>1792500</v>
      </c>
      <c r="J7927" s="10">
        <v>0.03750000000000001</v>
      </c>
    </row>
    <row r="7928" spans="1:10">
      <c r="A7928" s="7" t="s">
        <v>7962</v>
      </c>
      <c r="B7928" s="7" t="s">
        <v>9795</v>
      </c>
      <c r="C7928" s="8">
        <f>QS.CONTEXT.CREATE("market.7926",A7928,"USD","SOFR")</f>
        <v/>
      </c>
      <c r="D7928" s="8">
        <f>QS.CONTEXT.ADD.CURVE(C7928,"SOFR",$K$2:$K$7,$L$2:$L$7,,,"Actual360","LogLinear",TRUE)</f>
        <v/>
      </c>
      <c r="E7928" s="8">
        <f>QS.INSTRUMENT.SWAP("swap.7926",C7928,H7928,B7928,"USD","SOFR",I7928,J7928,0,"Actual360","Simple","Annual","Annual","Annual")</f>
        <v/>
      </c>
      <c r="F7928" s="8">
        <f>QS.TRADE.CREATE("trade.7926",C7928,E7928,A7928,"Receive")</f>
        <v/>
      </c>
      <c r="G7928" s="5"/>
      <c r="H7928" s="7" t="s">
        <v>7969</v>
      </c>
      <c r="I7928" s="9">
        <v>1792600</v>
      </c>
      <c r="J7928" s="10">
        <v>0.0376</v>
      </c>
    </row>
    <row r="7929" spans="1:10">
      <c r="A7929" s="7" t="s">
        <v>7963</v>
      </c>
      <c r="B7929" s="7" t="s">
        <v>9796</v>
      </c>
      <c r="C7929" s="8">
        <f>QS.CONTEXT.CREATE("market.7927",A7929,"USD","SOFR")</f>
        <v/>
      </c>
      <c r="D7929" s="8">
        <f>QS.CONTEXT.ADD.CURVE(C7929,"SOFR",$K$2:$K$7,$L$2:$L$7,,,"Actual360","LogLinear",TRUE)</f>
        <v/>
      </c>
      <c r="E7929" s="8">
        <f>QS.INSTRUMENT.SWAP("swap.7927",C7929,H7929,B7929,"USD","SOFR",I7929,J7929,0,"Actual360","Simple","Annual","Annual","Annual")</f>
        <v/>
      </c>
      <c r="F7929" s="8">
        <f>QS.TRADE.CREATE("trade.7927",C7929,E7929,A7929,"Receive")</f>
        <v/>
      </c>
      <c r="G7929" s="5"/>
      <c r="H7929" s="7" t="s">
        <v>7970</v>
      </c>
      <c r="I7929" s="9">
        <v>1792700</v>
      </c>
      <c r="J7929" s="10">
        <v>0.0377</v>
      </c>
    </row>
    <row r="7930" spans="1:10">
      <c r="A7930" s="7" t="s">
        <v>7964</v>
      </c>
      <c r="B7930" s="7" t="s">
        <v>9797</v>
      </c>
      <c r="C7930" s="8">
        <f>QS.CONTEXT.CREATE("market.7928",A7930,"USD","SOFR")</f>
        <v/>
      </c>
      <c r="D7930" s="8">
        <f>QS.CONTEXT.ADD.CURVE(C7930,"SOFR",$K$2:$K$7,$L$2:$L$7,,,"Actual360","LogLinear",TRUE)</f>
        <v/>
      </c>
      <c r="E7930" s="8">
        <f>QS.INSTRUMENT.SWAP("swap.7928",C7930,H7930,B7930,"USD","SOFR",I7930,J7930,0,"Actual360","Simple","Annual","Annual","Annual")</f>
        <v/>
      </c>
      <c r="F7930" s="8">
        <f>QS.TRADE.CREATE("trade.7928",C7930,E7930,A7930,"Receive")</f>
        <v/>
      </c>
      <c r="G7930" s="5"/>
      <c r="H7930" s="7" t="s">
        <v>7971</v>
      </c>
      <c r="I7930" s="9">
        <v>1792800</v>
      </c>
      <c r="J7930" s="10">
        <v>0.0378</v>
      </c>
    </row>
    <row r="7931" spans="1:10">
      <c r="A7931" s="7" t="s">
        <v>7965</v>
      </c>
      <c r="B7931" s="7" t="s">
        <v>9798</v>
      </c>
      <c r="C7931" s="8">
        <f>QS.CONTEXT.CREATE("market.7929",A7931,"USD","SOFR")</f>
        <v/>
      </c>
      <c r="D7931" s="8">
        <f>QS.CONTEXT.ADD.CURVE(C7931,"SOFR",$K$2:$K$7,$L$2:$L$7,,,"Actual360","LogLinear",TRUE)</f>
        <v/>
      </c>
      <c r="E7931" s="8">
        <f>QS.INSTRUMENT.SWAP("swap.7929",C7931,H7931,B7931,"USD","SOFR",I7931,J7931,0,"Actual360","Simple","Annual","Annual","Annual")</f>
        <v/>
      </c>
      <c r="F7931" s="8">
        <f>QS.TRADE.CREATE("trade.7929",C7931,E7931,A7931,"Receive")</f>
        <v/>
      </c>
      <c r="G7931" s="5"/>
      <c r="H7931" s="7" t="s">
        <v>7972</v>
      </c>
      <c r="I7931" s="9">
        <v>1792900</v>
      </c>
      <c r="J7931" s="10">
        <v>0.0379</v>
      </c>
    </row>
    <row r="7932" spans="1:10">
      <c r="A7932" s="7" t="s">
        <v>7966</v>
      </c>
      <c r="B7932" s="7" t="s">
        <v>9799</v>
      </c>
      <c r="C7932" s="8">
        <f>QS.CONTEXT.CREATE("market.7930",A7932,"USD","SOFR")</f>
        <v/>
      </c>
      <c r="D7932" s="8">
        <f>QS.CONTEXT.ADD.CURVE(C7932,"SOFR",$K$2:$K$7,$L$2:$L$7,,,"Actual360","LogLinear",TRUE)</f>
        <v/>
      </c>
      <c r="E7932" s="8">
        <f>QS.INSTRUMENT.SWAP("swap.7930",C7932,H7932,B7932,"USD","SOFR",I7932,J7932,0,"Actual360","Simple","Annual","Annual","Annual")</f>
        <v/>
      </c>
      <c r="F7932" s="8">
        <f>QS.TRADE.CREATE("trade.7930",C7932,E7932,A7932,"Receive")</f>
        <v/>
      </c>
      <c r="G7932" s="5"/>
      <c r="H7932" s="7" t="s">
        <v>7973</v>
      </c>
      <c r="I7932" s="9">
        <v>1793000</v>
      </c>
      <c r="J7932" s="10">
        <v>0.03800000000000001</v>
      </c>
    </row>
    <row r="7933" spans="1:10">
      <c r="A7933" s="7" t="s">
        <v>7967</v>
      </c>
      <c r="B7933" s="7" t="s">
        <v>9800</v>
      </c>
      <c r="C7933" s="8">
        <f>QS.CONTEXT.CREATE("market.7931",A7933,"USD","SOFR")</f>
        <v/>
      </c>
      <c r="D7933" s="8">
        <f>QS.CONTEXT.ADD.CURVE(C7933,"SOFR",$K$2:$K$7,$L$2:$L$7,,,"Actual360","LogLinear",TRUE)</f>
        <v/>
      </c>
      <c r="E7933" s="8">
        <f>QS.INSTRUMENT.SWAP("swap.7931",C7933,H7933,B7933,"USD","SOFR",I7933,J7933,0,"Actual360","Simple","Annual","Annual","Annual")</f>
        <v/>
      </c>
      <c r="F7933" s="8">
        <f>QS.TRADE.CREATE("trade.7931",C7933,E7933,A7933,"Receive")</f>
        <v/>
      </c>
      <c r="G7933" s="5"/>
      <c r="H7933" s="7" t="s">
        <v>7974</v>
      </c>
      <c r="I7933" s="9">
        <v>1793100</v>
      </c>
      <c r="J7933" s="10">
        <v>0.0381</v>
      </c>
    </row>
    <row r="7934" spans="1:10">
      <c r="A7934" s="7" t="s">
        <v>7968</v>
      </c>
      <c r="B7934" s="7" t="s">
        <v>9801</v>
      </c>
      <c r="C7934" s="8">
        <f>QS.CONTEXT.CREATE("market.7932",A7934,"USD","SOFR")</f>
        <v/>
      </c>
      <c r="D7934" s="8">
        <f>QS.CONTEXT.ADD.CURVE(C7934,"SOFR",$K$2:$K$7,$L$2:$L$7,,,"Actual360","LogLinear",TRUE)</f>
        <v/>
      </c>
      <c r="E7934" s="8">
        <f>QS.INSTRUMENT.SWAP("swap.7932",C7934,H7934,B7934,"USD","SOFR",I7934,J7934,0,"Actual360","Simple","Annual","Annual","Annual")</f>
        <v/>
      </c>
      <c r="F7934" s="8">
        <f>QS.TRADE.CREATE("trade.7932",C7934,E7934,A7934,"Receive")</f>
        <v/>
      </c>
      <c r="G7934" s="5"/>
      <c r="H7934" s="7" t="s">
        <v>7975</v>
      </c>
      <c r="I7934" s="9">
        <v>1793200</v>
      </c>
      <c r="J7934" s="10">
        <v>0.0382</v>
      </c>
    </row>
    <row r="7935" spans="1:10">
      <c r="A7935" s="7" t="s">
        <v>7969</v>
      </c>
      <c r="B7935" s="7" t="s">
        <v>9802</v>
      </c>
      <c r="C7935" s="8">
        <f>QS.CONTEXT.CREATE("market.7933",A7935,"USD","SOFR")</f>
        <v/>
      </c>
      <c r="D7935" s="8">
        <f>QS.CONTEXT.ADD.CURVE(C7935,"SOFR",$K$2:$K$7,$L$2:$L$7,,,"Actual360","LogLinear",TRUE)</f>
        <v/>
      </c>
      <c r="E7935" s="8">
        <f>QS.INSTRUMENT.SWAP("swap.7933",C7935,H7935,B7935,"USD","SOFR",I7935,J7935,0,"Actual360","Simple","Annual","Annual","Annual")</f>
        <v/>
      </c>
      <c r="F7935" s="8">
        <f>QS.TRADE.CREATE("trade.7933",C7935,E7935,A7935,"Receive")</f>
        <v/>
      </c>
      <c r="G7935" s="5"/>
      <c r="H7935" s="7" t="s">
        <v>7976</v>
      </c>
      <c r="I7935" s="9">
        <v>1793300</v>
      </c>
      <c r="J7935" s="10">
        <v>0.0383</v>
      </c>
    </row>
    <row r="7936" spans="1:10">
      <c r="A7936" s="7" t="s">
        <v>7970</v>
      </c>
      <c r="B7936" s="7" t="s">
        <v>9803</v>
      </c>
      <c r="C7936" s="8">
        <f>QS.CONTEXT.CREATE("market.7934",A7936,"USD","SOFR")</f>
        <v/>
      </c>
      <c r="D7936" s="8">
        <f>QS.CONTEXT.ADD.CURVE(C7936,"SOFR",$K$2:$K$7,$L$2:$L$7,,,"Actual360","LogLinear",TRUE)</f>
        <v/>
      </c>
      <c r="E7936" s="8">
        <f>QS.INSTRUMENT.SWAP("swap.7934",C7936,H7936,B7936,"USD","SOFR",I7936,J7936,0,"Actual360","Simple","Annual","Annual","Annual")</f>
        <v/>
      </c>
      <c r="F7936" s="8">
        <f>QS.TRADE.CREATE("trade.7934",C7936,E7936,A7936,"Receive")</f>
        <v/>
      </c>
      <c r="G7936" s="5"/>
      <c r="H7936" s="7" t="s">
        <v>7977</v>
      </c>
      <c r="I7936" s="9">
        <v>1793400</v>
      </c>
      <c r="J7936" s="10">
        <v>0.0384</v>
      </c>
    </row>
    <row r="7937" spans="1:10">
      <c r="A7937" s="7" t="s">
        <v>7971</v>
      </c>
      <c r="B7937" s="7" t="s">
        <v>9804</v>
      </c>
      <c r="C7937" s="8">
        <f>QS.CONTEXT.CREATE("market.7935",A7937,"USD","SOFR")</f>
        <v/>
      </c>
      <c r="D7937" s="8">
        <f>QS.CONTEXT.ADD.CURVE(C7937,"SOFR",$K$2:$K$7,$L$2:$L$7,,,"Actual360","LogLinear",TRUE)</f>
        <v/>
      </c>
      <c r="E7937" s="8">
        <f>QS.INSTRUMENT.SWAP("swap.7935",C7937,H7937,B7937,"USD","SOFR",I7937,J7937,0,"Actual360","Simple","Annual","Annual","Annual")</f>
        <v/>
      </c>
      <c r="F7937" s="8">
        <f>QS.TRADE.CREATE("trade.7935",C7937,E7937,A7937,"Receive")</f>
        <v/>
      </c>
      <c r="G7937" s="5"/>
      <c r="H7937" s="7" t="s">
        <v>7978</v>
      </c>
      <c r="I7937" s="9">
        <v>1793500</v>
      </c>
      <c r="J7937" s="10">
        <v>0.03850000000000001</v>
      </c>
    </row>
    <row r="7938" spans="1:10">
      <c r="A7938" s="7" t="s">
        <v>7972</v>
      </c>
      <c r="B7938" s="7" t="s">
        <v>9805</v>
      </c>
      <c r="C7938" s="8">
        <f>QS.CONTEXT.CREATE("market.7936",A7938,"USD","SOFR")</f>
        <v/>
      </c>
      <c r="D7938" s="8">
        <f>QS.CONTEXT.ADD.CURVE(C7938,"SOFR",$K$2:$K$7,$L$2:$L$7,,,"Actual360","LogLinear",TRUE)</f>
        <v/>
      </c>
      <c r="E7938" s="8">
        <f>QS.INSTRUMENT.SWAP("swap.7936",C7938,H7938,B7938,"USD","SOFR",I7938,J7938,0,"Actual360","Simple","Annual","Annual","Annual")</f>
        <v/>
      </c>
      <c r="F7938" s="8">
        <f>QS.TRADE.CREATE("trade.7936",C7938,E7938,A7938,"Receive")</f>
        <v/>
      </c>
      <c r="G7938" s="5"/>
      <c r="H7938" s="7" t="s">
        <v>7979</v>
      </c>
      <c r="I7938" s="9">
        <v>1793600</v>
      </c>
      <c r="J7938" s="10">
        <v>0.0386</v>
      </c>
    </row>
    <row r="7939" spans="1:10">
      <c r="A7939" s="7" t="s">
        <v>7973</v>
      </c>
      <c r="B7939" s="7" t="s">
        <v>9806</v>
      </c>
      <c r="C7939" s="8">
        <f>QS.CONTEXT.CREATE("market.7937",A7939,"USD","SOFR")</f>
        <v/>
      </c>
      <c r="D7939" s="8">
        <f>QS.CONTEXT.ADD.CURVE(C7939,"SOFR",$K$2:$K$7,$L$2:$L$7,,,"Actual360","LogLinear",TRUE)</f>
        <v/>
      </c>
      <c r="E7939" s="8">
        <f>QS.INSTRUMENT.SWAP("swap.7937",C7939,H7939,B7939,"USD","SOFR",I7939,J7939,0,"Actual360","Simple","Annual","Annual","Annual")</f>
        <v/>
      </c>
      <c r="F7939" s="8">
        <f>QS.TRADE.CREATE("trade.7937",C7939,E7939,A7939,"Receive")</f>
        <v/>
      </c>
      <c r="G7939" s="5"/>
      <c r="H7939" s="7" t="s">
        <v>7980</v>
      </c>
      <c r="I7939" s="9">
        <v>1793700</v>
      </c>
      <c r="J7939" s="10">
        <v>0.03870000000000001</v>
      </c>
    </row>
    <row r="7940" spans="1:10">
      <c r="A7940" s="7" t="s">
        <v>7974</v>
      </c>
      <c r="B7940" s="7" t="s">
        <v>9807</v>
      </c>
      <c r="C7940" s="8">
        <f>QS.CONTEXT.CREATE("market.7938",A7940,"USD","SOFR")</f>
        <v/>
      </c>
      <c r="D7940" s="8">
        <f>QS.CONTEXT.ADD.CURVE(C7940,"SOFR",$K$2:$K$7,$L$2:$L$7,,,"Actual360","LogLinear",TRUE)</f>
        <v/>
      </c>
      <c r="E7940" s="8">
        <f>QS.INSTRUMENT.SWAP("swap.7938",C7940,H7940,B7940,"USD","SOFR",I7940,J7940,0,"Actual360","Simple","Annual","Annual","Annual")</f>
        <v/>
      </c>
      <c r="F7940" s="8">
        <f>QS.TRADE.CREATE("trade.7938",C7940,E7940,A7940,"Receive")</f>
        <v/>
      </c>
      <c r="G7940" s="5"/>
      <c r="H7940" s="7" t="s">
        <v>7981</v>
      </c>
      <c r="I7940" s="9">
        <v>1793800</v>
      </c>
      <c r="J7940" s="10">
        <v>0.0388</v>
      </c>
    </row>
    <row r="7941" spans="1:10">
      <c r="A7941" s="7" t="s">
        <v>7975</v>
      </c>
      <c r="B7941" s="7" t="s">
        <v>9808</v>
      </c>
      <c r="C7941" s="8">
        <f>QS.CONTEXT.CREATE("market.7939",A7941,"USD","SOFR")</f>
        <v/>
      </c>
      <c r="D7941" s="8">
        <f>QS.CONTEXT.ADD.CURVE(C7941,"SOFR",$K$2:$K$7,$L$2:$L$7,,,"Actual360","LogLinear",TRUE)</f>
        <v/>
      </c>
      <c r="E7941" s="8">
        <f>QS.INSTRUMENT.SWAP("swap.7939",C7941,H7941,B7941,"USD","SOFR",I7941,J7941,0,"Actual360","Simple","Annual","Annual","Annual")</f>
        <v/>
      </c>
      <c r="F7941" s="8">
        <f>QS.TRADE.CREATE("trade.7939",C7941,E7941,A7941,"Receive")</f>
        <v/>
      </c>
      <c r="G7941" s="5"/>
      <c r="H7941" s="7" t="s">
        <v>7982</v>
      </c>
      <c r="I7941" s="9">
        <v>1793900</v>
      </c>
      <c r="J7941" s="10">
        <v>0.0389</v>
      </c>
    </row>
    <row r="7942" spans="1:10">
      <c r="A7942" s="7" t="s">
        <v>7976</v>
      </c>
      <c r="B7942" s="7" t="s">
        <v>9809</v>
      </c>
      <c r="C7942" s="8">
        <f>QS.CONTEXT.CREATE("market.7940",A7942,"USD","SOFR")</f>
        <v/>
      </c>
      <c r="D7942" s="8">
        <f>QS.CONTEXT.ADD.CURVE(C7942,"SOFR",$K$2:$K$7,$L$2:$L$7,,,"Actual360","LogLinear",TRUE)</f>
        <v/>
      </c>
      <c r="E7942" s="8">
        <f>QS.INSTRUMENT.SWAP("swap.7940",C7942,H7942,B7942,"USD","SOFR",I7942,J7942,0,"Actual360","Simple","Annual","Annual","Annual")</f>
        <v/>
      </c>
      <c r="F7942" s="8">
        <f>QS.TRADE.CREATE("trade.7940",C7942,E7942,A7942,"Receive")</f>
        <v/>
      </c>
      <c r="G7942" s="5"/>
      <c r="H7942" s="7" t="s">
        <v>7983</v>
      </c>
      <c r="I7942" s="9">
        <v>1794000</v>
      </c>
      <c r="J7942" s="10">
        <v>0.03900000000000001</v>
      </c>
    </row>
    <row r="7943" spans="1:10">
      <c r="A7943" s="7" t="s">
        <v>7977</v>
      </c>
      <c r="B7943" s="7" t="s">
        <v>9810</v>
      </c>
      <c r="C7943" s="8">
        <f>QS.CONTEXT.CREATE("market.7941",A7943,"USD","SOFR")</f>
        <v/>
      </c>
      <c r="D7943" s="8">
        <f>QS.CONTEXT.ADD.CURVE(C7943,"SOFR",$K$2:$K$7,$L$2:$L$7,,,"Actual360","LogLinear",TRUE)</f>
        <v/>
      </c>
      <c r="E7943" s="8">
        <f>QS.INSTRUMENT.SWAP("swap.7941",C7943,H7943,B7943,"USD","SOFR",I7943,J7943,0,"Actual360","Simple","Annual","Annual","Annual")</f>
        <v/>
      </c>
      <c r="F7943" s="8">
        <f>QS.TRADE.CREATE("trade.7941",C7943,E7943,A7943,"Receive")</f>
        <v/>
      </c>
      <c r="G7943" s="5"/>
      <c r="H7943" s="7" t="s">
        <v>7984</v>
      </c>
      <c r="I7943" s="9">
        <v>1794100</v>
      </c>
      <c r="J7943" s="10">
        <v>0.0391</v>
      </c>
    </row>
    <row r="7944" spans="1:10">
      <c r="A7944" s="7" t="s">
        <v>7978</v>
      </c>
      <c r="B7944" s="7" t="s">
        <v>9811</v>
      </c>
      <c r="C7944" s="8">
        <f>QS.CONTEXT.CREATE("market.7942",A7944,"USD","SOFR")</f>
        <v/>
      </c>
      <c r="D7944" s="8">
        <f>QS.CONTEXT.ADD.CURVE(C7944,"SOFR",$K$2:$K$7,$L$2:$L$7,,,"Actual360","LogLinear",TRUE)</f>
        <v/>
      </c>
      <c r="E7944" s="8">
        <f>QS.INSTRUMENT.SWAP("swap.7942",C7944,H7944,B7944,"USD","SOFR",I7944,J7944,0,"Actual360","Simple","Annual","Annual","Annual")</f>
        <v/>
      </c>
      <c r="F7944" s="8">
        <f>QS.TRADE.CREATE("trade.7942",C7944,E7944,A7944,"Receive")</f>
        <v/>
      </c>
      <c r="G7944" s="5"/>
      <c r="H7944" s="7" t="s">
        <v>7985</v>
      </c>
      <c r="I7944" s="9">
        <v>1794200</v>
      </c>
      <c r="J7944" s="10">
        <v>0.03920000000000001</v>
      </c>
    </row>
    <row r="7945" spans="1:10">
      <c r="A7945" s="7" t="s">
        <v>7979</v>
      </c>
      <c r="B7945" s="7" t="s">
        <v>9812</v>
      </c>
      <c r="C7945" s="8">
        <f>QS.CONTEXT.CREATE("market.7943",A7945,"USD","SOFR")</f>
        <v/>
      </c>
      <c r="D7945" s="8">
        <f>QS.CONTEXT.ADD.CURVE(C7945,"SOFR",$K$2:$K$7,$L$2:$L$7,,,"Actual360","LogLinear",TRUE)</f>
        <v/>
      </c>
      <c r="E7945" s="8">
        <f>QS.INSTRUMENT.SWAP("swap.7943",C7945,H7945,B7945,"USD","SOFR",I7945,J7945,0,"Actual360","Simple","Annual","Annual","Annual")</f>
        <v/>
      </c>
      <c r="F7945" s="8">
        <f>QS.TRADE.CREATE("trade.7943",C7945,E7945,A7945,"Receive")</f>
        <v/>
      </c>
      <c r="G7945" s="5"/>
      <c r="H7945" s="7" t="s">
        <v>7986</v>
      </c>
      <c r="I7945" s="9">
        <v>1794300</v>
      </c>
      <c r="J7945" s="10">
        <v>0.0393</v>
      </c>
    </row>
    <row r="7946" spans="1:10">
      <c r="A7946" s="7" t="s">
        <v>7980</v>
      </c>
      <c r="B7946" s="7" t="s">
        <v>9813</v>
      </c>
      <c r="C7946" s="8">
        <f>QS.CONTEXT.CREATE("market.7944",A7946,"USD","SOFR")</f>
        <v/>
      </c>
      <c r="D7946" s="8">
        <f>QS.CONTEXT.ADD.CURVE(C7946,"SOFR",$K$2:$K$7,$L$2:$L$7,,,"Actual360","LogLinear",TRUE)</f>
        <v/>
      </c>
      <c r="E7946" s="8">
        <f>QS.INSTRUMENT.SWAP("swap.7944",C7946,H7946,B7946,"USD","SOFR",I7946,J7946,0,"Actual360","Simple","Annual","Annual","Annual")</f>
        <v/>
      </c>
      <c r="F7946" s="8">
        <f>QS.TRADE.CREATE("trade.7944",C7946,E7946,A7946,"Receive")</f>
        <v/>
      </c>
      <c r="G7946" s="5"/>
      <c r="H7946" s="7" t="s">
        <v>7987</v>
      </c>
      <c r="I7946" s="9">
        <v>1794400</v>
      </c>
      <c r="J7946" s="10">
        <v>0.0394</v>
      </c>
    </row>
    <row r="7947" spans="1:10">
      <c r="A7947" s="7" t="s">
        <v>7981</v>
      </c>
      <c r="B7947" s="7" t="s">
        <v>9814</v>
      </c>
      <c r="C7947" s="8">
        <f>QS.CONTEXT.CREATE("market.7945",A7947,"USD","SOFR")</f>
        <v/>
      </c>
      <c r="D7947" s="8">
        <f>QS.CONTEXT.ADD.CURVE(C7947,"SOFR",$K$2:$K$7,$L$2:$L$7,,,"Actual360","LogLinear",TRUE)</f>
        <v/>
      </c>
      <c r="E7947" s="8">
        <f>QS.INSTRUMENT.SWAP("swap.7945",C7947,H7947,B7947,"USD","SOFR",I7947,J7947,0,"Actual360","Simple","Annual","Annual","Annual")</f>
        <v/>
      </c>
      <c r="F7947" s="8">
        <f>QS.TRADE.CREATE("trade.7945",C7947,E7947,A7947,"Receive")</f>
        <v/>
      </c>
      <c r="G7947" s="5"/>
      <c r="H7947" s="7" t="s">
        <v>7988</v>
      </c>
      <c r="I7947" s="9">
        <v>1794500</v>
      </c>
      <c r="J7947" s="10">
        <v>0.03950000000000001</v>
      </c>
    </row>
    <row r="7948" spans="1:10">
      <c r="A7948" s="7" t="s">
        <v>7982</v>
      </c>
      <c r="B7948" s="7" t="s">
        <v>9815</v>
      </c>
      <c r="C7948" s="8">
        <f>QS.CONTEXT.CREATE("market.7946",A7948,"USD","SOFR")</f>
        <v/>
      </c>
      <c r="D7948" s="8">
        <f>QS.CONTEXT.ADD.CURVE(C7948,"SOFR",$K$2:$K$7,$L$2:$L$7,,,"Actual360","LogLinear",TRUE)</f>
        <v/>
      </c>
      <c r="E7948" s="8">
        <f>QS.INSTRUMENT.SWAP("swap.7946",C7948,H7948,B7948,"USD","SOFR",I7948,J7948,0,"Actual360","Simple","Annual","Annual","Annual")</f>
        <v/>
      </c>
      <c r="F7948" s="8">
        <f>QS.TRADE.CREATE("trade.7946",C7948,E7948,A7948,"Receive")</f>
        <v/>
      </c>
      <c r="G7948" s="5"/>
      <c r="H7948" s="7" t="s">
        <v>7989</v>
      </c>
      <c r="I7948" s="9">
        <v>1794600</v>
      </c>
      <c r="J7948" s="10">
        <v>0.0396</v>
      </c>
    </row>
    <row r="7949" spans="1:10">
      <c r="A7949" s="7" t="s">
        <v>7983</v>
      </c>
      <c r="B7949" s="7" t="s">
        <v>9816</v>
      </c>
      <c r="C7949" s="8">
        <f>QS.CONTEXT.CREATE("market.7947",A7949,"USD","SOFR")</f>
        <v/>
      </c>
      <c r="D7949" s="8">
        <f>QS.CONTEXT.ADD.CURVE(C7949,"SOFR",$K$2:$K$7,$L$2:$L$7,,,"Actual360","LogLinear",TRUE)</f>
        <v/>
      </c>
      <c r="E7949" s="8">
        <f>QS.INSTRUMENT.SWAP("swap.7947",C7949,H7949,B7949,"USD","SOFR",I7949,J7949,0,"Actual360","Simple","Annual","Annual","Annual")</f>
        <v/>
      </c>
      <c r="F7949" s="8">
        <f>QS.TRADE.CREATE("trade.7947",C7949,E7949,A7949,"Receive")</f>
        <v/>
      </c>
      <c r="G7949" s="5"/>
      <c r="H7949" s="7" t="s">
        <v>7990</v>
      </c>
      <c r="I7949" s="9">
        <v>1794700</v>
      </c>
      <c r="J7949" s="10">
        <v>0.03970000000000001</v>
      </c>
    </row>
    <row r="7950" spans="1:10">
      <c r="A7950" s="7" t="s">
        <v>7984</v>
      </c>
      <c r="B7950" s="7" t="s">
        <v>9817</v>
      </c>
      <c r="C7950" s="8">
        <f>QS.CONTEXT.CREATE("market.7948",A7950,"USD","SOFR")</f>
        <v/>
      </c>
      <c r="D7950" s="8">
        <f>QS.CONTEXT.ADD.CURVE(C7950,"SOFR",$K$2:$K$7,$L$2:$L$7,,,"Actual360","LogLinear",TRUE)</f>
        <v/>
      </c>
      <c r="E7950" s="8">
        <f>QS.INSTRUMENT.SWAP("swap.7948",C7950,H7950,B7950,"USD","SOFR",I7950,J7950,0,"Actual360","Simple","Annual","Annual","Annual")</f>
        <v/>
      </c>
      <c r="F7950" s="8">
        <f>QS.TRADE.CREATE("trade.7948",C7950,E7950,A7950,"Receive")</f>
        <v/>
      </c>
      <c r="G7950" s="5"/>
      <c r="H7950" s="7" t="s">
        <v>7991</v>
      </c>
      <c r="I7950" s="9">
        <v>1794800</v>
      </c>
      <c r="J7950" s="10">
        <v>0.0398</v>
      </c>
    </row>
    <row r="7951" spans="1:10">
      <c r="A7951" s="7" t="s">
        <v>7985</v>
      </c>
      <c r="B7951" s="7" t="s">
        <v>9818</v>
      </c>
      <c r="C7951" s="8">
        <f>QS.CONTEXT.CREATE("market.7949",A7951,"USD","SOFR")</f>
        <v/>
      </c>
      <c r="D7951" s="8">
        <f>QS.CONTEXT.ADD.CURVE(C7951,"SOFR",$K$2:$K$7,$L$2:$L$7,,,"Actual360","LogLinear",TRUE)</f>
        <v/>
      </c>
      <c r="E7951" s="8">
        <f>QS.INSTRUMENT.SWAP("swap.7949",C7951,H7951,B7951,"USD","SOFR",I7951,J7951,0,"Actual360","Simple","Annual","Annual","Annual")</f>
        <v/>
      </c>
      <c r="F7951" s="8">
        <f>QS.TRADE.CREATE("trade.7949",C7951,E7951,A7951,"Receive")</f>
        <v/>
      </c>
      <c r="G7951" s="5"/>
      <c r="H7951" s="7" t="s">
        <v>7992</v>
      </c>
      <c r="I7951" s="9">
        <v>1794900</v>
      </c>
      <c r="J7951" s="10">
        <v>0.0399</v>
      </c>
    </row>
    <row r="7952" spans="1:10">
      <c r="A7952" s="7" t="s">
        <v>7986</v>
      </c>
      <c r="B7952" s="7" t="s">
        <v>9819</v>
      </c>
      <c r="C7952" s="8">
        <f>QS.CONTEXT.CREATE("market.7950",A7952,"USD","SOFR")</f>
        <v/>
      </c>
      <c r="D7952" s="8">
        <f>QS.CONTEXT.ADD.CURVE(C7952,"SOFR",$K$2:$K$7,$L$2:$L$7,,,"Actual360","LogLinear",TRUE)</f>
        <v/>
      </c>
      <c r="E7952" s="8">
        <f>QS.INSTRUMENT.SWAP("swap.7950",C7952,H7952,B7952,"USD","SOFR",I7952,J7952,0,"Actual360","Simple","Annual","Annual","Annual")</f>
        <v/>
      </c>
      <c r="F7952" s="8">
        <f>QS.TRADE.CREATE("trade.7950",C7952,E7952,A7952,"Receive")</f>
        <v/>
      </c>
      <c r="G7952" s="5"/>
      <c r="H7952" s="7" t="s">
        <v>7993</v>
      </c>
      <c r="I7952" s="9">
        <v>1795000</v>
      </c>
      <c r="J7952" s="10">
        <v>0.035</v>
      </c>
    </row>
    <row r="7953" spans="1:10">
      <c r="A7953" s="7" t="s">
        <v>7987</v>
      </c>
      <c r="B7953" s="7" t="s">
        <v>9820</v>
      </c>
      <c r="C7953" s="8">
        <f>QS.CONTEXT.CREATE("market.7951",A7953,"USD","SOFR")</f>
        <v/>
      </c>
      <c r="D7953" s="8">
        <f>QS.CONTEXT.ADD.CURVE(C7953,"SOFR",$K$2:$K$7,$L$2:$L$7,,,"Actual360","LogLinear",TRUE)</f>
        <v/>
      </c>
      <c r="E7953" s="8">
        <f>QS.INSTRUMENT.SWAP("swap.7951",C7953,H7953,B7953,"USD","SOFR",I7953,J7953,0,"Actual360","Simple","Annual","Annual","Annual")</f>
        <v/>
      </c>
      <c r="F7953" s="8">
        <f>QS.TRADE.CREATE("trade.7951",C7953,E7953,A7953,"Receive")</f>
        <v/>
      </c>
      <c r="G7953" s="5"/>
      <c r="H7953" s="7" t="s">
        <v>7994</v>
      </c>
      <c r="I7953" s="9">
        <v>1795100</v>
      </c>
      <c r="J7953" s="10">
        <v>0.03510000000000001</v>
      </c>
    </row>
    <row r="7954" spans="1:10">
      <c r="A7954" s="7" t="s">
        <v>7988</v>
      </c>
      <c r="B7954" s="7" t="s">
        <v>9821</v>
      </c>
      <c r="C7954" s="8">
        <f>QS.CONTEXT.CREATE("market.7952",A7954,"USD","SOFR")</f>
        <v/>
      </c>
      <c r="D7954" s="8">
        <f>QS.CONTEXT.ADD.CURVE(C7954,"SOFR",$K$2:$K$7,$L$2:$L$7,,,"Actual360","LogLinear",TRUE)</f>
        <v/>
      </c>
      <c r="E7954" s="8">
        <f>QS.INSTRUMENT.SWAP("swap.7952",C7954,H7954,B7954,"USD","SOFR",I7954,J7954,0,"Actual360","Simple","Annual","Annual","Annual")</f>
        <v/>
      </c>
      <c r="F7954" s="8">
        <f>QS.TRADE.CREATE("trade.7952",C7954,E7954,A7954,"Receive")</f>
        <v/>
      </c>
      <c r="G7954" s="5"/>
      <c r="H7954" s="7" t="s">
        <v>7995</v>
      </c>
      <c r="I7954" s="9">
        <v>1795200</v>
      </c>
      <c r="J7954" s="10">
        <v>0.0352</v>
      </c>
    </row>
    <row r="7955" spans="1:10">
      <c r="A7955" s="7" t="s">
        <v>7989</v>
      </c>
      <c r="B7955" s="7" t="s">
        <v>9822</v>
      </c>
      <c r="C7955" s="8">
        <f>QS.CONTEXT.CREATE("market.7953",A7955,"USD","SOFR")</f>
        <v/>
      </c>
      <c r="D7955" s="8">
        <f>QS.CONTEXT.ADD.CURVE(C7955,"SOFR",$K$2:$K$7,$L$2:$L$7,,,"Actual360","LogLinear",TRUE)</f>
        <v/>
      </c>
      <c r="E7955" s="8">
        <f>QS.INSTRUMENT.SWAP("swap.7953",C7955,H7955,B7955,"USD","SOFR",I7955,J7955,0,"Actual360","Simple","Annual","Annual","Annual")</f>
        <v/>
      </c>
      <c r="F7955" s="8">
        <f>QS.TRADE.CREATE("trade.7953",C7955,E7955,A7955,"Receive")</f>
        <v/>
      </c>
      <c r="G7955" s="5"/>
      <c r="H7955" s="7" t="s">
        <v>7996</v>
      </c>
      <c r="I7955" s="9">
        <v>1795300</v>
      </c>
      <c r="J7955" s="10">
        <v>0.0353</v>
      </c>
    </row>
    <row r="7956" spans="1:10">
      <c r="A7956" s="7" t="s">
        <v>7990</v>
      </c>
      <c r="B7956" s="7" t="s">
        <v>9823</v>
      </c>
      <c r="C7956" s="8">
        <f>QS.CONTEXT.CREATE("market.7954",A7956,"USD","SOFR")</f>
        <v/>
      </c>
      <c r="D7956" s="8">
        <f>QS.CONTEXT.ADD.CURVE(C7956,"SOFR",$K$2:$K$7,$L$2:$L$7,,,"Actual360","LogLinear",TRUE)</f>
        <v/>
      </c>
      <c r="E7956" s="8">
        <f>QS.INSTRUMENT.SWAP("swap.7954",C7956,H7956,B7956,"USD","SOFR",I7956,J7956,0,"Actual360","Simple","Annual","Annual","Annual")</f>
        <v/>
      </c>
      <c r="F7956" s="8">
        <f>QS.TRADE.CREATE("trade.7954",C7956,E7956,A7956,"Receive")</f>
        <v/>
      </c>
      <c r="G7956" s="5"/>
      <c r="H7956" s="7" t="s">
        <v>7997</v>
      </c>
      <c r="I7956" s="9">
        <v>1795400</v>
      </c>
      <c r="J7956" s="10">
        <v>0.0354</v>
      </c>
    </row>
    <row r="7957" spans="1:10">
      <c r="A7957" s="7" t="s">
        <v>7991</v>
      </c>
      <c r="B7957" s="7" t="s">
        <v>9824</v>
      </c>
      <c r="C7957" s="8">
        <f>QS.CONTEXT.CREATE("market.7955",A7957,"USD","SOFR")</f>
        <v/>
      </c>
      <c r="D7957" s="8">
        <f>QS.CONTEXT.ADD.CURVE(C7957,"SOFR",$K$2:$K$7,$L$2:$L$7,,,"Actual360","LogLinear",TRUE)</f>
        <v/>
      </c>
      <c r="E7957" s="8">
        <f>QS.INSTRUMENT.SWAP("swap.7955",C7957,H7957,B7957,"USD","SOFR",I7957,J7957,0,"Actual360","Simple","Annual","Annual","Annual")</f>
        <v/>
      </c>
      <c r="F7957" s="8">
        <f>QS.TRADE.CREATE("trade.7955",C7957,E7957,A7957,"Receive")</f>
        <v/>
      </c>
      <c r="G7957" s="5"/>
      <c r="H7957" s="7" t="s">
        <v>7998</v>
      </c>
      <c r="I7957" s="9">
        <v>1795500</v>
      </c>
      <c r="J7957" s="10">
        <v>0.0355</v>
      </c>
    </row>
    <row r="7958" spans="1:10">
      <c r="A7958" s="7" t="s">
        <v>7992</v>
      </c>
      <c r="B7958" s="7" t="s">
        <v>9825</v>
      </c>
      <c r="C7958" s="8">
        <f>QS.CONTEXT.CREATE("market.7956",A7958,"USD","SOFR")</f>
        <v/>
      </c>
      <c r="D7958" s="8">
        <f>QS.CONTEXT.ADD.CURVE(C7958,"SOFR",$K$2:$K$7,$L$2:$L$7,,,"Actual360","LogLinear",TRUE)</f>
        <v/>
      </c>
      <c r="E7958" s="8">
        <f>QS.INSTRUMENT.SWAP("swap.7956",C7958,H7958,B7958,"USD","SOFR",I7958,J7958,0,"Actual360","Simple","Annual","Annual","Annual")</f>
        <v/>
      </c>
      <c r="F7958" s="8">
        <f>QS.TRADE.CREATE("trade.7956",C7958,E7958,A7958,"Receive")</f>
        <v/>
      </c>
      <c r="G7958" s="5"/>
      <c r="H7958" s="7" t="s">
        <v>7999</v>
      </c>
      <c r="I7958" s="9">
        <v>1795600</v>
      </c>
      <c r="J7958" s="10">
        <v>0.03560000000000001</v>
      </c>
    </row>
    <row r="7959" spans="1:10">
      <c r="A7959" s="7" t="s">
        <v>7993</v>
      </c>
      <c r="B7959" s="7" t="s">
        <v>9826</v>
      </c>
      <c r="C7959" s="8">
        <f>QS.CONTEXT.CREATE("market.7957",A7959,"USD","SOFR")</f>
        <v/>
      </c>
      <c r="D7959" s="8">
        <f>QS.CONTEXT.ADD.CURVE(C7959,"SOFR",$K$2:$K$7,$L$2:$L$7,,,"Actual360","LogLinear",TRUE)</f>
        <v/>
      </c>
      <c r="E7959" s="8">
        <f>QS.INSTRUMENT.SWAP("swap.7957",C7959,H7959,B7959,"USD","SOFR",I7959,J7959,0,"Actual360","Simple","Annual","Annual","Annual")</f>
        <v/>
      </c>
      <c r="F7959" s="8">
        <f>QS.TRADE.CREATE("trade.7957",C7959,E7959,A7959,"Receive")</f>
        <v/>
      </c>
      <c r="G7959" s="5"/>
      <c r="H7959" s="7" t="s">
        <v>8000</v>
      </c>
      <c r="I7959" s="9">
        <v>1795700</v>
      </c>
      <c r="J7959" s="10">
        <v>0.0357</v>
      </c>
    </row>
    <row r="7960" spans="1:10">
      <c r="A7960" s="7" t="s">
        <v>7994</v>
      </c>
      <c r="B7960" s="7" t="s">
        <v>9827</v>
      </c>
      <c r="C7960" s="8">
        <f>QS.CONTEXT.CREATE("market.7958",A7960,"USD","SOFR")</f>
        <v/>
      </c>
      <c r="D7960" s="8">
        <f>QS.CONTEXT.ADD.CURVE(C7960,"SOFR",$K$2:$K$7,$L$2:$L$7,,,"Actual360","LogLinear",TRUE)</f>
        <v/>
      </c>
      <c r="E7960" s="8">
        <f>QS.INSTRUMENT.SWAP("swap.7958",C7960,H7960,B7960,"USD","SOFR",I7960,J7960,0,"Actual360","Simple","Annual","Annual","Annual")</f>
        <v/>
      </c>
      <c r="F7960" s="8">
        <f>QS.TRADE.CREATE("trade.7958",C7960,E7960,A7960,"Receive")</f>
        <v/>
      </c>
      <c r="G7960" s="5"/>
      <c r="H7960" s="7" t="s">
        <v>8001</v>
      </c>
      <c r="I7960" s="9">
        <v>1795800</v>
      </c>
      <c r="J7960" s="10">
        <v>0.03580000000000001</v>
      </c>
    </row>
    <row r="7961" spans="1:10">
      <c r="A7961" s="7" t="s">
        <v>7995</v>
      </c>
      <c r="B7961" s="7" t="s">
        <v>9828</v>
      </c>
      <c r="C7961" s="8">
        <f>QS.CONTEXT.CREATE("market.7959",A7961,"USD","SOFR")</f>
        <v/>
      </c>
      <c r="D7961" s="8">
        <f>QS.CONTEXT.ADD.CURVE(C7961,"SOFR",$K$2:$K$7,$L$2:$L$7,,,"Actual360","LogLinear",TRUE)</f>
        <v/>
      </c>
      <c r="E7961" s="8">
        <f>QS.INSTRUMENT.SWAP("swap.7959",C7961,H7961,B7961,"USD","SOFR",I7961,J7961,0,"Actual360","Simple","Annual","Annual","Annual")</f>
        <v/>
      </c>
      <c r="F7961" s="8">
        <f>QS.TRADE.CREATE("trade.7959",C7961,E7961,A7961,"Receive")</f>
        <v/>
      </c>
      <c r="G7961" s="5"/>
      <c r="H7961" s="7" t="s">
        <v>8002</v>
      </c>
      <c r="I7961" s="9">
        <v>1795900</v>
      </c>
      <c r="J7961" s="10">
        <v>0.0359</v>
      </c>
    </row>
    <row r="7962" spans="1:10">
      <c r="A7962" s="7" t="s">
        <v>7996</v>
      </c>
      <c r="B7962" s="7" t="s">
        <v>9829</v>
      </c>
      <c r="C7962" s="8">
        <f>QS.CONTEXT.CREATE("market.7960",A7962,"USD","SOFR")</f>
        <v/>
      </c>
      <c r="D7962" s="8">
        <f>QS.CONTEXT.ADD.CURVE(C7962,"SOFR",$K$2:$K$7,$L$2:$L$7,,,"Actual360","LogLinear",TRUE)</f>
        <v/>
      </c>
      <c r="E7962" s="8">
        <f>QS.INSTRUMENT.SWAP("swap.7960",C7962,H7962,B7962,"USD","SOFR",I7962,J7962,0,"Actual360","Simple","Annual","Annual","Annual")</f>
        <v/>
      </c>
      <c r="F7962" s="8">
        <f>QS.TRADE.CREATE("trade.7960",C7962,E7962,A7962,"Receive")</f>
        <v/>
      </c>
      <c r="G7962" s="5"/>
      <c r="H7962" s="7" t="s">
        <v>8003</v>
      </c>
      <c r="I7962" s="9">
        <v>1796000</v>
      </c>
      <c r="J7962" s="10">
        <v>0.036</v>
      </c>
    </row>
    <row r="7963" spans="1:10">
      <c r="A7963" s="7" t="s">
        <v>7997</v>
      </c>
      <c r="B7963" s="7" t="s">
        <v>9830</v>
      </c>
      <c r="C7963" s="8">
        <f>QS.CONTEXT.CREATE("market.7961",A7963,"USD","SOFR")</f>
        <v/>
      </c>
      <c r="D7963" s="8">
        <f>QS.CONTEXT.ADD.CURVE(C7963,"SOFR",$K$2:$K$7,$L$2:$L$7,,,"Actual360","LogLinear",TRUE)</f>
        <v/>
      </c>
      <c r="E7963" s="8">
        <f>QS.INSTRUMENT.SWAP("swap.7961",C7963,H7963,B7963,"USD","SOFR",I7963,J7963,0,"Actual360","Simple","Annual","Annual","Annual")</f>
        <v/>
      </c>
      <c r="F7963" s="8">
        <f>QS.TRADE.CREATE("trade.7961",C7963,E7963,A7963,"Receive")</f>
        <v/>
      </c>
      <c r="G7963" s="5"/>
      <c r="H7963" s="7" t="s">
        <v>8004</v>
      </c>
      <c r="I7963" s="9">
        <v>1796100</v>
      </c>
      <c r="J7963" s="10">
        <v>0.0361</v>
      </c>
    </row>
    <row r="7964" spans="1:10">
      <c r="A7964" s="7" t="s">
        <v>7998</v>
      </c>
      <c r="B7964" s="7" t="s">
        <v>9831</v>
      </c>
      <c r="C7964" s="8">
        <f>QS.CONTEXT.CREATE("market.7962",A7964,"USD","SOFR")</f>
        <v/>
      </c>
      <c r="D7964" s="8">
        <f>QS.CONTEXT.ADD.CURVE(C7964,"SOFR",$K$2:$K$7,$L$2:$L$7,,,"Actual360","LogLinear",TRUE)</f>
        <v/>
      </c>
      <c r="E7964" s="8">
        <f>QS.INSTRUMENT.SWAP("swap.7962",C7964,H7964,B7964,"USD","SOFR",I7964,J7964,0,"Actual360","Simple","Annual","Annual","Annual")</f>
        <v/>
      </c>
      <c r="F7964" s="8">
        <f>QS.TRADE.CREATE("trade.7962",C7964,E7964,A7964,"Receive")</f>
        <v/>
      </c>
      <c r="G7964" s="5"/>
      <c r="H7964" s="7" t="s">
        <v>8005</v>
      </c>
      <c r="I7964" s="9">
        <v>1796200</v>
      </c>
      <c r="J7964" s="10">
        <v>0.0362</v>
      </c>
    </row>
    <row r="7965" spans="1:10">
      <c r="A7965" s="7" t="s">
        <v>7999</v>
      </c>
      <c r="B7965" s="7" t="s">
        <v>9832</v>
      </c>
      <c r="C7965" s="8">
        <f>QS.CONTEXT.CREATE("market.7963",A7965,"USD","SOFR")</f>
        <v/>
      </c>
      <c r="D7965" s="8">
        <f>QS.CONTEXT.ADD.CURVE(C7965,"SOFR",$K$2:$K$7,$L$2:$L$7,,,"Actual360","LogLinear",TRUE)</f>
        <v/>
      </c>
      <c r="E7965" s="8">
        <f>QS.INSTRUMENT.SWAP("swap.7963",C7965,H7965,B7965,"USD","SOFR",I7965,J7965,0,"Actual360","Simple","Annual","Annual","Annual")</f>
        <v/>
      </c>
      <c r="F7965" s="8">
        <f>QS.TRADE.CREATE("trade.7963",C7965,E7965,A7965,"Receive")</f>
        <v/>
      </c>
      <c r="G7965" s="5"/>
      <c r="H7965" s="7" t="s">
        <v>8006</v>
      </c>
      <c r="I7965" s="9">
        <v>1796300</v>
      </c>
      <c r="J7965" s="10">
        <v>0.03630000000000001</v>
      </c>
    </row>
    <row r="7966" spans="1:10">
      <c r="A7966" s="7" t="s">
        <v>8000</v>
      </c>
      <c r="B7966" s="7" t="s">
        <v>9833</v>
      </c>
      <c r="C7966" s="8">
        <f>QS.CONTEXT.CREATE("market.7964",A7966,"USD","SOFR")</f>
        <v/>
      </c>
      <c r="D7966" s="8">
        <f>QS.CONTEXT.ADD.CURVE(C7966,"SOFR",$K$2:$K$7,$L$2:$L$7,,,"Actual360","LogLinear",TRUE)</f>
        <v/>
      </c>
      <c r="E7966" s="8">
        <f>QS.INSTRUMENT.SWAP("swap.7964",C7966,H7966,B7966,"USD","SOFR",I7966,J7966,0,"Actual360","Simple","Annual","Annual","Annual")</f>
        <v/>
      </c>
      <c r="F7966" s="8">
        <f>QS.TRADE.CREATE("trade.7964",C7966,E7966,A7966,"Receive")</f>
        <v/>
      </c>
      <c r="G7966" s="5"/>
      <c r="H7966" s="7" t="s">
        <v>8007</v>
      </c>
      <c r="I7966" s="9">
        <v>1796400</v>
      </c>
      <c r="J7966" s="10">
        <v>0.0364</v>
      </c>
    </row>
    <row r="7967" spans="1:10">
      <c r="A7967" s="7" t="s">
        <v>8001</v>
      </c>
      <c r="B7967" s="7" t="s">
        <v>9834</v>
      </c>
      <c r="C7967" s="8">
        <f>QS.CONTEXT.CREATE("market.7965",A7967,"USD","SOFR")</f>
        <v/>
      </c>
      <c r="D7967" s="8">
        <f>QS.CONTEXT.ADD.CURVE(C7967,"SOFR",$K$2:$K$7,$L$2:$L$7,,,"Actual360","LogLinear",TRUE)</f>
        <v/>
      </c>
      <c r="E7967" s="8">
        <f>QS.INSTRUMENT.SWAP("swap.7965",C7967,H7967,B7967,"USD","SOFR",I7967,J7967,0,"Actual360","Simple","Annual","Annual","Annual")</f>
        <v/>
      </c>
      <c r="F7967" s="8">
        <f>QS.TRADE.CREATE("trade.7965",C7967,E7967,A7967,"Receive")</f>
        <v/>
      </c>
      <c r="G7967" s="5"/>
      <c r="H7967" s="7" t="s">
        <v>8008</v>
      </c>
      <c r="I7967" s="9">
        <v>1796500</v>
      </c>
      <c r="J7967" s="10">
        <v>0.0365</v>
      </c>
    </row>
    <row r="7968" spans="1:10">
      <c r="A7968" s="7" t="s">
        <v>8002</v>
      </c>
      <c r="B7968" s="7" t="s">
        <v>9835</v>
      </c>
      <c r="C7968" s="8">
        <f>QS.CONTEXT.CREATE("market.7966",A7968,"USD","SOFR")</f>
        <v/>
      </c>
      <c r="D7968" s="8">
        <f>QS.CONTEXT.ADD.CURVE(C7968,"SOFR",$K$2:$K$7,$L$2:$L$7,,,"Actual360","LogLinear",TRUE)</f>
        <v/>
      </c>
      <c r="E7968" s="8">
        <f>QS.INSTRUMENT.SWAP("swap.7966",C7968,H7968,B7968,"USD","SOFR",I7968,J7968,0,"Actual360","Simple","Annual","Annual","Annual")</f>
        <v/>
      </c>
      <c r="F7968" s="8">
        <f>QS.TRADE.CREATE("trade.7966",C7968,E7968,A7968,"Receive")</f>
        <v/>
      </c>
      <c r="G7968" s="5"/>
      <c r="H7968" s="7" t="s">
        <v>8009</v>
      </c>
      <c r="I7968" s="9">
        <v>1796600</v>
      </c>
      <c r="J7968" s="10">
        <v>0.0366</v>
      </c>
    </row>
    <row r="7969" spans="1:10">
      <c r="A7969" s="7" t="s">
        <v>8003</v>
      </c>
      <c r="B7969" s="7" t="s">
        <v>9836</v>
      </c>
      <c r="C7969" s="8">
        <f>QS.CONTEXT.CREATE("market.7967",A7969,"USD","SOFR")</f>
        <v/>
      </c>
      <c r="D7969" s="8">
        <f>QS.CONTEXT.ADD.CURVE(C7969,"SOFR",$K$2:$K$7,$L$2:$L$7,,,"Actual360","LogLinear",TRUE)</f>
        <v/>
      </c>
      <c r="E7969" s="8">
        <f>QS.INSTRUMENT.SWAP("swap.7967",C7969,H7969,B7969,"USD","SOFR",I7969,J7969,0,"Actual360","Simple","Annual","Annual","Annual")</f>
        <v/>
      </c>
      <c r="F7969" s="8">
        <f>QS.TRADE.CREATE("trade.7967",C7969,E7969,A7969,"Receive")</f>
        <v/>
      </c>
      <c r="G7969" s="5"/>
      <c r="H7969" s="7" t="s">
        <v>8010</v>
      </c>
      <c r="I7969" s="9">
        <v>1796700</v>
      </c>
      <c r="J7969" s="10">
        <v>0.0367</v>
      </c>
    </row>
    <row r="7970" spans="1:10">
      <c r="A7970" s="7" t="s">
        <v>8004</v>
      </c>
      <c r="B7970" s="7" t="s">
        <v>9837</v>
      </c>
      <c r="C7970" s="8">
        <f>QS.CONTEXT.CREATE("market.7968",A7970,"USD","SOFR")</f>
        <v/>
      </c>
      <c r="D7970" s="8">
        <f>QS.CONTEXT.ADD.CURVE(C7970,"SOFR",$K$2:$K$7,$L$2:$L$7,,,"Actual360","LogLinear",TRUE)</f>
        <v/>
      </c>
      <c r="E7970" s="8">
        <f>QS.INSTRUMENT.SWAP("swap.7968",C7970,H7970,B7970,"USD","SOFR",I7970,J7970,0,"Actual360","Simple","Annual","Annual","Annual")</f>
        <v/>
      </c>
      <c r="F7970" s="8">
        <f>QS.TRADE.CREATE("trade.7968",C7970,E7970,A7970,"Receive")</f>
        <v/>
      </c>
      <c r="G7970" s="5"/>
      <c r="H7970" s="7" t="s">
        <v>8011</v>
      </c>
      <c r="I7970" s="9">
        <v>1796800</v>
      </c>
      <c r="J7970" s="10">
        <v>0.03680000000000001</v>
      </c>
    </row>
    <row r="7971" spans="1:10">
      <c r="A7971" s="7" t="s">
        <v>8005</v>
      </c>
      <c r="B7971" s="7" t="s">
        <v>9838</v>
      </c>
      <c r="C7971" s="8">
        <f>QS.CONTEXT.CREATE("market.7969",A7971,"USD","SOFR")</f>
        <v/>
      </c>
      <c r="D7971" s="8">
        <f>QS.CONTEXT.ADD.CURVE(C7971,"SOFR",$K$2:$K$7,$L$2:$L$7,,,"Actual360","LogLinear",TRUE)</f>
        <v/>
      </c>
      <c r="E7971" s="8">
        <f>QS.INSTRUMENT.SWAP("swap.7969",C7971,H7971,B7971,"USD","SOFR",I7971,J7971,0,"Actual360","Simple","Annual","Annual","Annual")</f>
        <v/>
      </c>
      <c r="F7971" s="8">
        <f>QS.TRADE.CREATE("trade.7969",C7971,E7971,A7971,"Receive")</f>
        <v/>
      </c>
      <c r="G7971" s="5"/>
      <c r="H7971" s="7" t="s">
        <v>8012</v>
      </c>
      <c r="I7971" s="9">
        <v>1796900</v>
      </c>
      <c r="J7971" s="10">
        <v>0.0369</v>
      </c>
    </row>
    <row r="7972" spans="1:10">
      <c r="A7972" s="7" t="s">
        <v>8006</v>
      </c>
      <c r="B7972" s="7" t="s">
        <v>9839</v>
      </c>
      <c r="C7972" s="8">
        <f>QS.CONTEXT.CREATE("market.7970",A7972,"USD","SOFR")</f>
        <v/>
      </c>
      <c r="D7972" s="8">
        <f>QS.CONTEXT.ADD.CURVE(C7972,"SOFR",$K$2:$K$7,$L$2:$L$7,,,"Actual360","LogLinear",TRUE)</f>
        <v/>
      </c>
      <c r="E7972" s="8">
        <f>QS.INSTRUMENT.SWAP("swap.7970",C7972,H7972,B7972,"USD","SOFR",I7972,J7972,0,"Actual360","Simple","Annual","Annual","Annual")</f>
        <v/>
      </c>
      <c r="F7972" s="8">
        <f>QS.TRADE.CREATE("trade.7970",C7972,E7972,A7972,"Receive")</f>
        <v/>
      </c>
      <c r="G7972" s="5"/>
      <c r="H7972" s="7" t="s">
        <v>8013</v>
      </c>
      <c r="I7972" s="9">
        <v>1797000</v>
      </c>
      <c r="J7972" s="10">
        <v>0.03700000000000001</v>
      </c>
    </row>
    <row r="7973" spans="1:10">
      <c r="A7973" s="7" t="s">
        <v>8007</v>
      </c>
      <c r="B7973" s="7" t="s">
        <v>9840</v>
      </c>
      <c r="C7973" s="8">
        <f>QS.CONTEXT.CREATE("market.7971",A7973,"USD","SOFR")</f>
        <v/>
      </c>
      <c r="D7973" s="8">
        <f>QS.CONTEXT.ADD.CURVE(C7973,"SOFR",$K$2:$K$7,$L$2:$L$7,,,"Actual360","LogLinear",TRUE)</f>
        <v/>
      </c>
      <c r="E7973" s="8">
        <f>QS.INSTRUMENT.SWAP("swap.7971",C7973,H7973,B7973,"USD","SOFR",I7973,J7973,0,"Actual360","Simple","Annual","Annual","Annual")</f>
        <v/>
      </c>
      <c r="F7973" s="8">
        <f>QS.TRADE.CREATE("trade.7971",C7973,E7973,A7973,"Receive")</f>
        <v/>
      </c>
      <c r="G7973" s="5"/>
      <c r="H7973" s="7" t="s">
        <v>8014</v>
      </c>
      <c r="I7973" s="9">
        <v>1797100</v>
      </c>
      <c r="J7973" s="10">
        <v>0.0371</v>
      </c>
    </row>
    <row r="7974" spans="1:10">
      <c r="A7974" s="7" t="s">
        <v>8008</v>
      </c>
      <c r="B7974" s="7" t="s">
        <v>9841</v>
      </c>
      <c r="C7974" s="8">
        <f>QS.CONTEXT.CREATE("market.7972",A7974,"USD","SOFR")</f>
        <v/>
      </c>
      <c r="D7974" s="8">
        <f>QS.CONTEXT.ADD.CURVE(C7974,"SOFR",$K$2:$K$7,$L$2:$L$7,,,"Actual360","LogLinear",TRUE)</f>
        <v/>
      </c>
      <c r="E7974" s="8">
        <f>QS.INSTRUMENT.SWAP("swap.7972",C7974,H7974,B7974,"USD","SOFR",I7974,J7974,0,"Actual360","Simple","Annual","Annual","Annual")</f>
        <v/>
      </c>
      <c r="F7974" s="8">
        <f>QS.TRADE.CREATE("trade.7972",C7974,E7974,A7974,"Receive")</f>
        <v/>
      </c>
      <c r="G7974" s="5"/>
      <c r="H7974" s="7" t="s">
        <v>8015</v>
      </c>
      <c r="I7974" s="9">
        <v>1797200</v>
      </c>
      <c r="J7974" s="10">
        <v>0.0372</v>
      </c>
    </row>
    <row r="7975" spans="1:10">
      <c r="A7975" s="7" t="s">
        <v>8009</v>
      </c>
      <c r="B7975" s="7" t="s">
        <v>9842</v>
      </c>
      <c r="C7975" s="8">
        <f>QS.CONTEXT.CREATE("market.7973",A7975,"USD","SOFR")</f>
        <v/>
      </c>
      <c r="D7975" s="8">
        <f>QS.CONTEXT.ADD.CURVE(C7975,"SOFR",$K$2:$K$7,$L$2:$L$7,,,"Actual360","LogLinear",TRUE)</f>
        <v/>
      </c>
      <c r="E7975" s="8">
        <f>QS.INSTRUMENT.SWAP("swap.7973",C7975,H7975,B7975,"USD","SOFR",I7975,J7975,0,"Actual360","Simple","Annual","Annual","Annual")</f>
        <v/>
      </c>
      <c r="F7975" s="8">
        <f>QS.TRADE.CREATE("trade.7973",C7975,E7975,A7975,"Receive")</f>
        <v/>
      </c>
      <c r="G7975" s="5"/>
      <c r="H7975" s="7" t="s">
        <v>8016</v>
      </c>
      <c r="I7975" s="9">
        <v>1797300</v>
      </c>
      <c r="J7975" s="10">
        <v>0.0373</v>
      </c>
    </row>
    <row r="7976" spans="1:10">
      <c r="A7976" s="7" t="s">
        <v>8010</v>
      </c>
      <c r="B7976" s="7" t="s">
        <v>9843</v>
      </c>
      <c r="C7976" s="8">
        <f>QS.CONTEXT.CREATE("market.7974",A7976,"USD","SOFR")</f>
        <v/>
      </c>
      <c r="D7976" s="8">
        <f>QS.CONTEXT.ADD.CURVE(C7976,"SOFR",$K$2:$K$7,$L$2:$L$7,,,"Actual360","LogLinear",TRUE)</f>
        <v/>
      </c>
      <c r="E7976" s="8">
        <f>QS.INSTRUMENT.SWAP("swap.7974",C7976,H7976,B7976,"USD","SOFR",I7976,J7976,0,"Actual360","Simple","Annual","Annual","Annual")</f>
        <v/>
      </c>
      <c r="F7976" s="8">
        <f>QS.TRADE.CREATE("trade.7974",C7976,E7976,A7976,"Receive")</f>
        <v/>
      </c>
      <c r="G7976" s="5"/>
      <c r="H7976" s="7" t="s">
        <v>8017</v>
      </c>
      <c r="I7976" s="9">
        <v>1797400</v>
      </c>
      <c r="J7976" s="10">
        <v>0.0374</v>
      </c>
    </row>
    <row r="7977" spans="1:10">
      <c r="A7977" s="7" t="s">
        <v>8011</v>
      </c>
      <c r="B7977" s="7" t="s">
        <v>9844</v>
      </c>
      <c r="C7977" s="8">
        <f>QS.CONTEXT.CREATE("market.7975",A7977,"USD","SOFR")</f>
        <v/>
      </c>
      <c r="D7977" s="8">
        <f>QS.CONTEXT.ADD.CURVE(C7977,"SOFR",$K$2:$K$7,$L$2:$L$7,,,"Actual360","LogLinear",TRUE)</f>
        <v/>
      </c>
      <c r="E7977" s="8">
        <f>QS.INSTRUMENT.SWAP("swap.7975",C7977,H7977,B7977,"USD","SOFR",I7977,J7977,0,"Actual360","Simple","Annual","Annual","Annual")</f>
        <v/>
      </c>
      <c r="F7977" s="8">
        <f>QS.TRADE.CREATE("trade.7975",C7977,E7977,A7977,"Receive")</f>
        <v/>
      </c>
      <c r="G7977" s="5"/>
      <c r="H7977" s="7" t="s">
        <v>8018</v>
      </c>
      <c r="I7977" s="9">
        <v>1797500</v>
      </c>
      <c r="J7977" s="10">
        <v>0.03750000000000001</v>
      </c>
    </row>
    <row r="7978" spans="1:10">
      <c r="A7978" s="7" t="s">
        <v>8012</v>
      </c>
      <c r="B7978" s="7" t="s">
        <v>9845</v>
      </c>
      <c r="C7978" s="8">
        <f>QS.CONTEXT.CREATE("market.7976",A7978,"USD","SOFR")</f>
        <v/>
      </c>
      <c r="D7978" s="8">
        <f>QS.CONTEXT.ADD.CURVE(C7978,"SOFR",$K$2:$K$7,$L$2:$L$7,,,"Actual360","LogLinear",TRUE)</f>
        <v/>
      </c>
      <c r="E7978" s="8">
        <f>QS.INSTRUMENT.SWAP("swap.7976",C7978,H7978,B7978,"USD","SOFR",I7978,J7978,0,"Actual360","Simple","Annual","Annual","Annual")</f>
        <v/>
      </c>
      <c r="F7978" s="8">
        <f>QS.TRADE.CREATE("trade.7976",C7978,E7978,A7978,"Receive")</f>
        <v/>
      </c>
      <c r="G7978" s="5"/>
      <c r="H7978" s="7" t="s">
        <v>8019</v>
      </c>
      <c r="I7978" s="9">
        <v>1797600</v>
      </c>
      <c r="J7978" s="10">
        <v>0.0376</v>
      </c>
    </row>
    <row r="7979" spans="1:10">
      <c r="A7979" s="7" t="s">
        <v>8013</v>
      </c>
      <c r="B7979" s="7" t="s">
        <v>9846</v>
      </c>
      <c r="C7979" s="8">
        <f>QS.CONTEXT.CREATE("market.7977",A7979,"USD","SOFR")</f>
        <v/>
      </c>
      <c r="D7979" s="8">
        <f>QS.CONTEXT.ADD.CURVE(C7979,"SOFR",$K$2:$K$7,$L$2:$L$7,,,"Actual360","LogLinear",TRUE)</f>
        <v/>
      </c>
      <c r="E7979" s="8">
        <f>QS.INSTRUMENT.SWAP("swap.7977",C7979,H7979,B7979,"USD","SOFR",I7979,J7979,0,"Actual360","Simple","Annual","Annual","Annual")</f>
        <v/>
      </c>
      <c r="F7979" s="8">
        <f>QS.TRADE.CREATE("trade.7977",C7979,E7979,A7979,"Receive")</f>
        <v/>
      </c>
      <c r="G7979" s="5"/>
      <c r="H7979" s="7" t="s">
        <v>8020</v>
      </c>
      <c r="I7979" s="9">
        <v>1797700</v>
      </c>
      <c r="J7979" s="10">
        <v>0.0377</v>
      </c>
    </row>
    <row r="7980" spans="1:10">
      <c r="A7980" s="7" t="s">
        <v>8014</v>
      </c>
      <c r="B7980" s="7" t="s">
        <v>9847</v>
      </c>
      <c r="C7980" s="8">
        <f>QS.CONTEXT.CREATE("market.7978",A7980,"USD","SOFR")</f>
        <v/>
      </c>
      <c r="D7980" s="8">
        <f>QS.CONTEXT.ADD.CURVE(C7980,"SOFR",$K$2:$K$7,$L$2:$L$7,,,"Actual360","LogLinear",TRUE)</f>
        <v/>
      </c>
      <c r="E7980" s="8">
        <f>QS.INSTRUMENT.SWAP("swap.7978",C7980,H7980,B7980,"USD","SOFR",I7980,J7980,0,"Actual360","Simple","Annual","Annual","Annual")</f>
        <v/>
      </c>
      <c r="F7980" s="8">
        <f>QS.TRADE.CREATE("trade.7978",C7980,E7980,A7980,"Receive")</f>
        <v/>
      </c>
      <c r="G7980" s="5"/>
      <c r="H7980" s="7" t="s">
        <v>8021</v>
      </c>
      <c r="I7980" s="9">
        <v>1797800</v>
      </c>
      <c r="J7980" s="10">
        <v>0.0378</v>
      </c>
    </row>
    <row r="7981" spans="1:10">
      <c r="A7981" s="7" t="s">
        <v>8015</v>
      </c>
      <c r="B7981" s="7" t="s">
        <v>9848</v>
      </c>
      <c r="C7981" s="8">
        <f>QS.CONTEXT.CREATE("market.7979",A7981,"USD","SOFR")</f>
        <v/>
      </c>
      <c r="D7981" s="8">
        <f>QS.CONTEXT.ADD.CURVE(C7981,"SOFR",$K$2:$K$7,$L$2:$L$7,,,"Actual360","LogLinear",TRUE)</f>
        <v/>
      </c>
      <c r="E7981" s="8">
        <f>QS.INSTRUMENT.SWAP("swap.7979",C7981,H7981,B7981,"USD","SOFR",I7981,J7981,0,"Actual360","Simple","Annual","Annual","Annual")</f>
        <v/>
      </c>
      <c r="F7981" s="8">
        <f>QS.TRADE.CREATE("trade.7979",C7981,E7981,A7981,"Receive")</f>
        <v/>
      </c>
      <c r="G7981" s="5"/>
      <c r="H7981" s="7" t="s">
        <v>8022</v>
      </c>
      <c r="I7981" s="9">
        <v>1797900</v>
      </c>
      <c r="J7981" s="10">
        <v>0.0379</v>
      </c>
    </row>
    <row r="7982" spans="1:10">
      <c r="A7982" s="7" t="s">
        <v>8016</v>
      </c>
      <c r="B7982" s="7" t="s">
        <v>9849</v>
      </c>
      <c r="C7982" s="8">
        <f>QS.CONTEXT.CREATE("market.7980",A7982,"USD","SOFR")</f>
        <v/>
      </c>
      <c r="D7982" s="8">
        <f>QS.CONTEXT.ADD.CURVE(C7982,"SOFR",$K$2:$K$7,$L$2:$L$7,,,"Actual360","LogLinear",TRUE)</f>
        <v/>
      </c>
      <c r="E7982" s="8">
        <f>QS.INSTRUMENT.SWAP("swap.7980",C7982,H7982,B7982,"USD","SOFR",I7982,J7982,0,"Actual360","Simple","Annual","Annual","Annual")</f>
        <v/>
      </c>
      <c r="F7982" s="8">
        <f>QS.TRADE.CREATE("trade.7980",C7982,E7982,A7982,"Receive")</f>
        <v/>
      </c>
      <c r="G7982" s="5"/>
      <c r="H7982" s="7" t="s">
        <v>8023</v>
      </c>
      <c r="I7982" s="9">
        <v>1798000</v>
      </c>
      <c r="J7982" s="10">
        <v>0.03800000000000001</v>
      </c>
    </row>
    <row r="7983" spans="1:10">
      <c r="A7983" s="7" t="s">
        <v>8017</v>
      </c>
      <c r="B7983" s="7" t="s">
        <v>9850</v>
      </c>
      <c r="C7983" s="8">
        <f>QS.CONTEXT.CREATE("market.7981",A7983,"USD","SOFR")</f>
        <v/>
      </c>
      <c r="D7983" s="8">
        <f>QS.CONTEXT.ADD.CURVE(C7983,"SOFR",$K$2:$K$7,$L$2:$L$7,,,"Actual360","LogLinear",TRUE)</f>
        <v/>
      </c>
      <c r="E7983" s="8">
        <f>QS.INSTRUMENT.SWAP("swap.7981",C7983,H7983,B7983,"USD","SOFR",I7983,J7983,0,"Actual360","Simple","Annual","Annual","Annual")</f>
        <v/>
      </c>
      <c r="F7983" s="8">
        <f>QS.TRADE.CREATE("trade.7981",C7983,E7983,A7983,"Receive")</f>
        <v/>
      </c>
      <c r="G7983" s="5"/>
      <c r="H7983" s="7" t="s">
        <v>8024</v>
      </c>
      <c r="I7983" s="9">
        <v>1798100</v>
      </c>
      <c r="J7983" s="10">
        <v>0.0381</v>
      </c>
    </row>
    <row r="7984" spans="1:10">
      <c r="A7984" s="7" t="s">
        <v>8018</v>
      </c>
      <c r="B7984" s="7" t="s">
        <v>9851</v>
      </c>
      <c r="C7984" s="8">
        <f>QS.CONTEXT.CREATE("market.7982",A7984,"USD","SOFR")</f>
        <v/>
      </c>
      <c r="D7984" s="8">
        <f>QS.CONTEXT.ADD.CURVE(C7984,"SOFR",$K$2:$K$7,$L$2:$L$7,,,"Actual360","LogLinear",TRUE)</f>
        <v/>
      </c>
      <c r="E7984" s="8">
        <f>QS.INSTRUMENT.SWAP("swap.7982",C7984,H7984,B7984,"USD","SOFR",I7984,J7984,0,"Actual360","Simple","Annual","Annual","Annual")</f>
        <v/>
      </c>
      <c r="F7984" s="8">
        <f>QS.TRADE.CREATE("trade.7982",C7984,E7984,A7984,"Receive")</f>
        <v/>
      </c>
      <c r="G7984" s="5"/>
      <c r="H7984" s="7" t="s">
        <v>8025</v>
      </c>
      <c r="I7984" s="9">
        <v>1798200</v>
      </c>
      <c r="J7984" s="10">
        <v>0.0382</v>
      </c>
    </row>
    <row r="7985" spans="1:10">
      <c r="A7985" s="7" t="s">
        <v>8019</v>
      </c>
      <c r="B7985" s="7" t="s">
        <v>9852</v>
      </c>
      <c r="C7985" s="8">
        <f>QS.CONTEXT.CREATE("market.7983",A7985,"USD","SOFR")</f>
        <v/>
      </c>
      <c r="D7985" s="8">
        <f>QS.CONTEXT.ADD.CURVE(C7985,"SOFR",$K$2:$K$7,$L$2:$L$7,,,"Actual360","LogLinear",TRUE)</f>
        <v/>
      </c>
      <c r="E7985" s="8">
        <f>QS.INSTRUMENT.SWAP("swap.7983",C7985,H7985,B7985,"USD","SOFR",I7985,J7985,0,"Actual360","Simple","Annual","Annual","Annual")</f>
        <v/>
      </c>
      <c r="F7985" s="8">
        <f>QS.TRADE.CREATE("trade.7983",C7985,E7985,A7985,"Receive")</f>
        <v/>
      </c>
      <c r="G7985" s="5"/>
      <c r="H7985" s="7" t="s">
        <v>8026</v>
      </c>
      <c r="I7985" s="9">
        <v>1798300</v>
      </c>
      <c r="J7985" s="10">
        <v>0.0383</v>
      </c>
    </row>
    <row r="7986" spans="1:10">
      <c r="A7986" s="7" t="s">
        <v>8020</v>
      </c>
      <c r="B7986" s="7" t="s">
        <v>9853</v>
      </c>
      <c r="C7986" s="8">
        <f>QS.CONTEXT.CREATE("market.7984",A7986,"USD","SOFR")</f>
        <v/>
      </c>
      <c r="D7986" s="8">
        <f>QS.CONTEXT.ADD.CURVE(C7986,"SOFR",$K$2:$K$7,$L$2:$L$7,,,"Actual360","LogLinear",TRUE)</f>
        <v/>
      </c>
      <c r="E7986" s="8">
        <f>QS.INSTRUMENT.SWAP("swap.7984",C7986,H7986,B7986,"USD","SOFR",I7986,J7986,0,"Actual360","Simple","Annual","Annual","Annual")</f>
        <v/>
      </c>
      <c r="F7986" s="8">
        <f>QS.TRADE.CREATE("trade.7984",C7986,E7986,A7986,"Receive")</f>
        <v/>
      </c>
      <c r="G7986" s="5"/>
      <c r="H7986" s="7" t="s">
        <v>8027</v>
      </c>
      <c r="I7986" s="9">
        <v>1798400</v>
      </c>
      <c r="J7986" s="10">
        <v>0.0384</v>
      </c>
    </row>
    <row r="7987" spans="1:10">
      <c r="A7987" s="7" t="s">
        <v>8021</v>
      </c>
      <c r="B7987" s="7" t="s">
        <v>9854</v>
      </c>
      <c r="C7987" s="8">
        <f>QS.CONTEXT.CREATE("market.7985",A7987,"USD","SOFR")</f>
        <v/>
      </c>
      <c r="D7987" s="8">
        <f>QS.CONTEXT.ADD.CURVE(C7987,"SOFR",$K$2:$K$7,$L$2:$L$7,,,"Actual360","LogLinear",TRUE)</f>
        <v/>
      </c>
      <c r="E7987" s="8">
        <f>QS.INSTRUMENT.SWAP("swap.7985",C7987,H7987,B7987,"USD","SOFR",I7987,J7987,0,"Actual360","Simple","Annual","Annual","Annual")</f>
        <v/>
      </c>
      <c r="F7987" s="8">
        <f>QS.TRADE.CREATE("trade.7985",C7987,E7987,A7987,"Receive")</f>
        <v/>
      </c>
      <c r="G7987" s="5"/>
      <c r="H7987" s="7" t="s">
        <v>8028</v>
      </c>
      <c r="I7987" s="9">
        <v>1798500</v>
      </c>
      <c r="J7987" s="10">
        <v>0.03850000000000001</v>
      </c>
    </row>
    <row r="7988" spans="1:10">
      <c r="A7988" s="7" t="s">
        <v>8022</v>
      </c>
      <c r="B7988" s="7" t="s">
        <v>9855</v>
      </c>
      <c r="C7988" s="8">
        <f>QS.CONTEXT.CREATE("market.7986",A7988,"USD","SOFR")</f>
        <v/>
      </c>
      <c r="D7988" s="8">
        <f>QS.CONTEXT.ADD.CURVE(C7988,"SOFR",$K$2:$K$7,$L$2:$L$7,,,"Actual360","LogLinear",TRUE)</f>
        <v/>
      </c>
      <c r="E7988" s="8">
        <f>QS.INSTRUMENT.SWAP("swap.7986",C7988,H7988,B7988,"USD","SOFR",I7988,J7988,0,"Actual360","Simple","Annual","Annual","Annual")</f>
        <v/>
      </c>
      <c r="F7988" s="8">
        <f>QS.TRADE.CREATE("trade.7986",C7988,E7988,A7988,"Receive")</f>
        <v/>
      </c>
      <c r="G7988" s="5"/>
      <c r="H7988" s="7" t="s">
        <v>8029</v>
      </c>
      <c r="I7988" s="9">
        <v>1798600</v>
      </c>
      <c r="J7988" s="10">
        <v>0.0386</v>
      </c>
    </row>
    <row r="7989" spans="1:10">
      <c r="A7989" s="7" t="s">
        <v>8023</v>
      </c>
      <c r="B7989" s="7" t="s">
        <v>9856</v>
      </c>
      <c r="C7989" s="8">
        <f>QS.CONTEXT.CREATE("market.7987",A7989,"USD","SOFR")</f>
        <v/>
      </c>
      <c r="D7989" s="8">
        <f>QS.CONTEXT.ADD.CURVE(C7989,"SOFR",$K$2:$K$7,$L$2:$L$7,,,"Actual360","LogLinear",TRUE)</f>
        <v/>
      </c>
      <c r="E7989" s="8">
        <f>QS.INSTRUMENT.SWAP("swap.7987",C7989,H7989,B7989,"USD","SOFR",I7989,J7989,0,"Actual360","Simple","Annual","Annual","Annual")</f>
        <v/>
      </c>
      <c r="F7989" s="8">
        <f>QS.TRADE.CREATE("trade.7987",C7989,E7989,A7989,"Receive")</f>
        <v/>
      </c>
      <c r="G7989" s="5"/>
      <c r="H7989" s="7" t="s">
        <v>8030</v>
      </c>
      <c r="I7989" s="9">
        <v>1798700</v>
      </c>
      <c r="J7989" s="10">
        <v>0.03870000000000001</v>
      </c>
    </row>
    <row r="7990" spans="1:10">
      <c r="A7990" s="7" t="s">
        <v>8024</v>
      </c>
      <c r="B7990" s="7" t="s">
        <v>9857</v>
      </c>
      <c r="C7990" s="8">
        <f>QS.CONTEXT.CREATE("market.7988",A7990,"USD","SOFR")</f>
        <v/>
      </c>
      <c r="D7990" s="8">
        <f>QS.CONTEXT.ADD.CURVE(C7990,"SOFR",$K$2:$K$7,$L$2:$L$7,,,"Actual360","LogLinear",TRUE)</f>
        <v/>
      </c>
      <c r="E7990" s="8">
        <f>QS.INSTRUMENT.SWAP("swap.7988",C7990,H7990,B7990,"USD","SOFR",I7990,J7990,0,"Actual360","Simple","Annual","Annual","Annual")</f>
        <v/>
      </c>
      <c r="F7990" s="8">
        <f>QS.TRADE.CREATE("trade.7988",C7990,E7990,A7990,"Receive")</f>
        <v/>
      </c>
      <c r="G7990" s="5"/>
      <c r="H7990" s="7" t="s">
        <v>8031</v>
      </c>
      <c r="I7990" s="9">
        <v>1798800</v>
      </c>
      <c r="J7990" s="10">
        <v>0.0388</v>
      </c>
    </row>
    <row r="7991" spans="1:10">
      <c r="A7991" s="7" t="s">
        <v>8025</v>
      </c>
      <c r="B7991" s="7" t="s">
        <v>9858</v>
      </c>
      <c r="C7991" s="8">
        <f>QS.CONTEXT.CREATE("market.7989",A7991,"USD","SOFR")</f>
        <v/>
      </c>
      <c r="D7991" s="8">
        <f>QS.CONTEXT.ADD.CURVE(C7991,"SOFR",$K$2:$K$7,$L$2:$L$7,,,"Actual360","LogLinear",TRUE)</f>
        <v/>
      </c>
      <c r="E7991" s="8">
        <f>QS.INSTRUMENT.SWAP("swap.7989",C7991,H7991,B7991,"USD","SOFR",I7991,J7991,0,"Actual360","Simple","Annual","Annual","Annual")</f>
        <v/>
      </c>
      <c r="F7991" s="8">
        <f>QS.TRADE.CREATE("trade.7989",C7991,E7991,A7991,"Receive")</f>
        <v/>
      </c>
      <c r="G7991" s="5"/>
      <c r="H7991" s="7" t="s">
        <v>8032</v>
      </c>
      <c r="I7991" s="9">
        <v>1798900</v>
      </c>
      <c r="J7991" s="10">
        <v>0.0389</v>
      </c>
    </row>
    <row r="7992" spans="1:10">
      <c r="A7992" s="7" t="s">
        <v>8026</v>
      </c>
      <c r="B7992" s="7" t="s">
        <v>9859</v>
      </c>
      <c r="C7992" s="8">
        <f>QS.CONTEXT.CREATE("market.7990",A7992,"USD","SOFR")</f>
        <v/>
      </c>
      <c r="D7992" s="8">
        <f>QS.CONTEXT.ADD.CURVE(C7992,"SOFR",$K$2:$K$7,$L$2:$L$7,,,"Actual360","LogLinear",TRUE)</f>
        <v/>
      </c>
      <c r="E7992" s="8">
        <f>QS.INSTRUMENT.SWAP("swap.7990",C7992,H7992,B7992,"USD","SOFR",I7992,J7992,0,"Actual360","Simple","Annual","Annual","Annual")</f>
        <v/>
      </c>
      <c r="F7992" s="8">
        <f>QS.TRADE.CREATE("trade.7990",C7992,E7992,A7992,"Receive")</f>
        <v/>
      </c>
      <c r="G7992" s="5"/>
      <c r="H7992" s="7" t="s">
        <v>8033</v>
      </c>
      <c r="I7992" s="9">
        <v>1799000</v>
      </c>
      <c r="J7992" s="10">
        <v>0.03900000000000001</v>
      </c>
    </row>
    <row r="7993" spans="1:10">
      <c r="A7993" s="7" t="s">
        <v>8027</v>
      </c>
      <c r="B7993" s="7" t="s">
        <v>9860</v>
      </c>
      <c r="C7993" s="8">
        <f>QS.CONTEXT.CREATE("market.7991",A7993,"USD","SOFR")</f>
        <v/>
      </c>
      <c r="D7993" s="8">
        <f>QS.CONTEXT.ADD.CURVE(C7993,"SOFR",$K$2:$K$7,$L$2:$L$7,,,"Actual360","LogLinear",TRUE)</f>
        <v/>
      </c>
      <c r="E7993" s="8">
        <f>QS.INSTRUMENT.SWAP("swap.7991",C7993,H7993,B7993,"USD","SOFR",I7993,J7993,0,"Actual360","Simple","Annual","Annual","Annual")</f>
        <v/>
      </c>
      <c r="F7993" s="8">
        <f>QS.TRADE.CREATE("trade.7991",C7993,E7993,A7993,"Receive")</f>
        <v/>
      </c>
      <c r="G7993" s="5"/>
      <c r="H7993" s="7" t="s">
        <v>8034</v>
      </c>
      <c r="I7993" s="9">
        <v>1799100</v>
      </c>
      <c r="J7993" s="10">
        <v>0.0391</v>
      </c>
    </row>
    <row r="7994" spans="1:10">
      <c r="A7994" s="7" t="s">
        <v>8028</v>
      </c>
      <c r="B7994" s="7" t="s">
        <v>9861</v>
      </c>
      <c r="C7994" s="8">
        <f>QS.CONTEXT.CREATE("market.7992",A7994,"USD","SOFR")</f>
        <v/>
      </c>
      <c r="D7994" s="8">
        <f>QS.CONTEXT.ADD.CURVE(C7994,"SOFR",$K$2:$K$7,$L$2:$L$7,,,"Actual360","LogLinear",TRUE)</f>
        <v/>
      </c>
      <c r="E7994" s="8">
        <f>QS.INSTRUMENT.SWAP("swap.7992",C7994,H7994,B7994,"USD","SOFR",I7994,J7994,0,"Actual360","Simple","Annual","Annual","Annual")</f>
        <v/>
      </c>
      <c r="F7994" s="8">
        <f>QS.TRADE.CREATE("trade.7992",C7994,E7994,A7994,"Receive")</f>
        <v/>
      </c>
      <c r="G7994" s="5"/>
      <c r="H7994" s="7" t="s">
        <v>8035</v>
      </c>
      <c r="I7994" s="9">
        <v>1799200</v>
      </c>
      <c r="J7994" s="10">
        <v>0.03920000000000001</v>
      </c>
    </row>
    <row r="7995" spans="1:10">
      <c r="A7995" s="7" t="s">
        <v>8029</v>
      </c>
      <c r="B7995" s="7" t="s">
        <v>9862</v>
      </c>
      <c r="C7995" s="8">
        <f>QS.CONTEXT.CREATE("market.7993",A7995,"USD","SOFR")</f>
        <v/>
      </c>
      <c r="D7995" s="8">
        <f>QS.CONTEXT.ADD.CURVE(C7995,"SOFR",$K$2:$K$7,$L$2:$L$7,,,"Actual360","LogLinear",TRUE)</f>
        <v/>
      </c>
      <c r="E7995" s="8">
        <f>QS.INSTRUMENT.SWAP("swap.7993",C7995,H7995,B7995,"USD","SOFR",I7995,J7995,0,"Actual360","Simple","Annual","Annual","Annual")</f>
        <v/>
      </c>
      <c r="F7995" s="8">
        <f>QS.TRADE.CREATE("trade.7993",C7995,E7995,A7995,"Receive")</f>
        <v/>
      </c>
      <c r="G7995" s="5"/>
      <c r="H7995" s="7" t="s">
        <v>8036</v>
      </c>
      <c r="I7995" s="9">
        <v>1799300</v>
      </c>
      <c r="J7995" s="10">
        <v>0.0393</v>
      </c>
    </row>
    <row r="7996" spans="1:10">
      <c r="A7996" s="7" t="s">
        <v>8030</v>
      </c>
      <c r="B7996" s="7" t="s">
        <v>9863</v>
      </c>
      <c r="C7996" s="8">
        <f>QS.CONTEXT.CREATE("market.7994",A7996,"USD","SOFR")</f>
        <v/>
      </c>
      <c r="D7996" s="8">
        <f>QS.CONTEXT.ADD.CURVE(C7996,"SOFR",$K$2:$K$7,$L$2:$L$7,,,"Actual360","LogLinear",TRUE)</f>
        <v/>
      </c>
      <c r="E7996" s="8">
        <f>QS.INSTRUMENT.SWAP("swap.7994",C7996,H7996,B7996,"USD","SOFR",I7996,J7996,0,"Actual360","Simple","Annual","Annual","Annual")</f>
        <v/>
      </c>
      <c r="F7996" s="8">
        <f>QS.TRADE.CREATE("trade.7994",C7996,E7996,A7996,"Receive")</f>
        <v/>
      </c>
      <c r="G7996" s="5"/>
      <c r="H7996" s="7" t="s">
        <v>8037</v>
      </c>
      <c r="I7996" s="9">
        <v>1799400</v>
      </c>
      <c r="J7996" s="10">
        <v>0.0394</v>
      </c>
    </row>
    <row r="7997" spans="1:10">
      <c r="A7997" s="7" t="s">
        <v>8031</v>
      </c>
      <c r="B7997" s="7" t="s">
        <v>9864</v>
      </c>
      <c r="C7997" s="8">
        <f>QS.CONTEXT.CREATE("market.7995",A7997,"USD","SOFR")</f>
        <v/>
      </c>
      <c r="D7997" s="8">
        <f>QS.CONTEXT.ADD.CURVE(C7997,"SOFR",$K$2:$K$7,$L$2:$L$7,,,"Actual360","LogLinear",TRUE)</f>
        <v/>
      </c>
      <c r="E7997" s="8">
        <f>QS.INSTRUMENT.SWAP("swap.7995",C7997,H7997,B7997,"USD","SOFR",I7997,J7997,0,"Actual360","Simple","Annual","Annual","Annual")</f>
        <v/>
      </c>
      <c r="F7997" s="8">
        <f>QS.TRADE.CREATE("trade.7995",C7997,E7997,A7997,"Receive")</f>
        <v/>
      </c>
      <c r="G7997" s="5"/>
      <c r="H7997" s="7" t="s">
        <v>8038</v>
      </c>
      <c r="I7997" s="9">
        <v>1799500</v>
      </c>
      <c r="J7997" s="10">
        <v>0.03950000000000001</v>
      </c>
    </row>
    <row r="7998" spans="1:10">
      <c r="A7998" s="7" t="s">
        <v>8032</v>
      </c>
      <c r="B7998" s="7" t="s">
        <v>9865</v>
      </c>
      <c r="C7998" s="8">
        <f>QS.CONTEXT.CREATE("market.7996",A7998,"USD","SOFR")</f>
        <v/>
      </c>
      <c r="D7998" s="8">
        <f>QS.CONTEXT.ADD.CURVE(C7998,"SOFR",$K$2:$K$7,$L$2:$L$7,,,"Actual360","LogLinear",TRUE)</f>
        <v/>
      </c>
      <c r="E7998" s="8">
        <f>QS.INSTRUMENT.SWAP("swap.7996",C7998,H7998,B7998,"USD","SOFR",I7998,J7998,0,"Actual360","Simple","Annual","Annual","Annual")</f>
        <v/>
      </c>
      <c r="F7998" s="8">
        <f>QS.TRADE.CREATE("trade.7996",C7998,E7998,A7998,"Receive")</f>
        <v/>
      </c>
      <c r="G7998" s="5"/>
      <c r="H7998" s="7" t="s">
        <v>8039</v>
      </c>
      <c r="I7998" s="9">
        <v>1799600</v>
      </c>
      <c r="J7998" s="10">
        <v>0.0396</v>
      </c>
    </row>
    <row r="7999" spans="1:10">
      <c r="A7999" s="7" t="s">
        <v>8033</v>
      </c>
      <c r="B7999" s="7" t="s">
        <v>9866</v>
      </c>
      <c r="C7999" s="8">
        <f>QS.CONTEXT.CREATE("market.7997",A7999,"USD","SOFR")</f>
        <v/>
      </c>
      <c r="D7999" s="8">
        <f>QS.CONTEXT.ADD.CURVE(C7999,"SOFR",$K$2:$K$7,$L$2:$L$7,,,"Actual360","LogLinear",TRUE)</f>
        <v/>
      </c>
      <c r="E7999" s="8">
        <f>QS.INSTRUMENT.SWAP("swap.7997",C7999,H7999,B7999,"USD","SOFR",I7999,J7999,0,"Actual360","Simple","Annual","Annual","Annual")</f>
        <v/>
      </c>
      <c r="F7999" s="8">
        <f>QS.TRADE.CREATE("trade.7997",C7999,E7999,A7999,"Receive")</f>
        <v/>
      </c>
      <c r="G7999" s="5"/>
      <c r="H7999" s="7" t="s">
        <v>8040</v>
      </c>
      <c r="I7999" s="9">
        <v>1799700</v>
      </c>
      <c r="J7999" s="10">
        <v>0.03970000000000001</v>
      </c>
    </row>
    <row r="8000" spans="1:10">
      <c r="A8000" s="7" t="s">
        <v>8034</v>
      </c>
      <c r="B8000" s="7" t="s">
        <v>9867</v>
      </c>
      <c r="C8000" s="8">
        <f>QS.CONTEXT.CREATE("market.7998",A8000,"USD","SOFR")</f>
        <v/>
      </c>
      <c r="D8000" s="8">
        <f>QS.CONTEXT.ADD.CURVE(C8000,"SOFR",$K$2:$K$7,$L$2:$L$7,,,"Actual360","LogLinear",TRUE)</f>
        <v/>
      </c>
      <c r="E8000" s="8">
        <f>QS.INSTRUMENT.SWAP("swap.7998",C8000,H8000,B8000,"USD","SOFR",I8000,J8000,0,"Actual360","Simple","Annual","Annual","Annual")</f>
        <v/>
      </c>
      <c r="F8000" s="8">
        <f>QS.TRADE.CREATE("trade.7998",C8000,E8000,A8000,"Receive")</f>
        <v/>
      </c>
      <c r="G8000" s="5"/>
      <c r="H8000" s="7" t="s">
        <v>8041</v>
      </c>
      <c r="I8000" s="9">
        <v>1799800</v>
      </c>
      <c r="J8000" s="10">
        <v>0.0398</v>
      </c>
    </row>
    <row r="8001" spans="1:10">
      <c r="A8001" s="7" t="s">
        <v>8035</v>
      </c>
      <c r="B8001" s="7" t="s">
        <v>9868</v>
      </c>
      <c r="C8001" s="8">
        <f>QS.CONTEXT.CREATE("market.7999",A8001,"USD","SOFR")</f>
        <v/>
      </c>
      <c r="D8001" s="8">
        <f>QS.CONTEXT.ADD.CURVE(C8001,"SOFR",$K$2:$K$7,$L$2:$L$7,,,"Actual360","LogLinear",TRUE)</f>
        <v/>
      </c>
      <c r="E8001" s="8">
        <f>QS.INSTRUMENT.SWAP("swap.7999",C8001,H8001,B8001,"USD","SOFR",I8001,J8001,0,"Actual360","Simple","Annual","Annual","Annual")</f>
        <v/>
      </c>
      <c r="F8001" s="8">
        <f>QS.TRADE.CREATE("trade.7999",C8001,E8001,A8001,"Receive")</f>
        <v/>
      </c>
      <c r="G8001" s="5"/>
      <c r="H8001" s="7" t="s">
        <v>8042</v>
      </c>
      <c r="I8001" s="9">
        <v>1799900</v>
      </c>
      <c r="J8001" s="10">
        <v>0.0399</v>
      </c>
    </row>
    <row r="8002" spans="1:10">
      <c r="A8002" s="7" t="s">
        <v>8036</v>
      </c>
      <c r="B8002" s="7" t="s">
        <v>9869</v>
      </c>
      <c r="C8002" s="8">
        <f>QS.CONTEXT.CREATE("market.8000",A8002,"USD","SOFR")</f>
        <v/>
      </c>
      <c r="D8002" s="8">
        <f>QS.CONTEXT.ADD.CURVE(C8002,"SOFR",$K$2:$K$7,$L$2:$L$7,,,"Actual360","LogLinear",TRUE)</f>
        <v/>
      </c>
      <c r="E8002" s="8">
        <f>QS.INSTRUMENT.SWAP("swap.8000",C8002,H8002,B8002,"USD","SOFR",I8002,J8002,0,"Actual360","Simple","Annual","Annual","Annual")</f>
        <v/>
      </c>
      <c r="F8002" s="8">
        <f>QS.TRADE.CREATE("trade.8000",C8002,E8002,A8002,"Receive")</f>
        <v/>
      </c>
      <c r="G8002" s="5"/>
      <c r="H8002" s="7" t="s">
        <v>8043</v>
      </c>
      <c r="I8002" s="9">
        <v>1800000</v>
      </c>
      <c r="J8002" s="10">
        <v>0.035</v>
      </c>
    </row>
    <row r="8003" spans="1:10">
      <c r="A8003" s="7" t="s">
        <v>8037</v>
      </c>
      <c r="B8003" s="7" t="s">
        <v>9870</v>
      </c>
      <c r="C8003" s="8">
        <f>QS.CONTEXT.CREATE("market.8001",A8003,"USD","SOFR")</f>
        <v/>
      </c>
      <c r="D8003" s="8">
        <f>QS.CONTEXT.ADD.CURVE(C8003,"SOFR",$K$2:$K$7,$L$2:$L$7,,,"Actual360","LogLinear",TRUE)</f>
        <v/>
      </c>
      <c r="E8003" s="8">
        <f>QS.INSTRUMENT.SWAP("swap.8001",C8003,H8003,B8003,"USD","SOFR",I8003,J8003,0,"Actual360","Simple","Annual","Annual","Annual")</f>
        <v/>
      </c>
      <c r="F8003" s="8">
        <f>QS.TRADE.CREATE("trade.8001",C8003,E8003,A8003,"Receive")</f>
        <v/>
      </c>
      <c r="G8003" s="5"/>
      <c r="H8003" s="7" t="s">
        <v>8044</v>
      </c>
      <c r="I8003" s="9">
        <v>1800100</v>
      </c>
      <c r="J8003" s="10">
        <v>0.03510000000000001</v>
      </c>
    </row>
    <row r="8004" spans="1:10">
      <c r="A8004" s="7" t="s">
        <v>8038</v>
      </c>
      <c r="B8004" s="7" t="s">
        <v>9871</v>
      </c>
      <c r="C8004" s="8">
        <f>QS.CONTEXT.CREATE("market.8002",A8004,"USD","SOFR")</f>
        <v/>
      </c>
      <c r="D8004" s="8">
        <f>QS.CONTEXT.ADD.CURVE(C8004,"SOFR",$K$2:$K$7,$L$2:$L$7,,,"Actual360","LogLinear",TRUE)</f>
        <v/>
      </c>
      <c r="E8004" s="8">
        <f>QS.INSTRUMENT.SWAP("swap.8002",C8004,H8004,B8004,"USD","SOFR",I8004,J8004,0,"Actual360","Simple","Annual","Annual","Annual")</f>
        <v/>
      </c>
      <c r="F8004" s="8">
        <f>QS.TRADE.CREATE("trade.8002",C8004,E8004,A8004,"Receive")</f>
        <v/>
      </c>
      <c r="G8004" s="5"/>
      <c r="H8004" s="7" t="s">
        <v>8045</v>
      </c>
      <c r="I8004" s="9">
        <v>1800200</v>
      </c>
      <c r="J8004" s="10">
        <v>0.0352</v>
      </c>
    </row>
    <row r="8005" spans="1:10">
      <c r="A8005" s="7" t="s">
        <v>8039</v>
      </c>
      <c r="B8005" s="7" t="s">
        <v>9872</v>
      </c>
      <c r="C8005" s="8">
        <f>QS.CONTEXT.CREATE("market.8003",A8005,"USD","SOFR")</f>
        <v/>
      </c>
      <c r="D8005" s="8">
        <f>QS.CONTEXT.ADD.CURVE(C8005,"SOFR",$K$2:$K$7,$L$2:$L$7,,,"Actual360","LogLinear",TRUE)</f>
        <v/>
      </c>
      <c r="E8005" s="8">
        <f>QS.INSTRUMENT.SWAP("swap.8003",C8005,H8005,B8005,"USD","SOFR",I8005,J8005,0,"Actual360","Simple","Annual","Annual","Annual")</f>
        <v/>
      </c>
      <c r="F8005" s="8">
        <f>QS.TRADE.CREATE("trade.8003",C8005,E8005,A8005,"Receive")</f>
        <v/>
      </c>
      <c r="G8005" s="5"/>
      <c r="H8005" s="7" t="s">
        <v>8046</v>
      </c>
      <c r="I8005" s="9">
        <v>1800300</v>
      </c>
      <c r="J8005" s="10">
        <v>0.0353</v>
      </c>
    </row>
    <row r="8006" spans="1:10">
      <c r="A8006" s="7" t="s">
        <v>8040</v>
      </c>
      <c r="B8006" s="7" t="s">
        <v>9873</v>
      </c>
      <c r="C8006" s="8">
        <f>QS.CONTEXT.CREATE("market.8004",A8006,"USD","SOFR")</f>
        <v/>
      </c>
      <c r="D8006" s="8">
        <f>QS.CONTEXT.ADD.CURVE(C8006,"SOFR",$K$2:$K$7,$L$2:$L$7,,,"Actual360","LogLinear",TRUE)</f>
        <v/>
      </c>
      <c r="E8006" s="8">
        <f>QS.INSTRUMENT.SWAP("swap.8004",C8006,H8006,B8006,"USD","SOFR",I8006,J8006,0,"Actual360","Simple","Annual","Annual","Annual")</f>
        <v/>
      </c>
      <c r="F8006" s="8">
        <f>QS.TRADE.CREATE("trade.8004",C8006,E8006,A8006,"Receive")</f>
        <v/>
      </c>
      <c r="G8006" s="5"/>
      <c r="H8006" s="7" t="s">
        <v>8047</v>
      </c>
      <c r="I8006" s="9">
        <v>1800400</v>
      </c>
      <c r="J8006" s="10">
        <v>0.0354</v>
      </c>
    </row>
    <row r="8007" spans="1:10">
      <c r="A8007" s="7" t="s">
        <v>8041</v>
      </c>
      <c r="B8007" s="7" t="s">
        <v>9874</v>
      </c>
      <c r="C8007" s="8">
        <f>QS.CONTEXT.CREATE("market.8005",A8007,"USD","SOFR")</f>
        <v/>
      </c>
      <c r="D8007" s="8">
        <f>QS.CONTEXT.ADD.CURVE(C8007,"SOFR",$K$2:$K$7,$L$2:$L$7,,,"Actual360","LogLinear",TRUE)</f>
        <v/>
      </c>
      <c r="E8007" s="8">
        <f>QS.INSTRUMENT.SWAP("swap.8005",C8007,H8007,B8007,"USD","SOFR",I8007,J8007,0,"Actual360","Simple","Annual","Annual","Annual")</f>
        <v/>
      </c>
      <c r="F8007" s="8">
        <f>QS.TRADE.CREATE("trade.8005",C8007,E8007,A8007,"Receive")</f>
        <v/>
      </c>
      <c r="G8007" s="5"/>
      <c r="H8007" s="7" t="s">
        <v>8048</v>
      </c>
      <c r="I8007" s="9">
        <v>1800500</v>
      </c>
      <c r="J8007" s="10">
        <v>0.0355</v>
      </c>
    </row>
    <row r="8008" spans="1:10">
      <c r="A8008" s="7" t="s">
        <v>8042</v>
      </c>
      <c r="B8008" s="7" t="s">
        <v>9875</v>
      </c>
      <c r="C8008" s="8">
        <f>QS.CONTEXT.CREATE("market.8006",A8008,"USD","SOFR")</f>
        <v/>
      </c>
      <c r="D8008" s="8">
        <f>QS.CONTEXT.ADD.CURVE(C8008,"SOFR",$K$2:$K$7,$L$2:$L$7,,,"Actual360","LogLinear",TRUE)</f>
        <v/>
      </c>
      <c r="E8008" s="8">
        <f>QS.INSTRUMENT.SWAP("swap.8006",C8008,H8008,B8008,"USD","SOFR",I8008,J8008,0,"Actual360","Simple","Annual","Annual","Annual")</f>
        <v/>
      </c>
      <c r="F8008" s="8">
        <f>QS.TRADE.CREATE("trade.8006",C8008,E8008,A8008,"Receive")</f>
        <v/>
      </c>
      <c r="G8008" s="5"/>
      <c r="H8008" s="7" t="s">
        <v>8049</v>
      </c>
      <c r="I8008" s="9">
        <v>1800600</v>
      </c>
      <c r="J8008" s="10">
        <v>0.03560000000000001</v>
      </c>
    </row>
    <row r="8009" spans="1:10">
      <c r="A8009" s="7" t="s">
        <v>8043</v>
      </c>
      <c r="B8009" s="7" t="s">
        <v>9876</v>
      </c>
      <c r="C8009" s="8">
        <f>QS.CONTEXT.CREATE("market.8007",A8009,"USD","SOFR")</f>
        <v/>
      </c>
      <c r="D8009" s="8">
        <f>QS.CONTEXT.ADD.CURVE(C8009,"SOFR",$K$2:$K$7,$L$2:$L$7,,,"Actual360","LogLinear",TRUE)</f>
        <v/>
      </c>
      <c r="E8009" s="8">
        <f>QS.INSTRUMENT.SWAP("swap.8007",C8009,H8009,B8009,"USD","SOFR",I8009,J8009,0,"Actual360","Simple","Annual","Annual","Annual")</f>
        <v/>
      </c>
      <c r="F8009" s="8">
        <f>QS.TRADE.CREATE("trade.8007",C8009,E8009,A8009,"Receive")</f>
        <v/>
      </c>
      <c r="G8009" s="5"/>
      <c r="H8009" s="7" t="s">
        <v>8050</v>
      </c>
      <c r="I8009" s="9">
        <v>1800700</v>
      </c>
      <c r="J8009" s="10">
        <v>0.0357</v>
      </c>
    </row>
    <row r="8010" spans="1:10">
      <c r="A8010" s="7" t="s">
        <v>8044</v>
      </c>
      <c r="B8010" s="7" t="s">
        <v>9877</v>
      </c>
      <c r="C8010" s="8">
        <f>QS.CONTEXT.CREATE("market.8008",A8010,"USD","SOFR")</f>
        <v/>
      </c>
      <c r="D8010" s="8">
        <f>QS.CONTEXT.ADD.CURVE(C8010,"SOFR",$K$2:$K$7,$L$2:$L$7,,,"Actual360","LogLinear",TRUE)</f>
        <v/>
      </c>
      <c r="E8010" s="8">
        <f>QS.INSTRUMENT.SWAP("swap.8008",C8010,H8010,B8010,"USD","SOFR",I8010,J8010,0,"Actual360","Simple","Annual","Annual","Annual")</f>
        <v/>
      </c>
      <c r="F8010" s="8">
        <f>QS.TRADE.CREATE("trade.8008",C8010,E8010,A8010,"Receive")</f>
        <v/>
      </c>
      <c r="G8010" s="5"/>
      <c r="H8010" s="7" t="s">
        <v>8051</v>
      </c>
      <c r="I8010" s="9">
        <v>1800800</v>
      </c>
      <c r="J8010" s="10">
        <v>0.03580000000000001</v>
      </c>
    </row>
    <row r="8011" spans="1:10">
      <c r="A8011" s="7" t="s">
        <v>8045</v>
      </c>
      <c r="B8011" s="7" t="s">
        <v>9878</v>
      </c>
      <c r="C8011" s="8">
        <f>QS.CONTEXT.CREATE("market.8009",A8011,"USD","SOFR")</f>
        <v/>
      </c>
      <c r="D8011" s="8">
        <f>QS.CONTEXT.ADD.CURVE(C8011,"SOFR",$K$2:$K$7,$L$2:$L$7,,,"Actual360","LogLinear",TRUE)</f>
        <v/>
      </c>
      <c r="E8011" s="8">
        <f>QS.INSTRUMENT.SWAP("swap.8009",C8011,H8011,B8011,"USD","SOFR",I8011,J8011,0,"Actual360","Simple","Annual","Annual","Annual")</f>
        <v/>
      </c>
      <c r="F8011" s="8">
        <f>QS.TRADE.CREATE("trade.8009",C8011,E8011,A8011,"Receive")</f>
        <v/>
      </c>
      <c r="G8011" s="5"/>
      <c r="H8011" s="7" t="s">
        <v>8052</v>
      </c>
      <c r="I8011" s="9">
        <v>1800900</v>
      </c>
      <c r="J8011" s="10">
        <v>0.0359</v>
      </c>
    </row>
    <row r="8012" spans="1:10">
      <c r="A8012" s="7" t="s">
        <v>8046</v>
      </c>
      <c r="B8012" s="7" t="s">
        <v>9879</v>
      </c>
      <c r="C8012" s="8">
        <f>QS.CONTEXT.CREATE("market.8010",A8012,"USD","SOFR")</f>
        <v/>
      </c>
      <c r="D8012" s="8">
        <f>QS.CONTEXT.ADD.CURVE(C8012,"SOFR",$K$2:$K$7,$L$2:$L$7,,,"Actual360","LogLinear",TRUE)</f>
        <v/>
      </c>
      <c r="E8012" s="8">
        <f>QS.INSTRUMENT.SWAP("swap.8010",C8012,H8012,B8012,"USD","SOFR",I8012,J8012,0,"Actual360","Simple","Annual","Annual","Annual")</f>
        <v/>
      </c>
      <c r="F8012" s="8">
        <f>QS.TRADE.CREATE("trade.8010",C8012,E8012,A8012,"Receive")</f>
        <v/>
      </c>
      <c r="G8012" s="5"/>
      <c r="H8012" s="7" t="s">
        <v>8053</v>
      </c>
      <c r="I8012" s="9">
        <v>1801000</v>
      </c>
      <c r="J8012" s="10">
        <v>0.036</v>
      </c>
    </row>
    <row r="8013" spans="1:10">
      <c r="A8013" s="7" t="s">
        <v>8047</v>
      </c>
      <c r="B8013" s="7" t="s">
        <v>9880</v>
      </c>
      <c r="C8013" s="8">
        <f>QS.CONTEXT.CREATE("market.8011",A8013,"USD","SOFR")</f>
        <v/>
      </c>
      <c r="D8013" s="8">
        <f>QS.CONTEXT.ADD.CURVE(C8013,"SOFR",$K$2:$K$7,$L$2:$L$7,,,"Actual360","LogLinear",TRUE)</f>
        <v/>
      </c>
      <c r="E8013" s="8">
        <f>QS.INSTRUMENT.SWAP("swap.8011",C8013,H8013,B8013,"USD","SOFR",I8013,J8013,0,"Actual360","Simple","Annual","Annual","Annual")</f>
        <v/>
      </c>
      <c r="F8013" s="8">
        <f>QS.TRADE.CREATE("trade.8011",C8013,E8013,A8013,"Receive")</f>
        <v/>
      </c>
      <c r="G8013" s="5"/>
      <c r="H8013" s="7" t="s">
        <v>8054</v>
      </c>
      <c r="I8013" s="9">
        <v>1801100</v>
      </c>
      <c r="J8013" s="10">
        <v>0.0361</v>
      </c>
    </row>
    <row r="8014" spans="1:10">
      <c r="A8014" s="7" t="s">
        <v>8048</v>
      </c>
      <c r="B8014" s="7" t="s">
        <v>9881</v>
      </c>
      <c r="C8014" s="8">
        <f>QS.CONTEXT.CREATE("market.8012",A8014,"USD","SOFR")</f>
        <v/>
      </c>
      <c r="D8014" s="8">
        <f>QS.CONTEXT.ADD.CURVE(C8014,"SOFR",$K$2:$K$7,$L$2:$L$7,,,"Actual360","LogLinear",TRUE)</f>
        <v/>
      </c>
      <c r="E8014" s="8">
        <f>QS.INSTRUMENT.SWAP("swap.8012",C8014,H8014,B8014,"USD","SOFR",I8014,J8014,0,"Actual360","Simple","Annual","Annual","Annual")</f>
        <v/>
      </c>
      <c r="F8014" s="8">
        <f>QS.TRADE.CREATE("trade.8012",C8014,E8014,A8014,"Receive")</f>
        <v/>
      </c>
      <c r="G8014" s="5"/>
      <c r="H8014" s="7" t="s">
        <v>8055</v>
      </c>
      <c r="I8014" s="9">
        <v>1801200</v>
      </c>
      <c r="J8014" s="10">
        <v>0.0362</v>
      </c>
    </row>
    <row r="8015" spans="1:10">
      <c r="A8015" s="7" t="s">
        <v>8049</v>
      </c>
      <c r="B8015" s="7" t="s">
        <v>9882</v>
      </c>
      <c r="C8015" s="8">
        <f>QS.CONTEXT.CREATE("market.8013",A8015,"USD","SOFR")</f>
        <v/>
      </c>
      <c r="D8015" s="8">
        <f>QS.CONTEXT.ADD.CURVE(C8015,"SOFR",$K$2:$K$7,$L$2:$L$7,,,"Actual360","LogLinear",TRUE)</f>
        <v/>
      </c>
      <c r="E8015" s="8">
        <f>QS.INSTRUMENT.SWAP("swap.8013",C8015,H8015,B8015,"USD","SOFR",I8015,J8015,0,"Actual360","Simple","Annual","Annual","Annual")</f>
        <v/>
      </c>
      <c r="F8015" s="8">
        <f>QS.TRADE.CREATE("trade.8013",C8015,E8015,A8015,"Receive")</f>
        <v/>
      </c>
      <c r="G8015" s="5"/>
      <c r="H8015" s="7" t="s">
        <v>8056</v>
      </c>
      <c r="I8015" s="9">
        <v>1801300</v>
      </c>
      <c r="J8015" s="10">
        <v>0.03630000000000001</v>
      </c>
    </row>
    <row r="8016" spans="1:10">
      <c r="A8016" s="7" t="s">
        <v>8050</v>
      </c>
      <c r="B8016" s="7" t="s">
        <v>9883</v>
      </c>
      <c r="C8016" s="8">
        <f>QS.CONTEXT.CREATE("market.8014",A8016,"USD","SOFR")</f>
        <v/>
      </c>
      <c r="D8016" s="8">
        <f>QS.CONTEXT.ADD.CURVE(C8016,"SOFR",$K$2:$K$7,$L$2:$L$7,,,"Actual360","LogLinear",TRUE)</f>
        <v/>
      </c>
      <c r="E8016" s="8">
        <f>QS.INSTRUMENT.SWAP("swap.8014",C8016,H8016,B8016,"USD","SOFR",I8016,J8016,0,"Actual360","Simple","Annual","Annual","Annual")</f>
        <v/>
      </c>
      <c r="F8016" s="8">
        <f>QS.TRADE.CREATE("trade.8014",C8016,E8016,A8016,"Receive")</f>
        <v/>
      </c>
      <c r="G8016" s="5"/>
      <c r="H8016" s="7" t="s">
        <v>8057</v>
      </c>
      <c r="I8016" s="9">
        <v>1801400</v>
      </c>
      <c r="J8016" s="10">
        <v>0.0364</v>
      </c>
    </row>
    <row r="8017" spans="1:10">
      <c r="A8017" s="7" t="s">
        <v>8051</v>
      </c>
      <c r="B8017" s="7" t="s">
        <v>9884</v>
      </c>
      <c r="C8017" s="8">
        <f>QS.CONTEXT.CREATE("market.8015",A8017,"USD","SOFR")</f>
        <v/>
      </c>
      <c r="D8017" s="8">
        <f>QS.CONTEXT.ADD.CURVE(C8017,"SOFR",$K$2:$K$7,$L$2:$L$7,,,"Actual360","LogLinear",TRUE)</f>
        <v/>
      </c>
      <c r="E8017" s="8">
        <f>QS.INSTRUMENT.SWAP("swap.8015",C8017,H8017,B8017,"USD","SOFR",I8017,J8017,0,"Actual360","Simple","Annual","Annual","Annual")</f>
        <v/>
      </c>
      <c r="F8017" s="8">
        <f>QS.TRADE.CREATE("trade.8015",C8017,E8017,A8017,"Receive")</f>
        <v/>
      </c>
      <c r="G8017" s="5"/>
      <c r="H8017" s="7" t="s">
        <v>8058</v>
      </c>
      <c r="I8017" s="9">
        <v>1801500</v>
      </c>
      <c r="J8017" s="10">
        <v>0.0365</v>
      </c>
    </row>
    <row r="8018" spans="1:10">
      <c r="A8018" s="7" t="s">
        <v>8052</v>
      </c>
      <c r="B8018" s="7" t="s">
        <v>9885</v>
      </c>
      <c r="C8018" s="8">
        <f>QS.CONTEXT.CREATE("market.8016",A8018,"USD","SOFR")</f>
        <v/>
      </c>
      <c r="D8018" s="8">
        <f>QS.CONTEXT.ADD.CURVE(C8018,"SOFR",$K$2:$K$7,$L$2:$L$7,,,"Actual360","LogLinear",TRUE)</f>
        <v/>
      </c>
      <c r="E8018" s="8">
        <f>QS.INSTRUMENT.SWAP("swap.8016",C8018,H8018,B8018,"USD","SOFR",I8018,J8018,0,"Actual360","Simple","Annual","Annual","Annual")</f>
        <v/>
      </c>
      <c r="F8018" s="8">
        <f>QS.TRADE.CREATE("trade.8016",C8018,E8018,A8018,"Receive")</f>
        <v/>
      </c>
      <c r="G8018" s="5"/>
      <c r="H8018" s="7" t="s">
        <v>8059</v>
      </c>
      <c r="I8018" s="9">
        <v>1801600</v>
      </c>
      <c r="J8018" s="10">
        <v>0.0366</v>
      </c>
    </row>
    <row r="8019" spans="1:10">
      <c r="A8019" s="7" t="s">
        <v>8053</v>
      </c>
      <c r="B8019" s="7" t="s">
        <v>9886</v>
      </c>
      <c r="C8019" s="8">
        <f>QS.CONTEXT.CREATE("market.8017",A8019,"USD","SOFR")</f>
        <v/>
      </c>
      <c r="D8019" s="8">
        <f>QS.CONTEXT.ADD.CURVE(C8019,"SOFR",$K$2:$K$7,$L$2:$L$7,,,"Actual360","LogLinear",TRUE)</f>
        <v/>
      </c>
      <c r="E8019" s="8">
        <f>QS.INSTRUMENT.SWAP("swap.8017",C8019,H8019,B8019,"USD","SOFR",I8019,J8019,0,"Actual360","Simple","Annual","Annual","Annual")</f>
        <v/>
      </c>
      <c r="F8019" s="8">
        <f>QS.TRADE.CREATE("trade.8017",C8019,E8019,A8019,"Receive")</f>
        <v/>
      </c>
      <c r="G8019" s="5"/>
      <c r="H8019" s="7" t="s">
        <v>8060</v>
      </c>
      <c r="I8019" s="9">
        <v>1801700</v>
      </c>
      <c r="J8019" s="10">
        <v>0.0367</v>
      </c>
    </row>
    <row r="8020" spans="1:10">
      <c r="A8020" s="7" t="s">
        <v>8054</v>
      </c>
      <c r="B8020" s="7" t="s">
        <v>9887</v>
      </c>
      <c r="C8020" s="8">
        <f>QS.CONTEXT.CREATE("market.8018",A8020,"USD","SOFR")</f>
        <v/>
      </c>
      <c r="D8020" s="8">
        <f>QS.CONTEXT.ADD.CURVE(C8020,"SOFR",$K$2:$K$7,$L$2:$L$7,,,"Actual360","LogLinear",TRUE)</f>
        <v/>
      </c>
      <c r="E8020" s="8">
        <f>QS.INSTRUMENT.SWAP("swap.8018",C8020,H8020,B8020,"USD","SOFR",I8020,J8020,0,"Actual360","Simple","Annual","Annual","Annual")</f>
        <v/>
      </c>
      <c r="F8020" s="8">
        <f>QS.TRADE.CREATE("trade.8018",C8020,E8020,A8020,"Receive")</f>
        <v/>
      </c>
      <c r="G8020" s="5"/>
      <c r="H8020" s="7" t="s">
        <v>8061</v>
      </c>
      <c r="I8020" s="9">
        <v>1801800</v>
      </c>
      <c r="J8020" s="10">
        <v>0.03680000000000001</v>
      </c>
    </row>
    <row r="8021" spans="1:10">
      <c r="A8021" s="7" t="s">
        <v>8055</v>
      </c>
      <c r="B8021" s="7" t="s">
        <v>9888</v>
      </c>
      <c r="C8021" s="8">
        <f>QS.CONTEXT.CREATE("market.8019",A8021,"USD","SOFR")</f>
        <v/>
      </c>
      <c r="D8021" s="8">
        <f>QS.CONTEXT.ADD.CURVE(C8021,"SOFR",$K$2:$K$7,$L$2:$L$7,,,"Actual360","LogLinear",TRUE)</f>
        <v/>
      </c>
      <c r="E8021" s="8">
        <f>QS.INSTRUMENT.SWAP("swap.8019",C8021,H8021,B8021,"USD","SOFR",I8021,J8021,0,"Actual360","Simple","Annual","Annual","Annual")</f>
        <v/>
      </c>
      <c r="F8021" s="8">
        <f>QS.TRADE.CREATE("trade.8019",C8021,E8021,A8021,"Receive")</f>
        <v/>
      </c>
      <c r="G8021" s="5"/>
      <c r="H8021" s="7" t="s">
        <v>8062</v>
      </c>
      <c r="I8021" s="9">
        <v>1801900</v>
      </c>
      <c r="J8021" s="10">
        <v>0.0369</v>
      </c>
    </row>
    <row r="8022" spans="1:10">
      <c r="A8022" s="7" t="s">
        <v>8056</v>
      </c>
      <c r="B8022" s="7" t="s">
        <v>9889</v>
      </c>
      <c r="C8022" s="8">
        <f>QS.CONTEXT.CREATE("market.8020",A8022,"USD","SOFR")</f>
        <v/>
      </c>
      <c r="D8022" s="8">
        <f>QS.CONTEXT.ADD.CURVE(C8022,"SOFR",$K$2:$K$7,$L$2:$L$7,,,"Actual360","LogLinear",TRUE)</f>
        <v/>
      </c>
      <c r="E8022" s="8">
        <f>QS.INSTRUMENT.SWAP("swap.8020",C8022,H8022,B8022,"USD","SOFR",I8022,J8022,0,"Actual360","Simple","Annual","Annual","Annual")</f>
        <v/>
      </c>
      <c r="F8022" s="8">
        <f>QS.TRADE.CREATE("trade.8020",C8022,E8022,A8022,"Receive")</f>
        <v/>
      </c>
      <c r="G8022" s="5"/>
      <c r="H8022" s="7" t="s">
        <v>8063</v>
      </c>
      <c r="I8022" s="9">
        <v>1802000</v>
      </c>
      <c r="J8022" s="10">
        <v>0.03700000000000001</v>
      </c>
    </row>
    <row r="8023" spans="1:10">
      <c r="A8023" s="7" t="s">
        <v>8057</v>
      </c>
      <c r="B8023" s="7" t="s">
        <v>9890</v>
      </c>
      <c r="C8023" s="8">
        <f>QS.CONTEXT.CREATE("market.8021",A8023,"USD","SOFR")</f>
        <v/>
      </c>
      <c r="D8023" s="8">
        <f>QS.CONTEXT.ADD.CURVE(C8023,"SOFR",$K$2:$K$7,$L$2:$L$7,,,"Actual360","LogLinear",TRUE)</f>
        <v/>
      </c>
      <c r="E8023" s="8">
        <f>QS.INSTRUMENT.SWAP("swap.8021",C8023,H8023,B8023,"USD","SOFR",I8023,J8023,0,"Actual360","Simple","Annual","Annual","Annual")</f>
        <v/>
      </c>
      <c r="F8023" s="8">
        <f>QS.TRADE.CREATE("trade.8021",C8023,E8023,A8023,"Receive")</f>
        <v/>
      </c>
      <c r="G8023" s="5"/>
      <c r="H8023" s="7" t="s">
        <v>8064</v>
      </c>
      <c r="I8023" s="9">
        <v>1802100</v>
      </c>
      <c r="J8023" s="10">
        <v>0.0371</v>
      </c>
    </row>
    <row r="8024" spans="1:10">
      <c r="A8024" s="7" t="s">
        <v>8058</v>
      </c>
      <c r="B8024" s="7" t="s">
        <v>9891</v>
      </c>
      <c r="C8024" s="8">
        <f>QS.CONTEXT.CREATE("market.8022",A8024,"USD","SOFR")</f>
        <v/>
      </c>
      <c r="D8024" s="8">
        <f>QS.CONTEXT.ADD.CURVE(C8024,"SOFR",$K$2:$K$7,$L$2:$L$7,,,"Actual360","LogLinear",TRUE)</f>
        <v/>
      </c>
      <c r="E8024" s="8">
        <f>QS.INSTRUMENT.SWAP("swap.8022",C8024,H8024,B8024,"USD","SOFR",I8024,J8024,0,"Actual360","Simple","Annual","Annual","Annual")</f>
        <v/>
      </c>
      <c r="F8024" s="8">
        <f>QS.TRADE.CREATE("trade.8022",C8024,E8024,A8024,"Receive")</f>
        <v/>
      </c>
      <c r="G8024" s="5"/>
      <c r="H8024" s="7" t="s">
        <v>8065</v>
      </c>
      <c r="I8024" s="9">
        <v>1802200</v>
      </c>
      <c r="J8024" s="10">
        <v>0.0372</v>
      </c>
    </row>
    <row r="8025" spans="1:10">
      <c r="A8025" s="7" t="s">
        <v>8059</v>
      </c>
      <c r="B8025" s="7" t="s">
        <v>9892</v>
      </c>
      <c r="C8025" s="8">
        <f>QS.CONTEXT.CREATE("market.8023",A8025,"USD","SOFR")</f>
        <v/>
      </c>
      <c r="D8025" s="8">
        <f>QS.CONTEXT.ADD.CURVE(C8025,"SOFR",$K$2:$K$7,$L$2:$L$7,,,"Actual360","LogLinear",TRUE)</f>
        <v/>
      </c>
      <c r="E8025" s="8">
        <f>QS.INSTRUMENT.SWAP("swap.8023",C8025,H8025,B8025,"USD","SOFR",I8025,J8025,0,"Actual360","Simple","Annual","Annual","Annual")</f>
        <v/>
      </c>
      <c r="F8025" s="8">
        <f>QS.TRADE.CREATE("trade.8023",C8025,E8025,A8025,"Receive")</f>
        <v/>
      </c>
      <c r="G8025" s="5"/>
      <c r="H8025" s="7" t="s">
        <v>8066</v>
      </c>
      <c r="I8025" s="9">
        <v>1802300</v>
      </c>
      <c r="J8025" s="10">
        <v>0.0373</v>
      </c>
    </row>
    <row r="8026" spans="1:10">
      <c r="A8026" s="7" t="s">
        <v>8060</v>
      </c>
      <c r="B8026" s="7" t="s">
        <v>9893</v>
      </c>
      <c r="C8026" s="8">
        <f>QS.CONTEXT.CREATE("market.8024",A8026,"USD","SOFR")</f>
        <v/>
      </c>
      <c r="D8026" s="8">
        <f>QS.CONTEXT.ADD.CURVE(C8026,"SOFR",$K$2:$K$7,$L$2:$L$7,,,"Actual360","LogLinear",TRUE)</f>
        <v/>
      </c>
      <c r="E8026" s="8">
        <f>QS.INSTRUMENT.SWAP("swap.8024",C8026,H8026,B8026,"USD","SOFR",I8026,J8026,0,"Actual360","Simple","Annual","Annual","Annual")</f>
        <v/>
      </c>
      <c r="F8026" s="8">
        <f>QS.TRADE.CREATE("trade.8024",C8026,E8026,A8026,"Receive")</f>
        <v/>
      </c>
      <c r="G8026" s="5"/>
      <c r="H8026" s="7" t="s">
        <v>8067</v>
      </c>
      <c r="I8026" s="9">
        <v>1802400</v>
      </c>
      <c r="J8026" s="10">
        <v>0.0374</v>
      </c>
    </row>
    <row r="8027" spans="1:10">
      <c r="A8027" s="7" t="s">
        <v>8061</v>
      </c>
      <c r="B8027" s="7" t="s">
        <v>9894</v>
      </c>
      <c r="C8027" s="8">
        <f>QS.CONTEXT.CREATE("market.8025",A8027,"USD","SOFR")</f>
        <v/>
      </c>
      <c r="D8027" s="8">
        <f>QS.CONTEXT.ADD.CURVE(C8027,"SOFR",$K$2:$K$7,$L$2:$L$7,,,"Actual360","LogLinear",TRUE)</f>
        <v/>
      </c>
      <c r="E8027" s="8">
        <f>QS.INSTRUMENT.SWAP("swap.8025",C8027,H8027,B8027,"USD","SOFR",I8027,J8027,0,"Actual360","Simple","Annual","Annual","Annual")</f>
        <v/>
      </c>
      <c r="F8027" s="8">
        <f>QS.TRADE.CREATE("trade.8025",C8027,E8027,A8027,"Receive")</f>
        <v/>
      </c>
      <c r="G8027" s="5"/>
      <c r="H8027" s="7" t="s">
        <v>8068</v>
      </c>
      <c r="I8027" s="9">
        <v>1802500</v>
      </c>
      <c r="J8027" s="10">
        <v>0.03750000000000001</v>
      </c>
    </row>
    <row r="8028" spans="1:10">
      <c r="A8028" s="7" t="s">
        <v>8062</v>
      </c>
      <c r="B8028" s="7" t="s">
        <v>9895</v>
      </c>
      <c r="C8028" s="8">
        <f>QS.CONTEXT.CREATE("market.8026",A8028,"USD","SOFR")</f>
        <v/>
      </c>
      <c r="D8028" s="8">
        <f>QS.CONTEXT.ADD.CURVE(C8028,"SOFR",$K$2:$K$7,$L$2:$L$7,,,"Actual360","LogLinear",TRUE)</f>
        <v/>
      </c>
      <c r="E8028" s="8">
        <f>QS.INSTRUMENT.SWAP("swap.8026",C8028,H8028,B8028,"USD","SOFR",I8028,J8028,0,"Actual360","Simple","Annual","Annual","Annual")</f>
        <v/>
      </c>
      <c r="F8028" s="8">
        <f>QS.TRADE.CREATE("trade.8026",C8028,E8028,A8028,"Receive")</f>
        <v/>
      </c>
      <c r="G8028" s="5"/>
      <c r="H8028" s="7" t="s">
        <v>8069</v>
      </c>
      <c r="I8028" s="9">
        <v>1802600</v>
      </c>
      <c r="J8028" s="10">
        <v>0.0376</v>
      </c>
    </row>
    <row r="8029" spans="1:10">
      <c r="A8029" s="7" t="s">
        <v>8063</v>
      </c>
      <c r="B8029" s="7" t="s">
        <v>9896</v>
      </c>
      <c r="C8029" s="8">
        <f>QS.CONTEXT.CREATE("market.8027",A8029,"USD","SOFR")</f>
        <v/>
      </c>
      <c r="D8029" s="8">
        <f>QS.CONTEXT.ADD.CURVE(C8029,"SOFR",$K$2:$K$7,$L$2:$L$7,,,"Actual360","LogLinear",TRUE)</f>
        <v/>
      </c>
      <c r="E8029" s="8">
        <f>QS.INSTRUMENT.SWAP("swap.8027",C8029,H8029,B8029,"USD","SOFR",I8029,J8029,0,"Actual360","Simple","Annual","Annual","Annual")</f>
        <v/>
      </c>
      <c r="F8029" s="8">
        <f>QS.TRADE.CREATE("trade.8027",C8029,E8029,A8029,"Receive")</f>
        <v/>
      </c>
      <c r="G8029" s="5"/>
      <c r="H8029" s="7" t="s">
        <v>8070</v>
      </c>
      <c r="I8029" s="9">
        <v>1802700</v>
      </c>
      <c r="J8029" s="10">
        <v>0.0377</v>
      </c>
    </row>
    <row r="8030" spans="1:10">
      <c r="A8030" s="7" t="s">
        <v>8064</v>
      </c>
      <c r="B8030" s="7" t="s">
        <v>9897</v>
      </c>
      <c r="C8030" s="8">
        <f>QS.CONTEXT.CREATE("market.8028",A8030,"USD","SOFR")</f>
        <v/>
      </c>
      <c r="D8030" s="8">
        <f>QS.CONTEXT.ADD.CURVE(C8030,"SOFR",$K$2:$K$7,$L$2:$L$7,,,"Actual360","LogLinear",TRUE)</f>
        <v/>
      </c>
      <c r="E8030" s="8">
        <f>QS.INSTRUMENT.SWAP("swap.8028",C8030,H8030,B8030,"USD","SOFR",I8030,J8030,0,"Actual360","Simple","Annual","Annual","Annual")</f>
        <v/>
      </c>
      <c r="F8030" s="8">
        <f>QS.TRADE.CREATE("trade.8028",C8030,E8030,A8030,"Receive")</f>
        <v/>
      </c>
      <c r="G8030" s="5"/>
      <c r="H8030" s="7" t="s">
        <v>8071</v>
      </c>
      <c r="I8030" s="9">
        <v>1802800</v>
      </c>
      <c r="J8030" s="10">
        <v>0.0378</v>
      </c>
    </row>
    <row r="8031" spans="1:10">
      <c r="A8031" s="7" t="s">
        <v>8065</v>
      </c>
      <c r="B8031" s="7" t="s">
        <v>9898</v>
      </c>
      <c r="C8031" s="8">
        <f>QS.CONTEXT.CREATE("market.8029",A8031,"USD","SOFR")</f>
        <v/>
      </c>
      <c r="D8031" s="8">
        <f>QS.CONTEXT.ADD.CURVE(C8031,"SOFR",$K$2:$K$7,$L$2:$L$7,,,"Actual360","LogLinear",TRUE)</f>
        <v/>
      </c>
      <c r="E8031" s="8">
        <f>QS.INSTRUMENT.SWAP("swap.8029",C8031,H8031,B8031,"USD","SOFR",I8031,J8031,0,"Actual360","Simple","Annual","Annual","Annual")</f>
        <v/>
      </c>
      <c r="F8031" s="8">
        <f>QS.TRADE.CREATE("trade.8029",C8031,E8031,A8031,"Receive")</f>
        <v/>
      </c>
      <c r="G8031" s="5"/>
      <c r="H8031" s="7" t="s">
        <v>8072</v>
      </c>
      <c r="I8031" s="9">
        <v>1802900</v>
      </c>
      <c r="J8031" s="10">
        <v>0.0379</v>
      </c>
    </row>
    <row r="8032" spans="1:10">
      <c r="A8032" s="7" t="s">
        <v>8066</v>
      </c>
      <c r="B8032" s="7" t="s">
        <v>9899</v>
      </c>
      <c r="C8032" s="8">
        <f>QS.CONTEXT.CREATE("market.8030",A8032,"USD","SOFR")</f>
        <v/>
      </c>
      <c r="D8032" s="8">
        <f>QS.CONTEXT.ADD.CURVE(C8032,"SOFR",$K$2:$K$7,$L$2:$L$7,,,"Actual360","LogLinear",TRUE)</f>
        <v/>
      </c>
      <c r="E8032" s="8">
        <f>QS.INSTRUMENT.SWAP("swap.8030",C8032,H8032,B8032,"USD","SOFR",I8032,J8032,0,"Actual360","Simple","Annual","Annual","Annual")</f>
        <v/>
      </c>
      <c r="F8032" s="8">
        <f>QS.TRADE.CREATE("trade.8030",C8032,E8032,A8032,"Receive")</f>
        <v/>
      </c>
      <c r="G8032" s="5"/>
      <c r="H8032" s="7" t="s">
        <v>8073</v>
      </c>
      <c r="I8032" s="9">
        <v>1803000</v>
      </c>
      <c r="J8032" s="10">
        <v>0.03800000000000001</v>
      </c>
    </row>
    <row r="8033" spans="1:10">
      <c r="A8033" s="7" t="s">
        <v>8067</v>
      </c>
      <c r="B8033" s="7" t="s">
        <v>9900</v>
      </c>
      <c r="C8033" s="8">
        <f>QS.CONTEXT.CREATE("market.8031",A8033,"USD","SOFR")</f>
        <v/>
      </c>
      <c r="D8033" s="8">
        <f>QS.CONTEXT.ADD.CURVE(C8033,"SOFR",$K$2:$K$7,$L$2:$L$7,,,"Actual360","LogLinear",TRUE)</f>
        <v/>
      </c>
      <c r="E8033" s="8">
        <f>QS.INSTRUMENT.SWAP("swap.8031",C8033,H8033,B8033,"USD","SOFR",I8033,J8033,0,"Actual360","Simple","Annual","Annual","Annual")</f>
        <v/>
      </c>
      <c r="F8033" s="8">
        <f>QS.TRADE.CREATE("trade.8031",C8033,E8033,A8033,"Receive")</f>
        <v/>
      </c>
      <c r="G8033" s="5"/>
      <c r="H8033" s="7" t="s">
        <v>8074</v>
      </c>
      <c r="I8033" s="9">
        <v>1803100</v>
      </c>
      <c r="J8033" s="10">
        <v>0.0381</v>
      </c>
    </row>
    <row r="8034" spans="1:10">
      <c r="A8034" s="7" t="s">
        <v>8068</v>
      </c>
      <c r="B8034" s="7" t="s">
        <v>9901</v>
      </c>
      <c r="C8034" s="8">
        <f>QS.CONTEXT.CREATE("market.8032",A8034,"USD","SOFR")</f>
        <v/>
      </c>
      <c r="D8034" s="8">
        <f>QS.CONTEXT.ADD.CURVE(C8034,"SOFR",$K$2:$K$7,$L$2:$L$7,,,"Actual360","LogLinear",TRUE)</f>
        <v/>
      </c>
      <c r="E8034" s="8">
        <f>QS.INSTRUMENT.SWAP("swap.8032",C8034,H8034,B8034,"USD","SOFR",I8034,J8034,0,"Actual360","Simple","Annual","Annual","Annual")</f>
        <v/>
      </c>
      <c r="F8034" s="8">
        <f>QS.TRADE.CREATE("trade.8032",C8034,E8034,A8034,"Receive")</f>
        <v/>
      </c>
      <c r="G8034" s="5"/>
      <c r="H8034" s="7" t="s">
        <v>8075</v>
      </c>
      <c r="I8034" s="9">
        <v>1803200</v>
      </c>
      <c r="J8034" s="10">
        <v>0.0382</v>
      </c>
    </row>
    <row r="8035" spans="1:10">
      <c r="A8035" s="7" t="s">
        <v>8069</v>
      </c>
      <c r="B8035" s="7" t="s">
        <v>9902</v>
      </c>
      <c r="C8035" s="8">
        <f>QS.CONTEXT.CREATE("market.8033",A8035,"USD","SOFR")</f>
        <v/>
      </c>
      <c r="D8035" s="8">
        <f>QS.CONTEXT.ADD.CURVE(C8035,"SOFR",$K$2:$K$7,$L$2:$L$7,,,"Actual360","LogLinear",TRUE)</f>
        <v/>
      </c>
      <c r="E8035" s="8">
        <f>QS.INSTRUMENT.SWAP("swap.8033",C8035,H8035,B8035,"USD","SOFR",I8035,J8035,0,"Actual360","Simple","Annual","Annual","Annual")</f>
        <v/>
      </c>
      <c r="F8035" s="8">
        <f>QS.TRADE.CREATE("trade.8033",C8035,E8035,A8035,"Receive")</f>
        <v/>
      </c>
      <c r="G8035" s="5"/>
      <c r="H8035" s="7" t="s">
        <v>8076</v>
      </c>
      <c r="I8035" s="9">
        <v>1803300</v>
      </c>
      <c r="J8035" s="10">
        <v>0.0383</v>
      </c>
    </row>
    <row r="8036" spans="1:10">
      <c r="A8036" s="7" t="s">
        <v>8070</v>
      </c>
      <c r="B8036" s="7" t="s">
        <v>9903</v>
      </c>
      <c r="C8036" s="8">
        <f>QS.CONTEXT.CREATE("market.8034",A8036,"USD","SOFR")</f>
        <v/>
      </c>
      <c r="D8036" s="8">
        <f>QS.CONTEXT.ADD.CURVE(C8036,"SOFR",$K$2:$K$7,$L$2:$L$7,,,"Actual360","LogLinear",TRUE)</f>
        <v/>
      </c>
      <c r="E8036" s="8">
        <f>QS.INSTRUMENT.SWAP("swap.8034",C8036,H8036,B8036,"USD","SOFR",I8036,J8036,0,"Actual360","Simple","Annual","Annual","Annual")</f>
        <v/>
      </c>
      <c r="F8036" s="8">
        <f>QS.TRADE.CREATE("trade.8034",C8036,E8036,A8036,"Receive")</f>
        <v/>
      </c>
      <c r="G8036" s="5"/>
      <c r="H8036" s="7" t="s">
        <v>8077</v>
      </c>
      <c r="I8036" s="9">
        <v>1803400</v>
      </c>
      <c r="J8036" s="10">
        <v>0.0384</v>
      </c>
    </row>
    <row r="8037" spans="1:10">
      <c r="A8037" s="7" t="s">
        <v>8071</v>
      </c>
      <c r="B8037" s="7" t="s">
        <v>9904</v>
      </c>
      <c r="C8037" s="8">
        <f>QS.CONTEXT.CREATE("market.8035",A8037,"USD","SOFR")</f>
        <v/>
      </c>
      <c r="D8037" s="8">
        <f>QS.CONTEXT.ADD.CURVE(C8037,"SOFR",$K$2:$K$7,$L$2:$L$7,,,"Actual360","LogLinear",TRUE)</f>
        <v/>
      </c>
      <c r="E8037" s="8">
        <f>QS.INSTRUMENT.SWAP("swap.8035",C8037,H8037,B8037,"USD","SOFR",I8037,J8037,0,"Actual360","Simple","Annual","Annual","Annual")</f>
        <v/>
      </c>
      <c r="F8037" s="8">
        <f>QS.TRADE.CREATE("trade.8035",C8037,E8037,A8037,"Receive")</f>
        <v/>
      </c>
      <c r="G8037" s="5"/>
      <c r="H8037" s="7" t="s">
        <v>8078</v>
      </c>
      <c r="I8037" s="9">
        <v>1803500</v>
      </c>
      <c r="J8037" s="10">
        <v>0.03850000000000001</v>
      </c>
    </row>
    <row r="8038" spans="1:10">
      <c r="A8038" s="7" t="s">
        <v>8072</v>
      </c>
      <c r="B8038" s="7" t="s">
        <v>9905</v>
      </c>
      <c r="C8038" s="8">
        <f>QS.CONTEXT.CREATE("market.8036",A8038,"USD","SOFR")</f>
        <v/>
      </c>
      <c r="D8038" s="8">
        <f>QS.CONTEXT.ADD.CURVE(C8038,"SOFR",$K$2:$K$7,$L$2:$L$7,,,"Actual360","LogLinear",TRUE)</f>
        <v/>
      </c>
      <c r="E8038" s="8">
        <f>QS.INSTRUMENT.SWAP("swap.8036",C8038,H8038,B8038,"USD","SOFR",I8038,J8038,0,"Actual360","Simple","Annual","Annual","Annual")</f>
        <v/>
      </c>
      <c r="F8038" s="8">
        <f>QS.TRADE.CREATE("trade.8036",C8038,E8038,A8038,"Receive")</f>
        <v/>
      </c>
      <c r="G8038" s="5"/>
      <c r="H8038" s="7" t="s">
        <v>8079</v>
      </c>
      <c r="I8038" s="9">
        <v>1803600</v>
      </c>
      <c r="J8038" s="10">
        <v>0.0386</v>
      </c>
    </row>
    <row r="8039" spans="1:10">
      <c r="A8039" s="7" t="s">
        <v>8073</v>
      </c>
      <c r="B8039" s="7" t="s">
        <v>9906</v>
      </c>
      <c r="C8039" s="8">
        <f>QS.CONTEXT.CREATE("market.8037",A8039,"USD","SOFR")</f>
        <v/>
      </c>
      <c r="D8039" s="8">
        <f>QS.CONTEXT.ADD.CURVE(C8039,"SOFR",$K$2:$K$7,$L$2:$L$7,,,"Actual360","LogLinear",TRUE)</f>
        <v/>
      </c>
      <c r="E8039" s="8">
        <f>QS.INSTRUMENT.SWAP("swap.8037",C8039,H8039,B8039,"USD","SOFR",I8039,J8039,0,"Actual360","Simple","Annual","Annual","Annual")</f>
        <v/>
      </c>
      <c r="F8039" s="8">
        <f>QS.TRADE.CREATE("trade.8037",C8039,E8039,A8039,"Receive")</f>
        <v/>
      </c>
      <c r="G8039" s="5"/>
      <c r="H8039" s="7" t="s">
        <v>8080</v>
      </c>
      <c r="I8039" s="9">
        <v>1803700</v>
      </c>
      <c r="J8039" s="10">
        <v>0.03870000000000001</v>
      </c>
    </row>
    <row r="8040" spans="1:10">
      <c r="A8040" s="7" t="s">
        <v>8074</v>
      </c>
      <c r="B8040" s="7" t="s">
        <v>9907</v>
      </c>
      <c r="C8040" s="8">
        <f>QS.CONTEXT.CREATE("market.8038",A8040,"USD","SOFR")</f>
        <v/>
      </c>
      <c r="D8040" s="8">
        <f>QS.CONTEXT.ADD.CURVE(C8040,"SOFR",$K$2:$K$7,$L$2:$L$7,,,"Actual360","LogLinear",TRUE)</f>
        <v/>
      </c>
      <c r="E8040" s="8">
        <f>QS.INSTRUMENT.SWAP("swap.8038",C8040,H8040,B8040,"USD","SOFR",I8040,J8040,0,"Actual360","Simple","Annual","Annual","Annual")</f>
        <v/>
      </c>
      <c r="F8040" s="8">
        <f>QS.TRADE.CREATE("trade.8038",C8040,E8040,A8040,"Receive")</f>
        <v/>
      </c>
      <c r="G8040" s="5"/>
      <c r="H8040" s="7" t="s">
        <v>8081</v>
      </c>
      <c r="I8040" s="9">
        <v>1803800</v>
      </c>
      <c r="J8040" s="10">
        <v>0.0388</v>
      </c>
    </row>
    <row r="8041" spans="1:10">
      <c r="A8041" s="7" t="s">
        <v>8075</v>
      </c>
      <c r="B8041" s="7" t="s">
        <v>9908</v>
      </c>
      <c r="C8041" s="8">
        <f>QS.CONTEXT.CREATE("market.8039",A8041,"USD","SOFR")</f>
        <v/>
      </c>
      <c r="D8041" s="8">
        <f>QS.CONTEXT.ADD.CURVE(C8041,"SOFR",$K$2:$K$7,$L$2:$L$7,,,"Actual360","LogLinear",TRUE)</f>
        <v/>
      </c>
      <c r="E8041" s="8">
        <f>QS.INSTRUMENT.SWAP("swap.8039",C8041,H8041,B8041,"USD","SOFR",I8041,J8041,0,"Actual360","Simple","Annual","Annual","Annual")</f>
        <v/>
      </c>
      <c r="F8041" s="8">
        <f>QS.TRADE.CREATE("trade.8039",C8041,E8041,A8041,"Receive")</f>
        <v/>
      </c>
      <c r="G8041" s="5"/>
      <c r="H8041" s="7" t="s">
        <v>8082</v>
      </c>
      <c r="I8041" s="9">
        <v>1803900</v>
      </c>
      <c r="J8041" s="10">
        <v>0.0389</v>
      </c>
    </row>
    <row r="8042" spans="1:10">
      <c r="A8042" s="7" t="s">
        <v>8076</v>
      </c>
      <c r="B8042" s="7" t="s">
        <v>9909</v>
      </c>
      <c r="C8042" s="8">
        <f>QS.CONTEXT.CREATE("market.8040",A8042,"USD","SOFR")</f>
        <v/>
      </c>
      <c r="D8042" s="8">
        <f>QS.CONTEXT.ADD.CURVE(C8042,"SOFR",$K$2:$K$7,$L$2:$L$7,,,"Actual360","LogLinear",TRUE)</f>
        <v/>
      </c>
      <c r="E8042" s="8">
        <f>QS.INSTRUMENT.SWAP("swap.8040",C8042,H8042,B8042,"USD","SOFR",I8042,J8042,0,"Actual360","Simple","Annual","Annual","Annual")</f>
        <v/>
      </c>
      <c r="F8042" s="8">
        <f>QS.TRADE.CREATE("trade.8040",C8042,E8042,A8042,"Receive")</f>
        <v/>
      </c>
      <c r="G8042" s="5"/>
      <c r="H8042" s="7" t="s">
        <v>8083</v>
      </c>
      <c r="I8042" s="9">
        <v>1804000</v>
      </c>
      <c r="J8042" s="10">
        <v>0.03900000000000001</v>
      </c>
    </row>
    <row r="8043" spans="1:10">
      <c r="A8043" s="7" t="s">
        <v>8077</v>
      </c>
      <c r="B8043" s="7" t="s">
        <v>9910</v>
      </c>
      <c r="C8043" s="8">
        <f>QS.CONTEXT.CREATE("market.8041",A8043,"USD","SOFR")</f>
        <v/>
      </c>
      <c r="D8043" s="8">
        <f>QS.CONTEXT.ADD.CURVE(C8043,"SOFR",$K$2:$K$7,$L$2:$L$7,,,"Actual360","LogLinear",TRUE)</f>
        <v/>
      </c>
      <c r="E8043" s="8">
        <f>QS.INSTRUMENT.SWAP("swap.8041",C8043,H8043,B8043,"USD","SOFR",I8043,J8043,0,"Actual360","Simple","Annual","Annual","Annual")</f>
        <v/>
      </c>
      <c r="F8043" s="8">
        <f>QS.TRADE.CREATE("trade.8041",C8043,E8043,A8043,"Receive")</f>
        <v/>
      </c>
      <c r="G8043" s="5"/>
      <c r="H8043" s="7" t="s">
        <v>8084</v>
      </c>
      <c r="I8043" s="9">
        <v>1804100</v>
      </c>
      <c r="J8043" s="10">
        <v>0.0391</v>
      </c>
    </row>
    <row r="8044" spans="1:10">
      <c r="A8044" s="7" t="s">
        <v>8078</v>
      </c>
      <c r="B8044" s="7" t="s">
        <v>9911</v>
      </c>
      <c r="C8044" s="8">
        <f>QS.CONTEXT.CREATE("market.8042",A8044,"USD","SOFR")</f>
        <v/>
      </c>
      <c r="D8044" s="8">
        <f>QS.CONTEXT.ADD.CURVE(C8044,"SOFR",$K$2:$K$7,$L$2:$L$7,,,"Actual360","LogLinear",TRUE)</f>
        <v/>
      </c>
      <c r="E8044" s="8">
        <f>QS.INSTRUMENT.SWAP("swap.8042",C8044,H8044,B8044,"USD","SOFR",I8044,J8044,0,"Actual360","Simple","Annual","Annual","Annual")</f>
        <v/>
      </c>
      <c r="F8044" s="8">
        <f>QS.TRADE.CREATE("trade.8042",C8044,E8044,A8044,"Receive")</f>
        <v/>
      </c>
      <c r="G8044" s="5"/>
      <c r="H8044" s="7" t="s">
        <v>8085</v>
      </c>
      <c r="I8044" s="9">
        <v>1804200</v>
      </c>
      <c r="J8044" s="10">
        <v>0.03920000000000001</v>
      </c>
    </row>
    <row r="8045" spans="1:10">
      <c r="A8045" s="7" t="s">
        <v>8079</v>
      </c>
      <c r="B8045" s="7" t="s">
        <v>9912</v>
      </c>
      <c r="C8045" s="8">
        <f>QS.CONTEXT.CREATE("market.8043",A8045,"USD","SOFR")</f>
        <v/>
      </c>
      <c r="D8045" s="8">
        <f>QS.CONTEXT.ADD.CURVE(C8045,"SOFR",$K$2:$K$7,$L$2:$L$7,,,"Actual360","LogLinear",TRUE)</f>
        <v/>
      </c>
      <c r="E8045" s="8">
        <f>QS.INSTRUMENT.SWAP("swap.8043",C8045,H8045,B8045,"USD","SOFR",I8045,J8045,0,"Actual360","Simple","Annual","Annual","Annual")</f>
        <v/>
      </c>
      <c r="F8045" s="8">
        <f>QS.TRADE.CREATE("trade.8043",C8045,E8045,A8045,"Receive")</f>
        <v/>
      </c>
      <c r="G8045" s="5"/>
      <c r="H8045" s="7" t="s">
        <v>8086</v>
      </c>
      <c r="I8045" s="9">
        <v>1804300</v>
      </c>
      <c r="J8045" s="10">
        <v>0.0393</v>
      </c>
    </row>
    <row r="8046" spans="1:10">
      <c r="A8046" s="7" t="s">
        <v>8080</v>
      </c>
      <c r="B8046" s="7" t="s">
        <v>9913</v>
      </c>
      <c r="C8046" s="8">
        <f>QS.CONTEXT.CREATE("market.8044",A8046,"USD","SOFR")</f>
        <v/>
      </c>
      <c r="D8046" s="8">
        <f>QS.CONTEXT.ADD.CURVE(C8046,"SOFR",$K$2:$K$7,$L$2:$L$7,,,"Actual360","LogLinear",TRUE)</f>
        <v/>
      </c>
      <c r="E8046" s="8">
        <f>QS.INSTRUMENT.SWAP("swap.8044",C8046,H8046,B8046,"USD","SOFR",I8046,J8046,0,"Actual360","Simple","Annual","Annual","Annual")</f>
        <v/>
      </c>
      <c r="F8046" s="8">
        <f>QS.TRADE.CREATE("trade.8044",C8046,E8046,A8046,"Receive")</f>
        <v/>
      </c>
      <c r="G8046" s="5"/>
      <c r="H8046" s="7" t="s">
        <v>8087</v>
      </c>
      <c r="I8046" s="9">
        <v>1804400</v>
      </c>
      <c r="J8046" s="10">
        <v>0.0394</v>
      </c>
    </row>
    <row r="8047" spans="1:10">
      <c r="A8047" s="7" t="s">
        <v>8081</v>
      </c>
      <c r="B8047" s="7" t="s">
        <v>9914</v>
      </c>
      <c r="C8047" s="8">
        <f>QS.CONTEXT.CREATE("market.8045",A8047,"USD","SOFR")</f>
        <v/>
      </c>
      <c r="D8047" s="8">
        <f>QS.CONTEXT.ADD.CURVE(C8047,"SOFR",$K$2:$K$7,$L$2:$L$7,,,"Actual360","LogLinear",TRUE)</f>
        <v/>
      </c>
      <c r="E8047" s="8">
        <f>QS.INSTRUMENT.SWAP("swap.8045",C8047,H8047,B8047,"USD","SOFR",I8047,J8047,0,"Actual360","Simple","Annual","Annual","Annual")</f>
        <v/>
      </c>
      <c r="F8047" s="8">
        <f>QS.TRADE.CREATE("trade.8045",C8047,E8047,A8047,"Receive")</f>
        <v/>
      </c>
      <c r="G8047" s="5"/>
      <c r="H8047" s="7" t="s">
        <v>8088</v>
      </c>
      <c r="I8047" s="9">
        <v>1804500</v>
      </c>
      <c r="J8047" s="10">
        <v>0.03950000000000001</v>
      </c>
    </row>
    <row r="8048" spans="1:10">
      <c r="A8048" s="7" t="s">
        <v>8082</v>
      </c>
      <c r="B8048" s="7" t="s">
        <v>9915</v>
      </c>
      <c r="C8048" s="8">
        <f>QS.CONTEXT.CREATE("market.8046",A8048,"USD","SOFR")</f>
        <v/>
      </c>
      <c r="D8048" s="8">
        <f>QS.CONTEXT.ADD.CURVE(C8048,"SOFR",$K$2:$K$7,$L$2:$L$7,,,"Actual360","LogLinear",TRUE)</f>
        <v/>
      </c>
      <c r="E8048" s="8">
        <f>QS.INSTRUMENT.SWAP("swap.8046",C8048,H8048,B8048,"USD","SOFR",I8048,J8048,0,"Actual360","Simple","Annual","Annual","Annual")</f>
        <v/>
      </c>
      <c r="F8048" s="8">
        <f>QS.TRADE.CREATE("trade.8046",C8048,E8048,A8048,"Receive")</f>
        <v/>
      </c>
      <c r="G8048" s="5"/>
      <c r="H8048" s="7" t="s">
        <v>8089</v>
      </c>
      <c r="I8048" s="9">
        <v>1804600</v>
      </c>
      <c r="J8048" s="10">
        <v>0.0396</v>
      </c>
    </row>
    <row r="8049" spans="1:10">
      <c r="A8049" s="7" t="s">
        <v>8083</v>
      </c>
      <c r="B8049" s="7" t="s">
        <v>9916</v>
      </c>
      <c r="C8049" s="8">
        <f>QS.CONTEXT.CREATE("market.8047",A8049,"USD","SOFR")</f>
        <v/>
      </c>
      <c r="D8049" s="8">
        <f>QS.CONTEXT.ADD.CURVE(C8049,"SOFR",$K$2:$K$7,$L$2:$L$7,,,"Actual360","LogLinear",TRUE)</f>
        <v/>
      </c>
      <c r="E8049" s="8">
        <f>QS.INSTRUMENT.SWAP("swap.8047",C8049,H8049,B8049,"USD","SOFR",I8049,J8049,0,"Actual360","Simple","Annual","Annual","Annual")</f>
        <v/>
      </c>
      <c r="F8049" s="8">
        <f>QS.TRADE.CREATE("trade.8047",C8049,E8049,A8049,"Receive")</f>
        <v/>
      </c>
      <c r="G8049" s="5"/>
      <c r="H8049" s="7" t="s">
        <v>8090</v>
      </c>
      <c r="I8049" s="9">
        <v>1804700</v>
      </c>
      <c r="J8049" s="10">
        <v>0.03970000000000001</v>
      </c>
    </row>
    <row r="8050" spans="1:10">
      <c r="A8050" s="7" t="s">
        <v>8084</v>
      </c>
      <c r="B8050" s="7" t="s">
        <v>9917</v>
      </c>
      <c r="C8050" s="8">
        <f>QS.CONTEXT.CREATE("market.8048",A8050,"USD","SOFR")</f>
        <v/>
      </c>
      <c r="D8050" s="8">
        <f>QS.CONTEXT.ADD.CURVE(C8050,"SOFR",$K$2:$K$7,$L$2:$L$7,,,"Actual360","LogLinear",TRUE)</f>
        <v/>
      </c>
      <c r="E8050" s="8">
        <f>QS.INSTRUMENT.SWAP("swap.8048",C8050,H8050,B8050,"USD","SOFR",I8050,J8050,0,"Actual360","Simple","Annual","Annual","Annual")</f>
        <v/>
      </c>
      <c r="F8050" s="8">
        <f>QS.TRADE.CREATE("trade.8048",C8050,E8050,A8050,"Receive")</f>
        <v/>
      </c>
      <c r="G8050" s="5"/>
      <c r="H8050" s="7" t="s">
        <v>8091</v>
      </c>
      <c r="I8050" s="9">
        <v>1804800</v>
      </c>
      <c r="J8050" s="10">
        <v>0.0398</v>
      </c>
    </row>
    <row r="8051" spans="1:10">
      <c r="A8051" s="7" t="s">
        <v>8085</v>
      </c>
      <c r="B8051" s="7" t="s">
        <v>9918</v>
      </c>
      <c r="C8051" s="8">
        <f>QS.CONTEXT.CREATE("market.8049",A8051,"USD","SOFR")</f>
        <v/>
      </c>
      <c r="D8051" s="8">
        <f>QS.CONTEXT.ADD.CURVE(C8051,"SOFR",$K$2:$K$7,$L$2:$L$7,,,"Actual360","LogLinear",TRUE)</f>
        <v/>
      </c>
      <c r="E8051" s="8">
        <f>QS.INSTRUMENT.SWAP("swap.8049",C8051,H8051,B8051,"USD","SOFR",I8051,J8051,0,"Actual360","Simple","Annual","Annual","Annual")</f>
        <v/>
      </c>
      <c r="F8051" s="8">
        <f>QS.TRADE.CREATE("trade.8049",C8051,E8051,A8051,"Receive")</f>
        <v/>
      </c>
      <c r="G8051" s="5"/>
      <c r="H8051" s="7" t="s">
        <v>8092</v>
      </c>
      <c r="I8051" s="9">
        <v>1804900</v>
      </c>
      <c r="J8051" s="10">
        <v>0.0399</v>
      </c>
    </row>
    <row r="8052" spans="1:10">
      <c r="A8052" s="7" t="s">
        <v>8086</v>
      </c>
      <c r="B8052" s="7" t="s">
        <v>9919</v>
      </c>
      <c r="C8052" s="8">
        <f>QS.CONTEXT.CREATE("market.8050",A8052,"USD","SOFR")</f>
        <v/>
      </c>
      <c r="D8052" s="8">
        <f>QS.CONTEXT.ADD.CURVE(C8052,"SOFR",$K$2:$K$7,$L$2:$L$7,,,"Actual360","LogLinear",TRUE)</f>
        <v/>
      </c>
      <c r="E8052" s="8">
        <f>QS.INSTRUMENT.SWAP("swap.8050",C8052,H8052,B8052,"USD","SOFR",I8052,J8052,0,"Actual360","Simple","Annual","Annual","Annual")</f>
        <v/>
      </c>
      <c r="F8052" s="8">
        <f>QS.TRADE.CREATE("trade.8050",C8052,E8052,A8052,"Receive")</f>
        <v/>
      </c>
      <c r="G8052" s="5"/>
      <c r="H8052" s="7" t="s">
        <v>8093</v>
      </c>
      <c r="I8052" s="9">
        <v>1805000</v>
      </c>
      <c r="J8052" s="10">
        <v>0.035</v>
      </c>
    </row>
    <row r="8053" spans="1:10">
      <c r="A8053" s="7" t="s">
        <v>8087</v>
      </c>
      <c r="B8053" s="7" t="s">
        <v>9920</v>
      </c>
      <c r="C8053" s="8">
        <f>QS.CONTEXT.CREATE("market.8051",A8053,"USD","SOFR")</f>
        <v/>
      </c>
      <c r="D8053" s="8">
        <f>QS.CONTEXT.ADD.CURVE(C8053,"SOFR",$K$2:$K$7,$L$2:$L$7,,,"Actual360","LogLinear",TRUE)</f>
        <v/>
      </c>
      <c r="E8053" s="8">
        <f>QS.INSTRUMENT.SWAP("swap.8051",C8053,H8053,B8053,"USD","SOFR",I8053,J8053,0,"Actual360","Simple","Annual","Annual","Annual")</f>
        <v/>
      </c>
      <c r="F8053" s="8">
        <f>QS.TRADE.CREATE("trade.8051",C8053,E8053,A8053,"Receive")</f>
        <v/>
      </c>
      <c r="G8053" s="5"/>
      <c r="H8053" s="7" t="s">
        <v>8094</v>
      </c>
      <c r="I8053" s="9">
        <v>1805100</v>
      </c>
      <c r="J8053" s="10">
        <v>0.03510000000000001</v>
      </c>
    </row>
    <row r="8054" spans="1:10">
      <c r="A8054" s="7" t="s">
        <v>8088</v>
      </c>
      <c r="B8054" s="7" t="s">
        <v>9921</v>
      </c>
      <c r="C8054" s="8">
        <f>QS.CONTEXT.CREATE("market.8052",A8054,"USD","SOFR")</f>
        <v/>
      </c>
      <c r="D8054" s="8">
        <f>QS.CONTEXT.ADD.CURVE(C8054,"SOFR",$K$2:$K$7,$L$2:$L$7,,,"Actual360","LogLinear",TRUE)</f>
        <v/>
      </c>
      <c r="E8054" s="8">
        <f>QS.INSTRUMENT.SWAP("swap.8052",C8054,H8054,B8054,"USD","SOFR",I8054,J8054,0,"Actual360","Simple","Annual","Annual","Annual")</f>
        <v/>
      </c>
      <c r="F8054" s="8">
        <f>QS.TRADE.CREATE("trade.8052",C8054,E8054,A8054,"Receive")</f>
        <v/>
      </c>
      <c r="G8054" s="5"/>
      <c r="H8054" s="7" t="s">
        <v>8095</v>
      </c>
      <c r="I8054" s="9">
        <v>1805200</v>
      </c>
      <c r="J8054" s="10">
        <v>0.0352</v>
      </c>
    </row>
    <row r="8055" spans="1:10">
      <c r="A8055" s="7" t="s">
        <v>8089</v>
      </c>
      <c r="B8055" s="7" t="s">
        <v>9922</v>
      </c>
      <c r="C8055" s="8">
        <f>QS.CONTEXT.CREATE("market.8053",A8055,"USD","SOFR")</f>
        <v/>
      </c>
      <c r="D8055" s="8">
        <f>QS.CONTEXT.ADD.CURVE(C8055,"SOFR",$K$2:$K$7,$L$2:$L$7,,,"Actual360","LogLinear",TRUE)</f>
        <v/>
      </c>
      <c r="E8055" s="8">
        <f>QS.INSTRUMENT.SWAP("swap.8053",C8055,H8055,B8055,"USD","SOFR",I8055,J8055,0,"Actual360","Simple","Annual","Annual","Annual")</f>
        <v/>
      </c>
      <c r="F8055" s="8">
        <f>QS.TRADE.CREATE("trade.8053",C8055,E8055,A8055,"Receive")</f>
        <v/>
      </c>
      <c r="G8055" s="5"/>
      <c r="H8055" s="7" t="s">
        <v>8096</v>
      </c>
      <c r="I8055" s="9">
        <v>1805300</v>
      </c>
      <c r="J8055" s="10">
        <v>0.0353</v>
      </c>
    </row>
    <row r="8056" spans="1:10">
      <c r="A8056" s="7" t="s">
        <v>8090</v>
      </c>
      <c r="B8056" s="7" t="s">
        <v>9923</v>
      </c>
      <c r="C8056" s="8">
        <f>QS.CONTEXT.CREATE("market.8054",A8056,"USD","SOFR")</f>
        <v/>
      </c>
      <c r="D8056" s="8">
        <f>QS.CONTEXT.ADD.CURVE(C8056,"SOFR",$K$2:$K$7,$L$2:$L$7,,,"Actual360","LogLinear",TRUE)</f>
        <v/>
      </c>
      <c r="E8056" s="8">
        <f>QS.INSTRUMENT.SWAP("swap.8054",C8056,H8056,B8056,"USD","SOFR",I8056,J8056,0,"Actual360","Simple","Annual","Annual","Annual")</f>
        <v/>
      </c>
      <c r="F8056" s="8">
        <f>QS.TRADE.CREATE("trade.8054",C8056,E8056,A8056,"Receive")</f>
        <v/>
      </c>
      <c r="G8056" s="5"/>
      <c r="H8056" s="7" t="s">
        <v>8097</v>
      </c>
      <c r="I8056" s="9">
        <v>1805400</v>
      </c>
      <c r="J8056" s="10">
        <v>0.0354</v>
      </c>
    </row>
    <row r="8057" spans="1:10">
      <c r="A8057" s="7" t="s">
        <v>8091</v>
      </c>
      <c r="B8057" s="7" t="s">
        <v>9924</v>
      </c>
      <c r="C8057" s="8">
        <f>QS.CONTEXT.CREATE("market.8055",A8057,"USD","SOFR")</f>
        <v/>
      </c>
      <c r="D8057" s="8">
        <f>QS.CONTEXT.ADD.CURVE(C8057,"SOFR",$K$2:$K$7,$L$2:$L$7,,,"Actual360","LogLinear",TRUE)</f>
        <v/>
      </c>
      <c r="E8057" s="8">
        <f>QS.INSTRUMENT.SWAP("swap.8055",C8057,H8057,B8057,"USD","SOFR",I8057,J8057,0,"Actual360","Simple","Annual","Annual","Annual")</f>
        <v/>
      </c>
      <c r="F8057" s="8">
        <f>QS.TRADE.CREATE("trade.8055",C8057,E8057,A8057,"Receive")</f>
        <v/>
      </c>
      <c r="G8057" s="5"/>
      <c r="H8057" s="7" t="s">
        <v>8098</v>
      </c>
      <c r="I8057" s="9">
        <v>1805500</v>
      </c>
      <c r="J8057" s="10">
        <v>0.0355</v>
      </c>
    </row>
    <row r="8058" spans="1:10">
      <c r="A8058" s="7" t="s">
        <v>8092</v>
      </c>
      <c r="B8058" s="7" t="s">
        <v>9925</v>
      </c>
      <c r="C8058" s="8">
        <f>QS.CONTEXT.CREATE("market.8056",A8058,"USD","SOFR")</f>
        <v/>
      </c>
      <c r="D8058" s="8">
        <f>QS.CONTEXT.ADD.CURVE(C8058,"SOFR",$K$2:$K$7,$L$2:$L$7,,,"Actual360","LogLinear",TRUE)</f>
        <v/>
      </c>
      <c r="E8058" s="8">
        <f>QS.INSTRUMENT.SWAP("swap.8056",C8058,H8058,B8058,"USD","SOFR",I8058,J8058,0,"Actual360","Simple","Annual","Annual","Annual")</f>
        <v/>
      </c>
      <c r="F8058" s="8">
        <f>QS.TRADE.CREATE("trade.8056",C8058,E8058,A8058,"Receive")</f>
        <v/>
      </c>
      <c r="G8058" s="5"/>
      <c r="H8058" s="7" t="s">
        <v>8099</v>
      </c>
      <c r="I8058" s="9">
        <v>1805600</v>
      </c>
      <c r="J8058" s="10">
        <v>0.03560000000000001</v>
      </c>
    </row>
    <row r="8059" spans="1:10">
      <c r="A8059" s="7" t="s">
        <v>8093</v>
      </c>
      <c r="B8059" s="7" t="s">
        <v>9926</v>
      </c>
      <c r="C8059" s="8">
        <f>QS.CONTEXT.CREATE("market.8057",A8059,"USD","SOFR")</f>
        <v/>
      </c>
      <c r="D8059" s="8">
        <f>QS.CONTEXT.ADD.CURVE(C8059,"SOFR",$K$2:$K$7,$L$2:$L$7,,,"Actual360","LogLinear",TRUE)</f>
        <v/>
      </c>
      <c r="E8059" s="8">
        <f>QS.INSTRUMENT.SWAP("swap.8057",C8059,H8059,B8059,"USD","SOFR",I8059,J8059,0,"Actual360","Simple","Annual","Annual","Annual")</f>
        <v/>
      </c>
      <c r="F8059" s="8">
        <f>QS.TRADE.CREATE("trade.8057",C8059,E8059,A8059,"Receive")</f>
        <v/>
      </c>
      <c r="G8059" s="5"/>
      <c r="H8059" s="7" t="s">
        <v>8100</v>
      </c>
      <c r="I8059" s="9">
        <v>1805700</v>
      </c>
      <c r="J8059" s="10">
        <v>0.0357</v>
      </c>
    </row>
    <row r="8060" spans="1:10">
      <c r="A8060" s="7" t="s">
        <v>8094</v>
      </c>
      <c r="B8060" s="7" t="s">
        <v>9927</v>
      </c>
      <c r="C8060" s="8">
        <f>QS.CONTEXT.CREATE("market.8058",A8060,"USD","SOFR")</f>
        <v/>
      </c>
      <c r="D8060" s="8">
        <f>QS.CONTEXT.ADD.CURVE(C8060,"SOFR",$K$2:$K$7,$L$2:$L$7,,,"Actual360","LogLinear",TRUE)</f>
        <v/>
      </c>
      <c r="E8060" s="8">
        <f>QS.INSTRUMENT.SWAP("swap.8058",C8060,H8060,B8060,"USD","SOFR",I8060,J8060,0,"Actual360","Simple","Annual","Annual","Annual")</f>
        <v/>
      </c>
      <c r="F8060" s="8">
        <f>QS.TRADE.CREATE("trade.8058",C8060,E8060,A8060,"Receive")</f>
        <v/>
      </c>
      <c r="G8060" s="5"/>
      <c r="H8060" s="7" t="s">
        <v>8101</v>
      </c>
      <c r="I8060" s="9">
        <v>1805800</v>
      </c>
      <c r="J8060" s="10">
        <v>0.03580000000000001</v>
      </c>
    </row>
    <row r="8061" spans="1:10">
      <c r="A8061" s="7" t="s">
        <v>8095</v>
      </c>
      <c r="B8061" s="7" t="s">
        <v>9928</v>
      </c>
      <c r="C8061" s="8">
        <f>QS.CONTEXT.CREATE("market.8059",A8061,"USD","SOFR")</f>
        <v/>
      </c>
      <c r="D8061" s="8">
        <f>QS.CONTEXT.ADD.CURVE(C8061,"SOFR",$K$2:$K$7,$L$2:$L$7,,,"Actual360","LogLinear",TRUE)</f>
        <v/>
      </c>
      <c r="E8061" s="8">
        <f>QS.INSTRUMENT.SWAP("swap.8059",C8061,H8061,B8061,"USD","SOFR",I8061,J8061,0,"Actual360","Simple","Annual","Annual","Annual")</f>
        <v/>
      </c>
      <c r="F8061" s="8">
        <f>QS.TRADE.CREATE("trade.8059",C8061,E8061,A8061,"Receive")</f>
        <v/>
      </c>
      <c r="G8061" s="5"/>
      <c r="H8061" s="7" t="s">
        <v>8102</v>
      </c>
      <c r="I8061" s="9">
        <v>1805900</v>
      </c>
      <c r="J8061" s="10">
        <v>0.0359</v>
      </c>
    </row>
    <row r="8062" spans="1:10">
      <c r="A8062" s="7" t="s">
        <v>8096</v>
      </c>
      <c r="B8062" s="7" t="s">
        <v>9929</v>
      </c>
      <c r="C8062" s="8">
        <f>QS.CONTEXT.CREATE("market.8060",A8062,"USD","SOFR")</f>
        <v/>
      </c>
      <c r="D8062" s="8">
        <f>QS.CONTEXT.ADD.CURVE(C8062,"SOFR",$K$2:$K$7,$L$2:$L$7,,,"Actual360","LogLinear",TRUE)</f>
        <v/>
      </c>
      <c r="E8062" s="8">
        <f>QS.INSTRUMENT.SWAP("swap.8060",C8062,H8062,B8062,"USD","SOFR",I8062,J8062,0,"Actual360","Simple","Annual","Annual","Annual")</f>
        <v/>
      </c>
      <c r="F8062" s="8">
        <f>QS.TRADE.CREATE("trade.8060",C8062,E8062,A8062,"Receive")</f>
        <v/>
      </c>
      <c r="G8062" s="5"/>
      <c r="H8062" s="7" t="s">
        <v>8103</v>
      </c>
      <c r="I8062" s="9">
        <v>1806000</v>
      </c>
      <c r="J8062" s="10">
        <v>0.036</v>
      </c>
    </row>
    <row r="8063" spans="1:10">
      <c r="A8063" s="7" t="s">
        <v>8097</v>
      </c>
      <c r="B8063" s="7" t="s">
        <v>9930</v>
      </c>
      <c r="C8063" s="8">
        <f>QS.CONTEXT.CREATE("market.8061",A8063,"USD","SOFR")</f>
        <v/>
      </c>
      <c r="D8063" s="8">
        <f>QS.CONTEXT.ADD.CURVE(C8063,"SOFR",$K$2:$K$7,$L$2:$L$7,,,"Actual360","LogLinear",TRUE)</f>
        <v/>
      </c>
      <c r="E8063" s="8">
        <f>QS.INSTRUMENT.SWAP("swap.8061",C8063,H8063,B8063,"USD","SOFR",I8063,J8063,0,"Actual360","Simple","Annual","Annual","Annual")</f>
        <v/>
      </c>
      <c r="F8063" s="8">
        <f>QS.TRADE.CREATE("trade.8061",C8063,E8063,A8063,"Receive")</f>
        <v/>
      </c>
      <c r="G8063" s="5"/>
      <c r="H8063" s="7" t="s">
        <v>8104</v>
      </c>
      <c r="I8063" s="9">
        <v>1806100</v>
      </c>
      <c r="J8063" s="10">
        <v>0.0361</v>
      </c>
    </row>
    <row r="8064" spans="1:10">
      <c r="A8064" s="7" t="s">
        <v>8098</v>
      </c>
      <c r="B8064" s="7" t="s">
        <v>9931</v>
      </c>
      <c r="C8064" s="8">
        <f>QS.CONTEXT.CREATE("market.8062",A8064,"USD","SOFR")</f>
        <v/>
      </c>
      <c r="D8064" s="8">
        <f>QS.CONTEXT.ADD.CURVE(C8064,"SOFR",$K$2:$K$7,$L$2:$L$7,,,"Actual360","LogLinear",TRUE)</f>
        <v/>
      </c>
      <c r="E8064" s="8">
        <f>QS.INSTRUMENT.SWAP("swap.8062",C8064,H8064,B8064,"USD","SOFR",I8064,J8064,0,"Actual360","Simple","Annual","Annual","Annual")</f>
        <v/>
      </c>
      <c r="F8064" s="8">
        <f>QS.TRADE.CREATE("trade.8062",C8064,E8064,A8064,"Receive")</f>
        <v/>
      </c>
      <c r="G8064" s="5"/>
      <c r="H8064" s="7" t="s">
        <v>8105</v>
      </c>
      <c r="I8064" s="9">
        <v>1806200</v>
      </c>
      <c r="J8064" s="10">
        <v>0.0362</v>
      </c>
    </row>
    <row r="8065" spans="1:10">
      <c r="A8065" s="7" t="s">
        <v>8099</v>
      </c>
      <c r="B8065" s="7" t="s">
        <v>9932</v>
      </c>
      <c r="C8065" s="8">
        <f>QS.CONTEXT.CREATE("market.8063",A8065,"USD","SOFR")</f>
        <v/>
      </c>
      <c r="D8065" s="8">
        <f>QS.CONTEXT.ADD.CURVE(C8065,"SOFR",$K$2:$K$7,$L$2:$L$7,,,"Actual360","LogLinear",TRUE)</f>
        <v/>
      </c>
      <c r="E8065" s="8">
        <f>QS.INSTRUMENT.SWAP("swap.8063",C8065,H8065,B8065,"USD","SOFR",I8065,J8065,0,"Actual360","Simple","Annual","Annual","Annual")</f>
        <v/>
      </c>
      <c r="F8065" s="8">
        <f>QS.TRADE.CREATE("trade.8063",C8065,E8065,A8065,"Receive")</f>
        <v/>
      </c>
      <c r="G8065" s="5"/>
      <c r="H8065" s="7" t="s">
        <v>8106</v>
      </c>
      <c r="I8065" s="9">
        <v>1806300</v>
      </c>
      <c r="J8065" s="10">
        <v>0.03630000000000001</v>
      </c>
    </row>
    <row r="8066" spans="1:10">
      <c r="A8066" s="7" t="s">
        <v>8100</v>
      </c>
      <c r="B8066" s="7" t="s">
        <v>9933</v>
      </c>
      <c r="C8066" s="8">
        <f>QS.CONTEXT.CREATE("market.8064",A8066,"USD","SOFR")</f>
        <v/>
      </c>
      <c r="D8066" s="8">
        <f>QS.CONTEXT.ADD.CURVE(C8066,"SOFR",$K$2:$K$7,$L$2:$L$7,,,"Actual360","LogLinear",TRUE)</f>
        <v/>
      </c>
      <c r="E8066" s="8">
        <f>QS.INSTRUMENT.SWAP("swap.8064",C8066,H8066,B8066,"USD","SOFR",I8066,J8066,0,"Actual360","Simple","Annual","Annual","Annual")</f>
        <v/>
      </c>
      <c r="F8066" s="8">
        <f>QS.TRADE.CREATE("trade.8064",C8066,E8066,A8066,"Receive")</f>
        <v/>
      </c>
      <c r="G8066" s="5"/>
      <c r="H8066" s="7" t="s">
        <v>8107</v>
      </c>
      <c r="I8066" s="9">
        <v>1806400</v>
      </c>
      <c r="J8066" s="10">
        <v>0.0364</v>
      </c>
    </row>
    <row r="8067" spans="1:10">
      <c r="A8067" s="7" t="s">
        <v>8101</v>
      </c>
      <c r="B8067" s="7" t="s">
        <v>9934</v>
      </c>
      <c r="C8067" s="8">
        <f>QS.CONTEXT.CREATE("market.8065",A8067,"USD","SOFR")</f>
        <v/>
      </c>
      <c r="D8067" s="8">
        <f>QS.CONTEXT.ADD.CURVE(C8067,"SOFR",$K$2:$K$7,$L$2:$L$7,,,"Actual360","LogLinear",TRUE)</f>
        <v/>
      </c>
      <c r="E8067" s="8">
        <f>QS.INSTRUMENT.SWAP("swap.8065",C8067,H8067,B8067,"USD","SOFR",I8067,J8067,0,"Actual360","Simple","Annual","Annual","Annual")</f>
        <v/>
      </c>
      <c r="F8067" s="8">
        <f>QS.TRADE.CREATE("trade.8065",C8067,E8067,A8067,"Receive")</f>
        <v/>
      </c>
      <c r="G8067" s="5"/>
      <c r="H8067" s="7" t="s">
        <v>8108</v>
      </c>
      <c r="I8067" s="9">
        <v>1806500</v>
      </c>
      <c r="J8067" s="10">
        <v>0.0365</v>
      </c>
    </row>
    <row r="8068" spans="1:10">
      <c r="A8068" s="7" t="s">
        <v>8102</v>
      </c>
      <c r="B8068" s="7" t="s">
        <v>9935</v>
      </c>
      <c r="C8068" s="8">
        <f>QS.CONTEXT.CREATE("market.8066",A8068,"USD","SOFR")</f>
        <v/>
      </c>
      <c r="D8068" s="8">
        <f>QS.CONTEXT.ADD.CURVE(C8068,"SOFR",$K$2:$K$7,$L$2:$L$7,,,"Actual360","LogLinear",TRUE)</f>
        <v/>
      </c>
      <c r="E8068" s="8">
        <f>QS.INSTRUMENT.SWAP("swap.8066",C8068,H8068,B8068,"USD","SOFR",I8068,J8068,0,"Actual360","Simple","Annual","Annual","Annual")</f>
        <v/>
      </c>
      <c r="F8068" s="8">
        <f>QS.TRADE.CREATE("trade.8066",C8068,E8068,A8068,"Receive")</f>
        <v/>
      </c>
      <c r="G8068" s="5"/>
      <c r="H8068" s="7" t="s">
        <v>8109</v>
      </c>
      <c r="I8068" s="9">
        <v>1806600</v>
      </c>
      <c r="J8068" s="10">
        <v>0.0366</v>
      </c>
    </row>
    <row r="8069" spans="1:10">
      <c r="A8069" s="7" t="s">
        <v>8103</v>
      </c>
      <c r="B8069" s="7" t="s">
        <v>9936</v>
      </c>
      <c r="C8069" s="8">
        <f>QS.CONTEXT.CREATE("market.8067",A8069,"USD","SOFR")</f>
        <v/>
      </c>
      <c r="D8069" s="8">
        <f>QS.CONTEXT.ADD.CURVE(C8069,"SOFR",$K$2:$K$7,$L$2:$L$7,,,"Actual360","LogLinear",TRUE)</f>
        <v/>
      </c>
      <c r="E8069" s="8">
        <f>QS.INSTRUMENT.SWAP("swap.8067",C8069,H8069,B8069,"USD","SOFR",I8069,J8069,0,"Actual360","Simple","Annual","Annual","Annual")</f>
        <v/>
      </c>
      <c r="F8069" s="8">
        <f>QS.TRADE.CREATE("trade.8067",C8069,E8069,A8069,"Receive")</f>
        <v/>
      </c>
      <c r="G8069" s="5"/>
      <c r="H8069" s="7" t="s">
        <v>8110</v>
      </c>
      <c r="I8069" s="9">
        <v>1806700</v>
      </c>
      <c r="J8069" s="10">
        <v>0.0367</v>
      </c>
    </row>
    <row r="8070" spans="1:10">
      <c r="A8070" s="7" t="s">
        <v>8104</v>
      </c>
      <c r="B8070" s="7" t="s">
        <v>9937</v>
      </c>
      <c r="C8070" s="8">
        <f>QS.CONTEXT.CREATE("market.8068",A8070,"USD","SOFR")</f>
        <v/>
      </c>
      <c r="D8070" s="8">
        <f>QS.CONTEXT.ADD.CURVE(C8070,"SOFR",$K$2:$K$7,$L$2:$L$7,,,"Actual360","LogLinear",TRUE)</f>
        <v/>
      </c>
      <c r="E8070" s="8">
        <f>QS.INSTRUMENT.SWAP("swap.8068",C8070,H8070,B8070,"USD","SOFR",I8070,J8070,0,"Actual360","Simple","Annual","Annual","Annual")</f>
        <v/>
      </c>
      <c r="F8070" s="8">
        <f>QS.TRADE.CREATE("trade.8068",C8070,E8070,A8070,"Receive")</f>
        <v/>
      </c>
      <c r="G8070" s="5"/>
      <c r="H8070" s="7" t="s">
        <v>8111</v>
      </c>
      <c r="I8070" s="9">
        <v>1806800</v>
      </c>
      <c r="J8070" s="10">
        <v>0.03680000000000001</v>
      </c>
    </row>
    <row r="8071" spans="1:10">
      <c r="A8071" s="7" t="s">
        <v>8105</v>
      </c>
      <c r="B8071" s="7" t="s">
        <v>9938</v>
      </c>
      <c r="C8071" s="8">
        <f>QS.CONTEXT.CREATE("market.8069",A8071,"USD","SOFR")</f>
        <v/>
      </c>
      <c r="D8071" s="8">
        <f>QS.CONTEXT.ADD.CURVE(C8071,"SOFR",$K$2:$K$7,$L$2:$L$7,,,"Actual360","LogLinear",TRUE)</f>
        <v/>
      </c>
      <c r="E8071" s="8">
        <f>QS.INSTRUMENT.SWAP("swap.8069",C8071,H8071,B8071,"USD","SOFR",I8071,J8071,0,"Actual360","Simple","Annual","Annual","Annual")</f>
        <v/>
      </c>
      <c r="F8071" s="8">
        <f>QS.TRADE.CREATE("trade.8069",C8071,E8071,A8071,"Receive")</f>
        <v/>
      </c>
      <c r="G8071" s="5"/>
      <c r="H8071" s="7" t="s">
        <v>8112</v>
      </c>
      <c r="I8071" s="9">
        <v>1806900</v>
      </c>
      <c r="J8071" s="10">
        <v>0.0369</v>
      </c>
    </row>
    <row r="8072" spans="1:10">
      <c r="A8072" s="7" t="s">
        <v>8106</v>
      </c>
      <c r="B8072" s="7" t="s">
        <v>9939</v>
      </c>
      <c r="C8072" s="8">
        <f>QS.CONTEXT.CREATE("market.8070",A8072,"USD","SOFR")</f>
        <v/>
      </c>
      <c r="D8072" s="8">
        <f>QS.CONTEXT.ADD.CURVE(C8072,"SOFR",$K$2:$K$7,$L$2:$L$7,,,"Actual360","LogLinear",TRUE)</f>
        <v/>
      </c>
      <c r="E8072" s="8">
        <f>QS.INSTRUMENT.SWAP("swap.8070",C8072,H8072,B8072,"USD","SOFR",I8072,J8072,0,"Actual360","Simple","Annual","Annual","Annual")</f>
        <v/>
      </c>
      <c r="F8072" s="8">
        <f>QS.TRADE.CREATE("trade.8070",C8072,E8072,A8072,"Receive")</f>
        <v/>
      </c>
      <c r="G8072" s="5"/>
      <c r="H8072" s="7" t="s">
        <v>8113</v>
      </c>
      <c r="I8072" s="9">
        <v>1807000</v>
      </c>
      <c r="J8072" s="10">
        <v>0.03700000000000001</v>
      </c>
    </row>
    <row r="8073" spans="1:10">
      <c r="A8073" s="7" t="s">
        <v>8107</v>
      </c>
      <c r="B8073" s="7" t="s">
        <v>9940</v>
      </c>
      <c r="C8073" s="8">
        <f>QS.CONTEXT.CREATE("market.8071",A8073,"USD","SOFR")</f>
        <v/>
      </c>
      <c r="D8073" s="8">
        <f>QS.CONTEXT.ADD.CURVE(C8073,"SOFR",$K$2:$K$7,$L$2:$L$7,,,"Actual360","LogLinear",TRUE)</f>
        <v/>
      </c>
      <c r="E8073" s="8">
        <f>QS.INSTRUMENT.SWAP("swap.8071",C8073,H8073,B8073,"USD","SOFR",I8073,J8073,0,"Actual360","Simple","Annual","Annual","Annual")</f>
        <v/>
      </c>
      <c r="F8073" s="8">
        <f>QS.TRADE.CREATE("trade.8071",C8073,E8073,A8073,"Receive")</f>
        <v/>
      </c>
      <c r="G8073" s="5"/>
      <c r="H8073" s="7" t="s">
        <v>8114</v>
      </c>
      <c r="I8073" s="9">
        <v>1807100</v>
      </c>
      <c r="J8073" s="10">
        <v>0.0371</v>
      </c>
    </row>
    <row r="8074" spans="1:10">
      <c r="A8074" s="7" t="s">
        <v>8108</v>
      </c>
      <c r="B8074" s="7" t="s">
        <v>9941</v>
      </c>
      <c r="C8074" s="8">
        <f>QS.CONTEXT.CREATE("market.8072",A8074,"USD","SOFR")</f>
        <v/>
      </c>
      <c r="D8074" s="8">
        <f>QS.CONTEXT.ADD.CURVE(C8074,"SOFR",$K$2:$K$7,$L$2:$L$7,,,"Actual360","LogLinear",TRUE)</f>
        <v/>
      </c>
      <c r="E8074" s="8">
        <f>QS.INSTRUMENT.SWAP("swap.8072",C8074,H8074,B8074,"USD","SOFR",I8074,J8074,0,"Actual360","Simple","Annual","Annual","Annual")</f>
        <v/>
      </c>
      <c r="F8074" s="8">
        <f>QS.TRADE.CREATE("trade.8072",C8074,E8074,A8074,"Receive")</f>
        <v/>
      </c>
      <c r="G8074" s="5"/>
      <c r="H8074" s="7" t="s">
        <v>8115</v>
      </c>
      <c r="I8074" s="9">
        <v>1807200</v>
      </c>
      <c r="J8074" s="10">
        <v>0.0372</v>
      </c>
    </row>
    <row r="8075" spans="1:10">
      <c r="A8075" s="7" t="s">
        <v>8109</v>
      </c>
      <c r="B8075" s="7" t="s">
        <v>9942</v>
      </c>
      <c r="C8075" s="8">
        <f>QS.CONTEXT.CREATE("market.8073",A8075,"USD","SOFR")</f>
        <v/>
      </c>
      <c r="D8075" s="8">
        <f>QS.CONTEXT.ADD.CURVE(C8075,"SOFR",$K$2:$K$7,$L$2:$L$7,,,"Actual360","LogLinear",TRUE)</f>
        <v/>
      </c>
      <c r="E8075" s="8">
        <f>QS.INSTRUMENT.SWAP("swap.8073",C8075,H8075,B8075,"USD","SOFR",I8075,J8075,0,"Actual360","Simple","Annual","Annual","Annual")</f>
        <v/>
      </c>
      <c r="F8075" s="8">
        <f>QS.TRADE.CREATE("trade.8073",C8075,E8075,A8075,"Receive")</f>
        <v/>
      </c>
      <c r="G8075" s="5"/>
      <c r="H8075" s="7" t="s">
        <v>8116</v>
      </c>
      <c r="I8075" s="9">
        <v>1807300</v>
      </c>
      <c r="J8075" s="10">
        <v>0.0373</v>
      </c>
    </row>
    <row r="8076" spans="1:10">
      <c r="A8076" s="7" t="s">
        <v>8110</v>
      </c>
      <c r="B8076" s="7" t="s">
        <v>9943</v>
      </c>
      <c r="C8076" s="8">
        <f>QS.CONTEXT.CREATE("market.8074",A8076,"USD","SOFR")</f>
        <v/>
      </c>
      <c r="D8076" s="8">
        <f>QS.CONTEXT.ADD.CURVE(C8076,"SOFR",$K$2:$K$7,$L$2:$L$7,,,"Actual360","LogLinear",TRUE)</f>
        <v/>
      </c>
      <c r="E8076" s="8">
        <f>QS.INSTRUMENT.SWAP("swap.8074",C8076,H8076,B8076,"USD","SOFR",I8076,J8076,0,"Actual360","Simple","Annual","Annual","Annual")</f>
        <v/>
      </c>
      <c r="F8076" s="8">
        <f>QS.TRADE.CREATE("trade.8074",C8076,E8076,A8076,"Receive")</f>
        <v/>
      </c>
      <c r="G8076" s="5"/>
      <c r="H8076" s="7" t="s">
        <v>8117</v>
      </c>
      <c r="I8076" s="9">
        <v>1807400</v>
      </c>
      <c r="J8076" s="10">
        <v>0.0374</v>
      </c>
    </row>
    <row r="8077" spans="1:10">
      <c r="A8077" s="7" t="s">
        <v>8111</v>
      </c>
      <c r="B8077" s="7" t="s">
        <v>9944</v>
      </c>
      <c r="C8077" s="8">
        <f>QS.CONTEXT.CREATE("market.8075",A8077,"USD","SOFR")</f>
        <v/>
      </c>
      <c r="D8077" s="8">
        <f>QS.CONTEXT.ADD.CURVE(C8077,"SOFR",$K$2:$K$7,$L$2:$L$7,,,"Actual360","LogLinear",TRUE)</f>
        <v/>
      </c>
      <c r="E8077" s="8">
        <f>QS.INSTRUMENT.SWAP("swap.8075",C8077,H8077,B8077,"USD","SOFR",I8077,J8077,0,"Actual360","Simple","Annual","Annual","Annual")</f>
        <v/>
      </c>
      <c r="F8077" s="8">
        <f>QS.TRADE.CREATE("trade.8075",C8077,E8077,A8077,"Receive")</f>
        <v/>
      </c>
      <c r="G8077" s="5"/>
      <c r="H8077" s="7" t="s">
        <v>8118</v>
      </c>
      <c r="I8077" s="9">
        <v>1807500</v>
      </c>
      <c r="J8077" s="10">
        <v>0.03750000000000001</v>
      </c>
    </row>
    <row r="8078" spans="1:10">
      <c r="A8078" s="7" t="s">
        <v>8112</v>
      </c>
      <c r="B8078" s="7" t="s">
        <v>9945</v>
      </c>
      <c r="C8078" s="8">
        <f>QS.CONTEXT.CREATE("market.8076",A8078,"USD","SOFR")</f>
        <v/>
      </c>
      <c r="D8078" s="8">
        <f>QS.CONTEXT.ADD.CURVE(C8078,"SOFR",$K$2:$K$7,$L$2:$L$7,,,"Actual360","LogLinear",TRUE)</f>
        <v/>
      </c>
      <c r="E8078" s="8">
        <f>QS.INSTRUMENT.SWAP("swap.8076",C8078,H8078,B8078,"USD","SOFR",I8078,J8078,0,"Actual360","Simple","Annual","Annual","Annual")</f>
        <v/>
      </c>
      <c r="F8078" s="8">
        <f>QS.TRADE.CREATE("trade.8076",C8078,E8078,A8078,"Receive")</f>
        <v/>
      </c>
      <c r="G8078" s="5"/>
      <c r="H8078" s="7" t="s">
        <v>8119</v>
      </c>
      <c r="I8078" s="9">
        <v>1807600</v>
      </c>
      <c r="J8078" s="10">
        <v>0.0376</v>
      </c>
    </row>
    <row r="8079" spans="1:10">
      <c r="A8079" s="7" t="s">
        <v>8113</v>
      </c>
      <c r="B8079" s="7" t="s">
        <v>9946</v>
      </c>
      <c r="C8079" s="8">
        <f>QS.CONTEXT.CREATE("market.8077",A8079,"USD","SOFR")</f>
        <v/>
      </c>
      <c r="D8079" s="8">
        <f>QS.CONTEXT.ADD.CURVE(C8079,"SOFR",$K$2:$K$7,$L$2:$L$7,,,"Actual360","LogLinear",TRUE)</f>
        <v/>
      </c>
      <c r="E8079" s="8">
        <f>QS.INSTRUMENT.SWAP("swap.8077",C8079,H8079,B8079,"USD","SOFR",I8079,J8079,0,"Actual360","Simple","Annual","Annual","Annual")</f>
        <v/>
      </c>
      <c r="F8079" s="8">
        <f>QS.TRADE.CREATE("trade.8077",C8079,E8079,A8079,"Receive")</f>
        <v/>
      </c>
      <c r="G8079" s="5"/>
      <c r="H8079" s="7" t="s">
        <v>8120</v>
      </c>
      <c r="I8079" s="9">
        <v>1807700</v>
      </c>
      <c r="J8079" s="10">
        <v>0.0377</v>
      </c>
    </row>
    <row r="8080" spans="1:10">
      <c r="A8080" s="7" t="s">
        <v>8114</v>
      </c>
      <c r="B8080" s="7" t="s">
        <v>9947</v>
      </c>
      <c r="C8080" s="8">
        <f>QS.CONTEXT.CREATE("market.8078",A8080,"USD","SOFR")</f>
        <v/>
      </c>
      <c r="D8080" s="8">
        <f>QS.CONTEXT.ADD.CURVE(C8080,"SOFR",$K$2:$K$7,$L$2:$L$7,,,"Actual360","LogLinear",TRUE)</f>
        <v/>
      </c>
      <c r="E8080" s="8">
        <f>QS.INSTRUMENT.SWAP("swap.8078",C8080,H8080,B8080,"USD","SOFR",I8080,J8080,0,"Actual360","Simple","Annual","Annual","Annual")</f>
        <v/>
      </c>
      <c r="F8080" s="8">
        <f>QS.TRADE.CREATE("trade.8078",C8080,E8080,A8080,"Receive")</f>
        <v/>
      </c>
      <c r="G8080" s="5"/>
      <c r="H8080" s="7" t="s">
        <v>8121</v>
      </c>
      <c r="I8080" s="9">
        <v>1807800</v>
      </c>
      <c r="J8080" s="10">
        <v>0.0378</v>
      </c>
    </row>
    <row r="8081" spans="1:10">
      <c r="A8081" s="7" t="s">
        <v>8115</v>
      </c>
      <c r="B8081" s="7" t="s">
        <v>9948</v>
      </c>
      <c r="C8081" s="8">
        <f>QS.CONTEXT.CREATE("market.8079",A8081,"USD","SOFR")</f>
        <v/>
      </c>
      <c r="D8081" s="8">
        <f>QS.CONTEXT.ADD.CURVE(C8081,"SOFR",$K$2:$K$7,$L$2:$L$7,,,"Actual360","LogLinear",TRUE)</f>
        <v/>
      </c>
      <c r="E8081" s="8">
        <f>QS.INSTRUMENT.SWAP("swap.8079",C8081,H8081,B8081,"USD","SOFR",I8081,J8081,0,"Actual360","Simple","Annual","Annual","Annual")</f>
        <v/>
      </c>
      <c r="F8081" s="8">
        <f>QS.TRADE.CREATE("trade.8079",C8081,E8081,A8081,"Receive")</f>
        <v/>
      </c>
      <c r="G8081" s="5"/>
      <c r="H8081" s="7" t="s">
        <v>8122</v>
      </c>
      <c r="I8081" s="9">
        <v>1807900</v>
      </c>
      <c r="J8081" s="10">
        <v>0.0379</v>
      </c>
    </row>
    <row r="8082" spans="1:10">
      <c r="A8082" s="7" t="s">
        <v>8116</v>
      </c>
      <c r="B8082" s="7" t="s">
        <v>9949</v>
      </c>
      <c r="C8082" s="8">
        <f>QS.CONTEXT.CREATE("market.8080",A8082,"USD","SOFR")</f>
        <v/>
      </c>
      <c r="D8082" s="8">
        <f>QS.CONTEXT.ADD.CURVE(C8082,"SOFR",$K$2:$K$7,$L$2:$L$7,,,"Actual360","LogLinear",TRUE)</f>
        <v/>
      </c>
      <c r="E8082" s="8">
        <f>QS.INSTRUMENT.SWAP("swap.8080",C8082,H8082,B8082,"USD","SOFR",I8082,J8082,0,"Actual360","Simple","Annual","Annual","Annual")</f>
        <v/>
      </c>
      <c r="F8082" s="8">
        <f>QS.TRADE.CREATE("trade.8080",C8082,E8082,A8082,"Receive")</f>
        <v/>
      </c>
      <c r="G8082" s="5"/>
      <c r="H8082" s="7" t="s">
        <v>8123</v>
      </c>
      <c r="I8082" s="9">
        <v>1808000</v>
      </c>
      <c r="J8082" s="10">
        <v>0.03800000000000001</v>
      </c>
    </row>
    <row r="8083" spans="1:10">
      <c r="A8083" s="7" t="s">
        <v>8117</v>
      </c>
      <c r="B8083" s="7" t="s">
        <v>9950</v>
      </c>
      <c r="C8083" s="8">
        <f>QS.CONTEXT.CREATE("market.8081",A8083,"USD","SOFR")</f>
        <v/>
      </c>
      <c r="D8083" s="8">
        <f>QS.CONTEXT.ADD.CURVE(C8083,"SOFR",$K$2:$K$7,$L$2:$L$7,,,"Actual360","LogLinear",TRUE)</f>
        <v/>
      </c>
      <c r="E8083" s="8">
        <f>QS.INSTRUMENT.SWAP("swap.8081",C8083,H8083,B8083,"USD","SOFR",I8083,J8083,0,"Actual360","Simple","Annual","Annual","Annual")</f>
        <v/>
      </c>
      <c r="F8083" s="8">
        <f>QS.TRADE.CREATE("trade.8081",C8083,E8083,A8083,"Receive")</f>
        <v/>
      </c>
      <c r="G8083" s="5"/>
      <c r="H8083" s="7" t="s">
        <v>8124</v>
      </c>
      <c r="I8083" s="9">
        <v>1808100</v>
      </c>
      <c r="J8083" s="10">
        <v>0.0381</v>
      </c>
    </row>
    <row r="8084" spans="1:10">
      <c r="A8084" s="7" t="s">
        <v>8118</v>
      </c>
      <c r="B8084" s="7" t="s">
        <v>9951</v>
      </c>
      <c r="C8084" s="8">
        <f>QS.CONTEXT.CREATE("market.8082",A8084,"USD","SOFR")</f>
        <v/>
      </c>
      <c r="D8084" s="8">
        <f>QS.CONTEXT.ADD.CURVE(C8084,"SOFR",$K$2:$K$7,$L$2:$L$7,,,"Actual360","LogLinear",TRUE)</f>
        <v/>
      </c>
      <c r="E8084" s="8">
        <f>QS.INSTRUMENT.SWAP("swap.8082",C8084,H8084,B8084,"USD","SOFR",I8084,J8084,0,"Actual360","Simple","Annual","Annual","Annual")</f>
        <v/>
      </c>
      <c r="F8084" s="8">
        <f>QS.TRADE.CREATE("trade.8082",C8084,E8084,A8084,"Receive")</f>
        <v/>
      </c>
      <c r="G8084" s="5"/>
      <c r="H8084" s="7" t="s">
        <v>8125</v>
      </c>
      <c r="I8084" s="9">
        <v>1808200</v>
      </c>
      <c r="J8084" s="10">
        <v>0.0382</v>
      </c>
    </row>
    <row r="8085" spans="1:10">
      <c r="A8085" s="7" t="s">
        <v>8119</v>
      </c>
      <c r="B8085" s="7" t="s">
        <v>9952</v>
      </c>
      <c r="C8085" s="8">
        <f>QS.CONTEXT.CREATE("market.8083",A8085,"USD","SOFR")</f>
        <v/>
      </c>
      <c r="D8085" s="8">
        <f>QS.CONTEXT.ADD.CURVE(C8085,"SOFR",$K$2:$K$7,$L$2:$L$7,,,"Actual360","LogLinear",TRUE)</f>
        <v/>
      </c>
      <c r="E8085" s="8">
        <f>QS.INSTRUMENT.SWAP("swap.8083",C8085,H8085,B8085,"USD","SOFR",I8085,J8085,0,"Actual360","Simple","Annual","Annual","Annual")</f>
        <v/>
      </c>
      <c r="F8085" s="8">
        <f>QS.TRADE.CREATE("trade.8083",C8085,E8085,A8085,"Receive")</f>
        <v/>
      </c>
      <c r="G8085" s="5"/>
      <c r="H8085" s="7" t="s">
        <v>8126</v>
      </c>
      <c r="I8085" s="9">
        <v>1808300</v>
      </c>
      <c r="J8085" s="10">
        <v>0.0383</v>
      </c>
    </row>
    <row r="8086" spans="1:10">
      <c r="A8086" s="7" t="s">
        <v>8120</v>
      </c>
      <c r="B8086" s="7" t="s">
        <v>9953</v>
      </c>
      <c r="C8086" s="8">
        <f>QS.CONTEXT.CREATE("market.8084",A8086,"USD","SOFR")</f>
        <v/>
      </c>
      <c r="D8086" s="8">
        <f>QS.CONTEXT.ADD.CURVE(C8086,"SOFR",$K$2:$K$7,$L$2:$L$7,,,"Actual360","LogLinear",TRUE)</f>
        <v/>
      </c>
      <c r="E8086" s="8">
        <f>QS.INSTRUMENT.SWAP("swap.8084",C8086,H8086,B8086,"USD","SOFR",I8086,J8086,0,"Actual360","Simple","Annual","Annual","Annual")</f>
        <v/>
      </c>
      <c r="F8086" s="8">
        <f>QS.TRADE.CREATE("trade.8084",C8086,E8086,A8086,"Receive")</f>
        <v/>
      </c>
      <c r="G8086" s="5"/>
      <c r="H8086" s="7" t="s">
        <v>8127</v>
      </c>
      <c r="I8086" s="9">
        <v>1808400</v>
      </c>
      <c r="J8086" s="10">
        <v>0.0384</v>
      </c>
    </row>
    <row r="8087" spans="1:10">
      <c r="A8087" s="7" t="s">
        <v>8121</v>
      </c>
      <c r="B8087" s="7" t="s">
        <v>9954</v>
      </c>
      <c r="C8087" s="8">
        <f>QS.CONTEXT.CREATE("market.8085",A8087,"USD","SOFR")</f>
        <v/>
      </c>
      <c r="D8087" s="8">
        <f>QS.CONTEXT.ADD.CURVE(C8087,"SOFR",$K$2:$K$7,$L$2:$L$7,,,"Actual360","LogLinear",TRUE)</f>
        <v/>
      </c>
      <c r="E8087" s="8">
        <f>QS.INSTRUMENT.SWAP("swap.8085",C8087,H8087,B8087,"USD","SOFR",I8087,J8087,0,"Actual360","Simple","Annual","Annual","Annual")</f>
        <v/>
      </c>
      <c r="F8087" s="8">
        <f>QS.TRADE.CREATE("trade.8085",C8087,E8087,A8087,"Receive")</f>
        <v/>
      </c>
      <c r="G8087" s="5"/>
      <c r="H8087" s="7" t="s">
        <v>8128</v>
      </c>
      <c r="I8087" s="9">
        <v>1808500</v>
      </c>
      <c r="J8087" s="10">
        <v>0.03850000000000001</v>
      </c>
    </row>
    <row r="8088" spans="1:10">
      <c r="A8088" s="7" t="s">
        <v>8122</v>
      </c>
      <c r="B8088" s="7" t="s">
        <v>9955</v>
      </c>
      <c r="C8088" s="8">
        <f>QS.CONTEXT.CREATE("market.8086",A8088,"USD","SOFR")</f>
        <v/>
      </c>
      <c r="D8088" s="8">
        <f>QS.CONTEXT.ADD.CURVE(C8088,"SOFR",$K$2:$K$7,$L$2:$L$7,,,"Actual360","LogLinear",TRUE)</f>
        <v/>
      </c>
      <c r="E8088" s="8">
        <f>QS.INSTRUMENT.SWAP("swap.8086",C8088,H8088,B8088,"USD","SOFR",I8088,J8088,0,"Actual360","Simple","Annual","Annual","Annual")</f>
        <v/>
      </c>
      <c r="F8088" s="8">
        <f>QS.TRADE.CREATE("trade.8086",C8088,E8088,A8088,"Receive")</f>
        <v/>
      </c>
      <c r="G8088" s="5"/>
      <c r="H8088" s="7" t="s">
        <v>8129</v>
      </c>
      <c r="I8088" s="9">
        <v>1808600</v>
      </c>
      <c r="J8088" s="10">
        <v>0.0386</v>
      </c>
    </row>
    <row r="8089" spans="1:10">
      <c r="A8089" s="7" t="s">
        <v>8123</v>
      </c>
      <c r="B8089" s="7" t="s">
        <v>9955</v>
      </c>
      <c r="C8089" s="8">
        <f>QS.CONTEXT.CREATE("market.8087",A8089,"USD","SOFR")</f>
        <v/>
      </c>
      <c r="D8089" s="8">
        <f>QS.CONTEXT.ADD.CURVE(C8089,"SOFR",$K$2:$K$7,$L$2:$L$7,,,"Actual360","LogLinear",TRUE)</f>
        <v/>
      </c>
      <c r="E8089" s="8">
        <f>QS.INSTRUMENT.SWAP("swap.8087",C8089,H8089,B8089,"USD","SOFR",I8089,J8089,0,"Actual360","Simple","Annual","Annual","Annual")</f>
        <v/>
      </c>
      <c r="F8089" s="8">
        <f>QS.TRADE.CREATE("trade.8087",C8089,E8089,A8089,"Receive")</f>
        <v/>
      </c>
      <c r="G8089" s="5"/>
      <c r="H8089" s="7" t="s">
        <v>9956</v>
      </c>
      <c r="I8089" s="9">
        <v>1808700</v>
      </c>
      <c r="J8089" s="10">
        <v>0.03870000000000001</v>
      </c>
    </row>
    <row r="8090" spans="1:10">
      <c r="A8090" s="7" t="s">
        <v>8124</v>
      </c>
      <c r="B8090" s="7" t="s">
        <v>9957</v>
      </c>
      <c r="C8090" s="8">
        <f>QS.CONTEXT.CREATE("market.8088",A8090,"USD","SOFR")</f>
        <v/>
      </c>
      <c r="D8090" s="8">
        <f>QS.CONTEXT.ADD.CURVE(C8090,"SOFR",$K$2:$K$7,$L$2:$L$7,,,"Actual360","LogLinear",TRUE)</f>
        <v/>
      </c>
      <c r="E8090" s="8">
        <f>QS.INSTRUMENT.SWAP("swap.8088",C8090,H8090,B8090,"USD","SOFR",I8090,J8090,0,"Actual360","Simple","Annual","Annual","Annual")</f>
        <v/>
      </c>
      <c r="F8090" s="8">
        <f>QS.TRADE.CREATE("trade.8088",C8090,E8090,A8090,"Receive")</f>
        <v/>
      </c>
      <c r="G8090" s="5"/>
      <c r="H8090" s="7" t="s">
        <v>8130</v>
      </c>
      <c r="I8090" s="9">
        <v>1808800</v>
      </c>
      <c r="J8090" s="10">
        <v>0.0388</v>
      </c>
    </row>
    <row r="8091" spans="1:10">
      <c r="A8091" s="7" t="s">
        <v>8125</v>
      </c>
      <c r="B8091" s="7" t="s">
        <v>9958</v>
      </c>
      <c r="C8091" s="8">
        <f>QS.CONTEXT.CREATE("market.8089",A8091,"USD","SOFR")</f>
        <v/>
      </c>
      <c r="D8091" s="8">
        <f>QS.CONTEXT.ADD.CURVE(C8091,"SOFR",$K$2:$K$7,$L$2:$L$7,,,"Actual360","LogLinear",TRUE)</f>
        <v/>
      </c>
      <c r="E8091" s="8">
        <f>QS.INSTRUMENT.SWAP("swap.8089",C8091,H8091,B8091,"USD","SOFR",I8091,J8091,0,"Actual360","Simple","Annual","Annual","Annual")</f>
        <v/>
      </c>
      <c r="F8091" s="8">
        <f>QS.TRADE.CREATE("trade.8089",C8091,E8091,A8091,"Receive")</f>
        <v/>
      </c>
      <c r="G8091" s="5"/>
      <c r="H8091" s="7" t="s">
        <v>8131</v>
      </c>
      <c r="I8091" s="9">
        <v>1808900</v>
      </c>
      <c r="J8091" s="10">
        <v>0.0389</v>
      </c>
    </row>
    <row r="8092" spans="1:10">
      <c r="A8092" s="7" t="s">
        <v>8126</v>
      </c>
      <c r="B8092" s="7" t="s">
        <v>9959</v>
      </c>
      <c r="C8092" s="8">
        <f>QS.CONTEXT.CREATE("market.8090",A8092,"USD","SOFR")</f>
        <v/>
      </c>
      <c r="D8092" s="8">
        <f>QS.CONTEXT.ADD.CURVE(C8092,"SOFR",$K$2:$K$7,$L$2:$L$7,,,"Actual360","LogLinear",TRUE)</f>
        <v/>
      </c>
      <c r="E8092" s="8">
        <f>QS.INSTRUMENT.SWAP("swap.8090",C8092,H8092,B8092,"USD","SOFR",I8092,J8092,0,"Actual360","Simple","Annual","Annual","Annual")</f>
        <v/>
      </c>
      <c r="F8092" s="8">
        <f>QS.TRADE.CREATE("trade.8090",C8092,E8092,A8092,"Receive")</f>
        <v/>
      </c>
      <c r="G8092" s="5"/>
      <c r="H8092" s="7" t="s">
        <v>8132</v>
      </c>
      <c r="I8092" s="9">
        <v>1809000</v>
      </c>
      <c r="J8092" s="10">
        <v>0.03900000000000001</v>
      </c>
    </row>
    <row r="8093" spans="1:10">
      <c r="A8093" s="7" t="s">
        <v>8127</v>
      </c>
      <c r="B8093" s="7" t="s">
        <v>9960</v>
      </c>
      <c r="C8093" s="8">
        <f>QS.CONTEXT.CREATE("market.8091",A8093,"USD","SOFR")</f>
        <v/>
      </c>
      <c r="D8093" s="8">
        <f>QS.CONTEXT.ADD.CURVE(C8093,"SOFR",$K$2:$K$7,$L$2:$L$7,,,"Actual360","LogLinear",TRUE)</f>
        <v/>
      </c>
      <c r="E8093" s="8">
        <f>QS.INSTRUMENT.SWAP("swap.8091",C8093,H8093,B8093,"USD","SOFR",I8093,J8093,0,"Actual360","Simple","Annual","Annual","Annual")</f>
        <v/>
      </c>
      <c r="F8093" s="8">
        <f>QS.TRADE.CREATE("trade.8091",C8093,E8093,A8093,"Receive")</f>
        <v/>
      </c>
      <c r="G8093" s="5"/>
      <c r="H8093" s="7" t="s">
        <v>8133</v>
      </c>
      <c r="I8093" s="9">
        <v>1809100</v>
      </c>
      <c r="J8093" s="10">
        <v>0.0391</v>
      </c>
    </row>
    <row r="8094" spans="1:10">
      <c r="A8094" s="7" t="s">
        <v>8128</v>
      </c>
      <c r="B8094" s="7" t="s">
        <v>9961</v>
      </c>
      <c r="C8094" s="8">
        <f>QS.CONTEXT.CREATE("market.8092",A8094,"USD","SOFR")</f>
        <v/>
      </c>
      <c r="D8094" s="8">
        <f>QS.CONTEXT.ADD.CURVE(C8094,"SOFR",$K$2:$K$7,$L$2:$L$7,,,"Actual360","LogLinear",TRUE)</f>
        <v/>
      </c>
      <c r="E8094" s="8">
        <f>QS.INSTRUMENT.SWAP("swap.8092",C8094,H8094,B8094,"USD","SOFR",I8094,J8094,0,"Actual360","Simple","Annual","Annual","Annual")</f>
        <v/>
      </c>
      <c r="F8094" s="8">
        <f>QS.TRADE.CREATE("trade.8092",C8094,E8094,A8094,"Receive")</f>
        <v/>
      </c>
      <c r="G8094" s="5"/>
      <c r="H8094" s="7" t="s">
        <v>8134</v>
      </c>
      <c r="I8094" s="9">
        <v>1809200</v>
      </c>
      <c r="J8094" s="10">
        <v>0.03920000000000001</v>
      </c>
    </row>
    <row r="8095" spans="1:10">
      <c r="A8095" s="7" t="s">
        <v>8129</v>
      </c>
      <c r="B8095" s="7" t="s">
        <v>9962</v>
      </c>
      <c r="C8095" s="8">
        <f>QS.CONTEXT.CREATE("market.8093",A8095,"USD","SOFR")</f>
        <v/>
      </c>
      <c r="D8095" s="8">
        <f>QS.CONTEXT.ADD.CURVE(C8095,"SOFR",$K$2:$K$7,$L$2:$L$7,,,"Actual360","LogLinear",TRUE)</f>
        <v/>
      </c>
      <c r="E8095" s="8">
        <f>QS.INSTRUMENT.SWAP("swap.8093",C8095,H8095,B8095,"USD","SOFR",I8095,J8095,0,"Actual360","Simple","Annual","Annual","Annual")</f>
        <v/>
      </c>
      <c r="F8095" s="8">
        <f>QS.TRADE.CREATE("trade.8093",C8095,E8095,A8095,"Receive")</f>
        <v/>
      </c>
      <c r="G8095" s="5"/>
      <c r="H8095" s="7" t="s">
        <v>8135</v>
      </c>
      <c r="I8095" s="9">
        <v>1809300</v>
      </c>
      <c r="J8095" s="10">
        <v>0.0393</v>
      </c>
    </row>
    <row r="8096" spans="1:10">
      <c r="A8096" s="7" t="s">
        <v>9956</v>
      </c>
      <c r="B8096" s="7" t="s">
        <v>9963</v>
      </c>
      <c r="C8096" s="8">
        <f>QS.CONTEXT.CREATE("market.8094",A8096,"USD","SOFR")</f>
        <v/>
      </c>
      <c r="D8096" s="8">
        <f>QS.CONTEXT.ADD.CURVE(C8096,"SOFR",$K$2:$K$7,$L$2:$L$7,,,"Actual360","LogLinear",TRUE)</f>
        <v/>
      </c>
      <c r="E8096" s="8">
        <f>QS.INSTRUMENT.SWAP("swap.8094",C8096,H8096,B8096,"USD","SOFR",I8096,J8096,0,"Actual360","Simple","Annual","Annual","Annual")</f>
        <v/>
      </c>
      <c r="F8096" s="8">
        <f>QS.TRADE.CREATE("trade.8094",C8096,E8096,A8096,"Receive")</f>
        <v/>
      </c>
      <c r="G8096" s="5"/>
      <c r="H8096" s="7" t="s">
        <v>8136</v>
      </c>
      <c r="I8096" s="9">
        <v>1809400</v>
      </c>
      <c r="J8096" s="10">
        <v>0.0394</v>
      </c>
    </row>
    <row r="8097" spans="1:10">
      <c r="A8097" s="7" t="s">
        <v>8130</v>
      </c>
      <c r="B8097" s="7" t="s">
        <v>9964</v>
      </c>
      <c r="C8097" s="8">
        <f>QS.CONTEXT.CREATE("market.8095",A8097,"USD","SOFR")</f>
        <v/>
      </c>
      <c r="D8097" s="8">
        <f>QS.CONTEXT.ADD.CURVE(C8097,"SOFR",$K$2:$K$7,$L$2:$L$7,,,"Actual360","LogLinear",TRUE)</f>
        <v/>
      </c>
      <c r="E8097" s="8">
        <f>QS.INSTRUMENT.SWAP("swap.8095",C8097,H8097,B8097,"USD","SOFR",I8097,J8097,0,"Actual360","Simple","Annual","Annual","Annual")</f>
        <v/>
      </c>
      <c r="F8097" s="8">
        <f>QS.TRADE.CREATE("trade.8095",C8097,E8097,A8097,"Receive")</f>
        <v/>
      </c>
      <c r="G8097" s="5"/>
      <c r="H8097" s="7" t="s">
        <v>8137</v>
      </c>
      <c r="I8097" s="9">
        <v>1809500</v>
      </c>
      <c r="J8097" s="10">
        <v>0.03950000000000001</v>
      </c>
    </row>
    <row r="8098" spans="1:10">
      <c r="A8098" s="7" t="s">
        <v>8131</v>
      </c>
      <c r="B8098" s="7" t="s">
        <v>9965</v>
      </c>
      <c r="C8098" s="8">
        <f>QS.CONTEXT.CREATE("market.8096",A8098,"USD","SOFR")</f>
        <v/>
      </c>
      <c r="D8098" s="8">
        <f>QS.CONTEXT.ADD.CURVE(C8098,"SOFR",$K$2:$K$7,$L$2:$L$7,,,"Actual360","LogLinear",TRUE)</f>
        <v/>
      </c>
      <c r="E8098" s="8">
        <f>QS.INSTRUMENT.SWAP("swap.8096",C8098,H8098,B8098,"USD","SOFR",I8098,J8098,0,"Actual360","Simple","Annual","Annual","Annual")</f>
        <v/>
      </c>
      <c r="F8098" s="8">
        <f>QS.TRADE.CREATE("trade.8096",C8098,E8098,A8098,"Receive")</f>
        <v/>
      </c>
      <c r="G8098" s="5"/>
      <c r="H8098" s="7" t="s">
        <v>8138</v>
      </c>
      <c r="I8098" s="9">
        <v>1809600</v>
      </c>
      <c r="J8098" s="10">
        <v>0.0396</v>
      </c>
    </row>
    <row r="8099" spans="1:10">
      <c r="A8099" s="7" t="s">
        <v>8132</v>
      </c>
      <c r="B8099" s="7" t="s">
        <v>9966</v>
      </c>
      <c r="C8099" s="8">
        <f>QS.CONTEXT.CREATE("market.8097",A8099,"USD","SOFR")</f>
        <v/>
      </c>
      <c r="D8099" s="8">
        <f>QS.CONTEXT.ADD.CURVE(C8099,"SOFR",$K$2:$K$7,$L$2:$L$7,,,"Actual360","LogLinear",TRUE)</f>
        <v/>
      </c>
      <c r="E8099" s="8">
        <f>QS.INSTRUMENT.SWAP("swap.8097",C8099,H8099,B8099,"USD","SOFR",I8099,J8099,0,"Actual360","Simple","Annual","Annual","Annual")</f>
        <v/>
      </c>
      <c r="F8099" s="8">
        <f>QS.TRADE.CREATE("trade.8097",C8099,E8099,A8099,"Receive")</f>
        <v/>
      </c>
      <c r="G8099" s="5"/>
      <c r="H8099" s="7" t="s">
        <v>8139</v>
      </c>
      <c r="I8099" s="9">
        <v>1809700</v>
      </c>
      <c r="J8099" s="10">
        <v>0.03970000000000001</v>
      </c>
    </row>
    <row r="8100" spans="1:10">
      <c r="A8100" s="7" t="s">
        <v>8133</v>
      </c>
      <c r="B8100" s="7" t="s">
        <v>9967</v>
      </c>
      <c r="C8100" s="8">
        <f>QS.CONTEXT.CREATE("market.8098",A8100,"USD","SOFR")</f>
        <v/>
      </c>
      <c r="D8100" s="8">
        <f>QS.CONTEXT.ADD.CURVE(C8100,"SOFR",$K$2:$K$7,$L$2:$L$7,,,"Actual360","LogLinear",TRUE)</f>
        <v/>
      </c>
      <c r="E8100" s="8">
        <f>QS.INSTRUMENT.SWAP("swap.8098",C8100,H8100,B8100,"USD","SOFR",I8100,J8100,0,"Actual360","Simple","Annual","Annual","Annual")</f>
        <v/>
      </c>
      <c r="F8100" s="8">
        <f>QS.TRADE.CREATE("trade.8098",C8100,E8100,A8100,"Receive")</f>
        <v/>
      </c>
      <c r="G8100" s="5"/>
      <c r="H8100" s="7" t="s">
        <v>8140</v>
      </c>
      <c r="I8100" s="9">
        <v>1809800</v>
      </c>
      <c r="J8100" s="10">
        <v>0.0398</v>
      </c>
    </row>
    <row r="8101" spans="1:10">
      <c r="A8101" s="7" t="s">
        <v>8134</v>
      </c>
      <c r="B8101" s="7" t="s">
        <v>9968</v>
      </c>
      <c r="C8101" s="8">
        <f>QS.CONTEXT.CREATE("market.8099",A8101,"USD","SOFR")</f>
        <v/>
      </c>
      <c r="D8101" s="8">
        <f>QS.CONTEXT.ADD.CURVE(C8101,"SOFR",$K$2:$K$7,$L$2:$L$7,,,"Actual360","LogLinear",TRUE)</f>
        <v/>
      </c>
      <c r="E8101" s="8">
        <f>QS.INSTRUMENT.SWAP("swap.8099",C8101,H8101,B8101,"USD","SOFR",I8101,J8101,0,"Actual360","Simple","Annual","Annual","Annual")</f>
        <v/>
      </c>
      <c r="F8101" s="8">
        <f>QS.TRADE.CREATE("trade.8099",C8101,E8101,A8101,"Receive")</f>
        <v/>
      </c>
      <c r="G8101" s="5"/>
      <c r="H8101" s="7" t="s">
        <v>8141</v>
      </c>
      <c r="I8101" s="9">
        <v>1809900</v>
      </c>
      <c r="J8101" s="10">
        <v>0.0399</v>
      </c>
    </row>
    <row r="8102" spans="1:10">
      <c r="A8102" s="7" t="s">
        <v>8135</v>
      </c>
      <c r="B8102" s="7" t="s">
        <v>9969</v>
      </c>
      <c r="C8102" s="8">
        <f>QS.CONTEXT.CREATE("market.8100",A8102,"USD","SOFR")</f>
        <v/>
      </c>
      <c r="D8102" s="8">
        <f>QS.CONTEXT.ADD.CURVE(C8102,"SOFR",$K$2:$K$7,$L$2:$L$7,,,"Actual360","LogLinear",TRUE)</f>
        <v/>
      </c>
      <c r="E8102" s="8">
        <f>QS.INSTRUMENT.SWAP("swap.8100",C8102,H8102,B8102,"USD","SOFR",I8102,J8102,0,"Actual360","Simple","Annual","Annual","Annual")</f>
        <v/>
      </c>
      <c r="F8102" s="8">
        <f>QS.TRADE.CREATE("trade.8100",C8102,E8102,A8102,"Receive")</f>
        <v/>
      </c>
      <c r="G8102" s="5"/>
      <c r="H8102" s="7" t="s">
        <v>8142</v>
      </c>
      <c r="I8102" s="9">
        <v>1810000</v>
      </c>
      <c r="J8102" s="10">
        <v>0.035</v>
      </c>
    </row>
    <row r="8103" spans="1:10">
      <c r="A8103" s="7" t="s">
        <v>8136</v>
      </c>
      <c r="B8103" s="7" t="s">
        <v>9970</v>
      </c>
      <c r="C8103" s="8">
        <f>QS.CONTEXT.CREATE("market.8101",A8103,"USD","SOFR")</f>
        <v/>
      </c>
      <c r="D8103" s="8">
        <f>QS.CONTEXT.ADD.CURVE(C8103,"SOFR",$K$2:$K$7,$L$2:$L$7,,,"Actual360","LogLinear",TRUE)</f>
        <v/>
      </c>
      <c r="E8103" s="8">
        <f>QS.INSTRUMENT.SWAP("swap.8101",C8103,H8103,B8103,"USD","SOFR",I8103,J8103,0,"Actual360","Simple","Annual","Annual","Annual")</f>
        <v/>
      </c>
      <c r="F8103" s="8">
        <f>QS.TRADE.CREATE("trade.8101",C8103,E8103,A8103,"Receive")</f>
        <v/>
      </c>
      <c r="G8103" s="5"/>
      <c r="H8103" s="7" t="s">
        <v>8143</v>
      </c>
      <c r="I8103" s="9">
        <v>1810100</v>
      </c>
      <c r="J8103" s="10">
        <v>0.03510000000000001</v>
      </c>
    </row>
    <row r="8104" spans="1:10">
      <c r="A8104" s="7" t="s">
        <v>8137</v>
      </c>
      <c r="B8104" s="7" t="s">
        <v>9971</v>
      </c>
      <c r="C8104" s="8">
        <f>QS.CONTEXT.CREATE("market.8102",A8104,"USD","SOFR")</f>
        <v/>
      </c>
      <c r="D8104" s="8">
        <f>QS.CONTEXT.ADD.CURVE(C8104,"SOFR",$K$2:$K$7,$L$2:$L$7,,,"Actual360","LogLinear",TRUE)</f>
        <v/>
      </c>
      <c r="E8104" s="8">
        <f>QS.INSTRUMENT.SWAP("swap.8102",C8104,H8104,B8104,"USD","SOFR",I8104,J8104,0,"Actual360","Simple","Annual","Annual","Annual")</f>
        <v/>
      </c>
      <c r="F8104" s="8">
        <f>QS.TRADE.CREATE("trade.8102",C8104,E8104,A8104,"Receive")</f>
        <v/>
      </c>
      <c r="G8104" s="5"/>
      <c r="H8104" s="7" t="s">
        <v>8144</v>
      </c>
      <c r="I8104" s="9">
        <v>1810200</v>
      </c>
      <c r="J8104" s="10">
        <v>0.0352</v>
      </c>
    </row>
    <row r="8105" spans="1:10">
      <c r="A8105" s="7" t="s">
        <v>8138</v>
      </c>
      <c r="B8105" s="7" t="s">
        <v>9972</v>
      </c>
      <c r="C8105" s="8">
        <f>QS.CONTEXT.CREATE("market.8103",A8105,"USD","SOFR")</f>
        <v/>
      </c>
      <c r="D8105" s="8">
        <f>QS.CONTEXT.ADD.CURVE(C8105,"SOFR",$K$2:$K$7,$L$2:$L$7,,,"Actual360","LogLinear",TRUE)</f>
        <v/>
      </c>
      <c r="E8105" s="8">
        <f>QS.INSTRUMENT.SWAP("swap.8103",C8105,H8105,B8105,"USD","SOFR",I8105,J8105,0,"Actual360","Simple","Annual","Annual","Annual")</f>
        <v/>
      </c>
      <c r="F8105" s="8">
        <f>QS.TRADE.CREATE("trade.8103",C8105,E8105,A8105,"Receive")</f>
        <v/>
      </c>
      <c r="G8105" s="5"/>
      <c r="H8105" s="7" t="s">
        <v>8145</v>
      </c>
      <c r="I8105" s="9">
        <v>1810300</v>
      </c>
      <c r="J8105" s="10">
        <v>0.0353</v>
      </c>
    </row>
    <row r="8106" spans="1:10">
      <c r="A8106" s="7" t="s">
        <v>8139</v>
      </c>
      <c r="B8106" s="7" t="s">
        <v>9973</v>
      </c>
      <c r="C8106" s="8">
        <f>QS.CONTEXT.CREATE("market.8104",A8106,"USD","SOFR")</f>
        <v/>
      </c>
      <c r="D8106" s="8">
        <f>QS.CONTEXT.ADD.CURVE(C8106,"SOFR",$K$2:$K$7,$L$2:$L$7,,,"Actual360","LogLinear",TRUE)</f>
        <v/>
      </c>
      <c r="E8106" s="8">
        <f>QS.INSTRUMENT.SWAP("swap.8104",C8106,H8106,B8106,"USD","SOFR",I8106,J8106,0,"Actual360","Simple","Annual","Annual","Annual")</f>
        <v/>
      </c>
      <c r="F8106" s="8">
        <f>QS.TRADE.CREATE("trade.8104",C8106,E8106,A8106,"Receive")</f>
        <v/>
      </c>
      <c r="G8106" s="5"/>
      <c r="H8106" s="7" t="s">
        <v>8146</v>
      </c>
      <c r="I8106" s="9">
        <v>1810400</v>
      </c>
      <c r="J8106" s="10">
        <v>0.0354</v>
      </c>
    </row>
    <row r="8107" spans="1:10">
      <c r="A8107" s="7" t="s">
        <v>8140</v>
      </c>
      <c r="B8107" s="7" t="s">
        <v>9974</v>
      </c>
      <c r="C8107" s="8">
        <f>QS.CONTEXT.CREATE("market.8105",A8107,"USD","SOFR")</f>
        <v/>
      </c>
      <c r="D8107" s="8">
        <f>QS.CONTEXT.ADD.CURVE(C8107,"SOFR",$K$2:$K$7,$L$2:$L$7,,,"Actual360","LogLinear",TRUE)</f>
        <v/>
      </c>
      <c r="E8107" s="8">
        <f>QS.INSTRUMENT.SWAP("swap.8105",C8107,H8107,B8107,"USD","SOFR",I8107,J8107,0,"Actual360","Simple","Annual","Annual","Annual")</f>
        <v/>
      </c>
      <c r="F8107" s="8">
        <f>QS.TRADE.CREATE("trade.8105",C8107,E8107,A8107,"Receive")</f>
        <v/>
      </c>
      <c r="G8107" s="5"/>
      <c r="H8107" s="7" t="s">
        <v>8147</v>
      </c>
      <c r="I8107" s="9">
        <v>1810500</v>
      </c>
      <c r="J8107" s="10">
        <v>0.0355</v>
      </c>
    </row>
    <row r="8108" spans="1:10">
      <c r="A8108" s="7" t="s">
        <v>8141</v>
      </c>
      <c r="B8108" s="7" t="s">
        <v>9975</v>
      </c>
      <c r="C8108" s="8">
        <f>QS.CONTEXT.CREATE("market.8106",A8108,"USD","SOFR")</f>
        <v/>
      </c>
      <c r="D8108" s="8">
        <f>QS.CONTEXT.ADD.CURVE(C8108,"SOFR",$K$2:$K$7,$L$2:$L$7,,,"Actual360","LogLinear",TRUE)</f>
        <v/>
      </c>
      <c r="E8108" s="8">
        <f>QS.INSTRUMENT.SWAP("swap.8106",C8108,H8108,B8108,"USD","SOFR",I8108,J8108,0,"Actual360","Simple","Annual","Annual","Annual")</f>
        <v/>
      </c>
      <c r="F8108" s="8">
        <f>QS.TRADE.CREATE("trade.8106",C8108,E8108,A8108,"Receive")</f>
        <v/>
      </c>
      <c r="G8108" s="5"/>
      <c r="H8108" s="7" t="s">
        <v>8148</v>
      </c>
      <c r="I8108" s="9">
        <v>1810600</v>
      </c>
      <c r="J8108" s="10">
        <v>0.03560000000000001</v>
      </c>
    </row>
    <row r="8109" spans="1:10">
      <c r="A8109" s="7" t="s">
        <v>8142</v>
      </c>
      <c r="B8109" s="7" t="s">
        <v>9976</v>
      </c>
      <c r="C8109" s="8">
        <f>QS.CONTEXT.CREATE("market.8107",A8109,"USD","SOFR")</f>
        <v/>
      </c>
      <c r="D8109" s="8">
        <f>QS.CONTEXT.ADD.CURVE(C8109,"SOFR",$K$2:$K$7,$L$2:$L$7,,,"Actual360","LogLinear",TRUE)</f>
        <v/>
      </c>
      <c r="E8109" s="8">
        <f>QS.INSTRUMENT.SWAP("swap.8107",C8109,H8109,B8109,"USD","SOFR",I8109,J8109,0,"Actual360","Simple","Annual","Annual","Annual")</f>
        <v/>
      </c>
      <c r="F8109" s="8">
        <f>QS.TRADE.CREATE("trade.8107",C8109,E8109,A8109,"Receive")</f>
        <v/>
      </c>
      <c r="G8109" s="5"/>
      <c r="H8109" s="7" t="s">
        <v>8149</v>
      </c>
      <c r="I8109" s="9">
        <v>1810700</v>
      </c>
      <c r="J8109" s="10">
        <v>0.0357</v>
      </c>
    </row>
    <row r="8110" spans="1:10">
      <c r="A8110" s="7" t="s">
        <v>8143</v>
      </c>
      <c r="B8110" s="7" t="s">
        <v>9977</v>
      </c>
      <c r="C8110" s="8">
        <f>QS.CONTEXT.CREATE("market.8108",A8110,"USD","SOFR")</f>
        <v/>
      </c>
      <c r="D8110" s="8">
        <f>QS.CONTEXT.ADD.CURVE(C8110,"SOFR",$K$2:$K$7,$L$2:$L$7,,,"Actual360","LogLinear",TRUE)</f>
        <v/>
      </c>
      <c r="E8110" s="8">
        <f>QS.INSTRUMENT.SWAP("swap.8108",C8110,H8110,B8110,"USD","SOFR",I8110,J8110,0,"Actual360","Simple","Annual","Annual","Annual")</f>
        <v/>
      </c>
      <c r="F8110" s="8">
        <f>QS.TRADE.CREATE("trade.8108",C8110,E8110,A8110,"Receive")</f>
        <v/>
      </c>
      <c r="G8110" s="5"/>
      <c r="H8110" s="7" t="s">
        <v>8150</v>
      </c>
      <c r="I8110" s="9">
        <v>1810800</v>
      </c>
      <c r="J8110" s="10">
        <v>0.03580000000000001</v>
      </c>
    </row>
    <row r="8111" spans="1:10">
      <c r="A8111" s="7" t="s">
        <v>8144</v>
      </c>
      <c r="B8111" s="7" t="s">
        <v>9978</v>
      </c>
      <c r="C8111" s="8">
        <f>QS.CONTEXT.CREATE("market.8109",A8111,"USD","SOFR")</f>
        <v/>
      </c>
      <c r="D8111" s="8">
        <f>QS.CONTEXT.ADD.CURVE(C8111,"SOFR",$K$2:$K$7,$L$2:$L$7,,,"Actual360","LogLinear",TRUE)</f>
        <v/>
      </c>
      <c r="E8111" s="8">
        <f>QS.INSTRUMENT.SWAP("swap.8109",C8111,H8111,B8111,"USD","SOFR",I8111,J8111,0,"Actual360","Simple","Annual","Annual","Annual")</f>
        <v/>
      </c>
      <c r="F8111" s="8">
        <f>QS.TRADE.CREATE("trade.8109",C8111,E8111,A8111,"Receive")</f>
        <v/>
      </c>
      <c r="G8111" s="5"/>
      <c r="H8111" s="7" t="s">
        <v>8151</v>
      </c>
      <c r="I8111" s="9">
        <v>1810900</v>
      </c>
      <c r="J8111" s="10">
        <v>0.0359</v>
      </c>
    </row>
    <row r="8112" spans="1:10">
      <c r="A8112" s="7" t="s">
        <v>8145</v>
      </c>
      <c r="B8112" s="7" t="s">
        <v>9979</v>
      </c>
      <c r="C8112" s="8">
        <f>QS.CONTEXT.CREATE("market.8110",A8112,"USD","SOFR")</f>
        <v/>
      </c>
      <c r="D8112" s="8">
        <f>QS.CONTEXT.ADD.CURVE(C8112,"SOFR",$K$2:$K$7,$L$2:$L$7,,,"Actual360","LogLinear",TRUE)</f>
        <v/>
      </c>
      <c r="E8112" s="8">
        <f>QS.INSTRUMENT.SWAP("swap.8110",C8112,H8112,B8112,"USD","SOFR",I8112,J8112,0,"Actual360","Simple","Annual","Annual","Annual")</f>
        <v/>
      </c>
      <c r="F8112" s="8">
        <f>QS.TRADE.CREATE("trade.8110",C8112,E8112,A8112,"Receive")</f>
        <v/>
      </c>
      <c r="G8112" s="5"/>
      <c r="H8112" s="7" t="s">
        <v>8152</v>
      </c>
      <c r="I8112" s="9">
        <v>1811000</v>
      </c>
      <c r="J8112" s="10">
        <v>0.036</v>
      </c>
    </row>
    <row r="8113" spans="1:10">
      <c r="A8113" s="7" t="s">
        <v>8146</v>
      </c>
      <c r="B8113" s="7" t="s">
        <v>9980</v>
      </c>
      <c r="C8113" s="8">
        <f>QS.CONTEXT.CREATE("market.8111",A8113,"USD","SOFR")</f>
        <v/>
      </c>
      <c r="D8113" s="8">
        <f>QS.CONTEXT.ADD.CURVE(C8113,"SOFR",$K$2:$K$7,$L$2:$L$7,,,"Actual360","LogLinear",TRUE)</f>
        <v/>
      </c>
      <c r="E8113" s="8">
        <f>QS.INSTRUMENT.SWAP("swap.8111",C8113,H8113,B8113,"USD","SOFR",I8113,J8113,0,"Actual360","Simple","Annual","Annual","Annual")</f>
        <v/>
      </c>
      <c r="F8113" s="8">
        <f>QS.TRADE.CREATE("trade.8111",C8113,E8113,A8113,"Receive")</f>
        <v/>
      </c>
      <c r="G8113" s="5"/>
      <c r="H8113" s="7" t="s">
        <v>8153</v>
      </c>
      <c r="I8113" s="9">
        <v>1811100</v>
      </c>
      <c r="J8113" s="10">
        <v>0.0361</v>
      </c>
    </row>
    <row r="8114" spans="1:10">
      <c r="A8114" s="7" t="s">
        <v>8147</v>
      </c>
      <c r="B8114" s="7" t="s">
        <v>9981</v>
      </c>
      <c r="C8114" s="8">
        <f>QS.CONTEXT.CREATE("market.8112",A8114,"USD","SOFR")</f>
        <v/>
      </c>
      <c r="D8114" s="8">
        <f>QS.CONTEXT.ADD.CURVE(C8114,"SOFR",$K$2:$K$7,$L$2:$L$7,,,"Actual360","LogLinear",TRUE)</f>
        <v/>
      </c>
      <c r="E8114" s="8">
        <f>QS.INSTRUMENT.SWAP("swap.8112",C8114,H8114,B8114,"USD","SOFR",I8114,J8114,0,"Actual360","Simple","Annual","Annual","Annual")</f>
        <v/>
      </c>
      <c r="F8114" s="8">
        <f>QS.TRADE.CREATE("trade.8112",C8114,E8114,A8114,"Receive")</f>
        <v/>
      </c>
      <c r="G8114" s="5"/>
      <c r="H8114" s="7" t="s">
        <v>8154</v>
      </c>
      <c r="I8114" s="9">
        <v>1811200</v>
      </c>
      <c r="J8114" s="10">
        <v>0.0362</v>
      </c>
    </row>
    <row r="8115" spans="1:10">
      <c r="A8115" s="7" t="s">
        <v>8148</v>
      </c>
      <c r="B8115" s="7" t="s">
        <v>9982</v>
      </c>
      <c r="C8115" s="8">
        <f>QS.CONTEXT.CREATE("market.8113",A8115,"USD","SOFR")</f>
        <v/>
      </c>
      <c r="D8115" s="8">
        <f>QS.CONTEXT.ADD.CURVE(C8115,"SOFR",$K$2:$K$7,$L$2:$L$7,,,"Actual360","LogLinear",TRUE)</f>
        <v/>
      </c>
      <c r="E8115" s="8">
        <f>QS.INSTRUMENT.SWAP("swap.8113",C8115,H8115,B8115,"USD","SOFR",I8115,J8115,0,"Actual360","Simple","Annual","Annual","Annual")</f>
        <v/>
      </c>
      <c r="F8115" s="8">
        <f>QS.TRADE.CREATE("trade.8113",C8115,E8115,A8115,"Receive")</f>
        <v/>
      </c>
      <c r="G8115" s="5"/>
      <c r="H8115" s="7" t="s">
        <v>8155</v>
      </c>
      <c r="I8115" s="9">
        <v>1811300</v>
      </c>
      <c r="J8115" s="10">
        <v>0.03630000000000001</v>
      </c>
    </row>
    <row r="8116" spans="1:10">
      <c r="A8116" s="7" t="s">
        <v>8149</v>
      </c>
      <c r="B8116" s="7" t="s">
        <v>9983</v>
      </c>
      <c r="C8116" s="8">
        <f>QS.CONTEXT.CREATE("market.8114",A8116,"USD","SOFR")</f>
        <v/>
      </c>
      <c r="D8116" s="8">
        <f>QS.CONTEXT.ADD.CURVE(C8116,"SOFR",$K$2:$K$7,$L$2:$L$7,,,"Actual360","LogLinear",TRUE)</f>
        <v/>
      </c>
      <c r="E8116" s="8">
        <f>QS.INSTRUMENT.SWAP("swap.8114",C8116,H8116,B8116,"USD","SOFR",I8116,J8116,0,"Actual360","Simple","Annual","Annual","Annual")</f>
        <v/>
      </c>
      <c r="F8116" s="8">
        <f>QS.TRADE.CREATE("trade.8114",C8116,E8116,A8116,"Receive")</f>
        <v/>
      </c>
      <c r="G8116" s="5"/>
      <c r="H8116" s="7" t="s">
        <v>8156</v>
      </c>
      <c r="I8116" s="9">
        <v>1811400</v>
      </c>
      <c r="J8116" s="10">
        <v>0.0364</v>
      </c>
    </row>
    <row r="8117" spans="1:10">
      <c r="A8117" s="7" t="s">
        <v>8150</v>
      </c>
      <c r="B8117" s="7" t="s">
        <v>9984</v>
      </c>
      <c r="C8117" s="8">
        <f>QS.CONTEXT.CREATE("market.8115",A8117,"USD","SOFR")</f>
        <v/>
      </c>
      <c r="D8117" s="8">
        <f>QS.CONTEXT.ADD.CURVE(C8117,"SOFR",$K$2:$K$7,$L$2:$L$7,,,"Actual360","LogLinear",TRUE)</f>
        <v/>
      </c>
      <c r="E8117" s="8">
        <f>QS.INSTRUMENT.SWAP("swap.8115",C8117,H8117,B8117,"USD","SOFR",I8117,J8117,0,"Actual360","Simple","Annual","Annual","Annual")</f>
        <v/>
      </c>
      <c r="F8117" s="8">
        <f>QS.TRADE.CREATE("trade.8115",C8117,E8117,A8117,"Receive")</f>
        <v/>
      </c>
      <c r="G8117" s="5"/>
      <c r="H8117" s="7" t="s">
        <v>8157</v>
      </c>
      <c r="I8117" s="9">
        <v>1811500</v>
      </c>
      <c r="J8117" s="10">
        <v>0.0365</v>
      </c>
    </row>
    <row r="8118" spans="1:10">
      <c r="A8118" s="7" t="s">
        <v>8151</v>
      </c>
      <c r="B8118" s="7" t="s">
        <v>9985</v>
      </c>
      <c r="C8118" s="8">
        <f>QS.CONTEXT.CREATE("market.8116",A8118,"USD","SOFR")</f>
        <v/>
      </c>
      <c r="D8118" s="8">
        <f>QS.CONTEXT.ADD.CURVE(C8118,"SOFR",$K$2:$K$7,$L$2:$L$7,,,"Actual360","LogLinear",TRUE)</f>
        <v/>
      </c>
      <c r="E8118" s="8">
        <f>QS.INSTRUMENT.SWAP("swap.8116",C8118,H8118,B8118,"USD","SOFR",I8118,J8118,0,"Actual360","Simple","Annual","Annual","Annual")</f>
        <v/>
      </c>
      <c r="F8118" s="8">
        <f>QS.TRADE.CREATE("trade.8116",C8118,E8118,A8118,"Receive")</f>
        <v/>
      </c>
      <c r="G8118" s="5"/>
      <c r="H8118" s="7" t="s">
        <v>8158</v>
      </c>
      <c r="I8118" s="9">
        <v>1811600</v>
      </c>
      <c r="J8118" s="10">
        <v>0.0366</v>
      </c>
    </row>
    <row r="8119" spans="1:10">
      <c r="A8119" s="7" t="s">
        <v>8152</v>
      </c>
      <c r="B8119" s="7" t="s">
        <v>9986</v>
      </c>
      <c r="C8119" s="8">
        <f>QS.CONTEXT.CREATE("market.8117",A8119,"USD","SOFR")</f>
        <v/>
      </c>
      <c r="D8119" s="8">
        <f>QS.CONTEXT.ADD.CURVE(C8119,"SOFR",$K$2:$K$7,$L$2:$L$7,,,"Actual360","LogLinear",TRUE)</f>
        <v/>
      </c>
      <c r="E8119" s="8">
        <f>QS.INSTRUMENT.SWAP("swap.8117",C8119,H8119,B8119,"USD","SOFR",I8119,J8119,0,"Actual360","Simple","Annual","Annual","Annual")</f>
        <v/>
      </c>
      <c r="F8119" s="8">
        <f>QS.TRADE.CREATE("trade.8117",C8119,E8119,A8119,"Receive")</f>
        <v/>
      </c>
      <c r="G8119" s="5"/>
      <c r="H8119" s="7" t="s">
        <v>8159</v>
      </c>
      <c r="I8119" s="9">
        <v>1811700</v>
      </c>
      <c r="J8119" s="10">
        <v>0.0367</v>
      </c>
    </row>
    <row r="8120" spans="1:10">
      <c r="A8120" s="7" t="s">
        <v>8153</v>
      </c>
      <c r="B8120" s="7" t="s">
        <v>9987</v>
      </c>
      <c r="C8120" s="8">
        <f>QS.CONTEXT.CREATE("market.8118",A8120,"USD","SOFR")</f>
        <v/>
      </c>
      <c r="D8120" s="8">
        <f>QS.CONTEXT.ADD.CURVE(C8120,"SOFR",$K$2:$K$7,$L$2:$L$7,,,"Actual360","LogLinear",TRUE)</f>
        <v/>
      </c>
      <c r="E8120" s="8">
        <f>QS.INSTRUMENT.SWAP("swap.8118",C8120,H8120,B8120,"USD","SOFR",I8120,J8120,0,"Actual360","Simple","Annual","Annual","Annual")</f>
        <v/>
      </c>
      <c r="F8120" s="8">
        <f>QS.TRADE.CREATE("trade.8118",C8120,E8120,A8120,"Receive")</f>
        <v/>
      </c>
      <c r="G8120" s="5"/>
      <c r="H8120" s="7" t="s">
        <v>8160</v>
      </c>
      <c r="I8120" s="9">
        <v>1811800</v>
      </c>
      <c r="J8120" s="10">
        <v>0.03680000000000001</v>
      </c>
    </row>
    <row r="8121" spans="1:10">
      <c r="A8121" s="7" t="s">
        <v>8154</v>
      </c>
      <c r="B8121" s="7" t="s">
        <v>9988</v>
      </c>
      <c r="C8121" s="8">
        <f>QS.CONTEXT.CREATE("market.8119",A8121,"USD","SOFR")</f>
        <v/>
      </c>
      <c r="D8121" s="8">
        <f>QS.CONTEXT.ADD.CURVE(C8121,"SOFR",$K$2:$K$7,$L$2:$L$7,,,"Actual360","LogLinear",TRUE)</f>
        <v/>
      </c>
      <c r="E8121" s="8">
        <f>QS.INSTRUMENT.SWAP("swap.8119",C8121,H8121,B8121,"USD","SOFR",I8121,J8121,0,"Actual360","Simple","Annual","Annual","Annual")</f>
        <v/>
      </c>
      <c r="F8121" s="8">
        <f>QS.TRADE.CREATE("trade.8119",C8121,E8121,A8121,"Receive")</f>
        <v/>
      </c>
      <c r="G8121" s="5"/>
      <c r="H8121" s="7" t="s">
        <v>8161</v>
      </c>
      <c r="I8121" s="9">
        <v>1811900</v>
      </c>
      <c r="J8121" s="10">
        <v>0.0369</v>
      </c>
    </row>
    <row r="8122" spans="1:10">
      <c r="A8122" s="7" t="s">
        <v>8155</v>
      </c>
      <c r="B8122" s="7" t="s">
        <v>9989</v>
      </c>
      <c r="C8122" s="8">
        <f>QS.CONTEXT.CREATE("market.8120",A8122,"USD","SOFR")</f>
        <v/>
      </c>
      <c r="D8122" s="8">
        <f>QS.CONTEXT.ADD.CURVE(C8122,"SOFR",$K$2:$K$7,$L$2:$L$7,,,"Actual360","LogLinear",TRUE)</f>
        <v/>
      </c>
      <c r="E8122" s="8">
        <f>QS.INSTRUMENT.SWAP("swap.8120",C8122,H8122,B8122,"USD","SOFR",I8122,J8122,0,"Actual360","Simple","Annual","Annual","Annual")</f>
        <v/>
      </c>
      <c r="F8122" s="8">
        <f>QS.TRADE.CREATE("trade.8120",C8122,E8122,A8122,"Receive")</f>
        <v/>
      </c>
      <c r="G8122" s="5"/>
      <c r="H8122" s="7" t="s">
        <v>8162</v>
      </c>
      <c r="I8122" s="9">
        <v>1812000</v>
      </c>
      <c r="J8122" s="10">
        <v>0.03700000000000001</v>
      </c>
    </row>
    <row r="8123" spans="1:10">
      <c r="A8123" s="7" t="s">
        <v>8156</v>
      </c>
      <c r="B8123" s="7" t="s">
        <v>9990</v>
      </c>
      <c r="C8123" s="8">
        <f>QS.CONTEXT.CREATE("market.8121",A8123,"USD","SOFR")</f>
        <v/>
      </c>
      <c r="D8123" s="8">
        <f>QS.CONTEXT.ADD.CURVE(C8123,"SOFR",$K$2:$K$7,$L$2:$L$7,,,"Actual360","LogLinear",TRUE)</f>
        <v/>
      </c>
      <c r="E8123" s="8">
        <f>QS.INSTRUMENT.SWAP("swap.8121",C8123,H8123,B8123,"USD","SOFR",I8123,J8123,0,"Actual360","Simple","Annual","Annual","Annual")</f>
        <v/>
      </c>
      <c r="F8123" s="8">
        <f>QS.TRADE.CREATE("trade.8121",C8123,E8123,A8123,"Receive")</f>
        <v/>
      </c>
      <c r="G8123" s="5"/>
      <c r="H8123" s="7" t="s">
        <v>8163</v>
      </c>
      <c r="I8123" s="9">
        <v>1812100</v>
      </c>
      <c r="J8123" s="10">
        <v>0.0371</v>
      </c>
    </row>
    <row r="8124" spans="1:10">
      <c r="A8124" s="7" t="s">
        <v>8157</v>
      </c>
      <c r="B8124" s="7" t="s">
        <v>9991</v>
      </c>
      <c r="C8124" s="8">
        <f>QS.CONTEXT.CREATE("market.8122",A8124,"USD","SOFR")</f>
        <v/>
      </c>
      <c r="D8124" s="8">
        <f>QS.CONTEXT.ADD.CURVE(C8124,"SOFR",$K$2:$K$7,$L$2:$L$7,,,"Actual360","LogLinear",TRUE)</f>
        <v/>
      </c>
      <c r="E8124" s="8">
        <f>QS.INSTRUMENT.SWAP("swap.8122",C8124,H8124,B8124,"USD","SOFR",I8124,J8124,0,"Actual360","Simple","Annual","Annual","Annual")</f>
        <v/>
      </c>
      <c r="F8124" s="8">
        <f>QS.TRADE.CREATE("trade.8122",C8124,E8124,A8124,"Receive")</f>
        <v/>
      </c>
      <c r="G8124" s="5"/>
      <c r="H8124" s="7" t="s">
        <v>8164</v>
      </c>
      <c r="I8124" s="9">
        <v>1812200</v>
      </c>
      <c r="J8124" s="10">
        <v>0.0372</v>
      </c>
    </row>
    <row r="8125" spans="1:10">
      <c r="A8125" s="7" t="s">
        <v>8158</v>
      </c>
      <c r="B8125" s="7" t="s">
        <v>9992</v>
      </c>
      <c r="C8125" s="8">
        <f>QS.CONTEXT.CREATE("market.8123",A8125,"USD","SOFR")</f>
        <v/>
      </c>
      <c r="D8125" s="8">
        <f>QS.CONTEXT.ADD.CURVE(C8125,"SOFR",$K$2:$K$7,$L$2:$L$7,,,"Actual360","LogLinear",TRUE)</f>
        <v/>
      </c>
      <c r="E8125" s="8">
        <f>QS.INSTRUMENT.SWAP("swap.8123",C8125,H8125,B8125,"USD","SOFR",I8125,J8125,0,"Actual360","Simple","Annual","Annual","Annual")</f>
        <v/>
      </c>
      <c r="F8125" s="8">
        <f>QS.TRADE.CREATE("trade.8123",C8125,E8125,A8125,"Receive")</f>
        <v/>
      </c>
      <c r="G8125" s="5"/>
      <c r="H8125" s="7" t="s">
        <v>8165</v>
      </c>
      <c r="I8125" s="9">
        <v>1812300</v>
      </c>
      <c r="J8125" s="10">
        <v>0.0373</v>
      </c>
    </row>
    <row r="8126" spans="1:10">
      <c r="A8126" s="7" t="s">
        <v>8159</v>
      </c>
      <c r="B8126" s="7" t="s">
        <v>9993</v>
      </c>
      <c r="C8126" s="8">
        <f>QS.CONTEXT.CREATE("market.8124",A8126,"USD","SOFR")</f>
        <v/>
      </c>
      <c r="D8126" s="8">
        <f>QS.CONTEXT.ADD.CURVE(C8126,"SOFR",$K$2:$K$7,$L$2:$L$7,,,"Actual360","LogLinear",TRUE)</f>
        <v/>
      </c>
      <c r="E8126" s="8">
        <f>QS.INSTRUMENT.SWAP("swap.8124",C8126,H8126,B8126,"USD","SOFR",I8126,J8126,0,"Actual360","Simple","Annual","Annual","Annual")</f>
        <v/>
      </c>
      <c r="F8126" s="8">
        <f>QS.TRADE.CREATE("trade.8124",C8126,E8126,A8126,"Receive")</f>
        <v/>
      </c>
      <c r="G8126" s="5"/>
      <c r="H8126" s="7" t="s">
        <v>8166</v>
      </c>
      <c r="I8126" s="9">
        <v>1812400</v>
      </c>
      <c r="J8126" s="10">
        <v>0.0374</v>
      </c>
    </row>
    <row r="8127" spans="1:10">
      <c r="A8127" s="7" t="s">
        <v>8160</v>
      </c>
      <c r="B8127" s="7" t="s">
        <v>9994</v>
      </c>
      <c r="C8127" s="8">
        <f>QS.CONTEXT.CREATE("market.8125",A8127,"USD","SOFR")</f>
        <v/>
      </c>
      <c r="D8127" s="8">
        <f>QS.CONTEXT.ADD.CURVE(C8127,"SOFR",$K$2:$K$7,$L$2:$L$7,,,"Actual360","LogLinear",TRUE)</f>
        <v/>
      </c>
      <c r="E8127" s="8">
        <f>QS.INSTRUMENT.SWAP("swap.8125",C8127,H8127,B8127,"USD","SOFR",I8127,J8127,0,"Actual360","Simple","Annual","Annual","Annual")</f>
        <v/>
      </c>
      <c r="F8127" s="8">
        <f>QS.TRADE.CREATE("trade.8125",C8127,E8127,A8127,"Receive")</f>
        <v/>
      </c>
      <c r="G8127" s="5"/>
      <c r="H8127" s="7" t="s">
        <v>8167</v>
      </c>
      <c r="I8127" s="9">
        <v>1812500</v>
      </c>
      <c r="J8127" s="10">
        <v>0.03750000000000001</v>
      </c>
    </row>
    <row r="8128" spans="1:10">
      <c r="A8128" s="7" t="s">
        <v>8161</v>
      </c>
      <c r="B8128" s="7" t="s">
        <v>9995</v>
      </c>
      <c r="C8128" s="8">
        <f>QS.CONTEXT.CREATE("market.8126",A8128,"USD","SOFR")</f>
        <v/>
      </c>
      <c r="D8128" s="8">
        <f>QS.CONTEXT.ADD.CURVE(C8128,"SOFR",$K$2:$K$7,$L$2:$L$7,,,"Actual360","LogLinear",TRUE)</f>
        <v/>
      </c>
      <c r="E8128" s="8">
        <f>QS.INSTRUMENT.SWAP("swap.8126",C8128,H8128,B8128,"USD","SOFR",I8128,J8128,0,"Actual360","Simple","Annual","Annual","Annual")</f>
        <v/>
      </c>
      <c r="F8128" s="8">
        <f>QS.TRADE.CREATE("trade.8126",C8128,E8128,A8128,"Receive")</f>
        <v/>
      </c>
      <c r="G8128" s="5"/>
      <c r="H8128" s="7" t="s">
        <v>8168</v>
      </c>
      <c r="I8128" s="9">
        <v>1812600</v>
      </c>
      <c r="J8128" s="10">
        <v>0.0376</v>
      </c>
    </row>
    <row r="8129" spans="1:10">
      <c r="A8129" s="7" t="s">
        <v>8162</v>
      </c>
      <c r="B8129" s="7" t="s">
        <v>9996</v>
      </c>
      <c r="C8129" s="8">
        <f>QS.CONTEXT.CREATE("market.8127",A8129,"USD","SOFR")</f>
        <v/>
      </c>
      <c r="D8129" s="8">
        <f>QS.CONTEXT.ADD.CURVE(C8129,"SOFR",$K$2:$K$7,$L$2:$L$7,,,"Actual360","LogLinear",TRUE)</f>
        <v/>
      </c>
      <c r="E8129" s="8">
        <f>QS.INSTRUMENT.SWAP("swap.8127",C8129,H8129,B8129,"USD","SOFR",I8129,J8129,0,"Actual360","Simple","Annual","Annual","Annual")</f>
        <v/>
      </c>
      <c r="F8129" s="8">
        <f>QS.TRADE.CREATE("trade.8127",C8129,E8129,A8129,"Receive")</f>
        <v/>
      </c>
      <c r="G8129" s="5"/>
      <c r="H8129" s="7" t="s">
        <v>8169</v>
      </c>
      <c r="I8129" s="9">
        <v>1812700</v>
      </c>
      <c r="J8129" s="10">
        <v>0.0377</v>
      </c>
    </row>
    <row r="8130" spans="1:10">
      <c r="A8130" s="7" t="s">
        <v>8163</v>
      </c>
      <c r="B8130" s="7" t="s">
        <v>9997</v>
      </c>
      <c r="C8130" s="8">
        <f>QS.CONTEXT.CREATE("market.8128",A8130,"USD","SOFR")</f>
        <v/>
      </c>
      <c r="D8130" s="8">
        <f>QS.CONTEXT.ADD.CURVE(C8130,"SOFR",$K$2:$K$7,$L$2:$L$7,,,"Actual360","LogLinear",TRUE)</f>
        <v/>
      </c>
      <c r="E8130" s="8">
        <f>QS.INSTRUMENT.SWAP("swap.8128",C8130,H8130,B8130,"USD","SOFR",I8130,J8130,0,"Actual360","Simple","Annual","Annual","Annual")</f>
        <v/>
      </c>
      <c r="F8130" s="8">
        <f>QS.TRADE.CREATE("trade.8128",C8130,E8130,A8130,"Receive")</f>
        <v/>
      </c>
      <c r="G8130" s="5"/>
      <c r="H8130" s="7" t="s">
        <v>8170</v>
      </c>
      <c r="I8130" s="9">
        <v>1812800</v>
      </c>
      <c r="J8130" s="10">
        <v>0.0378</v>
      </c>
    </row>
    <row r="8131" spans="1:10">
      <c r="A8131" s="7" t="s">
        <v>8164</v>
      </c>
      <c r="B8131" s="7" t="s">
        <v>9998</v>
      </c>
      <c r="C8131" s="8">
        <f>QS.CONTEXT.CREATE("market.8129",A8131,"USD","SOFR")</f>
        <v/>
      </c>
      <c r="D8131" s="8">
        <f>QS.CONTEXT.ADD.CURVE(C8131,"SOFR",$K$2:$K$7,$L$2:$L$7,,,"Actual360","LogLinear",TRUE)</f>
        <v/>
      </c>
      <c r="E8131" s="8">
        <f>QS.INSTRUMENT.SWAP("swap.8129",C8131,H8131,B8131,"USD","SOFR",I8131,J8131,0,"Actual360","Simple","Annual","Annual","Annual")</f>
        <v/>
      </c>
      <c r="F8131" s="8">
        <f>QS.TRADE.CREATE("trade.8129",C8131,E8131,A8131,"Receive")</f>
        <v/>
      </c>
      <c r="G8131" s="5"/>
      <c r="H8131" s="7" t="s">
        <v>8171</v>
      </c>
      <c r="I8131" s="9">
        <v>1812900</v>
      </c>
      <c r="J8131" s="10">
        <v>0.0379</v>
      </c>
    </row>
    <row r="8132" spans="1:10">
      <c r="A8132" s="7" t="s">
        <v>8165</v>
      </c>
      <c r="B8132" s="7" t="s">
        <v>9999</v>
      </c>
      <c r="C8132" s="8">
        <f>QS.CONTEXT.CREATE("market.8130",A8132,"USD","SOFR")</f>
        <v/>
      </c>
      <c r="D8132" s="8">
        <f>QS.CONTEXT.ADD.CURVE(C8132,"SOFR",$K$2:$K$7,$L$2:$L$7,,,"Actual360","LogLinear",TRUE)</f>
        <v/>
      </c>
      <c r="E8132" s="8">
        <f>QS.INSTRUMENT.SWAP("swap.8130",C8132,H8132,B8132,"USD","SOFR",I8132,J8132,0,"Actual360","Simple","Annual","Annual","Annual")</f>
        <v/>
      </c>
      <c r="F8132" s="8">
        <f>QS.TRADE.CREATE("trade.8130",C8132,E8132,A8132,"Receive")</f>
        <v/>
      </c>
      <c r="G8132" s="5"/>
      <c r="H8132" s="7" t="s">
        <v>8172</v>
      </c>
      <c r="I8132" s="9">
        <v>1813000</v>
      </c>
      <c r="J8132" s="10">
        <v>0.03800000000000001</v>
      </c>
    </row>
    <row r="8133" spans="1:10">
      <c r="A8133" s="7" t="s">
        <v>8166</v>
      </c>
      <c r="B8133" s="7" t="s">
        <v>10000</v>
      </c>
      <c r="C8133" s="8">
        <f>QS.CONTEXT.CREATE("market.8131",A8133,"USD","SOFR")</f>
        <v/>
      </c>
      <c r="D8133" s="8">
        <f>QS.CONTEXT.ADD.CURVE(C8133,"SOFR",$K$2:$K$7,$L$2:$L$7,,,"Actual360","LogLinear",TRUE)</f>
        <v/>
      </c>
      <c r="E8133" s="8">
        <f>QS.INSTRUMENT.SWAP("swap.8131",C8133,H8133,B8133,"USD","SOFR",I8133,J8133,0,"Actual360","Simple","Annual","Annual","Annual")</f>
        <v/>
      </c>
      <c r="F8133" s="8">
        <f>QS.TRADE.CREATE("trade.8131",C8133,E8133,A8133,"Receive")</f>
        <v/>
      </c>
      <c r="G8133" s="5"/>
      <c r="H8133" s="7" t="s">
        <v>8173</v>
      </c>
      <c r="I8133" s="9">
        <v>1813100</v>
      </c>
      <c r="J8133" s="10">
        <v>0.0381</v>
      </c>
    </row>
    <row r="8134" spans="1:10">
      <c r="A8134" s="7" t="s">
        <v>8167</v>
      </c>
      <c r="B8134" s="7" t="s">
        <v>10001</v>
      </c>
      <c r="C8134" s="8">
        <f>QS.CONTEXT.CREATE("market.8132",A8134,"USD","SOFR")</f>
        <v/>
      </c>
      <c r="D8134" s="8">
        <f>QS.CONTEXT.ADD.CURVE(C8134,"SOFR",$K$2:$K$7,$L$2:$L$7,,,"Actual360","LogLinear",TRUE)</f>
        <v/>
      </c>
      <c r="E8134" s="8">
        <f>QS.INSTRUMENT.SWAP("swap.8132",C8134,H8134,B8134,"USD","SOFR",I8134,J8134,0,"Actual360","Simple","Annual","Annual","Annual")</f>
        <v/>
      </c>
      <c r="F8134" s="8">
        <f>QS.TRADE.CREATE("trade.8132",C8134,E8134,A8134,"Receive")</f>
        <v/>
      </c>
      <c r="G8134" s="5"/>
      <c r="H8134" s="7" t="s">
        <v>8174</v>
      </c>
      <c r="I8134" s="9">
        <v>1813200</v>
      </c>
      <c r="J8134" s="10">
        <v>0.0382</v>
      </c>
    </row>
    <row r="8135" spans="1:10">
      <c r="A8135" s="7" t="s">
        <v>8168</v>
      </c>
      <c r="B8135" s="7" t="s">
        <v>10002</v>
      </c>
      <c r="C8135" s="8">
        <f>QS.CONTEXT.CREATE("market.8133",A8135,"USD","SOFR")</f>
        <v/>
      </c>
      <c r="D8135" s="8">
        <f>QS.CONTEXT.ADD.CURVE(C8135,"SOFR",$K$2:$K$7,$L$2:$L$7,,,"Actual360","LogLinear",TRUE)</f>
        <v/>
      </c>
      <c r="E8135" s="8">
        <f>QS.INSTRUMENT.SWAP("swap.8133",C8135,H8135,B8135,"USD","SOFR",I8135,J8135,0,"Actual360","Simple","Annual","Annual","Annual")</f>
        <v/>
      </c>
      <c r="F8135" s="8">
        <f>QS.TRADE.CREATE("trade.8133",C8135,E8135,A8135,"Receive")</f>
        <v/>
      </c>
      <c r="G8135" s="5"/>
      <c r="H8135" s="7" t="s">
        <v>8175</v>
      </c>
      <c r="I8135" s="9">
        <v>1813300</v>
      </c>
      <c r="J8135" s="10">
        <v>0.0383</v>
      </c>
    </row>
    <row r="8136" spans="1:10">
      <c r="A8136" s="7" t="s">
        <v>8169</v>
      </c>
      <c r="B8136" s="7" t="s">
        <v>10003</v>
      </c>
      <c r="C8136" s="8">
        <f>QS.CONTEXT.CREATE("market.8134",A8136,"USD","SOFR")</f>
        <v/>
      </c>
      <c r="D8136" s="8">
        <f>QS.CONTEXT.ADD.CURVE(C8136,"SOFR",$K$2:$K$7,$L$2:$L$7,,,"Actual360","LogLinear",TRUE)</f>
        <v/>
      </c>
      <c r="E8136" s="8">
        <f>QS.INSTRUMENT.SWAP("swap.8134",C8136,H8136,B8136,"USD","SOFR",I8136,J8136,0,"Actual360","Simple","Annual","Annual","Annual")</f>
        <v/>
      </c>
      <c r="F8136" s="8">
        <f>QS.TRADE.CREATE("trade.8134",C8136,E8136,A8136,"Receive")</f>
        <v/>
      </c>
      <c r="G8136" s="5"/>
      <c r="H8136" s="7" t="s">
        <v>8176</v>
      </c>
      <c r="I8136" s="9">
        <v>1813400</v>
      </c>
      <c r="J8136" s="10">
        <v>0.0384</v>
      </c>
    </row>
    <row r="8137" spans="1:10">
      <c r="A8137" s="7" t="s">
        <v>8170</v>
      </c>
      <c r="B8137" s="7" t="s">
        <v>10004</v>
      </c>
      <c r="C8137" s="8">
        <f>QS.CONTEXT.CREATE("market.8135",A8137,"USD","SOFR")</f>
        <v/>
      </c>
      <c r="D8137" s="8">
        <f>QS.CONTEXT.ADD.CURVE(C8137,"SOFR",$K$2:$K$7,$L$2:$L$7,,,"Actual360","LogLinear",TRUE)</f>
        <v/>
      </c>
      <c r="E8137" s="8">
        <f>QS.INSTRUMENT.SWAP("swap.8135",C8137,H8137,B8137,"USD","SOFR",I8137,J8137,0,"Actual360","Simple","Annual","Annual","Annual")</f>
        <v/>
      </c>
      <c r="F8137" s="8">
        <f>QS.TRADE.CREATE("trade.8135",C8137,E8137,A8137,"Receive")</f>
        <v/>
      </c>
      <c r="G8137" s="5"/>
      <c r="H8137" s="7" t="s">
        <v>8177</v>
      </c>
      <c r="I8137" s="9">
        <v>1813500</v>
      </c>
      <c r="J8137" s="10">
        <v>0.03850000000000001</v>
      </c>
    </row>
    <row r="8138" spans="1:10">
      <c r="A8138" s="7" t="s">
        <v>8171</v>
      </c>
      <c r="B8138" s="7" t="s">
        <v>10005</v>
      </c>
      <c r="C8138" s="8">
        <f>QS.CONTEXT.CREATE("market.8136",A8138,"USD","SOFR")</f>
        <v/>
      </c>
      <c r="D8138" s="8">
        <f>QS.CONTEXT.ADD.CURVE(C8138,"SOFR",$K$2:$K$7,$L$2:$L$7,,,"Actual360","LogLinear",TRUE)</f>
        <v/>
      </c>
      <c r="E8138" s="8">
        <f>QS.INSTRUMENT.SWAP("swap.8136",C8138,H8138,B8138,"USD","SOFR",I8138,J8138,0,"Actual360","Simple","Annual","Annual","Annual")</f>
        <v/>
      </c>
      <c r="F8138" s="8">
        <f>QS.TRADE.CREATE("trade.8136",C8138,E8138,A8138,"Receive")</f>
        <v/>
      </c>
      <c r="G8138" s="5"/>
      <c r="H8138" s="7" t="s">
        <v>8178</v>
      </c>
      <c r="I8138" s="9">
        <v>1813600</v>
      </c>
      <c r="J8138" s="10">
        <v>0.0386</v>
      </c>
    </row>
    <row r="8139" spans="1:10">
      <c r="A8139" s="7" t="s">
        <v>8172</v>
      </c>
      <c r="B8139" s="7" t="s">
        <v>10006</v>
      </c>
      <c r="C8139" s="8">
        <f>QS.CONTEXT.CREATE("market.8137",A8139,"USD","SOFR")</f>
        <v/>
      </c>
      <c r="D8139" s="8">
        <f>QS.CONTEXT.ADD.CURVE(C8139,"SOFR",$K$2:$K$7,$L$2:$L$7,,,"Actual360","LogLinear",TRUE)</f>
        <v/>
      </c>
      <c r="E8139" s="8">
        <f>QS.INSTRUMENT.SWAP("swap.8137",C8139,H8139,B8139,"USD","SOFR",I8139,J8139,0,"Actual360","Simple","Annual","Annual","Annual")</f>
        <v/>
      </c>
      <c r="F8139" s="8">
        <f>QS.TRADE.CREATE("trade.8137",C8139,E8139,A8139,"Receive")</f>
        <v/>
      </c>
      <c r="G8139" s="5"/>
      <c r="H8139" s="7" t="s">
        <v>8179</v>
      </c>
      <c r="I8139" s="9">
        <v>1813700</v>
      </c>
      <c r="J8139" s="10">
        <v>0.03870000000000001</v>
      </c>
    </row>
    <row r="8140" spans="1:10">
      <c r="A8140" s="7" t="s">
        <v>8173</v>
      </c>
      <c r="B8140" s="7" t="s">
        <v>10007</v>
      </c>
      <c r="C8140" s="8">
        <f>QS.CONTEXT.CREATE("market.8138",A8140,"USD","SOFR")</f>
        <v/>
      </c>
      <c r="D8140" s="8">
        <f>QS.CONTEXT.ADD.CURVE(C8140,"SOFR",$K$2:$K$7,$L$2:$L$7,,,"Actual360","LogLinear",TRUE)</f>
        <v/>
      </c>
      <c r="E8140" s="8">
        <f>QS.INSTRUMENT.SWAP("swap.8138",C8140,H8140,B8140,"USD","SOFR",I8140,J8140,0,"Actual360","Simple","Annual","Annual","Annual")</f>
        <v/>
      </c>
      <c r="F8140" s="8">
        <f>QS.TRADE.CREATE("trade.8138",C8140,E8140,A8140,"Receive")</f>
        <v/>
      </c>
      <c r="G8140" s="5"/>
      <c r="H8140" s="7" t="s">
        <v>8180</v>
      </c>
      <c r="I8140" s="9">
        <v>1813800</v>
      </c>
      <c r="J8140" s="10">
        <v>0.0388</v>
      </c>
    </row>
    <row r="8141" spans="1:10">
      <c r="A8141" s="7" t="s">
        <v>8174</v>
      </c>
      <c r="B8141" s="7" t="s">
        <v>10008</v>
      </c>
      <c r="C8141" s="8">
        <f>QS.CONTEXT.CREATE("market.8139",A8141,"USD","SOFR")</f>
        <v/>
      </c>
      <c r="D8141" s="8">
        <f>QS.CONTEXT.ADD.CURVE(C8141,"SOFR",$K$2:$K$7,$L$2:$L$7,,,"Actual360","LogLinear",TRUE)</f>
        <v/>
      </c>
      <c r="E8141" s="8">
        <f>QS.INSTRUMENT.SWAP("swap.8139",C8141,H8141,B8141,"USD","SOFR",I8141,J8141,0,"Actual360","Simple","Annual","Annual","Annual")</f>
        <v/>
      </c>
      <c r="F8141" s="8">
        <f>QS.TRADE.CREATE("trade.8139",C8141,E8141,A8141,"Receive")</f>
        <v/>
      </c>
      <c r="G8141" s="5"/>
      <c r="H8141" s="7" t="s">
        <v>8181</v>
      </c>
      <c r="I8141" s="9">
        <v>1813900</v>
      </c>
      <c r="J8141" s="10">
        <v>0.0389</v>
      </c>
    </row>
    <row r="8142" spans="1:10">
      <c r="A8142" s="7" t="s">
        <v>8175</v>
      </c>
      <c r="B8142" s="7" t="s">
        <v>10009</v>
      </c>
      <c r="C8142" s="8">
        <f>QS.CONTEXT.CREATE("market.8140",A8142,"USD","SOFR")</f>
        <v/>
      </c>
      <c r="D8142" s="8">
        <f>QS.CONTEXT.ADD.CURVE(C8142,"SOFR",$K$2:$K$7,$L$2:$L$7,,,"Actual360","LogLinear",TRUE)</f>
        <v/>
      </c>
      <c r="E8142" s="8">
        <f>QS.INSTRUMENT.SWAP("swap.8140",C8142,H8142,B8142,"USD","SOFR",I8142,J8142,0,"Actual360","Simple","Annual","Annual","Annual")</f>
        <v/>
      </c>
      <c r="F8142" s="8">
        <f>QS.TRADE.CREATE("trade.8140",C8142,E8142,A8142,"Receive")</f>
        <v/>
      </c>
      <c r="G8142" s="5"/>
      <c r="H8142" s="7" t="s">
        <v>8182</v>
      </c>
      <c r="I8142" s="9">
        <v>1814000</v>
      </c>
      <c r="J8142" s="10">
        <v>0.03900000000000001</v>
      </c>
    </row>
    <row r="8143" spans="1:10">
      <c r="A8143" s="7" t="s">
        <v>8176</v>
      </c>
      <c r="B8143" s="7" t="s">
        <v>10010</v>
      </c>
      <c r="C8143" s="8">
        <f>QS.CONTEXT.CREATE("market.8141",A8143,"USD","SOFR")</f>
        <v/>
      </c>
      <c r="D8143" s="8">
        <f>QS.CONTEXT.ADD.CURVE(C8143,"SOFR",$K$2:$K$7,$L$2:$L$7,,,"Actual360","LogLinear",TRUE)</f>
        <v/>
      </c>
      <c r="E8143" s="8">
        <f>QS.INSTRUMENT.SWAP("swap.8141",C8143,H8143,B8143,"USD","SOFR",I8143,J8143,0,"Actual360","Simple","Annual","Annual","Annual")</f>
        <v/>
      </c>
      <c r="F8143" s="8">
        <f>QS.TRADE.CREATE("trade.8141",C8143,E8143,A8143,"Receive")</f>
        <v/>
      </c>
      <c r="G8143" s="5"/>
      <c r="H8143" s="7" t="s">
        <v>8183</v>
      </c>
      <c r="I8143" s="9">
        <v>1814100</v>
      </c>
      <c r="J8143" s="10">
        <v>0.0391</v>
      </c>
    </row>
    <row r="8144" spans="1:10">
      <c r="A8144" s="7" t="s">
        <v>8177</v>
      </c>
      <c r="B8144" s="7" t="s">
        <v>10011</v>
      </c>
      <c r="C8144" s="8">
        <f>QS.CONTEXT.CREATE("market.8142",A8144,"USD","SOFR")</f>
        <v/>
      </c>
      <c r="D8144" s="8">
        <f>QS.CONTEXT.ADD.CURVE(C8144,"SOFR",$K$2:$K$7,$L$2:$L$7,,,"Actual360","LogLinear",TRUE)</f>
        <v/>
      </c>
      <c r="E8144" s="8">
        <f>QS.INSTRUMENT.SWAP("swap.8142",C8144,H8144,B8144,"USD","SOFR",I8144,J8144,0,"Actual360","Simple","Annual","Annual","Annual")</f>
        <v/>
      </c>
      <c r="F8144" s="8">
        <f>QS.TRADE.CREATE("trade.8142",C8144,E8144,A8144,"Receive")</f>
        <v/>
      </c>
      <c r="G8144" s="5"/>
      <c r="H8144" s="7" t="s">
        <v>8184</v>
      </c>
      <c r="I8144" s="9">
        <v>1814200</v>
      </c>
      <c r="J8144" s="10">
        <v>0.03920000000000001</v>
      </c>
    </row>
    <row r="8145" spans="1:10">
      <c r="A8145" s="7" t="s">
        <v>8178</v>
      </c>
      <c r="B8145" s="7" t="s">
        <v>10012</v>
      </c>
      <c r="C8145" s="8">
        <f>QS.CONTEXT.CREATE("market.8143",A8145,"USD","SOFR")</f>
        <v/>
      </c>
      <c r="D8145" s="8">
        <f>QS.CONTEXT.ADD.CURVE(C8145,"SOFR",$K$2:$K$7,$L$2:$L$7,,,"Actual360","LogLinear",TRUE)</f>
        <v/>
      </c>
      <c r="E8145" s="8">
        <f>QS.INSTRUMENT.SWAP("swap.8143",C8145,H8145,B8145,"USD","SOFR",I8145,J8145,0,"Actual360","Simple","Annual","Annual","Annual")</f>
        <v/>
      </c>
      <c r="F8145" s="8">
        <f>QS.TRADE.CREATE("trade.8143",C8145,E8145,A8145,"Receive")</f>
        <v/>
      </c>
      <c r="G8145" s="5"/>
      <c r="H8145" s="7" t="s">
        <v>8185</v>
      </c>
      <c r="I8145" s="9">
        <v>1814300</v>
      </c>
      <c r="J8145" s="10">
        <v>0.0393</v>
      </c>
    </row>
    <row r="8146" spans="1:10">
      <c r="A8146" s="7" t="s">
        <v>8179</v>
      </c>
      <c r="B8146" s="7" t="s">
        <v>10013</v>
      </c>
      <c r="C8146" s="8">
        <f>QS.CONTEXT.CREATE("market.8144",A8146,"USD","SOFR")</f>
        <v/>
      </c>
      <c r="D8146" s="8">
        <f>QS.CONTEXT.ADD.CURVE(C8146,"SOFR",$K$2:$K$7,$L$2:$L$7,,,"Actual360","LogLinear",TRUE)</f>
        <v/>
      </c>
      <c r="E8146" s="8">
        <f>QS.INSTRUMENT.SWAP("swap.8144",C8146,H8146,B8146,"USD","SOFR",I8146,J8146,0,"Actual360","Simple","Annual","Annual","Annual")</f>
        <v/>
      </c>
      <c r="F8146" s="8">
        <f>QS.TRADE.CREATE("trade.8144",C8146,E8146,A8146,"Receive")</f>
        <v/>
      </c>
      <c r="G8146" s="5"/>
      <c r="H8146" s="7" t="s">
        <v>8186</v>
      </c>
      <c r="I8146" s="9">
        <v>1814400</v>
      </c>
      <c r="J8146" s="10">
        <v>0.0394</v>
      </c>
    </row>
    <row r="8147" spans="1:10">
      <c r="A8147" s="7" t="s">
        <v>8180</v>
      </c>
      <c r="B8147" s="7" t="s">
        <v>10014</v>
      </c>
      <c r="C8147" s="8">
        <f>QS.CONTEXT.CREATE("market.8145",A8147,"USD","SOFR")</f>
        <v/>
      </c>
      <c r="D8147" s="8">
        <f>QS.CONTEXT.ADD.CURVE(C8147,"SOFR",$K$2:$K$7,$L$2:$L$7,,,"Actual360","LogLinear",TRUE)</f>
        <v/>
      </c>
      <c r="E8147" s="8">
        <f>QS.INSTRUMENT.SWAP("swap.8145",C8147,H8147,B8147,"USD","SOFR",I8147,J8147,0,"Actual360","Simple","Annual","Annual","Annual")</f>
        <v/>
      </c>
      <c r="F8147" s="8">
        <f>QS.TRADE.CREATE("trade.8145",C8147,E8147,A8147,"Receive")</f>
        <v/>
      </c>
      <c r="G8147" s="5"/>
      <c r="H8147" s="7" t="s">
        <v>8187</v>
      </c>
      <c r="I8147" s="9">
        <v>1814500</v>
      </c>
      <c r="J8147" s="10">
        <v>0.03950000000000001</v>
      </c>
    </row>
    <row r="8148" spans="1:10">
      <c r="A8148" s="7" t="s">
        <v>8181</v>
      </c>
      <c r="B8148" s="7" t="s">
        <v>10015</v>
      </c>
      <c r="C8148" s="8">
        <f>QS.CONTEXT.CREATE("market.8146",A8148,"USD","SOFR")</f>
        <v/>
      </c>
      <c r="D8148" s="8">
        <f>QS.CONTEXT.ADD.CURVE(C8148,"SOFR",$K$2:$K$7,$L$2:$L$7,,,"Actual360","LogLinear",TRUE)</f>
        <v/>
      </c>
      <c r="E8148" s="8">
        <f>QS.INSTRUMENT.SWAP("swap.8146",C8148,H8148,B8148,"USD","SOFR",I8148,J8148,0,"Actual360","Simple","Annual","Annual","Annual")</f>
        <v/>
      </c>
      <c r="F8148" s="8">
        <f>QS.TRADE.CREATE("trade.8146",C8148,E8148,A8148,"Receive")</f>
        <v/>
      </c>
      <c r="G8148" s="5"/>
      <c r="H8148" s="7" t="s">
        <v>8188</v>
      </c>
      <c r="I8148" s="9">
        <v>1814600</v>
      </c>
      <c r="J8148" s="10">
        <v>0.0396</v>
      </c>
    </row>
    <row r="8149" spans="1:10">
      <c r="A8149" s="7" t="s">
        <v>8182</v>
      </c>
      <c r="B8149" s="7" t="s">
        <v>10016</v>
      </c>
      <c r="C8149" s="8">
        <f>QS.CONTEXT.CREATE("market.8147",A8149,"USD","SOFR")</f>
        <v/>
      </c>
      <c r="D8149" s="8">
        <f>QS.CONTEXT.ADD.CURVE(C8149,"SOFR",$K$2:$K$7,$L$2:$L$7,,,"Actual360","LogLinear",TRUE)</f>
        <v/>
      </c>
      <c r="E8149" s="8">
        <f>QS.INSTRUMENT.SWAP("swap.8147",C8149,H8149,B8149,"USD","SOFR",I8149,J8149,0,"Actual360","Simple","Annual","Annual","Annual")</f>
        <v/>
      </c>
      <c r="F8149" s="8">
        <f>QS.TRADE.CREATE("trade.8147",C8149,E8149,A8149,"Receive")</f>
        <v/>
      </c>
      <c r="G8149" s="5"/>
      <c r="H8149" s="7" t="s">
        <v>8189</v>
      </c>
      <c r="I8149" s="9">
        <v>1814700</v>
      </c>
      <c r="J8149" s="10">
        <v>0.03970000000000001</v>
      </c>
    </row>
    <row r="8150" spans="1:10">
      <c r="A8150" s="7" t="s">
        <v>8183</v>
      </c>
      <c r="B8150" s="7" t="s">
        <v>10017</v>
      </c>
      <c r="C8150" s="8">
        <f>QS.CONTEXT.CREATE("market.8148",A8150,"USD","SOFR")</f>
        <v/>
      </c>
      <c r="D8150" s="8">
        <f>QS.CONTEXT.ADD.CURVE(C8150,"SOFR",$K$2:$K$7,$L$2:$L$7,,,"Actual360","LogLinear",TRUE)</f>
        <v/>
      </c>
      <c r="E8150" s="8">
        <f>QS.INSTRUMENT.SWAP("swap.8148",C8150,H8150,B8150,"USD","SOFR",I8150,J8150,0,"Actual360","Simple","Annual","Annual","Annual")</f>
        <v/>
      </c>
      <c r="F8150" s="8">
        <f>QS.TRADE.CREATE("trade.8148",C8150,E8150,A8150,"Receive")</f>
        <v/>
      </c>
      <c r="G8150" s="5"/>
      <c r="H8150" s="7" t="s">
        <v>8190</v>
      </c>
      <c r="I8150" s="9">
        <v>1814800</v>
      </c>
      <c r="J8150" s="10">
        <v>0.0398</v>
      </c>
    </row>
    <row r="8151" spans="1:10">
      <c r="A8151" s="7" t="s">
        <v>8184</v>
      </c>
      <c r="B8151" s="7" t="s">
        <v>10018</v>
      </c>
      <c r="C8151" s="8">
        <f>QS.CONTEXT.CREATE("market.8149",A8151,"USD","SOFR")</f>
        <v/>
      </c>
      <c r="D8151" s="8">
        <f>QS.CONTEXT.ADD.CURVE(C8151,"SOFR",$K$2:$K$7,$L$2:$L$7,,,"Actual360","LogLinear",TRUE)</f>
        <v/>
      </c>
      <c r="E8151" s="8">
        <f>QS.INSTRUMENT.SWAP("swap.8149",C8151,H8151,B8151,"USD","SOFR",I8151,J8151,0,"Actual360","Simple","Annual","Annual","Annual")</f>
        <v/>
      </c>
      <c r="F8151" s="8">
        <f>QS.TRADE.CREATE("trade.8149",C8151,E8151,A8151,"Receive")</f>
        <v/>
      </c>
      <c r="G8151" s="5"/>
      <c r="H8151" s="7" t="s">
        <v>8191</v>
      </c>
      <c r="I8151" s="9">
        <v>1814900</v>
      </c>
      <c r="J8151" s="10">
        <v>0.0399</v>
      </c>
    </row>
    <row r="8152" spans="1:10">
      <c r="A8152" s="7" t="s">
        <v>8185</v>
      </c>
      <c r="B8152" s="7" t="s">
        <v>10019</v>
      </c>
      <c r="C8152" s="8">
        <f>QS.CONTEXT.CREATE("market.8150",A8152,"USD","SOFR")</f>
        <v/>
      </c>
      <c r="D8152" s="8">
        <f>QS.CONTEXT.ADD.CURVE(C8152,"SOFR",$K$2:$K$7,$L$2:$L$7,,,"Actual360","LogLinear",TRUE)</f>
        <v/>
      </c>
      <c r="E8152" s="8">
        <f>QS.INSTRUMENT.SWAP("swap.8150",C8152,H8152,B8152,"USD","SOFR",I8152,J8152,0,"Actual360","Simple","Annual","Annual","Annual")</f>
        <v/>
      </c>
      <c r="F8152" s="8">
        <f>QS.TRADE.CREATE("trade.8150",C8152,E8152,A8152,"Receive")</f>
        <v/>
      </c>
      <c r="G8152" s="5"/>
      <c r="H8152" s="7" t="s">
        <v>8192</v>
      </c>
      <c r="I8152" s="9">
        <v>1815000</v>
      </c>
      <c r="J8152" s="10">
        <v>0.035</v>
      </c>
    </row>
    <row r="8153" spans="1:10">
      <c r="A8153" s="7" t="s">
        <v>8186</v>
      </c>
      <c r="B8153" s="7" t="s">
        <v>10020</v>
      </c>
      <c r="C8153" s="8">
        <f>QS.CONTEXT.CREATE("market.8151",A8153,"USD","SOFR")</f>
        <v/>
      </c>
      <c r="D8153" s="8">
        <f>QS.CONTEXT.ADD.CURVE(C8153,"SOFR",$K$2:$K$7,$L$2:$L$7,,,"Actual360","LogLinear",TRUE)</f>
        <v/>
      </c>
      <c r="E8153" s="8">
        <f>QS.INSTRUMENT.SWAP("swap.8151",C8153,H8153,B8153,"USD","SOFR",I8153,J8153,0,"Actual360","Simple","Annual","Annual","Annual")</f>
        <v/>
      </c>
      <c r="F8153" s="8">
        <f>QS.TRADE.CREATE("trade.8151",C8153,E8153,A8153,"Receive")</f>
        <v/>
      </c>
      <c r="G8153" s="5"/>
      <c r="H8153" s="7" t="s">
        <v>8193</v>
      </c>
      <c r="I8153" s="9">
        <v>1815100</v>
      </c>
      <c r="J8153" s="10">
        <v>0.03510000000000001</v>
      </c>
    </row>
    <row r="8154" spans="1:10">
      <c r="A8154" s="7" t="s">
        <v>8187</v>
      </c>
      <c r="B8154" s="7" t="s">
        <v>10021</v>
      </c>
      <c r="C8154" s="8">
        <f>QS.CONTEXT.CREATE("market.8152",A8154,"USD","SOFR")</f>
        <v/>
      </c>
      <c r="D8154" s="8">
        <f>QS.CONTEXT.ADD.CURVE(C8154,"SOFR",$K$2:$K$7,$L$2:$L$7,,,"Actual360","LogLinear",TRUE)</f>
        <v/>
      </c>
      <c r="E8154" s="8">
        <f>QS.INSTRUMENT.SWAP("swap.8152",C8154,H8154,B8154,"USD","SOFR",I8154,J8154,0,"Actual360","Simple","Annual","Annual","Annual")</f>
        <v/>
      </c>
      <c r="F8154" s="8">
        <f>QS.TRADE.CREATE("trade.8152",C8154,E8154,A8154,"Receive")</f>
        <v/>
      </c>
      <c r="G8154" s="5"/>
      <c r="H8154" s="7" t="s">
        <v>8194</v>
      </c>
      <c r="I8154" s="9">
        <v>1815200</v>
      </c>
      <c r="J8154" s="10">
        <v>0.0352</v>
      </c>
    </row>
    <row r="8155" spans="1:10">
      <c r="A8155" s="7" t="s">
        <v>8188</v>
      </c>
      <c r="B8155" s="7" t="s">
        <v>10022</v>
      </c>
      <c r="C8155" s="8">
        <f>QS.CONTEXT.CREATE("market.8153",A8155,"USD","SOFR")</f>
        <v/>
      </c>
      <c r="D8155" s="8">
        <f>QS.CONTEXT.ADD.CURVE(C8155,"SOFR",$K$2:$K$7,$L$2:$L$7,,,"Actual360","LogLinear",TRUE)</f>
        <v/>
      </c>
      <c r="E8155" s="8">
        <f>QS.INSTRUMENT.SWAP("swap.8153",C8155,H8155,B8155,"USD","SOFR",I8155,J8155,0,"Actual360","Simple","Annual","Annual","Annual")</f>
        <v/>
      </c>
      <c r="F8155" s="8">
        <f>QS.TRADE.CREATE("trade.8153",C8155,E8155,A8155,"Receive")</f>
        <v/>
      </c>
      <c r="G8155" s="5"/>
      <c r="H8155" s="7" t="s">
        <v>8195</v>
      </c>
      <c r="I8155" s="9">
        <v>1815300</v>
      </c>
      <c r="J8155" s="10">
        <v>0.0353</v>
      </c>
    </row>
    <row r="8156" spans="1:10">
      <c r="A8156" s="7" t="s">
        <v>8189</v>
      </c>
      <c r="B8156" s="7" t="s">
        <v>10023</v>
      </c>
      <c r="C8156" s="8">
        <f>QS.CONTEXT.CREATE("market.8154",A8156,"USD","SOFR")</f>
        <v/>
      </c>
      <c r="D8156" s="8">
        <f>QS.CONTEXT.ADD.CURVE(C8156,"SOFR",$K$2:$K$7,$L$2:$L$7,,,"Actual360","LogLinear",TRUE)</f>
        <v/>
      </c>
      <c r="E8156" s="8">
        <f>QS.INSTRUMENT.SWAP("swap.8154",C8156,H8156,B8156,"USD","SOFR",I8156,J8156,0,"Actual360","Simple","Annual","Annual","Annual")</f>
        <v/>
      </c>
      <c r="F8156" s="8">
        <f>QS.TRADE.CREATE("trade.8154",C8156,E8156,A8156,"Receive")</f>
        <v/>
      </c>
      <c r="G8156" s="5"/>
      <c r="H8156" s="7" t="s">
        <v>8196</v>
      </c>
      <c r="I8156" s="9">
        <v>1815400</v>
      </c>
      <c r="J8156" s="10">
        <v>0.0354</v>
      </c>
    </row>
    <row r="8157" spans="1:10">
      <c r="A8157" s="7" t="s">
        <v>8190</v>
      </c>
      <c r="B8157" s="7" t="s">
        <v>10024</v>
      </c>
      <c r="C8157" s="8">
        <f>QS.CONTEXT.CREATE("market.8155",A8157,"USD","SOFR")</f>
        <v/>
      </c>
      <c r="D8157" s="8">
        <f>QS.CONTEXT.ADD.CURVE(C8157,"SOFR",$K$2:$K$7,$L$2:$L$7,,,"Actual360","LogLinear",TRUE)</f>
        <v/>
      </c>
      <c r="E8157" s="8">
        <f>QS.INSTRUMENT.SWAP("swap.8155",C8157,H8157,B8157,"USD","SOFR",I8157,J8157,0,"Actual360","Simple","Annual","Annual","Annual")</f>
        <v/>
      </c>
      <c r="F8157" s="8">
        <f>QS.TRADE.CREATE("trade.8155",C8157,E8157,A8157,"Receive")</f>
        <v/>
      </c>
      <c r="G8157" s="5"/>
      <c r="H8157" s="7" t="s">
        <v>8197</v>
      </c>
      <c r="I8157" s="9">
        <v>1815500</v>
      </c>
      <c r="J8157" s="10">
        <v>0.0355</v>
      </c>
    </row>
    <row r="8158" spans="1:10">
      <c r="A8158" s="7" t="s">
        <v>8191</v>
      </c>
      <c r="B8158" s="7" t="s">
        <v>10025</v>
      </c>
      <c r="C8158" s="8">
        <f>QS.CONTEXT.CREATE("market.8156",A8158,"USD","SOFR")</f>
        <v/>
      </c>
      <c r="D8158" s="8">
        <f>QS.CONTEXT.ADD.CURVE(C8158,"SOFR",$K$2:$K$7,$L$2:$L$7,,,"Actual360","LogLinear",TRUE)</f>
        <v/>
      </c>
      <c r="E8158" s="8">
        <f>QS.INSTRUMENT.SWAP("swap.8156",C8158,H8158,B8158,"USD","SOFR",I8158,J8158,0,"Actual360","Simple","Annual","Annual","Annual")</f>
        <v/>
      </c>
      <c r="F8158" s="8">
        <f>QS.TRADE.CREATE("trade.8156",C8158,E8158,A8158,"Receive")</f>
        <v/>
      </c>
      <c r="G8158" s="5"/>
      <c r="H8158" s="7" t="s">
        <v>8198</v>
      </c>
      <c r="I8158" s="9">
        <v>1815600</v>
      </c>
      <c r="J8158" s="10">
        <v>0.03560000000000001</v>
      </c>
    </row>
    <row r="8159" spans="1:10">
      <c r="A8159" s="7" t="s">
        <v>8192</v>
      </c>
      <c r="B8159" s="7" t="s">
        <v>10026</v>
      </c>
      <c r="C8159" s="8">
        <f>QS.CONTEXT.CREATE("market.8157",A8159,"USD","SOFR")</f>
        <v/>
      </c>
      <c r="D8159" s="8">
        <f>QS.CONTEXT.ADD.CURVE(C8159,"SOFR",$K$2:$K$7,$L$2:$L$7,,,"Actual360","LogLinear",TRUE)</f>
        <v/>
      </c>
      <c r="E8159" s="8">
        <f>QS.INSTRUMENT.SWAP("swap.8157",C8159,H8159,B8159,"USD","SOFR",I8159,J8159,0,"Actual360","Simple","Annual","Annual","Annual")</f>
        <v/>
      </c>
      <c r="F8159" s="8">
        <f>QS.TRADE.CREATE("trade.8157",C8159,E8159,A8159,"Receive")</f>
        <v/>
      </c>
      <c r="G8159" s="5"/>
      <c r="H8159" s="7" t="s">
        <v>8199</v>
      </c>
      <c r="I8159" s="9">
        <v>1815700</v>
      </c>
      <c r="J8159" s="10">
        <v>0.0357</v>
      </c>
    </row>
    <row r="8160" spans="1:10">
      <c r="A8160" s="7" t="s">
        <v>8193</v>
      </c>
      <c r="B8160" s="7" t="s">
        <v>10027</v>
      </c>
      <c r="C8160" s="8">
        <f>QS.CONTEXT.CREATE("market.8158",A8160,"USD","SOFR")</f>
        <v/>
      </c>
      <c r="D8160" s="8">
        <f>QS.CONTEXT.ADD.CURVE(C8160,"SOFR",$K$2:$K$7,$L$2:$L$7,,,"Actual360","LogLinear",TRUE)</f>
        <v/>
      </c>
      <c r="E8160" s="8">
        <f>QS.INSTRUMENT.SWAP("swap.8158",C8160,H8160,B8160,"USD","SOFR",I8160,J8160,0,"Actual360","Simple","Annual","Annual","Annual")</f>
        <v/>
      </c>
      <c r="F8160" s="8">
        <f>QS.TRADE.CREATE("trade.8158",C8160,E8160,A8160,"Receive")</f>
        <v/>
      </c>
      <c r="G8160" s="5"/>
      <c r="H8160" s="7" t="s">
        <v>8200</v>
      </c>
      <c r="I8160" s="9">
        <v>1815800</v>
      </c>
      <c r="J8160" s="10">
        <v>0.03580000000000001</v>
      </c>
    </row>
    <row r="8161" spans="1:10">
      <c r="A8161" s="7" t="s">
        <v>8194</v>
      </c>
      <c r="B8161" s="7" t="s">
        <v>10028</v>
      </c>
      <c r="C8161" s="8">
        <f>QS.CONTEXT.CREATE("market.8159",A8161,"USD","SOFR")</f>
        <v/>
      </c>
      <c r="D8161" s="8">
        <f>QS.CONTEXT.ADD.CURVE(C8161,"SOFR",$K$2:$K$7,$L$2:$L$7,,,"Actual360","LogLinear",TRUE)</f>
        <v/>
      </c>
      <c r="E8161" s="8">
        <f>QS.INSTRUMENT.SWAP("swap.8159",C8161,H8161,B8161,"USD","SOFR",I8161,J8161,0,"Actual360","Simple","Annual","Annual","Annual")</f>
        <v/>
      </c>
      <c r="F8161" s="8">
        <f>QS.TRADE.CREATE("trade.8159",C8161,E8161,A8161,"Receive")</f>
        <v/>
      </c>
      <c r="G8161" s="5"/>
      <c r="H8161" s="7" t="s">
        <v>8201</v>
      </c>
      <c r="I8161" s="9">
        <v>1815900</v>
      </c>
      <c r="J8161" s="10">
        <v>0.0359</v>
      </c>
    </row>
    <row r="8162" spans="1:10">
      <c r="A8162" s="7" t="s">
        <v>8195</v>
      </c>
      <c r="B8162" s="7" t="s">
        <v>10029</v>
      </c>
      <c r="C8162" s="8">
        <f>QS.CONTEXT.CREATE("market.8160",A8162,"USD","SOFR")</f>
        <v/>
      </c>
      <c r="D8162" s="8">
        <f>QS.CONTEXT.ADD.CURVE(C8162,"SOFR",$K$2:$K$7,$L$2:$L$7,,,"Actual360","LogLinear",TRUE)</f>
        <v/>
      </c>
      <c r="E8162" s="8">
        <f>QS.INSTRUMENT.SWAP("swap.8160",C8162,H8162,B8162,"USD","SOFR",I8162,J8162,0,"Actual360","Simple","Annual","Annual","Annual")</f>
        <v/>
      </c>
      <c r="F8162" s="8">
        <f>QS.TRADE.CREATE("trade.8160",C8162,E8162,A8162,"Receive")</f>
        <v/>
      </c>
      <c r="G8162" s="5"/>
      <c r="H8162" s="7" t="s">
        <v>8202</v>
      </c>
      <c r="I8162" s="9">
        <v>1816000</v>
      </c>
      <c r="J8162" s="10">
        <v>0.036</v>
      </c>
    </row>
    <row r="8163" spans="1:10">
      <c r="A8163" s="7" t="s">
        <v>8196</v>
      </c>
      <c r="B8163" s="7" t="s">
        <v>10030</v>
      </c>
      <c r="C8163" s="8">
        <f>QS.CONTEXT.CREATE("market.8161",A8163,"USD","SOFR")</f>
        <v/>
      </c>
      <c r="D8163" s="8">
        <f>QS.CONTEXT.ADD.CURVE(C8163,"SOFR",$K$2:$K$7,$L$2:$L$7,,,"Actual360","LogLinear",TRUE)</f>
        <v/>
      </c>
      <c r="E8163" s="8">
        <f>QS.INSTRUMENT.SWAP("swap.8161",C8163,H8163,B8163,"USD","SOFR",I8163,J8163,0,"Actual360","Simple","Annual","Annual","Annual")</f>
        <v/>
      </c>
      <c r="F8163" s="8">
        <f>QS.TRADE.CREATE("trade.8161",C8163,E8163,A8163,"Receive")</f>
        <v/>
      </c>
      <c r="G8163" s="5"/>
      <c r="H8163" s="7" t="s">
        <v>8203</v>
      </c>
      <c r="I8163" s="9">
        <v>1816100</v>
      </c>
      <c r="J8163" s="10">
        <v>0.0361</v>
      </c>
    </row>
    <row r="8164" spans="1:10">
      <c r="A8164" s="7" t="s">
        <v>8197</v>
      </c>
      <c r="B8164" s="7" t="s">
        <v>10031</v>
      </c>
      <c r="C8164" s="8">
        <f>QS.CONTEXT.CREATE("market.8162",A8164,"USD","SOFR")</f>
        <v/>
      </c>
      <c r="D8164" s="8">
        <f>QS.CONTEXT.ADD.CURVE(C8164,"SOFR",$K$2:$K$7,$L$2:$L$7,,,"Actual360","LogLinear",TRUE)</f>
        <v/>
      </c>
      <c r="E8164" s="8">
        <f>QS.INSTRUMENT.SWAP("swap.8162",C8164,H8164,B8164,"USD","SOFR",I8164,J8164,0,"Actual360","Simple","Annual","Annual","Annual")</f>
        <v/>
      </c>
      <c r="F8164" s="8">
        <f>QS.TRADE.CREATE("trade.8162",C8164,E8164,A8164,"Receive")</f>
        <v/>
      </c>
      <c r="G8164" s="5"/>
      <c r="H8164" s="7" t="s">
        <v>8204</v>
      </c>
      <c r="I8164" s="9">
        <v>1816200</v>
      </c>
      <c r="J8164" s="10">
        <v>0.0362</v>
      </c>
    </row>
    <row r="8165" spans="1:10">
      <c r="A8165" s="7" t="s">
        <v>8198</v>
      </c>
      <c r="B8165" s="7" t="s">
        <v>10032</v>
      </c>
      <c r="C8165" s="8">
        <f>QS.CONTEXT.CREATE("market.8163",A8165,"USD","SOFR")</f>
        <v/>
      </c>
      <c r="D8165" s="8">
        <f>QS.CONTEXT.ADD.CURVE(C8165,"SOFR",$K$2:$K$7,$L$2:$L$7,,,"Actual360","LogLinear",TRUE)</f>
        <v/>
      </c>
      <c r="E8165" s="8">
        <f>QS.INSTRUMENT.SWAP("swap.8163",C8165,H8165,B8165,"USD","SOFR",I8165,J8165,0,"Actual360","Simple","Annual","Annual","Annual")</f>
        <v/>
      </c>
      <c r="F8165" s="8">
        <f>QS.TRADE.CREATE("trade.8163",C8165,E8165,A8165,"Receive")</f>
        <v/>
      </c>
      <c r="G8165" s="5"/>
      <c r="H8165" s="7" t="s">
        <v>8205</v>
      </c>
      <c r="I8165" s="9">
        <v>1816300</v>
      </c>
      <c r="J8165" s="10">
        <v>0.03630000000000001</v>
      </c>
    </row>
    <row r="8166" spans="1:10">
      <c r="A8166" s="7" t="s">
        <v>8199</v>
      </c>
      <c r="B8166" s="7" t="s">
        <v>10033</v>
      </c>
      <c r="C8166" s="8">
        <f>QS.CONTEXT.CREATE("market.8164",A8166,"USD","SOFR")</f>
        <v/>
      </c>
      <c r="D8166" s="8">
        <f>QS.CONTEXT.ADD.CURVE(C8166,"SOFR",$K$2:$K$7,$L$2:$L$7,,,"Actual360","LogLinear",TRUE)</f>
        <v/>
      </c>
      <c r="E8166" s="8">
        <f>QS.INSTRUMENT.SWAP("swap.8164",C8166,H8166,B8166,"USD","SOFR",I8166,J8166,0,"Actual360","Simple","Annual","Annual","Annual")</f>
        <v/>
      </c>
      <c r="F8166" s="8">
        <f>QS.TRADE.CREATE("trade.8164",C8166,E8166,A8166,"Receive")</f>
        <v/>
      </c>
      <c r="G8166" s="5"/>
      <c r="H8166" s="7" t="s">
        <v>8206</v>
      </c>
      <c r="I8166" s="9">
        <v>1816400</v>
      </c>
      <c r="J8166" s="10">
        <v>0.0364</v>
      </c>
    </row>
    <row r="8167" spans="1:10">
      <c r="A8167" s="7" t="s">
        <v>8200</v>
      </c>
      <c r="B8167" s="7" t="s">
        <v>10034</v>
      </c>
      <c r="C8167" s="8">
        <f>QS.CONTEXT.CREATE("market.8165",A8167,"USD","SOFR")</f>
        <v/>
      </c>
      <c r="D8167" s="8">
        <f>QS.CONTEXT.ADD.CURVE(C8167,"SOFR",$K$2:$K$7,$L$2:$L$7,,,"Actual360","LogLinear",TRUE)</f>
        <v/>
      </c>
      <c r="E8167" s="8">
        <f>QS.INSTRUMENT.SWAP("swap.8165",C8167,H8167,B8167,"USD","SOFR",I8167,J8167,0,"Actual360","Simple","Annual","Annual","Annual")</f>
        <v/>
      </c>
      <c r="F8167" s="8">
        <f>QS.TRADE.CREATE("trade.8165",C8167,E8167,A8167,"Receive")</f>
        <v/>
      </c>
      <c r="G8167" s="5"/>
      <c r="H8167" s="7" t="s">
        <v>8207</v>
      </c>
      <c r="I8167" s="9">
        <v>1816500</v>
      </c>
      <c r="J8167" s="10">
        <v>0.0365</v>
      </c>
    </row>
    <row r="8168" spans="1:10">
      <c r="A8168" s="7" t="s">
        <v>8201</v>
      </c>
      <c r="B8168" s="7" t="s">
        <v>10035</v>
      </c>
      <c r="C8168" s="8">
        <f>QS.CONTEXT.CREATE("market.8166",A8168,"USD","SOFR")</f>
        <v/>
      </c>
      <c r="D8168" s="8">
        <f>QS.CONTEXT.ADD.CURVE(C8168,"SOFR",$K$2:$K$7,$L$2:$L$7,,,"Actual360","LogLinear",TRUE)</f>
        <v/>
      </c>
      <c r="E8168" s="8">
        <f>QS.INSTRUMENT.SWAP("swap.8166",C8168,H8168,B8168,"USD","SOFR",I8168,J8168,0,"Actual360","Simple","Annual","Annual","Annual")</f>
        <v/>
      </c>
      <c r="F8168" s="8">
        <f>QS.TRADE.CREATE("trade.8166",C8168,E8168,A8168,"Receive")</f>
        <v/>
      </c>
      <c r="G8168" s="5"/>
      <c r="H8168" s="7" t="s">
        <v>8208</v>
      </c>
      <c r="I8168" s="9">
        <v>1816600</v>
      </c>
      <c r="J8168" s="10">
        <v>0.0366</v>
      </c>
    </row>
    <row r="8169" spans="1:10">
      <c r="A8169" s="7" t="s">
        <v>8202</v>
      </c>
      <c r="B8169" s="7" t="s">
        <v>10036</v>
      </c>
      <c r="C8169" s="8">
        <f>QS.CONTEXT.CREATE("market.8167",A8169,"USD","SOFR")</f>
        <v/>
      </c>
      <c r="D8169" s="8">
        <f>QS.CONTEXT.ADD.CURVE(C8169,"SOFR",$K$2:$K$7,$L$2:$L$7,,,"Actual360","LogLinear",TRUE)</f>
        <v/>
      </c>
      <c r="E8169" s="8">
        <f>QS.INSTRUMENT.SWAP("swap.8167",C8169,H8169,B8169,"USD","SOFR",I8169,J8169,0,"Actual360","Simple","Annual","Annual","Annual")</f>
        <v/>
      </c>
      <c r="F8169" s="8">
        <f>QS.TRADE.CREATE("trade.8167",C8169,E8169,A8169,"Receive")</f>
        <v/>
      </c>
      <c r="G8169" s="5"/>
      <c r="H8169" s="7" t="s">
        <v>8209</v>
      </c>
      <c r="I8169" s="9">
        <v>1816700</v>
      </c>
      <c r="J8169" s="10">
        <v>0.0367</v>
      </c>
    </row>
    <row r="8170" spans="1:10">
      <c r="A8170" s="7" t="s">
        <v>8203</v>
      </c>
      <c r="B8170" s="7" t="s">
        <v>10037</v>
      </c>
      <c r="C8170" s="8">
        <f>QS.CONTEXT.CREATE("market.8168",A8170,"USD","SOFR")</f>
        <v/>
      </c>
      <c r="D8170" s="8">
        <f>QS.CONTEXT.ADD.CURVE(C8170,"SOFR",$K$2:$K$7,$L$2:$L$7,,,"Actual360","LogLinear",TRUE)</f>
        <v/>
      </c>
      <c r="E8170" s="8">
        <f>QS.INSTRUMENT.SWAP("swap.8168",C8170,H8170,B8170,"USD","SOFR",I8170,J8170,0,"Actual360","Simple","Annual","Annual","Annual")</f>
        <v/>
      </c>
      <c r="F8170" s="8">
        <f>QS.TRADE.CREATE("trade.8168",C8170,E8170,A8170,"Receive")</f>
        <v/>
      </c>
      <c r="G8170" s="5"/>
      <c r="H8170" s="7" t="s">
        <v>8210</v>
      </c>
      <c r="I8170" s="9">
        <v>1816800</v>
      </c>
      <c r="J8170" s="10">
        <v>0.03680000000000001</v>
      </c>
    </row>
    <row r="8171" spans="1:10">
      <c r="A8171" s="7" t="s">
        <v>8204</v>
      </c>
      <c r="B8171" s="7" t="s">
        <v>10038</v>
      </c>
      <c r="C8171" s="8">
        <f>QS.CONTEXT.CREATE("market.8169",A8171,"USD","SOFR")</f>
        <v/>
      </c>
      <c r="D8171" s="8">
        <f>QS.CONTEXT.ADD.CURVE(C8171,"SOFR",$K$2:$K$7,$L$2:$L$7,,,"Actual360","LogLinear",TRUE)</f>
        <v/>
      </c>
      <c r="E8171" s="8">
        <f>QS.INSTRUMENT.SWAP("swap.8169",C8171,H8171,B8171,"USD","SOFR",I8171,J8171,0,"Actual360","Simple","Annual","Annual","Annual")</f>
        <v/>
      </c>
      <c r="F8171" s="8">
        <f>QS.TRADE.CREATE("trade.8169",C8171,E8171,A8171,"Receive")</f>
        <v/>
      </c>
      <c r="G8171" s="5"/>
      <c r="H8171" s="7" t="s">
        <v>8211</v>
      </c>
      <c r="I8171" s="9">
        <v>1816900</v>
      </c>
      <c r="J8171" s="10">
        <v>0.0369</v>
      </c>
    </row>
    <row r="8172" spans="1:10">
      <c r="A8172" s="7" t="s">
        <v>8205</v>
      </c>
      <c r="B8172" s="7" t="s">
        <v>10039</v>
      </c>
      <c r="C8172" s="8">
        <f>QS.CONTEXT.CREATE("market.8170",A8172,"USD","SOFR")</f>
        <v/>
      </c>
      <c r="D8172" s="8">
        <f>QS.CONTEXT.ADD.CURVE(C8172,"SOFR",$K$2:$K$7,$L$2:$L$7,,,"Actual360","LogLinear",TRUE)</f>
        <v/>
      </c>
      <c r="E8172" s="8">
        <f>QS.INSTRUMENT.SWAP("swap.8170",C8172,H8172,B8172,"USD","SOFR",I8172,J8172,0,"Actual360","Simple","Annual","Annual","Annual")</f>
        <v/>
      </c>
      <c r="F8172" s="8">
        <f>QS.TRADE.CREATE("trade.8170",C8172,E8172,A8172,"Receive")</f>
        <v/>
      </c>
      <c r="G8172" s="5"/>
      <c r="H8172" s="7" t="s">
        <v>8212</v>
      </c>
      <c r="I8172" s="9">
        <v>1817000</v>
      </c>
      <c r="J8172" s="10">
        <v>0.03700000000000001</v>
      </c>
    </row>
    <row r="8173" spans="1:10">
      <c r="A8173" s="7" t="s">
        <v>8206</v>
      </c>
      <c r="B8173" s="7" t="s">
        <v>10040</v>
      </c>
      <c r="C8173" s="8">
        <f>QS.CONTEXT.CREATE("market.8171",A8173,"USD","SOFR")</f>
        <v/>
      </c>
      <c r="D8173" s="8">
        <f>QS.CONTEXT.ADD.CURVE(C8173,"SOFR",$K$2:$K$7,$L$2:$L$7,,,"Actual360","LogLinear",TRUE)</f>
        <v/>
      </c>
      <c r="E8173" s="8">
        <f>QS.INSTRUMENT.SWAP("swap.8171",C8173,H8173,B8173,"USD","SOFR",I8173,J8173,0,"Actual360","Simple","Annual","Annual","Annual")</f>
        <v/>
      </c>
      <c r="F8173" s="8">
        <f>QS.TRADE.CREATE("trade.8171",C8173,E8173,A8173,"Receive")</f>
        <v/>
      </c>
      <c r="G8173" s="5"/>
      <c r="H8173" s="7" t="s">
        <v>8213</v>
      </c>
      <c r="I8173" s="9">
        <v>1817100</v>
      </c>
      <c r="J8173" s="10">
        <v>0.0371</v>
      </c>
    </row>
    <row r="8174" spans="1:10">
      <c r="A8174" s="7" t="s">
        <v>8207</v>
      </c>
      <c r="B8174" s="7" t="s">
        <v>10041</v>
      </c>
      <c r="C8174" s="8">
        <f>QS.CONTEXT.CREATE("market.8172",A8174,"USD","SOFR")</f>
        <v/>
      </c>
      <c r="D8174" s="8">
        <f>QS.CONTEXT.ADD.CURVE(C8174,"SOFR",$K$2:$K$7,$L$2:$L$7,,,"Actual360","LogLinear",TRUE)</f>
        <v/>
      </c>
      <c r="E8174" s="8">
        <f>QS.INSTRUMENT.SWAP("swap.8172",C8174,H8174,B8174,"USD","SOFR",I8174,J8174,0,"Actual360","Simple","Annual","Annual","Annual")</f>
        <v/>
      </c>
      <c r="F8174" s="8">
        <f>QS.TRADE.CREATE("trade.8172",C8174,E8174,A8174,"Receive")</f>
        <v/>
      </c>
      <c r="G8174" s="5"/>
      <c r="H8174" s="7" t="s">
        <v>8214</v>
      </c>
      <c r="I8174" s="9">
        <v>1817200</v>
      </c>
      <c r="J8174" s="10">
        <v>0.0372</v>
      </c>
    </row>
    <row r="8175" spans="1:10">
      <c r="A8175" s="7" t="s">
        <v>8208</v>
      </c>
      <c r="B8175" s="7" t="s">
        <v>10042</v>
      </c>
      <c r="C8175" s="8">
        <f>QS.CONTEXT.CREATE("market.8173",A8175,"USD","SOFR")</f>
        <v/>
      </c>
      <c r="D8175" s="8">
        <f>QS.CONTEXT.ADD.CURVE(C8175,"SOFR",$K$2:$K$7,$L$2:$L$7,,,"Actual360","LogLinear",TRUE)</f>
        <v/>
      </c>
      <c r="E8175" s="8">
        <f>QS.INSTRUMENT.SWAP("swap.8173",C8175,H8175,B8175,"USD","SOFR",I8175,J8175,0,"Actual360","Simple","Annual","Annual","Annual")</f>
        <v/>
      </c>
      <c r="F8175" s="8">
        <f>QS.TRADE.CREATE("trade.8173",C8175,E8175,A8175,"Receive")</f>
        <v/>
      </c>
      <c r="G8175" s="5"/>
      <c r="H8175" s="7" t="s">
        <v>8215</v>
      </c>
      <c r="I8175" s="9">
        <v>1817300</v>
      </c>
      <c r="J8175" s="10">
        <v>0.0373</v>
      </c>
    </row>
    <row r="8176" spans="1:10">
      <c r="A8176" s="7" t="s">
        <v>8209</v>
      </c>
      <c r="B8176" s="7" t="s">
        <v>10043</v>
      </c>
      <c r="C8176" s="8">
        <f>QS.CONTEXT.CREATE("market.8174",A8176,"USD","SOFR")</f>
        <v/>
      </c>
      <c r="D8176" s="8">
        <f>QS.CONTEXT.ADD.CURVE(C8176,"SOFR",$K$2:$K$7,$L$2:$L$7,,,"Actual360","LogLinear",TRUE)</f>
        <v/>
      </c>
      <c r="E8176" s="8">
        <f>QS.INSTRUMENT.SWAP("swap.8174",C8176,H8176,B8176,"USD","SOFR",I8176,J8176,0,"Actual360","Simple","Annual","Annual","Annual")</f>
        <v/>
      </c>
      <c r="F8176" s="8">
        <f>QS.TRADE.CREATE("trade.8174",C8176,E8176,A8176,"Receive")</f>
        <v/>
      </c>
      <c r="G8176" s="5"/>
      <c r="H8176" s="7" t="s">
        <v>8216</v>
      </c>
      <c r="I8176" s="9">
        <v>1817400</v>
      </c>
      <c r="J8176" s="10">
        <v>0.0374</v>
      </c>
    </row>
    <row r="8177" spans="1:10">
      <c r="A8177" s="7" t="s">
        <v>8210</v>
      </c>
      <c r="B8177" s="7" t="s">
        <v>10044</v>
      </c>
      <c r="C8177" s="8">
        <f>QS.CONTEXT.CREATE("market.8175",A8177,"USD","SOFR")</f>
        <v/>
      </c>
      <c r="D8177" s="8">
        <f>QS.CONTEXT.ADD.CURVE(C8177,"SOFR",$K$2:$K$7,$L$2:$L$7,,,"Actual360","LogLinear",TRUE)</f>
        <v/>
      </c>
      <c r="E8177" s="8">
        <f>QS.INSTRUMENT.SWAP("swap.8175",C8177,H8177,B8177,"USD","SOFR",I8177,J8177,0,"Actual360","Simple","Annual","Annual","Annual")</f>
        <v/>
      </c>
      <c r="F8177" s="8">
        <f>QS.TRADE.CREATE("trade.8175",C8177,E8177,A8177,"Receive")</f>
        <v/>
      </c>
      <c r="G8177" s="5"/>
      <c r="H8177" s="7" t="s">
        <v>8217</v>
      </c>
      <c r="I8177" s="9">
        <v>1817500</v>
      </c>
      <c r="J8177" s="10">
        <v>0.03750000000000001</v>
      </c>
    </row>
    <row r="8178" spans="1:10">
      <c r="A8178" s="7" t="s">
        <v>8211</v>
      </c>
      <c r="B8178" s="7" t="s">
        <v>10045</v>
      </c>
      <c r="C8178" s="8">
        <f>QS.CONTEXT.CREATE("market.8176",A8178,"USD","SOFR")</f>
        <v/>
      </c>
      <c r="D8178" s="8">
        <f>QS.CONTEXT.ADD.CURVE(C8178,"SOFR",$K$2:$K$7,$L$2:$L$7,,,"Actual360","LogLinear",TRUE)</f>
        <v/>
      </c>
      <c r="E8178" s="8">
        <f>QS.INSTRUMENT.SWAP("swap.8176",C8178,H8178,B8178,"USD","SOFR",I8178,J8178,0,"Actual360","Simple","Annual","Annual","Annual")</f>
        <v/>
      </c>
      <c r="F8178" s="8">
        <f>QS.TRADE.CREATE("trade.8176",C8178,E8178,A8178,"Receive")</f>
        <v/>
      </c>
      <c r="G8178" s="5"/>
      <c r="H8178" s="7" t="s">
        <v>8218</v>
      </c>
      <c r="I8178" s="9">
        <v>1817600</v>
      </c>
      <c r="J8178" s="10">
        <v>0.0376</v>
      </c>
    </row>
    <row r="8179" spans="1:10">
      <c r="A8179" s="7" t="s">
        <v>8212</v>
      </c>
      <c r="B8179" s="7" t="s">
        <v>10046</v>
      </c>
      <c r="C8179" s="8">
        <f>QS.CONTEXT.CREATE("market.8177",A8179,"USD","SOFR")</f>
        <v/>
      </c>
      <c r="D8179" s="8">
        <f>QS.CONTEXT.ADD.CURVE(C8179,"SOFR",$K$2:$K$7,$L$2:$L$7,,,"Actual360","LogLinear",TRUE)</f>
        <v/>
      </c>
      <c r="E8179" s="8">
        <f>QS.INSTRUMENT.SWAP("swap.8177",C8179,H8179,B8179,"USD","SOFR",I8179,J8179,0,"Actual360","Simple","Annual","Annual","Annual")</f>
        <v/>
      </c>
      <c r="F8179" s="8">
        <f>QS.TRADE.CREATE("trade.8177",C8179,E8179,A8179,"Receive")</f>
        <v/>
      </c>
      <c r="G8179" s="5"/>
      <c r="H8179" s="7" t="s">
        <v>8219</v>
      </c>
      <c r="I8179" s="9">
        <v>1817700</v>
      </c>
      <c r="J8179" s="10">
        <v>0.0377</v>
      </c>
    </row>
    <row r="8180" spans="1:10">
      <c r="A8180" s="7" t="s">
        <v>8213</v>
      </c>
      <c r="B8180" s="7" t="s">
        <v>10047</v>
      </c>
      <c r="C8180" s="8">
        <f>QS.CONTEXT.CREATE("market.8178",A8180,"USD","SOFR")</f>
        <v/>
      </c>
      <c r="D8180" s="8">
        <f>QS.CONTEXT.ADD.CURVE(C8180,"SOFR",$K$2:$K$7,$L$2:$L$7,,,"Actual360","LogLinear",TRUE)</f>
        <v/>
      </c>
      <c r="E8180" s="8">
        <f>QS.INSTRUMENT.SWAP("swap.8178",C8180,H8180,B8180,"USD","SOFR",I8180,J8180,0,"Actual360","Simple","Annual","Annual","Annual")</f>
        <v/>
      </c>
      <c r="F8180" s="8">
        <f>QS.TRADE.CREATE("trade.8178",C8180,E8180,A8180,"Receive")</f>
        <v/>
      </c>
      <c r="G8180" s="5"/>
      <c r="H8180" s="7" t="s">
        <v>8220</v>
      </c>
      <c r="I8180" s="9">
        <v>1817800</v>
      </c>
      <c r="J8180" s="10">
        <v>0.0378</v>
      </c>
    </row>
    <row r="8181" spans="1:10">
      <c r="A8181" s="7" t="s">
        <v>8214</v>
      </c>
      <c r="B8181" s="7" t="s">
        <v>10048</v>
      </c>
      <c r="C8181" s="8">
        <f>QS.CONTEXT.CREATE("market.8179",A8181,"USD","SOFR")</f>
        <v/>
      </c>
      <c r="D8181" s="8">
        <f>QS.CONTEXT.ADD.CURVE(C8181,"SOFR",$K$2:$K$7,$L$2:$L$7,,,"Actual360","LogLinear",TRUE)</f>
        <v/>
      </c>
      <c r="E8181" s="8">
        <f>QS.INSTRUMENT.SWAP("swap.8179",C8181,H8181,B8181,"USD","SOFR",I8181,J8181,0,"Actual360","Simple","Annual","Annual","Annual")</f>
        <v/>
      </c>
      <c r="F8181" s="8">
        <f>QS.TRADE.CREATE("trade.8179",C8181,E8181,A8181,"Receive")</f>
        <v/>
      </c>
      <c r="G8181" s="5"/>
      <c r="H8181" s="7" t="s">
        <v>8221</v>
      </c>
      <c r="I8181" s="9">
        <v>1817900</v>
      </c>
      <c r="J8181" s="10">
        <v>0.0379</v>
      </c>
    </row>
    <row r="8182" spans="1:10">
      <c r="A8182" s="7" t="s">
        <v>8215</v>
      </c>
      <c r="B8182" s="7" t="s">
        <v>10049</v>
      </c>
      <c r="C8182" s="8">
        <f>QS.CONTEXT.CREATE("market.8180",A8182,"USD","SOFR")</f>
        <v/>
      </c>
      <c r="D8182" s="8">
        <f>QS.CONTEXT.ADD.CURVE(C8182,"SOFR",$K$2:$K$7,$L$2:$L$7,,,"Actual360","LogLinear",TRUE)</f>
        <v/>
      </c>
      <c r="E8182" s="8">
        <f>QS.INSTRUMENT.SWAP("swap.8180",C8182,H8182,B8182,"USD","SOFR",I8182,J8182,0,"Actual360","Simple","Annual","Annual","Annual")</f>
        <v/>
      </c>
      <c r="F8182" s="8">
        <f>QS.TRADE.CREATE("trade.8180",C8182,E8182,A8182,"Receive")</f>
        <v/>
      </c>
      <c r="G8182" s="5"/>
      <c r="H8182" s="7" t="s">
        <v>8222</v>
      </c>
      <c r="I8182" s="9">
        <v>1818000</v>
      </c>
      <c r="J8182" s="10">
        <v>0.03800000000000001</v>
      </c>
    </row>
    <row r="8183" spans="1:10">
      <c r="A8183" s="7" t="s">
        <v>8216</v>
      </c>
      <c r="B8183" s="7" t="s">
        <v>10050</v>
      </c>
      <c r="C8183" s="8">
        <f>QS.CONTEXT.CREATE("market.8181",A8183,"USD","SOFR")</f>
        <v/>
      </c>
      <c r="D8183" s="8">
        <f>QS.CONTEXT.ADD.CURVE(C8183,"SOFR",$K$2:$K$7,$L$2:$L$7,,,"Actual360","LogLinear",TRUE)</f>
        <v/>
      </c>
      <c r="E8183" s="8">
        <f>QS.INSTRUMENT.SWAP("swap.8181",C8183,H8183,B8183,"USD","SOFR",I8183,J8183,0,"Actual360","Simple","Annual","Annual","Annual")</f>
        <v/>
      </c>
      <c r="F8183" s="8">
        <f>QS.TRADE.CREATE("trade.8181",C8183,E8183,A8183,"Receive")</f>
        <v/>
      </c>
      <c r="G8183" s="5"/>
      <c r="H8183" s="7" t="s">
        <v>8223</v>
      </c>
      <c r="I8183" s="9">
        <v>1818100</v>
      </c>
      <c r="J8183" s="10">
        <v>0.0381</v>
      </c>
    </row>
    <row r="8184" spans="1:10">
      <c r="A8184" s="7" t="s">
        <v>8217</v>
      </c>
      <c r="B8184" s="7" t="s">
        <v>10051</v>
      </c>
      <c r="C8184" s="8">
        <f>QS.CONTEXT.CREATE("market.8182",A8184,"USD","SOFR")</f>
        <v/>
      </c>
      <c r="D8184" s="8">
        <f>QS.CONTEXT.ADD.CURVE(C8184,"SOFR",$K$2:$K$7,$L$2:$L$7,,,"Actual360","LogLinear",TRUE)</f>
        <v/>
      </c>
      <c r="E8184" s="8">
        <f>QS.INSTRUMENT.SWAP("swap.8182",C8184,H8184,B8184,"USD","SOFR",I8184,J8184,0,"Actual360","Simple","Annual","Annual","Annual")</f>
        <v/>
      </c>
      <c r="F8184" s="8">
        <f>QS.TRADE.CREATE("trade.8182",C8184,E8184,A8184,"Receive")</f>
        <v/>
      </c>
      <c r="G8184" s="5"/>
      <c r="H8184" s="7" t="s">
        <v>8224</v>
      </c>
      <c r="I8184" s="9">
        <v>1818200</v>
      </c>
      <c r="J8184" s="10">
        <v>0.0382</v>
      </c>
    </row>
    <row r="8185" spans="1:10">
      <c r="A8185" s="7" t="s">
        <v>8218</v>
      </c>
      <c r="B8185" s="7" t="s">
        <v>10052</v>
      </c>
      <c r="C8185" s="8">
        <f>QS.CONTEXT.CREATE("market.8183",A8185,"USD","SOFR")</f>
        <v/>
      </c>
      <c r="D8185" s="8">
        <f>QS.CONTEXT.ADD.CURVE(C8185,"SOFR",$K$2:$K$7,$L$2:$L$7,,,"Actual360","LogLinear",TRUE)</f>
        <v/>
      </c>
      <c r="E8185" s="8">
        <f>QS.INSTRUMENT.SWAP("swap.8183",C8185,H8185,B8185,"USD","SOFR",I8185,J8185,0,"Actual360","Simple","Annual","Annual","Annual")</f>
        <v/>
      </c>
      <c r="F8185" s="8">
        <f>QS.TRADE.CREATE("trade.8183",C8185,E8185,A8185,"Receive")</f>
        <v/>
      </c>
      <c r="G8185" s="5"/>
      <c r="H8185" s="7" t="s">
        <v>8225</v>
      </c>
      <c r="I8185" s="9">
        <v>1818300</v>
      </c>
      <c r="J8185" s="10">
        <v>0.0383</v>
      </c>
    </row>
    <row r="8186" spans="1:10">
      <c r="A8186" s="7" t="s">
        <v>8219</v>
      </c>
      <c r="B8186" s="7" t="s">
        <v>10053</v>
      </c>
      <c r="C8186" s="8">
        <f>QS.CONTEXT.CREATE("market.8184",A8186,"USD","SOFR")</f>
        <v/>
      </c>
      <c r="D8186" s="8">
        <f>QS.CONTEXT.ADD.CURVE(C8186,"SOFR",$K$2:$K$7,$L$2:$L$7,,,"Actual360","LogLinear",TRUE)</f>
        <v/>
      </c>
      <c r="E8186" s="8">
        <f>QS.INSTRUMENT.SWAP("swap.8184",C8186,H8186,B8186,"USD","SOFR",I8186,J8186,0,"Actual360","Simple","Annual","Annual","Annual")</f>
        <v/>
      </c>
      <c r="F8186" s="8">
        <f>QS.TRADE.CREATE("trade.8184",C8186,E8186,A8186,"Receive")</f>
        <v/>
      </c>
      <c r="G8186" s="5"/>
      <c r="H8186" s="7" t="s">
        <v>8226</v>
      </c>
      <c r="I8186" s="9">
        <v>1818400</v>
      </c>
      <c r="J8186" s="10">
        <v>0.0384</v>
      </c>
    </row>
    <row r="8187" spans="1:10">
      <c r="A8187" s="7" t="s">
        <v>8220</v>
      </c>
      <c r="B8187" s="7" t="s">
        <v>10054</v>
      </c>
      <c r="C8187" s="8">
        <f>QS.CONTEXT.CREATE("market.8185",A8187,"USD","SOFR")</f>
        <v/>
      </c>
      <c r="D8187" s="8">
        <f>QS.CONTEXT.ADD.CURVE(C8187,"SOFR",$K$2:$K$7,$L$2:$L$7,,,"Actual360","LogLinear",TRUE)</f>
        <v/>
      </c>
      <c r="E8187" s="8">
        <f>QS.INSTRUMENT.SWAP("swap.8185",C8187,H8187,B8187,"USD","SOFR",I8187,J8187,0,"Actual360","Simple","Annual","Annual","Annual")</f>
        <v/>
      </c>
      <c r="F8187" s="8">
        <f>QS.TRADE.CREATE("trade.8185",C8187,E8187,A8187,"Receive")</f>
        <v/>
      </c>
      <c r="G8187" s="5"/>
      <c r="H8187" s="7" t="s">
        <v>8227</v>
      </c>
      <c r="I8187" s="9">
        <v>1818500</v>
      </c>
      <c r="J8187" s="10">
        <v>0.03850000000000001</v>
      </c>
    </row>
    <row r="8188" spans="1:10">
      <c r="A8188" s="7" t="s">
        <v>8221</v>
      </c>
      <c r="B8188" s="7" t="s">
        <v>10055</v>
      </c>
      <c r="C8188" s="8">
        <f>QS.CONTEXT.CREATE("market.8186",A8188,"USD","SOFR")</f>
        <v/>
      </c>
      <c r="D8188" s="8">
        <f>QS.CONTEXT.ADD.CURVE(C8188,"SOFR",$K$2:$K$7,$L$2:$L$7,,,"Actual360","LogLinear",TRUE)</f>
        <v/>
      </c>
      <c r="E8188" s="8">
        <f>QS.INSTRUMENT.SWAP("swap.8186",C8188,H8188,B8188,"USD","SOFR",I8188,J8188,0,"Actual360","Simple","Annual","Annual","Annual")</f>
        <v/>
      </c>
      <c r="F8188" s="8">
        <f>QS.TRADE.CREATE("trade.8186",C8188,E8188,A8188,"Receive")</f>
        <v/>
      </c>
      <c r="G8188" s="5"/>
      <c r="H8188" s="7" t="s">
        <v>8228</v>
      </c>
      <c r="I8188" s="9">
        <v>1818600</v>
      </c>
      <c r="J8188" s="10">
        <v>0.0386</v>
      </c>
    </row>
    <row r="8189" spans="1:10">
      <c r="A8189" s="7" t="s">
        <v>8222</v>
      </c>
      <c r="B8189" s="7" t="s">
        <v>10056</v>
      </c>
      <c r="C8189" s="8">
        <f>QS.CONTEXT.CREATE("market.8187",A8189,"USD","SOFR")</f>
        <v/>
      </c>
      <c r="D8189" s="8">
        <f>QS.CONTEXT.ADD.CURVE(C8189,"SOFR",$K$2:$K$7,$L$2:$L$7,,,"Actual360","LogLinear",TRUE)</f>
        <v/>
      </c>
      <c r="E8189" s="8">
        <f>QS.INSTRUMENT.SWAP("swap.8187",C8189,H8189,B8189,"USD","SOFR",I8189,J8189,0,"Actual360","Simple","Annual","Annual","Annual")</f>
        <v/>
      </c>
      <c r="F8189" s="8">
        <f>QS.TRADE.CREATE("trade.8187",C8189,E8189,A8189,"Receive")</f>
        <v/>
      </c>
      <c r="G8189" s="5"/>
      <c r="H8189" s="7" t="s">
        <v>8229</v>
      </c>
      <c r="I8189" s="9">
        <v>1818700</v>
      </c>
      <c r="J8189" s="10">
        <v>0.03870000000000001</v>
      </c>
    </row>
    <row r="8190" spans="1:10">
      <c r="A8190" s="7" t="s">
        <v>8223</v>
      </c>
      <c r="B8190" s="7" t="s">
        <v>10057</v>
      </c>
      <c r="C8190" s="8">
        <f>QS.CONTEXT.CREATE("market.8188",A8190,"USD","SOFR")</f>
        <v/>
      </c>
      <c r="D8190" s="8">
        <f>QS.CONTEXT.ADD.CURVE(C8190,"SOFR",$K$2:$K$7,$L$2:$L$7,,,"Actual360","LogLinear",TRUE)</f>
        <v/>
      </c>
      <c r="E8190" s="8">
        <f>QS.INSTRUMENT.SWAP("swap.8188",C8190,H8190,B8190,"USD","SOFR",I8190,J8190,0,"Actual360","Simple","Annual","Annual","Annual")</f>
        <v/>
      </c>
      <c r="F8190" s="8">
        <f>QS.TRADE.CREATE("trade.8188",C8190,E8190,A8190,"Receive")</f>
        <v/>
      </c>
      <c r="G8190" s="5"/>
      <c r="H8190" s="7" t="s">
        <v>8230</v>
      </c>
      <c r="I8190" s="9">
        <v>1818800</v>
      </c>
      <c r="J8190" s="10">
        <v>0.0388</v>
      </c>
    </row>
    <row r="8191" spans="1:10">
      <c r="A8191" s="7" t="s">
        <v>8224</v>
      </c>
      <c r="B8191" s="7" t="s">
        <v>10058</v>
      </c>
      <c r="C8191" s="8">
        <f>QS.CONTEXT.CREATE("market.8189",A8191,"USD","SOFR")</f>
        <v/>
      </c>
      <c r="D8191" s="8">
        <f>QS.CONTEXT.ADD.CURVE(C8191,"SOFR",$K$2:$K$7,$L$2:$L$7,,,"Actual360","LogLinear",TRUE)</f>
        <v/>
      </c>
      <c r="E8191" s="8">
        <f>QS.INSTRUMENT.SWAP("swap.8189",C8191,H8191,B8191,"USD","SOFR",I8191,J8191,0,"Actual360","Simple","Annual","Annual","Annual")</f>
        <v/>
      </c>
      <c r="F8191" s="8">
        <f>QS.TRADE.CREATE("trade.8189",C8191,E8191,A8191,"Receive")</f>
        <v/>
      </c>
      <c r="G8191" s="5"/>
      <c r="H8191" s="7" t="s">
        <v>8231</v>
      </c>
      <c r="I8191" s="9">
        <v>1818900</v>
      </c>
      <c r="J8191" s="10">
        <v>0.0389</v>
      </c>
    </row>
    <row r="8192" spans="1:10">
      <c r="A8192" s="7" t="s">
        <v>8225</v>
      </c>
      <c r="B8192" s="7" t="s">
        <v>10059</v>
      </c>
      <c r="C8192" s="8">
        <f>QS.CONTEXT.CREATE("market.8190",A8192,"USD","SOFR")</f>
        <v/>
      </c>
      <c r="D8192" s="8">
        <f>QS.CONTEXT.ADD.CURVE(C8192,"SOFR",$K$2:$K$7,$L$2:$L$7,,,"Actual360","LogLinear",TRUE)</f>
        <v/>
      </c>
      <c r="E8192" s="8">
        <f>QS.INSTRUMENT.SWAP("swap.8190",C8192,H8192,B8192,"USD","SOFR",I8192,J8192,0,"Actual360","Simple","Annual","Annual","Annual")</f>
        <v/>
      </c>
      <c r="F8192" s="8">
        <f>QS.TRADE.CREATE("trade.8190",C8192,E8192,A8192,"Receive")</f>
        <v/>
      </c>
      <c r="G8192" s="5"/>
      <c r="H8192" s="7" t="s">
        <v>8232</v>
      </c>
      <c r="I8192" s="9">
        <v>1819000</v>
      </c>
      <c r="J8192" s="10">
        <v>0.03900000000000001</v>
      </c>
    </row>
    <row r="8193" spans="1:10">
      <c r="A8193" s="7" t="s">
        <v>8226</v>
      </c>
      <c r="B8193" s="7" t="s">
        <v>10060</v>
      </c>
      <c r="C8193" s="8">
        <f>QS.CONTEXT.CREATE("market.8191",A8193,"USD","SOFR")</f>
        <v/>
      </c>
      <c r="D8193" s="8">
        <f>QS.CONTEXT.ADD.CURVE(C8193,"SOFR",$K$2:$K$7,$L$2:$L$7,,,"Actual360","LogLinear",TRUE)</f>
        <v/>
      </c>
      <c r="E8193" s="8">
        <f>QS.INSTRUMENT.SWAP("swap.8191",C8193,H8193,B8193,"USD","SOFR",I8193,J8193,0,"Actual360","Simple","Annual","Annual","Annual")</f>
        <v/>
      </c>
      <c r="F8193" s="8">
        <f>QS.TRADE.CREATE("trade.8191",C8193,E8193,A8193,"Receive")</f>
        <v/>
      </c>
      <c r="G8193" s="5"/>
      <c r="H8193" s="7" t="s">
        <v>8233</v>
      </c>
      <c r="I8193" s="9">
        <v>1819100</v>
      </c>
      <c r="J8193" s="10">
        <v>0.0391</v>
      </c>
    </row>
    <row r="8194" spans="1:10">
      <c r="A8194" s="7" t="s">
        <v>8227</v>
      </c>
      <c r="B8194" s="7" t="s">
        <v>10061</v>
      </c>
      <c r="C8194" s="8">
        <f>QS.CONTEXT.CREATE("market.8192",A8194,"USD","SOFR")</f>
        <v/>
      </c>
      <c r="D8194" s="8">
        <f>QS.CONTEXT.ADD.CURVE(C8194,"SOFR",$K$2:$K$7,$L$2:$L$7,,,"Actual360","LogLinear",TRUE)</f>
        <v/>
      </c>
      <c r="E8194" s="8">
        <f>QS.INSTRUMENT.SWAP("swap.8192",C8194,H8194,B8194,"USD","SOFR",I8194,J8194,0,"Actual360","Simple","Annual","Annual","Annual")</f>
        <v/>
      </c>
      <c r="F8194" s="8">
        <f>QS.TRADE.CREATE("trade.8192",C8194,E8194,A8194,"Receive")</f>
        <v/>
      </c>
      <c r="G8194" s="5"/>
      <c r="H8194" s="7" t="s">
        <v>8234</v>
      </c>
      <c r="I8194" s="9">
        <v>1819200</v>
      </c>
      <c r="J8194" s="10">
        <v>0.03920000000000001</v>
      </c>
    </row>
    <row r="8195" spans="1:10">
      <c r="A8195" s="7" t="s">
        <v>8228</v>
      </c>
      <c r="B8195" s="7" t="s">
        <v>10062</v>
      </c>
      <c r="C8195" s="8">
        <f>QS.CONTEXT.CREATE("market.8193",A8195,"USD","SOFR")</f>
        <v/>
      </c>
      <c r="D8195" s="8">
        <f>QS.CONTEXT.ADD.CURVE(C8195,"SOFR",$K$2:$K$7,$L$2:$L$7,,,"Actual360","LogLinear",TRUE)</f>
        <v/>
      </c>
      <c r="E8195" s="8">
        <f>QS.INSTRUMENT.SWAP("swap.8193",C8195,H8195,B8195,"USD","SOFR",I8195,J8195,0,"Actual360","Simple","Annual","Annual","Annual")</f>
        <v/>
      </c>
      <c r="F8195" s="8">
        <f>QS.TRADE.CREATE("trade.8193",C8195,E8195,A8195,"Receive")</f>
        <v/>
      </c>
      <c r="G8195" s="5"/>
      <c r="H8195" s="7" t="s">
        <v>8235</v>
      </c>
      <c r="I8195" s="9">
        <v>1819300</v>
      </c>
      <c r="J8195" s="10">
        <v>0.0393</v>
      </c>
    </row>
    <row r="8196" spans="1:10">
      <c r="A8196" s="7" t="s">
        <v>8229</v>
      </c>
      <c r="B8196" s="7" t="s">
        <v>10063</v>
      </c>
      <c r="C8196" s="8">
        <f>QS.CONTEXT.CREATE("market.8194",A8196,"USD","SOFR")</f>
        <v/>
      </c>
      <c r="D8196" s="8">
        <f>QS.CONTEXT.ADD.CURVE(C8196,"SOFR",$K$2:$K$7,$L$2:$L$7,,,"Actual360","LogLinear",TRUE)</f>
        <v/>
      </c>
      <c r="E8196" s="8">
        <f>QS.INSTRUMENT.SWAP("swap.8194",C8196,H8196,B8196,"USD","SOFR",I8196,J8196,0,"Actual360","Simple","Annual","Annual","Annual")</f>
        <v/>
      </c>
      <c r="F8196" s="8">
        <f>QS.TRADE.CREATE("trade.8194",C8196,E8196,A8196,"Receive")</f>
        <v/>
      </c>
      <c r="G8196" s="5"/>
      <c r="H8196" s="7" t="s">
        <v>8236</v>
      </c>
      <c r="I8196" s="9">
        <v>1819400</v>
      </c>
      <c r="J8196" s="10">
        <v>0.0394</v>
      </c>
    </row>
    <row r="8197" spans="1:10">
      <c r="A8197" s="7" t="s">
        <v>8230</v>
      </c>
      <c r="B8197" s="7" t="s">
        <v>10064</v>
      </c>
      <c r="C8197" s="8">
        <f>QS.CONTEXT.CREATE("market.8195",A8197,"USD","SOFR")</f>
        <v/>
      </c>
      <c r="D8197" s="8">
        <f>QS.CONTEXT.ADD.CURVE(C8197,"SOFR",$K$2:$K$7,$L$2:$L$7,,,"Actual360","LogLinear",TRUE)</f>
        <v/>
      </c>
      <c r="E8197" s="8">
        <f>QS.INSTRUMENT.SWAP("swap.8195",C8197,H8197,B8197,"USD","SOFR",I8197,J8197,0,"Actual360","Simple","Annual","Annual","Annual")</f>
        <v/>
      </c>
      <c r="F8197" s="8">
        <f>QS.TRADE.CREATE("trade.8195",C8197,E8197,A8197,"Receive")</f>
        <v/>
      </c>
      <c r="G8197" s="5"/>
      <c r="H8197" s="7" t="s">
        <v>8237</v>
      </c>
      <c r="I8197" s="9">
        <v>1819500</v>
      </c>
      <c r="J8197" s="10">
        <v>0.03950000000000001</v>
      </c>
    </row>
    <row r="8198" spans="1:10">
      <c r="A8198" s="7" t="s">
        <v>8231</v>
      </c>
      <c r="B8198" s="7" t="s">
        <v>10065</v>
      </c>
      <c r="C8198" s="8">
        <f>QS.CONTEXT.CREATE("market.8196",A8198,"USD","SOFR")</f>
        <v/>
      </c>
      <c r="D8198" s="8">
        <f>QS.CONTEXT.ADD.CURVE(C8198,"SOFR",$K$2:$K$7,$L$2:$L$7,,,"Actual360","LogLinear",TRUE)</f>
        <v/>
      </c>
      <c r="E8198" s="8">
        <f>QS.INSTRUMENT.SWAP("swap.8196",C8198,H8198,B8198,"USD","SOFR",I8198,J8198,0,"Actual360","Simple","Annual","Annual","Annual")</f>
        <v/>
      </c>
      <c r="F8198" s="8">
        <f>QS.TRADE.CREATE("trade.8196",C8198,E8198,A8198,"Receive")</f>
        <v/>
      </c>
      <c r="G8198" s="5"/>
      <c r="H8198" s="7" t="s">
        <v>8238</v>
      </c>
      <c r="I8198" s="9">
        <v>1819600</v>
      </c>
      <c r="J8198" s="10">
        <v>0.0396</v>
      </c>
    </row>
    <row r="8199" spans="1:10">
      <c r="A8199" s="7" t="s">
        <v>8232</v>
      </c>
      <c r="B8199" s="7" t="s">
        <v>10066</v>
      </c>
      <c r="C8199" s="8">
        <f>QS.CONTEXT.CREATE("market.8197",A8199,"USD","SOFR")</f>
        <v/>
      </c>
      <c r="D8199" s="8">
        <f>QS.CONTEXT.ADD.CURVE(C8199,"SOFR",$K$2:$K$7,$L$2:$L$7,,,"Actual360","LogLinear",TRUE)</f>
        <v/>
      </c>
      <c r="E8199" s="8">
        <f>QS.INSTRUMENT.SWAP("swap.8197",C8199,H8199,B8199,"USD","SOFR",I8199,J8199,0,"Actual360","Simple","Annual","Annual","Annual")</f>
        <v/>
      </c>
      <c r="F8199" s="8">
        <f>QS.TRADE.CREATE("trade.8197",C8199,E8199,A8199,"Receive")</f>
        <v/>
      </c>
      <c r="G8199" s="5"/>
      <c r="H8199" s="7" t="s">
        <v>8239</v>
      </c>
      <c r="I8199" s="9">
        <v>1819700</v>
      </c>
      <c r="J8199" s="10">
        <v>0.03970000000000001</v>
      </c>
    </row>
    <row r="8200" spans="1:10">
      <c r="A8200" s="7" t="s">
        <v>8233</v>
      </c>
      <c r="B8200" s="7" t="s">
        <v>10067</v>
      </c>
      <c r="C8200" s="8">
        <f>QS.CONTEXT.CREATE("market.8198",A8200,"USD","SOFR")</f>
        <v/>
      </c>
      <c r="D8200" s="8">
        <f>QS.CONTEXT.ADD.CURVE(C8200,"SOFR",$K$2:$K$7,$L$2:$L$7,,,"Actual360","LogLinear",TRUE)</f>
        <v/>
      </c>
      <c r="E8200" s="8">
        <f>QS.INSTRUMENT.SWAP("swap.8198",C8200,H8200,B8200,"USD","SOFR",I8200,J8200,0,"Actual360","Simple","Annual","Annual","Annual")</f>
        <v/>
      </c>
      <c r="F8200" s="8">
        <f>QS.TRADE.CREATE("trade.8198",C8200,E8200,A8200,"Receive")</f>
        <v/>
      </c>
      <c r="G8200" s="5"/>
      <c r="H8200" s="7" t="s">
        <v>8240</v>
      </c>
      <c r="I8200" s="9">
        <v>1819800</v>
      </c>
      <c r="J8200" s="10">
        <v>0.0398</v>
      </c>
    </row>
    <row r="8201" spans="1:10">
      <c r="A8201" s="7" t="s">
        <v>8234</v>
      </c>
      <c r="B8201" s="7" t="s">
        <v>10068</v>
      </c>
      <c r="C8201" s="8">
        <f>QS.CONTEXT.CREATE("market.8199",A8201,"USD","SOFR")</f>
        <v/>
      </c>
      <c r="D8201" s="8">
        <f>QS.CONTEXT.ADD.CURVE(C8201,"SOFR",$K$2:$K$7,$L$2:$L$7,,,"Actual360","LogLinear",TRUE)</f>
        <v/>
      </c>
      <c r="E8201" s="8">
        <f>QS.INSTRUMENT.SWAP("swap.8199",C8201,H8201,B8201,"USD","SOFR",I8201,J8201,0,"Actual360","Simple","Annual","Annual","Annual")</f>
        <v/>
      </c>
      <c r="F8201" s="8">
        <f>QS.TRADE.CREATE("trade.8199",C8201,E8201,A8201,"Receive")</f>
        <v/>
      </c>
      <c r="G8201" s="5"/>
      <c r="H8201" s="7" t="s">
        <v>8241</v>
      </c>
      <c r="I8201" s="9">
        <v>1819900</v>
      </c>
      <c r="J8201" s="10">
        <v>0.0399</v>
      </c>
    </row>
    <row r="8202" spans="1:10">
      <c r="A8202" s="7" t="s">
        <v>8235</v>
      </c>
      <c r="B8202" s="7" t="s">
        <v>10069</v>
      </c>
      <c r="C8202" s="8">
        <f>QS.CONTEXT.CREATE("market.8200",A8202,"USD","SOFR")</f>
        <v/>
      </c>
      <c r="D8202" s="8">
        <f>QS.CONTEXT.ADD.CURVE(C8202,"SOFR",$K$2:$K$7,$L$2:$L$7,,,"Actual360","LogLinear",TRUE)</f>
        <v/>
      </c>
      <c r="E8202" s="8">
        <f>QS.INSTRUMENT.SWAP("swap.8200",C8202,H8202,B8202,"USD","SOFR",I8202,J8202,0,"Actual360","Simple","Annual","Annual","Annual")</f>
        <v/>
      </c>
      <c r="F8202" s="8">
        <f>QS.TRADE.CREATE("trade.8200",C8202,E8202,A8202,"Receive")</f>
        <v/>
      </c>
      <c r="G8202" s="5"/>
      <c r="H8202" s="7" t="s">
        <v>8242</v>
      </c>
      <c r="I8202" s="9">
        <v>1820000</v>
      </c>
      <c r="J8202" s="10">
        <v>0.035</v>
      </c>
    </row>
    <row r="8203" spans="1:10">
      <c r="A8203" s="7" t="s">
        <v>8236</v>
      </c>
      <c r="B8203" s="7" t="s">
        <v>10070</v>
      </c>
      <c r="C8203" s="8">
        <f>QS.CONTEXT.CREATE("market.8201",A8203,"USD","SOFR")</f>
        <v/>
      </c>
      <c r="D8203" s="8">
        <f>QS.CONTEXT.ADD.CURVE(C8203,"SOFR",$K$2:$K$7,$L$2:$L$7,,,"Actual360","LogLinear",TRUE)</f>
        <v/>
      </c>
      <c r="E8203" s="8">
        <f>QS.INSTRUMENT.SWAP("swap.8201",C8203,H8203,B8203,"USD","SOFR",I8203,J8203,0,"Actual360","Simple","Annual","Annual","Annual")</f>
        <v/>
      </c>
      <c r="F8203" s="8">
        <f>QS.TRADE.CREATE("trade.8201",C8203,E8203,A8203,"Receive")</f>
        <v/>
      </c>
      <c r="G8203" s="5"/>
      <c r="H8203" s="7" t="s">
        <v>8243</v>
      </c>
      <c r="I8203" s="9">
        <v>1820100</v>
      </c>
      <c r="J8203" s="10">
        <v>0.03510000000000001</v>
      </c>
    </row>
    <row r="8204" spans="1:10">
      <c r="A8204" s="7" t="s">
        <v>8237</v>
      </c>
      <c r="B8204" s="7" t="s">
        <v>10071</v>
      </c>
      <c r="C8204" s="8">
        <f>QS.CONTEXT.CREATE("market.8202",A8204,"USD","SOFR")</f>
        <v/>
      </c>
      <c r="D8204" s="8">
        <f>QS.CONTEXT.ADD.CURVE(C8204,"SOFR",$K$2:$K$7,$L$2:$L$7,,,"Actual360","LogLinear",TRUE)</f>
        <v/>
      </c>
      <c r="E8204" s="8">
        <f>QS.INSTRUMENT.SWAP("swap.8202",C8204,H8204,B8204,"USD","SOFR",I8204,J8204,0,"Actual360","Simple","Annual","Annual","Annual")</f>
        <v/>
      </c>
      <c r="F8204" s="8">
        <f>QS.TRADE.CREATE("trade.8202",C8204,E8204,A8204,"Receive")</f>
        <v/>
      </c>
      <c r="G8204" s="5"/>
      <c r="H8204" s="7" t="s">
        <v>8244</v>
      </c>
      <c r="I8204" s="9">
        <v>1820200</v>
      </c>
      <c r="J8204" s="10">
        <v>0.0352</v>
      </c>
    </row>
    <row r="8205" spans="1:10">
      <c r="A8205" s="7" t="s">
        <v>8238</v>
      </c>
      <c r="B8205" s="7" t="s">
        <v>10072</v>
      </c>
      <c r="C8205" s="8">
        <f>QS.CONTEXT.CREATE("market.8203",A8205,"USD","SOFR")</f>
        <v/>
      </c>
      <c r="D8205" s="8">
        <f>QS.CONTEXT.ADD.CURVE(C8205,"SOFR",$K$2:$K$7,$L$2:$L$7,,,"Actual360","LogLinear",TRUE)</f>
        <v/>
      </c>
      <c r="E8205" s="8">
        <f>QS.INSTRUMENT.SWAP("swap.8203",C8205,H8205,B8205,"USD","SOFR",I8205,J8205,0,"Actual360","Simple","Annual","Annual","Annual")</f>
        <v/>
      </c>
      <c r="F8205" s="8">
        <f>QS.TRADE.CREATE("trade.8203",C8205,E8205,A8205,"Receive")</f>
        <v/>
      </c>
      <c r="G8205" s="5"/>
      <c r="H8205" s="7" t="s">
        <v>8245</v>
      </c>
      <c r="I8205" s="9">
        <v>1820300</v>
      </c>
      <c r="J8205" s="10">
        <v>0.0353</v>
      </c>
    </row>
    <row r="8206" spans="1:10">
      <c r="A8206" s="7" t="s">
        <v>8239</v>
      </c>
      <c r="B8206" s="7" t="s">
        <v>10073</v>
      </c>
      <c r="C8206" s="8">
        <f>QS.CONTEXT.CREATE("market.8204",A8206,"USD","SOFR")</f>
        <v/>
      </c>
      <c r="D8206" s="8">
        <f>QS.CONTEXT.ADD.CURVE(C8206,"SOFR",$K$2:$K$7,$L$2:$L$7,,,"Actual360","LogLinear",TRUE)</f>
        <v/>
      </c>
      <c r="E8206" s="8">
        <f>QS.INSTRUMENT.SWAP("swap.8204",C8206,H8206,B8206,"USD","SOFR",I8206,J8206,0,"Actual360","Simple","Annual","Annual","Annual")</f>
        <v/>
      </c>
      <c r="F8206" s="8">
        <f>QS.TRADE.CREATE("trade.8204",C8206,E8206,A8206,"Receive")</f>
        <v/>
      </c>
      <c r="G8206" s="5"/>
      <c r="H8206" s="7" t="s">
        <v>8246</v>
      </c>
      <c r="I8206" s="9">
        <v>1820400</v>
      </c>
      <c r="J8206" s="10">
        <v>0.0354</v>
      </c>
    </row>
    <row r="8207" spans="1:10">
      <c r="A8207" s="7" t="s">
        <v>8240</v>
      </c>
      <c r="B8207" s="7" t="s">
        <v>10074</v>
      </c>
      <c r="C8207" s="8">
        <f>QS.CONTEXT.CREATE("market.8205",A8207,"USD","SOFR")</f>
        <v/>
      </c>
      <c r="D8207" s="8">
        <f>QS.CONTEXT.ADD.CURVE(C8207,"SOFR",$K$2:$K$7,$L$2:$L$7,,,"Actual360","LogLinear",TRUE)</f>
        <v/>
      </c>
      <c r="E8207" s="8">
        <f>QS.INSTRUMENT.SWAP("swap.8205",C8207,H8207,B8207,"USD","SOFR",I8207,J8207,0,"Actual360","Simple","Annual","Annual","Annual")</f>
        <v/>
      </c>
      <c r="F8207" s="8">
        <f>QS.TRADE.CREATE("trade.8205",C8207,E8207,A8207,"Receive")</f>
        <v/>
      </c>
      <c r="G8207" s="5"/>
      <c r="H8207" s="7" t="s">
        <v>8247</v>
      </c>
      <c r="I8207" s="9">
        <v>1820500</v>
      </c>
      <c r="J8207" s="10">
        <v>0.0355</v>
      </c>
    </row>
    <row r="8208" spans="1:10">
      <c r="A8208" s="7" t="s">
        <v>8241</v>
      </c>
      <c r="B8208" s="7" t="s">
        <v>10075</v>
      </c>
      <c r="C8208" s="8">
        <f>QS.CONTEXT.CREATE("market.8206",A8208,"USD","SOFR")</f>
        <v/>
      </c>
      <c r="D8208" s="8">
        <f>QS.CONTEXT.ADD.CURVE(C8208,"SOFR",$K$2:$K$7,$L$2:$L$7,,,"Actual360","LogLinear",TRUE)</f>
        <v/>
      </c>
      <c r="E8208" s="8">
        <f>QS.INSTRUMENT.SWAP("swap.8206",C8208,H8208,B8208,"USD","SOFR",I8208,J8208,0,"Actual360","Simple","Annual","Annual","Annual")</f>
        <v/>
      </c>
      <c r="F8208" s="8">
        <f>QS.TRADE.CREATE("trade.8206",C8208,E8208,A8208,"Receive")</f>
        <v/>
      </c>
      <c r="G8208" s="5"/>
      <c r="H8208" s="7" t="s">
        <v>8248</v>
      </c>
      <c r="I8208" s="9">
        <v>1820600</v>
      </c>
      <c r="J8208" s="10">
        <v>0.03560000000000001</v>
      </c>
    </row>
    <row r="8209" spans="1:10">
      <c r="A8209" s="7" t="s">
        <v>8242</v>
      </c>
      <c r="B8209" s="7" t="s">
        <v>10076</v>
      </c>
      <c r="C8209" s="8">
        <f>QS.CONTEXT.CREATE("market.8207",A8209,"USD","SOFR")</f>
        <v/>
      </c>
      <c r="D8209" s="8">
        <f>QS.CONTEXT.ADD.CURVE(C8209,"SOFR",$K$2:$K$7,$L$2:$L$7,,,"Actual360","LogLinear",TRUE)</f>
        <v/>
      </c>
      <c r="E8209" s="8">
        <f>QS.INSTRUMENT.SWAP("swap.8207",C8209,H8209,B8209,"USD","SOFR",I8209,J8209,0,"Actual360","Simple","Annual","Annual","Annual")</f>
        <v/>
      </c>
      <c r="F8209" s="8">
        <f>QS.TRADE.CREATE("trade.8207",C8209,E8209,A8209,"Receive")</f>
        <v/>
      </c>
      <c r="G8209" s="5"/>
      <c r="H8209" s="7" t="s">
        <v>8249</v>
      </c>
      <c r="I8209" s="9">
        <v>1820700</v>
      </c>
      <c r="J8209" s="10">
        <v>0.0357</v>
      </c>
    </row>
    <row r="8210" spans="1:10">
      <c r="A8210" s="7" t="s">
        <v>8243</v>
      </c>
      <c r="B8210" s="7" t="s">
        <v>10077</v>
      </c>
      <c r="C8210" s="8">
        <f>QS.CONTEXT.CREATE("market.8208",A8210,"USD","SOFR")</f>
        <v/>
      </c>
      <c r="D8210" s="8">
        <f>QS.CONTEXT.ADD.CURVE(C8210,"SOFR",$K$2:$K$7,$L$2:$L$7,,,"Actual360","LogLinear",TRUE)</f>
        <v/>
      </c>
      <c r="E8210" s="8">
        <f>QS.INSTRUMENT.SWAP("swap.8208",C8210,H8210,B8210,"USD","SOFR",I8210,J8210,0,"Actual360","Simple","Annual","Annual","Annual")</f>
        <v/>
      </c>
      <c r="F8210" s="8">
        <f>QS.TRADE.CREATE("trade.8208",C8210,E8210,A8210,"Receive")</f>
        <v/>
      </c>
      <c r="G8210" s="5"/>
      <c r="H8210" s="7" t="s">
        <v>8250</v>
      </c>
      <c r="I8210" s="9">
        <v>1820800</v>
      </c>
      <c r="J8210" s="10">
        <v>0.03580000000000001</v>
      </c>
    </row>
    <row r="8211" spans="1:10">
      <c r="A8211" s="7" t="s">
        <v>8244</v>
      </c>
      <c r="B8211" s="7" t="s">
        <v>10078</v>
      </c>
      <c r="C8211" s="8">
        <f>QS.CONTEXT.CREATE("market.8209",A8211,"USD","SOFR")</f>
        <v/>
      </c>
      <c r="D8211" s="8">
        <f>QS.CONTEXT.ADD.CURVE(C8211,"SOFR",$K$2:$K$7,$L$2:$L$7,,,"Actual360","LogLinear",TRUE)</f>
        <v/>
      </c>
      <c r="E8211" s="8">
        <f>QS.INSTRUMENT.SWAP("swap.8209",C8211,H8211,B8211,"USD","SOFR",I8211,J8211,0,"Actual360","Simple","Annual","Annual","Annual")</f>
        <v/>
      </c>
      <c r="F8211" s="8">
        <f>QS.TRADE.CREATE("trade.8209",C8211,E8211,A8211,"Receive")</f>
        <v/>
      </c>
      <c r="G8211" s="5"/>
      <c r="H8211" s="7" t="s">
        <v>8251</v>
      </c>
      <c r="I8211" s="9">
        <v>1820900</v>
      </c>
      <c r="J8211" s="10">
        <v>0.0359</v>
      </c>
    </row>
    <row r="8212" spans="1:10">
      <c r="A8212" s="7" t="s">
        <v>8245</v>
      </c>
      <c r="B8212" s="7" t="s">
        <v>10079</v>
      </c>
      <c r="C8212" s="8">
        <f>QS.CONTEXT.CREATE("market.8210",A8212,"USD","SOFR")</f>
        <v/>
      </c>
      <c r="D8212" s="8">
        <f>QS.CONTEXT.ADD.CURVE(C8212,"SOFR",$K$2:$K$7,$L$2:$L$7,,,"Actual360","LogLinear",TRUE)</f>
        <v/>
      </c>
      <c r="E8212" s="8">
        <f>QS.INSTRUMENT.SWAP("swap.8210",C8212,H8212,B8212,"USD","SOFR",I8212,J8212,0,"Actual360","Simple","Annual","Annual","Annual")</f>
        <v/>
      </c>
      <c r="F8212" s="8">
        <f>QS.TRADE.CREATE("trade.8210",C8212,E8212,A8212,"Receive")</f>
        <v/>
      </c>
      <c r="G8212" s="5"/>
      <c r="H8212" s="7" t="s">
        <v>8252</v>
      </c>
      <c r="I8212" s="9">
        <v>1821000</v>
      </c>
      <c r="J8212" s="10">
        <v>0.036</v>
      </c>
    </row>
    <row r="8213" spans="1:10">
      <c r="A8213" s="7" t="s">
        <v>8246</v>
      </c>
      <c r="B8213" s="7" t="s">
        <v>10080</v>
      </c>
      <c r="C8213" s="8">
        <f>QS.CONTEXT.CREATE("market.8211",A8213,"USD","SOFR")</f>
        <v/>
      </c>
      <c r="D8213" s="8">
        <f>QS.CONTEXT.ADD.CURVE(C8213,"SOFR",$K$2:$K$7,$L$2:$L$7,,,"Actual360","LogLinear",TRUE)</f>
        <v/>
      </c>
      <c r="E8213" s="8">
        <f>QS.INSTRUMENT.SWAP("swap.8211",C8213,H8213,B8213,"USD","SOFR",I8213,J8213,0,"Actual360","Simple","Annual","Annual","Annual")</f>
        <v/>
      </c>
      <c r="F8213" s="8">
        <f>QS.TRADE.CREATE("trade.8211",C8213,E8213,A8213,"Receive")</f>
        <v/>
      </c>
      <c r="G8213" s="5"/>
      <c r="H8213" s="7" t="s">
        <v>8253</v>
      </c>
      <c r="I8213" s="9">
        <v>1821100</v>
      </c>
      <c r="J8213" s="10">
        <v>0.0361</v>
      </c>
    </row>
    <row r="8214" spans="1:10">
      <c r="A8214" s="7" t="s">
        <v>8247</v>
      </c>
      <c r="B8214" s="7" t="s">
        <v>10081</v>
      </c>
      <c r="C8214" s="8">
        <f>QS.CONTEXT.CREATE("market.8212",A8214,"USD","SOFR")</f>
        <v/>
      </c>
      <c r="D8214" s="8">
        <f>QS.CONTEXT.ADD.CURVE(C8214,"SOFR",$K$2:$K$7,$L$2:$L$7,,,"Actual360","LogLinear",TRUE)</f>
        <v/>
      </c>
      <c r="E8214" s="8">
        <f>QS.INSTRUMENT.SWAP("swap.8212",C8214,H8214,B8214,"USD","SOFR",I8214,J8214,0,"Actual360","Simple","Annual","Annual","Annual")</f>
        <v/>
      </c>
      <c r="F8214" s="8">
        <f>QS.TRADE.CREATE("trade.8212",C8214,E8214,A8214,"Receive")</f>
        <v/>
      </c>
      <c r="G8214" s="5"/>
      <c r="H8214" s="7" t="s">
        <v>8254</v>
      </c>
      <c r="I8214" s="9">
        <v>1821200</v>
      </c>
      <c r="J8214" s="10">
        <v>0.0362</v>
      </c>
    </row>
    <row r="8215" spans="1:10">
      <c r="A8215" s="7" t="s">
        <v>8248</v>
      </c>
      <c r="B8215" s="7" t="s">
        <v>10082</v>
      </c>
      <c r="C8215" s="8">
        <f>QS.CONTEXT.CREATE("market.8213",A8215,"USD","SOFR")</f>
        <v/>
      </c>
      <c r="D8215" s="8">
        <f>QS.CONTEXT.ADD.CURVE(C8215,"SOFR",$K$2:$K$7,$L$2:$L$7,,,"Actual360","LogLinear",TRUE)</f>
        <v/>
      </c>
      <c r="E8215" s="8">
        <f>QS.INSTRUMENT.SWAP("swap.8213",C8215,H8215,B8215,"USD","SOFR",I8215,J8215,0,"Actual360","Simple","Annual","Annual","Annual")</f>
        <v/>
      </c>
      <c r="F8215" s="8">
        <f>QS.TRADE.CREATE("trade.8213",C8215,E8215,A8215,"Receive")</f>
        <v/>
      </c>
      <c r="G8215" s="5"/>
      <c r="H8215" s="7" t="s">
        <v>8255</v>
      </c>
      <c r="I8215" s="9">
        <v>1821300</v>
      </c>
      <c r="J8215" s="10">
        <v>0.03630000000000001</v>
      </c>
    </row>
    <row r="8216" spans="1:10">
      <c r="A8216" s="7" t="s">
        <v>8249</v>
      </c>
      <c r="B8216" s="7" t="s">
        <v>10083</v>
      </c>
      <c r="C8216" s="8">
        <f>QS.CONTEXT.CREATE("market.8214",A8216,"USD","SOFR")</f>
        <v/>
      </c>
      <c r="D8216" s="8">
        <f>QS.CONTEXT.ADD.CURVE(C8216,"SOFR",$K$2:$K$7,$L$2:$L$7,,,"Actual360","LogLinear",TRUE)</f>
        <v/>
      </c>
      <c r="E8216" s="8">
        <f>QS.INSTRUMENT.SWAP("swap.8214",C8216,H8216,B8216,"USD","SOFR",I8216,J8216,0,"Actual360","Simple","Annual","Annual","Annual")</f>
        <v/>
      </c>
      <c r="F8216" s="8">
        <f>QS.TRADE.CREATE("trade.8214",C8216,E8216,A8216,"Receive")</f>
        <v/>
      </c>
      <c r="G8216" s="5"/>
      <c r="H8216" s="7" t="s">
        <v>8256</v>
      </c>
      <c r="I8216" s="9">
        <v>1821400</v>
      </c>
      <c r="J8216" s="10">
        <v>0.0364</v>
      </c>
    </row>
    <row r="8217" spans="1:10">
      <c r="A8217" s="7" t="s">
        <v>8250</v>
      </c>
      <c r="B8217" s="7" t="s">
        <v>10084</v>
      </c>
      <c r="C8217" s="8">
        <f>QS.CONTEXT.CREATE("market.8215",A8217,"USD","SOFR")</f>
        <v/>
      </c>
      <c r="D8217" s="8">
        <f>QS.CONTEXT.ADD.CURVE(C8217,"SOFR",$K$2:$K$7,$L$2:$L$7,,,"Actual360","LogLinear",TRUE)</f>
        <v/>
      </c>
      <c r="E8217" s="8">
        <f>QS.INSTRUMENT.SWAP("swap.8215",C8217,H8217,B8217,"USD","SOFR",I8217,J8217,0,"Actual360","Simple","Annual","Annual","Annual")</f>
        <v/>
      </c>
      <c r="F8217" s="8">
        <f>QS.TRADE.CREATE("trade.8215",C8217,E8217,A8217,"Receive")</f>
        <v/>
      </c>
      <c r="G8217" s="5"/>
      <c r="H8217" s="7" t="s">
        <v>8257</v>
      </c>
      <c r="I8217" s="9">
        <v>1821500</v>
      </c>
      <c r="J8217" s="10">
        <v>0.0365</v>
      </c>
    </row>
    <row r="8218" spans="1:10">
      <c r="A8218" s="7" t="s">
        <v>8251</v>
      </c>
      <c r="B8218" s="7" t="s">
        <v>10085</v>
      </c>
      <c r="C8218" s="8">
        <f>QS.CONTEXT.CREATE("market.8216",A8218,"USD","SOFR")</f>
        <v/>
      </c>
      <c r="D8218" s="8">
        <f>QS.CONTEXT.ADD.CURVE(C8218,"SOFR",$K$2:$K$7,$L$2:$L$7,,,"Actual360","LogLinear",TRUE)</f>
        <v/>
      </c>
      <c r="E8218" s="8">
        <f>QS.INSTRUMENT.SWAP("swap.8216",C8218,H8218,B8218,"USD","SOFR",I8218,J8218,0,"Actual360","Simple","Annual","Annual","Annual")</f>
        <v/>
      </c>
      <c r="F8218" s="8">
        <f>QS.TRADE.CREATE("trade.8216",C8218,E8218,A8218,"Receive")</f>
        <v/>
      </c>
      <c r="G8218" s="5"/>
      <c r="H8218" s="7" t="s">
        <v>8258</v>
      </c>
      <c r="I8218" s="9">
        <v>1821600</v>
      </c>
      <c r="J8218" s="10">
        <v>0.0366</v>
      </c>
    </row>
    <row r="8219" spans="1:10">
      <c r="A8219" s="7" t="s">
        <v>8252</v>
      </c>
      <c r="B8219" s="7" t="s">
        <v>10086</v>
      </c>
      <c r="C8219" s="8">
        <f>QS.CONTEXT.CREATE("market.8217",A8219,"USD","SOFR")</f>
        <v/>
      </c>
      <c r="D8219" s="8">
        <f>QS.CONTEXT.ADD.CURVE(C8219,"SOFR",$K$2:$K$7,$L$2:$L$7,,,"Actual360","LogLinear",TRUE)</f>
        <v/>
      </c>
      <c r="E8219" s="8">
        <f>QS.INSTRUMENT.SWAP("swap.8217",C8219,H8219,B8219,"USD","SOFR",I8219,J8219,0,"Actual360","Simple","Annual","Annual","Annual")</f>
        <v/>
      </c>
      <c r="F8219" s="8">
        <f>QS.TRADE.CREATE("trade.8217",C8219,E8219,A8219,"Receive")</f>
        <v/>
      </c>
      <c r="G8219" s="5"/>
      <c r="H8219" s="7" t="s">
        <v>8259</v>
      </c>
      <c r="I8219" s="9">
        <v>1821700</v>
      </c>
      <c r="J8219" s="10">
        <v>0.0367</v>
      </c>
    </row>
    <row r="8220" spans="1:10">
      <c r="A8220" s="7" t="s">
        <v>8253</v>
      </c>
      <c r="B8220" s="7" t="s">
        <v>10087</v>
      </c>
      <c r="C8220" s="8">
        <f>QS.CONTEXT.CREATE("market.8218",A8220,"USD","SOFR")</f>
        <v/>
      </c>
      <c r="D8220" s="8">
        <f>QS.CONTEXT.ADD.CURVE(C8220,"SOFR",$K$2:$K$7,$L$2:$L$7,,,"Actual360","LogLinear",TRUE)</f>
        <v/>
      </c>
      <c r="E8220" s="8">
        <f>QS.INSTRUMENT.SWAP("swap.8218",C8220,H8220,B8220,"USD","SOFR",I8220,J8220,0,"Actual360","Simple","Annual","Annual","Annual")</f>
        <v/>
      </c>
      <c r="F8220" s="8">
        <f>QS.TRADE.CREATE("trade.8218",C8220,E8220,A8220,"Receive")</f>
        <v/>
      </c>
      <c r="G8220" s="5"/>
      <c r="H8220" s="7" t="s">
        <v>8260</v>
      </c>
      <c r="I8220" s="9">
        <v>1821800</v>
      </c>
      <c r="J8220" s="10">
        <v>0.03680000000000001</v>
      </c>
    </row>
    <row r="8221" spans="1:10">
      <c r="A8221" s="7" t="s">
        <v>8254</v>
      </c>
      <c r="B8221" s="7" t="s">
        <v>10088</v>
      </c>
      <c r="C8221" s="8">
        <f>QS.CONTEXT.CREATE("market.8219",A8221,"USD","SOFR")</f>
        <v/>
      </c>
      <c r="D8221" s="8">
        <f>QS.CONTEXT.ADD.CURVE(C8221,"SOFR",$K$2:$K$7,$L$2:$L$7,,,"Actual360","LogLinear",TRUE)</f>
        <v/>
      </c>
      <c r="E8221" s="8">
        <f>QS.INSTRUMENT.SWAP("swap.8219",C8221,H8221,B8221,"USD","SOFR",I8221,J8221,0,"Actual360","Simple","Annual","Annual","Annual")</f>
        <v/>
      </c>
      <c r="F8221" s="8">
        <f>QS.TRADE.CREATE("trade.8219",C8221,E8221,A8221,"Receive")</f>
        <v/>
      </c>
      <c r="G8221" s="5"/>
      <c r="H8221" s="7" t="s">
        <v>8261</v>
      </c>
      <c r="I8221" s="9">
        <v>1821900</v>
      </c>
      <c r="J8221" s="10">
        <v>0.0369</v>
      </c>
    </row>
    <row r="8222" spans="1:10">
      <c r="A8222" s="7" t="s">
        <v>8255</v>
      </c>
      <c r="B8222" s="7" t="s">
        <v>10089</v>
      </c>
      <c r="C8222" s="8">
        <f>QS.CONTEXT.CREATE("market.8220",A8222,"USD","SOFR")</f>
        <v/>
      </c>
      <c r="D8222" s="8">
        <f>QS.CONTEXT.ADD.CURVE(C8222,"SOFR",$K$2:$K$7,$L$2:$L$7,,,"Actual360","LogLinear",TRUE)</f>
        <v/>
      </c>
      <c r="E8222" s="8">
        <f>QS.INSTRUMENT.SWAP("swap.8220",C8222,H8222,B8222,"USD","SOFR",I8222,J8222,0,"Actual360","Simple","Annual","Annual","Annual")</f>
        <v/>
      </c>
      <c r="F8222" s="8">
        <f>QS.TRADE.CREATE("trade.8220",C8222,E8222,A8222,"Receive")</f>
        <v/>
      </c>
      <c r="G8222" s="5"/>
      <c r="H8222" s="7" t="s">
        <v>8262</v>
      </c>
      <c r="I8222" s="9">
        <v>1822000</v>
      </c>
      <c r="J8222" s="10">
        <v>0.03700000000000001</v>
      </c>
    </row>
    <row r="8223" spans="1:10">
      <c r="A8223" s="7" t="s">
        <v>8256</v>
      </c>
      <c r="B8223" s="7" t="s">
        <v>10090</v>
      </c>
      <c r="C8223" s="8">
        <f>QS.CONTEXT.CREATE("market.8221",A8223,"USD","SOFR")</f>
        <v/>
      </c>
      <c r="D8223" s="8">
        <f>QS.CONTEXT.ADD.CURVE(C8223,"SOFR",$K$2:$K$7,$L$2:$L$7,,,"Actual360","LogLinear",TRUE)</f>
        <v/>
      </c>
      <c r="E8223" s="8">
        <f>QS.INSTRUMENT.SWAP("swap.8221",C8223,H8223,B8223,"USD","SOFR",I8223,J8223,0,"Actual360","Simple","Annual","Annual","Annual")</f>
        <v/>
      </c>
      <c r="F8223" s="8">
        <f>QS.TRADE.CREATE("trade.8221",C8223,E8223,A8223,"Receive")</f>
        <v/>
      </c>
      <c r="G8223" s="5"/>
      <c r="H8223" s="7" t="s">
        <v>8263</v>
      </c>
      <c r="I8223" s="9">
        <v>1822100</v>
      </c>
      <c r="J8223" s="10">
        <v>0.0371</v>
      </c>
    </row>
    <row r="8224" spans="1:10">
      <c r="A8224" s="7" t="s">
        <v>8257</v>
      </c>
      <c r="B8224" s="7" t="s">
        <v>10091</v>
      </c>
      <c r="C8224" s="8">
        <f>QS.CONTEXT.CREATE("market.8222",A8224,"USD","SOFR")</f>
        <v/>
      </c>
      <c r="D8224" s="8">
        <f>QS.CONTEXT.ADD.CURVE(C8224,"SOFR",$K$2:$K$7,$L$2:$L$7,,,"Actual360","LogLinear",TRUE)</f>
        <v/>
      </c>
      <c r="E8224" s="8">
        <f>QS.INSTRUMENT.SWAP("swap.8222",C8224,H8224,B8224,"USD","SOFR",I8224,J8224,0,"Actual360","Simple","Annual","Annual","Annual")</f>
        <v/>
      </c>
      <c r="F8224" s="8">
        <f>QS.TRADE.CREATE("trade.8222",C8224,E8224,A8224,"Receive")</f>
        <v/>
      </c>
      <c r="G8224" s="5"/>
      <c r="H8224" s="7" t="s">
        <v>8264</v>
      </c>
      <c r="I8224" s="9">
        <v>1822200</v>
      </c>
      <c r="J8224" s="10">
        <v>0.0372</v>
      </c>
    </row>
    <row r="8225" spans="1:10">
      <c r="A8225" s="7" t="s">
        <v>8258</v>
      </c>
      <c r="B8225" s="7" t="s">
        <v>10092</v>
      </c>
      <c r="C8225" s="8">
        <f>QS.CONTEXT.CREATE("market.8223",A8225,"USD","SOFR")</f>
        <v/>
      </c>
      <c r="D8225" s="8">
        <f>QS.CONTEXT.ADD.CURVE(C8225,"SOFR",$K$2:$K$7,$L$2:$L$7,,,"Actual360","LogLinear",TRUE)</f>
        <v/>
      </c>
      <c r="E8225" s="8">
        <f>QS.INSTRUMENT.SWAP("swap.8223",C8225,H8225,B8225,"USD","SOFR",I8225,J8225,0,"Actual360","Simple","Annual","Annual","Annual")</f>
        <v/>
      </c>
      <c r="F8225" s="8">
        <f>QS.TRADE.CREATE("trade.8223",C8225,E8225,A8225,"Receive")</f>
        <v/>
      </c>
      <c r="G8225" s="5"/>
      <c r="H8225" s="7" t="s">
        <v>8265</v>
      </c>
      <c r="I8225" s="9">
        <v>1822300</v>
      </c>
      <c r="J8225" s="10">
        <v>0.0373</v>
      </c>
    </row>
    <row r="8226" spans="1:10">
      <c r="A8226" s="7" t="s">
        <v>8259</v>
      </c>
      <c r="B8226" s="7" t="s">
        <v>10093</v>
      </c>
      <c r="C8226" s="8">
        <f>QS.CONTEXT.CREATE("market.8224",A8226,"USD","SOFR")</f>
        <v/>
      </c>
      <c r="D8226" s="8">
        <f>QS.CONTEXT.ADD.CURVE(C8226,"SOFR",$K$2:$K$7,$L$2:$L$7,,,"Actual360","LogLinear",TRUE)</f>
        <v/>
      </c>
      <c r="E8226" s="8">
        <f>QS.INSTRUMENT.SWAP("swap.8224",C8226,H8226,B8226,"USD","SOFR",I8226,J8226,0,"Actual360","Simple","Annual","Annual","Annual")</f>
        <v/>
      </c>
      <c r="F8226" s="8">
        <f>QS.TRADE.CREATE("trade.8224",C8226,E8226,A8226,"Receive")</f>
        <v/>
      </c>
      <c r="G8226" s="5"/>
      <c r="H8226" s="7" t="s">
        <v>8266</v>
      </c>
      <c r="I8226" s="9">
        <v>1822400</v>
      </c>
      <c r="J8226" s="10">
        <v>0.0374</v>
      </c>
    </row>
    <row r="8227" spans="1:10">
      <c r="A8227" s="7" t="s">
        <v>8260</v>
      </c>
      <c r="B8227" s="7" t="s">
        <v>10094</v>
      </c>
      <c r="C8227" s="8">
        <f>QS.CONTEXT.CREATE("market.8225",A8227,"USD","SOFR")</f>
        <v/>
      </c>
      <c r="D8227" s="8">
        <f>QS.CONTEXT.ADD.CURVE(C8227,"SOFR",$K$2:$K$7,$L$2:$L$7,,,"Actual360","LogLinear",TRUE)</f>
        <v/>
      </c>
      <c r="E8227" s="8">
        <f>QS.INSTRUMENT.SWAP("swap.8225",C8227,H8227,B8227,"USD","SOFR",I8227,J8227,0,"Actual360","Simple","Annual","Annual","Annual")</f>
        <v/>
      </c>
      <c r="F8227" s="8">
        <f>QS.TRADE.CREATE("trade.8225",C8227,E8227,A8227,"Receive")</f>
        <v/>
      </c>
      <c r="G8227" s="5"/>
      <c r="H8227" s="7" t="s">
        <v>8267</v>
      </c>
      <c r="I8227" s="9">
        <v>1822500</v>
      </c>
      <c r="J8227" s="10">
        <v>0.03750000000000001</v>
      </c>
    </row>
    <row r="8228" spans="1:10">
      <c r="A8228" s="7" t="s">
        <v>8261</v>
      </c>
      <c r="B8228" s="7" t="s">
        <v>10095</v>
      </c>
      <c r="C8228" s="8">
        <f>QS.CONTEXT.CREATE("market.8226",A8228,"USD","SOFR")</f>
        <v/>
      </c>
      <c r="D8228" s="8">
        <f>QS.CONTEXT.ADD.CURVE(C8228,"SOFR",$K$2:$K$7,$L$2:$L$7,,,"Actual360","LogLinear",TRUE)</f>
        <v/>
      </c>
      <c r="E8228" s="8">
        <f>QS.INSTRUMENT.SWAP("swap.8226",C8228,H8228,B8228,"USD","SOFR",I8228,J8228,0,"Actual360","Simple","Annual","Annual","Annual")</f>
        <v/>
      </c>
      <c r="F8228" s="8">
        <f>QS.TRADE.CREATE("trade.8226",C8228,E8228,A8228,"Receive")</f>
        <v/>
      </c>
      <c r="G8228" s="5"/>
      <c r="H8228" s="7" t="s">
        <v>8268</v>
      </c>
      <c r="I8228" s="9">
        <v>1822600</v>
      </c>
      <c r="J8228" s="10">
        <v>0.0376</v>
      </c>
    </row>
    <row r="8229" spans="1:10">
      <c r="A8229" s="7" t="s">
        <v>8262</v>
      </c>
      <c r="B8229" s="7" t="s">
        <v>10096</v>
      </c>
      <c r="C8229" s="8">
        <f>QS.CONTEXT.CREATE("market.8227",A8229,"USD","SOFR")</f>
        <v/>
      </c>
      <c r="D8229" s="8">
        <f>QS.CONTEXT.ADD.CURVE(C8229,"SOFR",$K$2:$K$7,$L$2:$L$7,,,"Actual360","LogLinear",TRUE)</f>
        <v/>
      </c>
      <c r="E8229" s="8">
        <f>QS.INSTRUMENT.SWAP("swap.8227",C8229,H8229,B8229,"USD","SOFR",I8229,J8229,0,"Actual360","Simple","Annual","Annual","Annual")</f>
        <v/>
      </c>
      <c r="F8229" s="8">
        <f>QS.TRADE.CREATE("trade.8227",C8229,E8229,A8229,"Receive")</f>
        <v/>
      </c>
      <c r="G8229" s="5"/>
      <c r="H8229" s="7" t="s">
        <v>8269</v>
      </c>
      <c r="I8229" s="9">
        <v>1822700</v>
      </c>
      <c r="J8229" s="10">
        <v>0.0377</v>
      </c>
    </row>
    <row r="8230" spans="1:10">
      <c r="A8230" s="7" t="s">
        <v>8263</v>
      </c>
      <c r="B8230" s="7" t="s">
        <v>10097</v>
      </c>
      <c r="C8230" s="8">
        <f>QS.CONTEXT.CREATE("market.8228",A8230,"USD","SOFR")</f>
        <v/>
      </c>
      <c r="D8230" s="8">
        <f>QS.CONTEXT.ADD.CURVE(C8230,"SOFR",$K$2:$K$7,$L$2:$L$7,,,"Actual360","LogLinear",TRUE)</f>
        <v/>
      </c>
      <c r="E8230" s="8">
        <f>QS.INSTRUMENT.SWAP("swap.8228",C8230,H8230,B8230,"USD","SOFR",I8230,J8230,0,"Actual360","Simple","Annual","Annual","Annual")</f>
        <v/>
      </c>
      <c r="F8230" s="8">
        <f>QS.TRADE.CREATE("trade.8228",C8230,E8230,A8230,"Receive")</f>
        <v/>
      </c>
      <c r="G8230" s="5"/>
      <c r="H8230" s="7" t="s">
        <v>8270</v>
      </c>
      <c r="I8230" s="9">
        <v>1822800</v>
      </c>
      <c r="J8230" s="10">
        <v>0.0378</v>
      </c>
    </row>
    <row r="8231" spans="1:10">
      <c r="A8231" s="7" t="s">
        <v>8264</v>
      </c>
      <c r="B8231" s="7" t="s">
        <v>10098</v>
      </c>
      <c r="C8231" s="8">
        <f>QS.CONTEXT.CREATE("market.8229",A8231,"USD","SOFR")</f>
        <v/>
      </c>
      <c r="D8231" s="8">
        <f>QS.CONTEXT.ADD.CURVE(C8231,"SOFR",$K$2:$K$7,$L$2:$L$7,,,"Actual360","LogLinear",TRUE)</f>
        <v/>
      </c>
      <c r="E8231" s="8">
        <f>QS.INSTRUMENT.SWAP("swap.8229",C8231,H8231,B8231,"USD","SOFR",I8231,J8231,0,"Actual360","Simple","Annual","Annual","Annual")</f>
        <v/>
      </c>
      <c r="F8231" s="8">
        <f>QS.TRADE.CREATE("trade.8229",C8231,E8231,A8231,"Receive")</f>
        <v/>
      </c>
      <c r="G8231" s="5"/>
      <c r="H8231" s="7" t="s">
        <v>8271</v>
      </c>
      <c r="I8231" s="9">
        <v>1822900</v>
      </c>
      <c r="J8231" s="10">
        <v>0.0379</v>
      </c>
    </row>
    <row r="8232" spans="1:10">
      <c r="A8232" s="7" t="s">
        <v>8265</v>
      </c>
      <c r="B8232" s="7" t="s">
        <v>10099</v>
      </c>
      <c r="C8232" s="8">
        <f>QS.CONTEXT.CREATE("market.8230",A8232,"USD","SOFR")</f>
        <v/>
      </c>
      <c r="D8232" s="8">
        <f>QS.CONTEXT.ADD.CURVE(C8232,"SOFR",$K$2:$K$7,$L$2:$L$7,,,"Actual360","LogLinear",TRUE)</f>
        <v/>
      </c>
      <c r="E8232" s="8">
        <f>QS.INSTRUMENT.SWAP("swap.8230",C8232,H8232,B8232,"USD","SOFR",I8232,J8232,0,"Actual360","Simple","Annual","Annual","Annual")</f>
        <v/>
      </c>
      <c r="F8232" s="8">
        <f>QS.TRADE.CREATE("trade.8230",C8232,E8232,A8232,"Receive")</f>
        <v/>
      </c>
      <c r="G8232" s="5"/>
      <c r="H8232" s="7" t="s">
        <v>8272</v>
      </c>
      <c r="I8232" s="9">
        <v>1823000</v>
      </c>
      <c r="J8232" s="10">
        <v>0.03800000000000001</v>
      </c>
    </row>
    <row r="8233" spans="1:10">
      <c r="A8233" s="7" t="s">
        <v>8266</v>
      </c>
      <c r="B8233" s="7" t="s">
        <v>10100</v>
      </c>
      <c r="C8233" s="8">
        <f>QS.CONTEXT.CREATE("market.8231",A8233,"USD","SOFR")</f>
        <v/>
      </c>
      <c r="D8233" s="8">
        <f>QS.CONTEXT.ADD.CURVE(C8233,"SOFR",$K$2:$K$7,$L$2:$L$7,,,"Actual360","LogLinear",TRUE)</f>
        <v/>
      </c>
      <c r="E8233" s="8">
        <f>QS.INSTRUMENT.SWAP("swap.8231",C8233,H8233,B8233,"USD","SOFR",I8233,J8233,0,"Actual360","Simple","Annual","Annual","Annual")</f>
        <v/>
      </c>
      <c r="F8233" s="8">
        <f>QS.TRADE.CREATE("trade.8231",C8233,E8233,A8233,"Receive")</f>
        <v/>
      </c>
      <c r="G8233" s="5"/>
      <c r="H8233" s="7" t="s">
        <v>8273</v>
      </c>
      <c r="I8233" s="9">
        <v>1823100</v>
      </c>
      <c r="J8233" s="10">
        <v>0.0381</v>
      </c>
    </row>
    <row r="8234" spans="1:10">
      <c r="A8234" s="7" t="s">
        <v>8267</v>
      </c>
      <c r="B8234" s="7" t="s">
        <v>10101</v>
      </c>
      <c r="C8234" s="8">
        <f>QS.CONTEXT.CREATE("market.8232",A8234,"USD","SOFR")</f>
        <v/>
      </c>
      <c r="D8234" s="8">
        <f>QS.CONTEXT.ADD.CURVE(C8234,"SOFR",$K$2:$K$7,$L$2:$L$7,,,"Actual360","LogLinear",TRUE)</f>
        <v/>
      </c>
      <c r="E8234" s="8">
        <f>QS.INSTRUMENT.SWAP("swap.8232",C8234,H8234,B8234,"USD","SOFR",I8234,J8234,0,"Actual360","Simple","Annual","Annual","Annual")</f>
        <v/>
      </c>
      <c r="F8234" s="8">
        <f>QS.TRADE.CREATE("trade.8232",C8234,E8234,A8234,"Receive")</f>
        <v/>
      </c>
      <c r="G8234" s="5"/>
      <c r="H8234" s="7" t="s">
        <v>8274</v>
      </c>
      <c r="I8234" s="9">
        <v>1823200</v>
      </c>
      <c r="J8234" s="10">
        <v>0.0382</v>
      </c>
    </row>
    <row r="8235" spans="1:10">
      <c r="A8235" s="7" t="s">
        <v>8268</v>
      </c>
      <c r="B8235" s="7" t="s">
        <v>10102</v>
      </c>
      <c r="C8235" s="8">
        <f>QS.CONTEXT.CREATE("market.8233",A8235,"USD","SOFR")</f>
        <v/>
      </c>
      <c r="D8235" s="8">
        <f>QS.CONTEXT.ADD.CURVE(C8235,"SOFR",$K$2:$K$7,$L$2:$L$7,,,"Actual360","LogLinear",TRUE)</f>
        <v/>
      </c>
      <c r="E8235" s="8">
        <f>QS.INSTRUMENT.SWAP("swap.8233",C8235,H8235,B8235,"USD","SOFR",I8235,J8235,0,"Actual360","Simple","Annual","Annual","Annual")</f>
        <v/>
      </c>
      <c r="F8235" s="8">
        <f>QS.TRADE.CREATE("trade.8233",C8235,E8235,A8235,"Receive")</f>
        <v/>
      </c>
      <c r="G8235" s="5"/>
      <c r="H8235" s="7" t="s">
        <v>8275</v>
      </c>
      <c r="I8235" s="9">
        <v>1823300</v>
      </c>
      <c r="J8235" s="10">
        <v>0.0383</v>
      </c>
    </row>
    <row r="8236" spans="1:10">
      <c r="A8236" s="7" t="s">
        <v>8269</v>
      </c>
      <c r="B8236" s="7" t="s">
        <v>10103</v>
      </c>
      <c r="C8236" s="8">
        <f>QS.CONTEXT.CREATE("market.8234",A8236,"USD","SOFR")</f>
        <v/>
      </c>
      <c r="D8236" s="8">
        <f>QS.CONTEXT.ADD.CURVE(C8236,"SOFR",$K$2:$K$7,$L$2:$L$7,,,"Actual360","LogLinear",TRUE)</f>
        <v/>
      </c>
      <c r="E8236" s="8">
        <f>QS.INSTRUMENT.SWAP("swap.8234",C8236,H8236,B8236,"USD","SOFR",I8236,J8236,0,"Actual360","Simple","Annual","Annual","Annual")</f>
        <v/>
      </c>
      <c r="F8236" s="8">
        <f>QS.TRADE.CREATE("trade.8234",C8236,E8236,A8236,"Receive")</f>
        <v/>
      </c>
      <c r="G8236" s="5"/>
      <c r="H8236" s="7" t="s">
        <v>8276</v>
      </c>
      <c r="I8236" s="9">
        <v>1823400</v>
      </c>
      <c r="J8236" s="10">
        <v>0.0384</v>
      </c>
    </row>
    <row r="8237" spans="1:10">
      <c r="A8237" s="7" t="s">
        <v>8270</v>
      </c>
      <c r="B8237" s="7" t="s">
        <v>10104</v>
      </c>
      <c r="C8237" s="8">
        <f>QS.CONTEXT.CREATE("market.8235",A8237,"USD","SOFR")</f>
        <v/>
      </c>
      <c r="D8237" s="8">
        <f>QS.CONTEXT.ADD.CURVE(C8237,"SOFR",$K$2:$K$7,$L$2:$L$7,,,"Actual360","LogLinear",TRUE)</f>
        <v/>
      </c>
      <c r="E8237" s="8">
        <f>QS.INSTRUMENT.SWAP("swap.8235",C8237,H8237,B8237,"USD","SOFR",I8237,J8237,0,"Actual360","Simple","Annual","Annual","Annual")</f>
        <v/>
      </c>
      <c r="F8237" s="8">
        <f>QS.TRADE.CREATE("trade.8235",C8237,E8237,A8237,"Receive")</f>
        <v/>
      </c>
      <c r="G8237" s="5"/>
      <c r="H8237" s="7" t="s">
        <v>8277</v>
      </c>
      <c r="I8237" s="9">
        <v>1823500</v>
      </c>
      <c r="J8237" s="10">
        <v>0.03850000000000001</v>
      </c>
    </row>
    <row r="8238" spans="1:10">
      <c r="A8238" s="7" t="s">
        <v>8271</v>
      </c>
      <c r="B8238" s="7" t="s">
        <v>10105</v>
      </c>
      <c r="C8238" s="8">
        <f>QS.CONTEXT.CREATE("market.8236",A8238,"USD","SOFR")</f>
        <v/>
      </c>
      <c r="D8238" s="8">
        <f>QS.CONTEXT.ADD.CURVE(C8238,"SOFR",$K$2:$K$7,$L$2:$L$7,,,"Actual360","LogLinear",TRUE)</f>
        <v/>
      </c>
      <c r="E8238" s="8">
        <f>QS.INSTRUMENT.SWAP("swap.8236",C8238,H8238,B8238,"USD","SOFR",I8238,J8238,0,"Actual360","Simple","Annual","Annual","Annual")</f>
        <v/>
      </c>
      <c r="F8238" s="8">
        <f>QS.TRADE.CREATE("trade.8236",C8238,E8238,A8238,"Receive")</f>
        <v/>
      </c>
      <c r="G8238" s="5"/>
      <c r="H8238" s="7" t="s">
        <v>8278</v>
      </c>
      <c r="I8238" s="9">
        <v>1823600</v>
      </c>
      <c r="J8238" s="10">
        <v>0.0386</v>
      </c>
    </row>
    <row r="8239" spans="1:10">
      <c r="A8239" s="7" t="s">
        <v>8272</v>
      </c>
      <c r="B8239" s="7" t="s">
        <v>10106</v>
      </c>
      <c r="C8239" s="8">
        <f>QS.CONTEXT.CREATE("market.8237",A8239,"USD","SOFR")</f>
        <v/>
      </c>
      <c r="D8239" s="8">
        <f>QS.CONTEXT.ADD.CURVE(C8239,"SOFR",$K$2:$K$7,$L$2:$L$7,,,"Actual360","LogLinear",TRUE)</f>
        <v/>
      </c>
      <c r="E8239" s="8">
        <f>QS.INSTRUMENT.SWAP("swap.8237",C8239,H8239,B8239,"USD","SOFR",I8239,J8239,0,"Actual360","Simple","Annual","Annual","Annual")</f>
        <v/>
      </c>
      <c r="F8239" s="8">
        <f>QS.TRADE.CREATE("trade.8237",C8239,E8239,A8239,"Receive")</f>
        <v/>
      </c>
      <c r="G8239" s="5"/>
      <c r="H8239" s="7" t="s">
        <v>8279</v>
      </c>
      <c r="I8239" s="9">
        <v>1823700</v>
      </c>
      <c r="J8239" s="10">
        <v>0.03870000000000001</v>
      </c>
    </row>
    <row r="8240" spans="1:10">
      <c r="A8240" s="7" t="s">
        <v>8273</v>
      </c>
      <c r="B8240" s="7" t="s">
        <v>10107</v>
      </c>
      <c r="C8240" s="8">
        <f>QS.CONTEXT.CREATE("market.8238",A8240,"USD","SOFR")</f>
        <v/>
      </c>
      <c r="D8240" s="8">
        <f>QS.CONTEXT.ADD.CURVE(C8240,"SOFR",$K$2:$K$7,$L$2:$L$7,,,"Actual360","LogLinear",TRUE)</f>
        <v/>
      </c>
      <c r="E8240" s="8">
        <f>QS.INSTRUMENT.SWAP("swap.8238",C8240,H8240,B8240,"USD","SOFR",I8240,J8240,0,"Actual360","Simple","Annual","Annual","Annual")</f>
        <v/>
      </c>
      <c r="F8240" s="8">
        <f>QS.TRADE.CREATE("trade.8238",C8240,E8240,A8240,"Receive")</f>
        <v/>
      </c>
      <c r="G8240" s="5"/>
      <c r="H8240" s="7" t="s">
        <v>8280</v>
      </c>
      <c r="I8240" s="9">
        <v>1823800</v>
      </c>
      <c r="J8240" s="10">
        <v>0.0388</v>
      </c>
    </row>
    <row r="8241" spans="1:10">
      <c r="A8241" s="7" t="s">
        <v>8274</v>
      </c>
      <c r="B8241" s="7" t="s">
        <v>10108</v>
      </c>
      <c r="C8241" s="8">
        <f>QS.CONTEXT.CREATE("market.8239",A8241,"USD","SOFR")</f>
        <v/>
      </c>
      <c r="D8241" s="8">
        <f>QS.CONTEXT.ADD.CURVE(C8241,"SOFR",$K$2:$K$7,$L$2:$L$7,,,"Actual360","LogLinear",TRUE)</f>
        <v/>
      </c>
      <c r="E8241" s="8">
        <f>QS.INSTRUMENT.SWAP("swap.8239",C8241,H8241,B8241,"USD","SOFR",I8241,J8241,0,"Actual360","Simple","Annual","Annual","Annual")</f>
        <v/>
      </c>
      <c r="F8241" s="8">
        <f>QS.TRADE.CREATE("trade.8239",C8241,E8241,A8241,"Receive")</f>
        <v/>
      </c>
      <c r="G8241" s="5"/>
      <c r="H8241" s="7" t="s">
        <v>8281</v>
      </c>
      <c r="I8241" s="9">
        <v>1823900</v>
      </c>
      <c r="J8241" s="10">
        <v>0.0389</v>
      </c>
    </row>
    <row r="8242" spans="1:10">
      <c r="A8242" s="7" t="s">
        <v>8275</v>
      </c>
      <c r="B8242" s="7" t="s">
        <v>10109</v>
      </c>
      <c r="C8242" s="8">
        <f>QS.CONTEXT.CREATE("market.8240",A8242,"USD","SOFR")</f>
        <v/>
      </c>
      <c r="D8242" s="8">
        <f>QS.CONTEXT.ADD.CURVE(C8242,"SOFR",$K$2:$K$7,$L$2:$L$7,,,"Actual360","LogLinear",TRUE)</f>
        <v/>
      </c>
      <c r="E8242" s="8">
        <f>QS.INSTRUMENT.SWAP("swap.8240",C8242,H8242,B8242,"USD","SOFR",I8242,J8242,0,"Actual360","Simple","Annual","Annual","Annual")</f>
        <v/>
      </c>
      <c r="F8242" s="8">
        <f>QS.TRADE.CREATE("trade.8240",C8242,E8242,A8242,"Receive")</f>
        <v/>
      </c>
      <c r="G8242" s="5"/>
      <c r="H8242" s="7" t="s">
        <v>8282</v>
      </c>
      <c r="I8242" s="9">
        <v>1824000</v>
      </c>
      <c r="J8242" s="10">
        <v>0.03900000000000001</v>
      </c>
    </row>
    <row r="8243" spans="1:10">
      <c r="A8243" s="7" t="s">
        <v>8276</v>
      </c>
      <c r="B8243" s="7" t="s">
        <v>10110</v>
      </c>
      <c r="C8243" s="8">
        <f>QS.CONTEXT.CREATE("market.8241",A8243,"USD","SOFR")</f>
        <v/>
      </c>
      <c r="D8243" s="8">
        <f>QS.CONTEXT.ADD.CURVE(C8243,"SOFR",$K$2:$K$7,$L$2:$L$7,,,"Actual360","LogLinear",TRUE)</f>
        <v/>
      </c>
      <c r="E8243" s="8">
        <f>QS.INSTRUMENT.SWAP("swap.8241",C8243,H8243,B8243,"USD","SOFR",I8243,J8243,0,"Actual360","Simple","Annual","Annual","Annual")</f>
        <v/>
      </c>
      <c r="F8243" s="8">
        <f>QS.TRADE.CREATE("trade.8241",C8243,E8243,A8243,"Receive")</f>
        <v/>
      </c>
      <c r="G8243" s="5"/>
      <c r="H8243" s="7" t="s">
        <v>8283</v>
      </c>
      <c r="I8243" s="9">
        <v>1824100</v>
      </c>
      <c r="J8243" s="10">
        <v>0.0391</v>
      </c>
    </row>
    <row r="8244" spans="1:10">
      <c r="A8244" s="7" t="s">
        <v>8277</v>
      </c>
      <c r="B8244" s="7" t="s">
        <v>10111</v>
      </c>
      <c r="C8244" s="8">
        <f>QS.CONTEXT.CREATE("market.8242",A8244,"USD","SOFR")</f>
        <v/>
      </c>
      <c r="D8244" s="8">
        <f>QS.CONTEXT.ADD.CURVE(C8244,"SOFR",$K$2:$K$7,$L$2:$L$7,,,"Actual360","LogLinear",TRUE)</f>
        <v/>
      </c>
      <c r="E8244" s="8">
        <f>QS.INSTRUMENT.SWAP("swap.8242",C8244,H8244,B8244,"USD","SOFR",I8244,J8244,0,"Actual360","Simple","Annual","Annual","Annual")</f>
        <v/>
      </c>
      <c r="F8244" s="8">
        <f>QS.TRADE.CREATE("trade.8242",C8244,E8244,A8244,"Receive")</f>
        <v/>
      </c>
      <c r="G8244" s="5"/>
      <c r="H8244" s="7" t="s">
        <v>8284</v>
      </c>
      <c r="I8244" s="9">
        <v>1824200</v>
      </c>
      <c r="J8244" s="10">
        <v>0.03920000000000001</v>
      </c>
    </row>
    <row r="8245" spans="1:10">
      <c r="A8245" s="7" t="s">
        <v>8278</v>
      </c>
      <c r="B8245" s="7" t="s">
        <v>10112</v>
      </c>
      <c r="C8245" s="8">
        <f>QS.CONTEXT.CREATE("market.8243",A8245,"USD","SOFR")</f>
        <v/>
      </c>
      <c r="D8245" s="8">
        <f>QS.CONTEXT.ADD.CURVE(C8245,"SOFR",$K$2:$K$7,$L$2:$L$7,,,"Actual360","LogLinear",TRUE)</f>
        <v/>
      </c>
      <c r="E8245" s="8">
        <f>QS.INSTRUMENT.SWAP("swap.8243",C8245,H8245,B8245,"USD","SOFR",I8245,J8245,0,"Actual360","Simple","Annual","Annual","Annual")</f>
        <v/>
      </c>
      <c r="F8245" s="8">
        <f>QS.TRADE.CREATE("trade.8243",C8245,E8245,A8245,"Receive")</f>
        <v/>
      </c>
      <c r="G8245" s="5"/>
      <c r="H8245" s="7" t="s">
        <v>8285</v>
      </c>
      <c r="I8245" s="9">
        <v>1824300</v>
      </c>
      <c r="J8245" s="10">
        <v>0.0393</v>
      </c>
    </row>
    <row r="8246" spans="1:10">
      <c r="A8246" s="7" t="s">
        <v>8279</v>
      </c>
      <c r="B8246" s="7" t="s">
        <v>10113</v>
      </c>
      <c r="C8246" s="8">
        <f>QS.CONTEXT.CREATE("market.8244",A8246,"USD","SOFR")</f>
        <v/>
      </c>
      <c r="D8246" s="8">
        <f>QS.CONTEXT.ADD.CURVE(C8246,"SOFR",$K$2:$K$7,$L$2:$L$7,,,"Actual360","LogLinear",TRUE)</f>
        <v/>
      </c>
      <c r="E8246" s="8">
        <f>QS.INSTRUMENT.SWAP("swap.8244",C8246,H8246,B8246,"USD","SOFR",I8246,J8246,0,"Actual360","Simple","Annual","Annual","Annual")</f>
        <v/>
      </c>
      <c r="F8246" s="8">
        <f>QS.TRADE.CREATE("trade.8244",C8246,E8246,A8246,"Receive")</f>
        <v/>
      </c>
      <c r="G8246" s="5"/>
      <c r="H8246" s="7" t="s">
        <v>8286</v>
      </c>
      <c r="I8246" s="9">
        <v>1824400</v>
      </c>
      <c r="J8246" s="10">
        <v>0.0394</v>
      </c>
    </row>
    <row r="8247" spans="1:10">
      <c r="A8247" s="7" t="s">
        <v>8280</v>
      </c>
      <c r="B8247" s="7" t="s">
        <v>10114</v>
      </c>
      <c r="C8247" s="8">
        <f>QS.CONTEXT.CREATE("market.8245",A8247,"USD","SOFR")</f>
        <v/>
      </c>
      <c r="D8247" s="8">
        <f>QS.CONTEXT.ADD.CURVE(C8247,"SOFR",$K$2:$K$7,$L$2:$L$7,,,"Actual360","LogLinear",TRUE)</f>
        <v/>
      </c>
      <c r="E8247" s="8">
        <f>QS.INSTRUMENT.SWAP("swap.8245",C8247,H8247,B8247,"USD","SOFR",I8247,J8247,0,"Actual360","Simple","Annual","Annual","Annual")</f>
        <v/>
      </c>
      <c r="F8247" s="8">
        <f>QS.TRADE.CREATE("trade.8245",C8247,E8247,A8247,"Receive")</f>
        <v/>
      </c>
      <c r="G8247" s="5"/>
      <c r="H8247" s="7" t="s">
        <v>8287</v>
      </c>
      <c r="I8247" s="9">
        <v>1824500</v>
      </c>
      <c r="J8247" s="10">
        <v>0.03950000000000001</v>
      </c>
    </row>
    <row r="8248" spans="1:10">
      <c r="A8248" s="7" t="s">
        <v>8281</v>
      </c>
      <c r="B8248" s="7" t="s">
        <v>10115</v>
      </c>
      <c r="C8248" s="8">
        <f>QS.CONTEXT.CREATE("market.8246",A8248,"USD","SOFR")</f>
        <v/>
      </c>
      <c r="D8248" s="8">
        <f>QS.CONTEXT.ADD.CURVE(C8248,"SOFR",$K$2:$K$7,$L$2:$L$7,,,"Actual360","LogLinear",TRUE)</f>
        <v/>
      </c>
      <c r="E8248" s="8">
        <f>QS.INSTRUMENT.SWAP("swap.8246",C8248,H8248,B8248,"USD","SOFR",I8248,J8248,0,"Actual360","Simple","Annual","Annual","Annual")</f>
        <v/>
      </c>
      <c r="F8248" s="8">
        <f>QS.TRADE.CREATE("trade.8246",C8248,E8248,A8248,"Receive")</f>
        <v/>
      </c>
      <c r="G8248" s="5"/>
      <c r="H8248" s="7" t="s">
        <v>8288</v>
      </c>
      <c r="I8248" s="9">
        <v>1824600</v>
      </c>
      <c r="J8248" s="10">
        <v>0.0396</v>
      </c>
    </row>
    <row r="8249" spans="1:10">
      <c r="A8249" s="7" t="s">
        <v>8282</v>
      </c>
      <c r="B8249" s="7" t="s">
        <v>10116</v>
      </c>
      <c r="C8249" s="8">
        <f>QS.CONTEXT.CREATE("market.8247",A8249,"USD","SOFR")</f>
        <v/>
      </c>
      <c r="D8249" s="8">
        <f>QS.CONTEXT.ADD.CURVE(C8249,"SOFR",$K$2:$K$7,$L$2:$L$7,,,"Actual360","LogLinear",TRUE)</f>
        <v/>
      </c>
      <c r="E8249" s="8">
        <f>QS.INSTRUMENT.SWAP("swap.8247",C8249,H8249,B8249,"USD","SOFR",I8249,J8249,0,"Actual360","Simple","Annual","Annual","Annual")</f>
        <v/>
      </c>
      <c r="F8249" s="8">
        <f>QS.TRADE.CREATE("trade.8247",C8249,E8249,A8249,"Receive")</f>
        <v/>
      </c>
      <c r="G8249" s="5"/>
      <c r="H8249" s="7" t="s">
        <v>8289</v>
      </c>
      <c r="I8249" s="9">
        <v>1824700</v>
      </c>
      <c r="J8249" s="10">
        <v>0.03970000000000001</v>
      </c>
    </row>
    <row r="8250" spans="1:10">
      <c r="A8250" s="7" t="s">
        <v>8283</v>
      </c>
      <c r="B8250" s="7" t="s">
        <v>10117</v>
      </c>
      <c r="C8250" s="8">
        <f>QS.CONTEXT.CREATE("market.8248",A8250,"USD","SOFR")</f>
        <v/>
      </c>
      <c r="D8250" s="8">
        <f>QS.CONTEXT.ADD.CURVE(C8250,"SOFR",$K$2:$K$7,$L$2:$L$7,,,"Actual360","LogLinear",TRUE)</f>
        <v/>
      </c>
      <c r="E8250" s="8">
        <f>QS.INSTRUMENT.SWAP("swap.8248",C8250,H8250,B8250,"USD","SOFR",I8250,J8250,0,"Actual360","Simple","Annual","Annual","Annual")</f>
        <v/>
      </c>
      <c r="F8250" s="8">
        <f>QS.TRADE.CREATE("trade.8248",C8250,E8250,A8250,"Receive")</f>
        <v/>
      </c>
      <c r="G8250" s="5"/>
      <c r="H8250" s="7" t="s">
        <v>8290</v>
      </c>
      <c r="I8250" s="9">
        <v>1824800</v>
      </c>
      <c r="J8250" s="10">
        <v>0.0398</v>
      </c>
    </row>
    <row r="8251" spans="1:10">
      <c r="A8251" s="7" t="s">
        <v>8284</v>
      </c>
      <c r="B8251" s="7" t="s">
        <v>10118</v>
      </c>
      <c r="C8251" s="8">
        <f>QS.CONTEXT.CREATE("market.8249",A8251,"USD","SOFR")</f>
        <v/>
      </c>
      <c r="D8251" s="8">
        <f>QS.CONTEXT.ADD.CURVE(C8251,"SOFR",$K$2:$K$7,$L$2:$L$7,,,"Actual360","LogLinear",TRUE)</f>
        <v/>
      </c>
      <c r="E8251" s="8">
        <f>QS.INSTRUMENT.SWAP("swap.8249",C8251,H8251,B8251,"USD","SOFR",I8251,J8251,0,"Actual360","Simple","Annual","Annual","Annual")</f>
        <v/>
      </c>
      <c r="F8251" s="8">
        <f>QS.TRADE.CREATE("trade.8249",C8251,E8251,A8251,"Receive")</f>
        <v/>
      </c>
      <c r="G8251" s="5"/>
      <c r="H8251" s="7" t="s">
        <v>8291</v>
      </c>
      <c r="I8251" s="9">
        <v>1824900</v>
      </c>
      <c r="J8251" s="10">
        <v>0.0399</v>
      </c>
    </row>
    <row r="8252" spans="1:10">
      <c r="A8252" s="7" t="s">
        <v>8285</v>
      </c>
      <c r="B8252" s="7" t="s">
        <v>10119</v>
      </c>
      <c r="C8252" s="8">
        <f>QS.CONTEXT.CREATE("market.8250",A8252,"USD","SOFR")</f>
        <v/>
      </c>
      <c r="D8252" s="8">
        <f>QS.CONTEXT.ADD.CURVE(C8252,"SOFR",$K$2:$K$7,$L$2:$L$7,,,"Actual360","LogLinear",TRUE)</f>
        <v/>
      </c>
      <c r="E8252" s="8">
        <f>QS.INSTRUMENT.SWAP("swap.8250",C8252,H8252,B8252,"USD","SOFR",I8252,J8252,0,"Actual360","Simple","Annual","Annual","Annual")</f>
        <v/>
      </c>
      <c r="F8252" s="8">
        <f>QS.TRADE.CREATE("trade.8250",C8252,E8252,A8252,"Receive")</f>
        <v/>
      </c>
      <c r="G8252" s="5"/>
      <c r="H8252" s="7" t="s">
        <v>8292</v>
      </c>
      <c r="I8252" s="9">
        <v>1825000</v>
      </c>
      <c r="J8252" s="10">
        <v>0.035</v>
      </c>
    </row>
    <row r="8253" spans="1:10">
      <c r="A8253" s="7" t="s">
        <v>8286</v>
      </c>
      <c r="B8253" s="7" t="s">
        <v>10120</v>
      </c>
      <c r="C8253" s="8">
        <f>QS.CONTEXT.CREATE("market.8251",A8253,"USD","SOFR")</f>
        <v/>
      </c>
      <c r="D8253" s="8">
        <f>QS.CONTEXT.ADD.CURVE(C8253,"SOFR",$K$2:$K$7,$L$2:$L$7,,,"Actual360","LogLinear",TRUE)</f>
        <v/>
      </c>
      <c r="E8253" s="8">
        <f>QS.INSTRUMENT.SWAP("swap.8251",C8253,H8253,B8253,"USD","SOFR",I8253,J8253,0,"Actual360","Simple","Annual","Annual","Annual")</f>
        <v/>
      </c>
      <c r="F8253" s="8">
        <f>QS.TRADE.CREATE("trade.8251",C8253,E8253,A8253,"Receive")</f>
        <v/>
      </c>
      <c r="G8253" s="5"/>
      <c r="H8253" s="7" t="s">
        <v>8293</v>
      </c>
      <c r="I8253" s="9">
        <v>1825100</v>
      </c>
      <c r="J8253" s="10">
        <v>0.03510000000000001</v>
      </c>
    </row>
    <row r="8254" spans="1:10">
      <c r="A8254" s="7" t="s">
        <v>8287</v>
      </c>
      <c r="B8254" s="7" t="s">
        <v>10121</v>
      </c>
      <c r="C8254" s="8">
        <f>QS.CONTEXT.CREATE("market.8252",A8254,"USD","SOFR")</f>
        <v/>
      </c>
      <c r="D8254" s="8">
        <f>QS.CONTEXT.ADD.CURVE(C8254,"SOFR",$K$2:$K$7,$L$2:$L$7,,,"Actual360","LogLinear",TRUE)</f>
        <v/>
      </c>
      <c r="E8254" s="8">
        <f>QS.INSTRUMENT.SWAP("swap.8252",C8254,H8254,B8254,"USD","SOFR",I8254,J8254,0,"Actual360","Simple","Annual","Annual","Annual")</f>
        <v/>
      </c>
      <c r="F8254" s="8">
        <f>QS.TRADE.CREATE("trade.8252",C8254,E8254,A8254,"Receive")</f>
        <v/>
      </c>
      <c r="G8254" s="5"/>
      <c r="H8254" s="7" t="s">
        <v>8294</v>
      </c>
      <c r="I8254" s="9">
        <v>1825200</v>
      </c>
      <c r="J8254" s="10">
        <v>0.0352</v>
      </c>
    </row>
    <row r="8255" spans="1:10">
      <c r="A8255" s="7" t="s">
        <v>8288</v>
      </c>
      <c r="B8255" s="7" t="s">
        <v>10122</v>
      </c>
      <c r="C8255" s="8">
        <f>QS.CONTEXT.CREATE("market.8253",A8255,"USD","SOFR")</f>
        <v/>
      </c>
      <c r="D8255" s="8">
        <f>QS.CONTEXT.ADD.CURVE(C8255,"SOFR",$K$2:$K$7,$L$2:$L$7,,,"Actual360","LogLinear",TRUE)</f>
        <v/>
      </c>
      <c r="E8255" s="8">
        <f>QS.INSTRUMENT.SWAP("swap.8253",C8255,H8255,B8255,"USD","SOFR",I8255,J8255,0,"Actual360","Simple","Annual","Annual","Annual")</f>
        <v/>
      </c>
      <c r="F8255" s="8">
        <f>QS.TRADE.CREATE("trade.8253",C8255,E8255,A8255,"Receive")</f>
        <v/>
      </c>
      <c r="G8255" s="5"/>
      <c r="H8255" s="7" t="s">
        <v>8295</v>
      </c>
      <c r="I8255" s="9">
        <v>1825300</v>
      </c>
      <c r="J8255" s="10">
        <v>0.0353</v>
      </c>
    </row>
    <row r="8256" spans="1:10">
      <c r="A8256" s="7" t="s">
        <v>8289</v>
      </c>
      <c r="B8256" s="7" t="s">
        <v>10123</v>
      </c>
      <c r="C8256" s="8">
        <f>QS.CONTEXT.CREATE("market.8254",A8256,"USD","SOFR")</f>
        <v/>
      </c>
      <c r="D8256" s="8">
        <f>QS.CONTEXT.ADD.CURVE(C8256,"SOFR",$K$2:$K$7,$L$2:$L$7,,,"Actual360","LogLinear",TRUE)</f>
        <v/>
      </c>
      <c r="E8256" s="8">
        <f>QS.INSTRUMENT.SWAP("swap.8254",C8256,H8256,B8256,"USD","SOFR",I8256,J8256,0,"Actual360","Simple","Annual","Annual","Annual")</f>
        <v/>
      </c>
      <c r="F8256" s="8">
        <f>QS.TRADE.CREATE("trade.8254",C8256,E8256,A8256,"Receive")</f>
        <v/>
      </c>
      <c r="G8256" s="5"/>
      <c r="H8256" s="7" t="s">
        <v>8296</v>
      </c>
      <c r="I8256" s="9">
        <v>1825400</v>
      </c>
      <c r="J8256" s="10">
        <v>0.0354</v>
      </c>
    </row>
    <row r="8257" spans="1:10">
      <c r="A8257" s="7" t="s">
        <v>8290</v>
      </c>
      <c r="B8257" s="7" t="s">
        <v>10124</v>
      </c>
      <c r="C8257" s="8">
        <f>QS.CONTEXT.CREATE("market.8255",A8257,"USD","SOFR")</f>
        <v/>
      </c>
      <c r="D8257" s="8">
        <f>QS.CONTEXT.ADD.CURVE(C8257,"SOFR",$K$2:$K$7,$L$2:$L$7,,,"Actual360","LogLinear",TRUE)</f>
        <v/>
      </c>
      <c r="E8257" s="8">
        <f>QS.INSTRUMENT.SWAP("swap.8255",C8257,H8257,B8257,"USD","SOFR",I8257,J8257,0,"Actual360","Simple","Annual","Annual","Annual")</f>
        <v/>
      </c>
      <c r="F8257" s="8">
        <f>QS.TRADE.CREATE("trade.8255",C8257,E8257,A8257,"Receive")</f>
        <v/>
      </c>
      <c r="G8257" s="5"/>
      <c r="H8257" s="7" t="s">
        <v>8297</v>
      </c>
      <c r="I8257" s="9">
        <v>1825500</v>
      </c>
      <c r="J8257" s="10">
        <v>0.0355</v>
      </c>
    </row>
    <row r="8258" spans="1:10">
      <c r="A8258" s="7" t="s">
        <v>8291</v>
      </c>
      <c r="B8258" s="7" t="s">
        <v>10125</v>
      </c>
      <c r="C8258" s="8">
        <f>QS.CONTEXT.CREATE("market.8256",A8258,"USD","SOFR")</f>
        <v/>
      </c>
      <c r="D8258" s="8">
        <f>QS.CONTEXT.ADD.CURVE(C8258,"SOFR",$K$2:$K$7,$L$2:$L$7,,,"Actual360","LogLinear",TRUE)</f>
        <v/>
      </c>
      <c r="E8258" s="8">
        <f>QS.INSTRUMENT.SWAP("swap.8256",C8258,H8258,B8258,"USD","SOFR",I8258,J8258,0,"Actual360","Simple","Annual","Annual","Annual")</f>
        <v/>
      </c>
      <c r="F8258" s="8">
        <f>QS.TRADE.CREATE("trade.8256",C8258,E8258,A8258,"Receive")</f>
        <v/>
      </c>
      <c r="G8258" s="5"/>
      <c r="H8258" s="7" t="s">
        <v>8298</v>
      </c>
      <c r="I8258" s="9">
        <v>1825600</v>
      </c>
      <c r="J8258" s="10">
        <v>0.03560000000000001</v>
      </c>
    </row>
    <row r="8259" spans="1:10">
      <c r="A8259" s="7" t="s">
        <v>8292</v>
      </c>
      <c r="B8259" s="7" t="s">
        <v>10126</v>
      </c>
      <c r="C8259" s="8">
        <f>QS.CONTEXT.CREATE("market.8257",A8259,"USD","SOFR")</f>
        <v/>
      </c>
      <c r="D8259" s="8">
        <f>QS.CONTEXT.ADD.CURVE(C8259,"SOFR",$K$2:$K$7,$L$2:$L$7,,,"Actual360","LogLinear",TRUE)</f>
        <v/>
      </c>
      <c r="E8259" s="8">
        <f>QS.INSTRUMENT.SWAP("swap.8257",C8259,H8259,B8259,"USD","SOFR",I8259,J8259,0,"Actual360","Simple","Annual","Annual","Annual")</f>
        <v/>
      </c>
      <c r="F8259" s="8">
        <f>QS.TRADE.CREATE("trade.8257",C8259,E8259,A8259,"Receive")</f>
        <v/>
      </c>
      <c r="G8259" s="5"/>
      <c r="H8259" s="7" t="s">
        <v>8299</v>
      </c>
      <c r="I8259" s="9">
        <v>1825700</v>
      </c>
      <c r="J8259" s="10">
        <v>0.0357</v>
      </c>
    </row>
    <row r="8260" spans="1:10">
      <c r="A8260" s="7" t="s">
        <v>8293</v>
      </c>
      <c r="B8260" s="7" t="s">
        <v>10127</v>
      </c>
      <c r="C8260" s="8">
        <f>QS.CONTEXT.CREATE("market.8258",A8260,"USD","SOFR")</f>
        <v/>
      </c>
      <c r="D8260" s="8">
        <f>QS.CONTEXT.ADD.CURVE(C8260,"SOFR",$K$2:$K$7,$L$2:$L$7,,,"Actual360","LogLinear",TRUE)</f>
        <v/>
      </c>
      <c r="E8260" s="8">
        <f>QS.INSTRUMENT.SWAP("swap.8258",C8260,H8260,B8260,"USD","SOFR",I8260,J8260,0,"Actual360","Simple","Annual","Annual","Annual")</f>
        <v/>
      </c>
      <c r="F8260" s="8">
        <f>QS.TRADE.CREATE("trade.8258",C8260,E8260,A8260,"Receive")</f>
        <v/>
      </c>
      <c r="G8260" s="5"/>
      <c r="H8260" s="7" t="s">
        <v>8300</v>
      </c>
      <c r="I8260" s="9">
        <v>1825800</v>
      </c>
      <c r="J8260" s="10">
        <v>0.03580000000000001</v>
      </c>
    </row>
    <row r="8261" spans="1:10">
      <c r="A8261" s="7" t="s">
        <v>8294</v>
      </c>
      <c r="B8261" s="7" t="s">
        <v>10128</v>
      </c>
      <c r="C8261" s="8">
        <f>QS.CONTEXT.CREATE("market.8259",A8261,"USD","SOFR")</f>
        <v/>
      </c>
      <c r="D8261" s="8">
        <f>QS.CONTEXT.ADD.CURVE(C8261,"SOFR",$K$2:$K$7,$L$2:$L$7,,,"Actual360","LogLinear",TRUE)</f>
        <v/>
      </c>
      <c r="E8261" s="8">
        <f>QS.INSTRUMENT.SWAP("swap.8259",C8261,H8261,B8261,"USD","SOFR",I8261,J8261,0,"Actual360","Simple","Annual","Annual","Annual")</f>
        <v/>
      </c>
      <c r="F8261" s="8">
        <f>QS.TRADE.CREATE("trade.8259",C8261,E8261,A8261,"Receive")</f>
        <v/>
      </c>
      <c r="G8261" s="5"/>
      <c r="H8261" s="7" t="s">
        <v>8301</v>
      </c>
      <c r="I8261" s="9">
        <v>1825900</v>
      </c>
      <c r="J8261" s="10">
        <v>0.0359</v>
      </c>
    </row>
    <row r="8262" spans="1:10">
      <c r="A8262" s="7" t="s">
        <v>8295</v>
      </c>
      <c r="B8262" s="7" t="s">
        <v>10129</v>
      </c>
      <c r="C8262" s="8">
        <f>QS.CONTEXT.CREATE("market.8260",A8262,"USD","SOFR")</f>
        <v/>
      </c>
      <c r="D8262" s="8">
        <f>QS.CONTEXT.ADD.CURVE(C8262,"SOFR",$K$2:$K$7,$L$2:$L$7,,,"Actual360","LogLinear",TRUE)</f>
        <v/>
      </c>
      <c r="E8262" s="8">
        <f>QS.INSTRUMENT.SWAP("swap.8260",C8262,H8262,B8262,"USD","SOFR",I8262,J8262,0,"Actual360","Simple","Annual","Annual","Annual")</f>
        <v/>
      </c>
      <c r="F8262" s="8">
        <f>QS.TRADE.CREATE("trade.8260",C8262,E8262,A8262,"Receive")</f>
        <v/>
      </c>
      <c r="G8262" s="5"/>
      <c r="H8262" s="7" t="s">
        <v>8302</v>
      </c>
      <c r="I8262" s="9">
        <v>1826000</v>
      </c>
      <c r="J8262" s="10">
        <v>0.036</v>
      </c>
    </row>
    <row r="8263" spans="1:10">
      <c r="A8263" s="7" t="s">
        <v>8296</v>
      </c>
      <c r="B8263" s="7" t="s">
        <v>10130</v>
      </c>
      <c r="C8263" s="8">
        <f>QS.CONTEXT.CREATE("market.8261",A8263,"USD","SOFR")</f>
        <v/>
      </c>
      <c r="D8263" s="8">
        <f>QS.CONTEXT.ADD.CURVE(C8263,"SOFR",$K$2:$K$7,$L$2:$L$7,,,"Actual360","LogLinear",TRUE)</f>
        <v/>
      </c>
      <c r="E8263" s="8">
        <f>QS.INSTRUMENT.SWAP("swap.8261",C8263,H8263,B8263,"USD","SOFR",I8263,J8263,0,"Actual360","Simple","Annual","Annual","Annual")</f>
        <v/>
      </c>
      <c r="F8263" s="8">
        <f>QS.TRADE.CREATE("trade.8261",C8263,E8263,A8263,"Receive")</f>
        <v/>
      </c>
      <c r="G8263" s="5"/>
      <c r="H8263" s="7" t="s">
        <v>8303</v>
      </c>
      <c r="I8263" s="9">
        <v>1826100</v>
      </c>
      <c r="J8263" s="10">
        <v>0.0361</v>
      </c>
    </row>
    <row r="8264" spans="1:10">
      <c r="A8264" s="7" t="s">
        <v>8297</v>
      </c>
      <c r="B8264" s="7" t="s">
        <v>10131</v>
      </c>
      <c r="C8264" s="8">
        <f>QS.CONTEXT.CREATE("market.8262",A8264,"USD","SOFR")</f>
        <v/>
      </c>
      <c r="D8264" s="8">
        <f>QS.CONTEXT.ADD.CURVE(C8264,"SOFR",$K$2:$K$7,$L$2:$L$7,,,"Actual360","LogLinear",TRUE)</f>
        <v/>
      </c>
      <c r="E8264" s="8">
        <f>QS.INSTRUMENT.SWAP("swap.8262",C8264,H8264,B8264,"USD","SOFR",I8264,J8264,0,"Actual360","Simple","Annual","Annual","Annual")</f>
        <v/>
      </c>
      <c r="F8264" s="8">
        <f>QS.TRADE.CREATE("trade.8262",C8264,E8264,A8264,"Receive")</f>
        <v/>
      </c>
      <c r="G8264" s="5"/>
      <c r="H8264" s="7" t="s">
        <v>8304</v>
      </c>
      <c r="I8264" s="9">
        <v>1826200</v>
      </c>
      <c r="J8264" s="10">
        <v>0.0362</v>
      </c>
    </row>
    <row r="8265" spans="1:10">
      <c r="A8265" s="7" t="s">
        <v>8298</v>
      </c>
      <c r="B8265" s="7" t="s">
        <v>10132</v>
      </c>
      <c r="C8265" s="8">
        <f>QS.CONTEXT.CREATE("market.8263",A8265,"USD","SOFR")</f>
        <v/>
      </c>
      <c r="D8265" s="8">
        <f>QS.CONTEXT.ADD.CURVE(C8265,"SOFR",$K$2:$K$7,$L$2:$L$7,,,"Actual360","LogLinear",TRUE)</f>
        <v/>
      </c>
      <c r="E8265" s="8">
        <f>QS.INSTRUMENT.SWAP("swap.8263",C8265,H8265,B8265,"USD","SOFR",I8265,J8265,0,"Actual360","Simple","Annual","Annual","Annual")</f>
        <v/>
      </c>
      <c r="F8265" s="8">
        <f>QS.TRADE.CREATE("trade.8263",C8265,E8265,A8265,"Receive")</f>
        <v/>
      </c>
      <c r="G8265" s="5"/>
      <c r="H8265" s="7" t="s">
        <v>8305</v>
      </c>
      <c r="I8265" s="9">
        <v>1826300</v>
      </c>
      <c r="J8265" s="10">
        <v>0.03630000000000001</v>
      </c>
    </row>
    <row r="8266" spans="1:10">
      <c r="A8266" s="7" t="s">
        <v>8299</v>
      </c>
      <c r="B8266" s="7" t="s">
        <v>10133</v>
      </c>
      <c r="C8266" s="8">
        <f>QS.CONTEXT.CREATE("market.8264",A8266,"USD","SOFR")</f>
        <v/>
      </c>
      <c r="D8266" s="8">
        <f>QS.CONTEXT.ADD.CURVE(C8266,"SOFR",$K$2:$K$7,$L$2:$L$7,,,"Actual360","LogLinear",TRUE)</f>
        <v/>
      </c>
      <c r="E8266" s="8">
        <f>QS.INSTRUMENT.SWAP("swap.8264",C8266,H8266,B8266,"USD","SOFR",I8266,J8266,0,"Actual360","Simple","Annual","Annual","Annual")</f>
        <v/>
      </c>
      <c r="F8266" s="8">
        <f>QS.TRADE.CREATE("trade.8264",C8266,E8266,A8266,"Receive")</f>
        <v/>
      </c>
      <c r="G8266" s="5"/>
      <c r="H8266" s="7" t="s">
        <v>8306</v>
      </c>
      <c r="I8266" s="9">
        <v>1826400</v>
      </c>
      <c r="J8266" s="10">
        <v>0.0364</v>
      </c>
    </row>
    <row r="8267" spans="1:10">
      <c r="A8267" s="7" t="s">
        <v>8300</v>
      </c>
      <c r="B8267" s="7" t="s">
        <v>10134</v>
      </c>
      <c r="C8267" s="8">
        <f>QS.CONTEXT.CREATE("market.8265",A8267,"USD","SOFR")</f>
        <v/>
      </c>
      <c r="D8267" s="8">
        <f>QS.CONTEXT.ADD.CURVE(C8267,"SOFR",$K$2:$K$7,$L$2:$L$7,,,"Actual360","LogLinear",TRUE)</f>
        <v/>
      </c>
      <c r="E8267" s="8">
        <f>QS.INSTRUMENT.SWAP("swap.8265",C8267,H8267,B8267,"USD","SOFR",I8267,J8267,0,"Actual360","Simple","Annual","Annual","Annual")</f>
        <v/>
      </c>
      <c r="F8267" s="8">
        <f>QS.TRADE.CREATE("trade.8265",C8267,E8267,A8267,"Receive")</f>
        <v/>
      </c>
      <c r="G8267" s="5"/>
      <c r="H8267" s="7" t="s">
        <v>8307</v>
      </c>
      <c r="I8267" s="9">
        <v>1826500</v>
      </c>
      <c r="J8267" s="10">
        <v>0.0365</v>
      </c>
    </row>
    <row r="8268" spans="1:10">
      <c r="A8268" s="7" t="s">
        <v>8301</v>
      </c>
      <c r="B8268" s="7" t="s">
        <v>10135</v>
      </c>
      <c r="C8268" s="8">
        <f>QS.CONTEXT.CREATE("market.8266",A8268,"USD","SOFR")</f>
        <v/>
      </c>
      <c r="D8268" s="8">
        <f>QS.CONTEXT.ADD.CURVE(C8268,"SOFR",$K$2:$K$7,$L$2:$L$7,,,"Actual360","LogLinear",TRUE)</f>
        <v/>
      </c>
      <c r="E8268" s="8">
        <f>QS.INSTRUMENT.SWAP("swap.8266",C8268,H8268,B8268,"USD","SOFR",I8268,J8268,0,"Actual360","Simple","Annual","Annual","Annual")</f>
        <v/>
      </c>
      <c r="F8268" s="8">
        <f>QS.TRADE.CREATE("trade.8266",C8268,E8268,A8268,"Receive")</f>
        <v/>
      </c>
      <c r="G8268" s="5"/>
      <c r="H8268" s="7" t="s">
        <v>8308</v>
      </c>
      <c r="I8268" s="9">
        <v>1826600</v>
      </c>
      <c r="J8268" s="10">
        <v>0.0366</v>
      </c>
    </row>
    <row r="8269" spans="1:10">
      <c r="A8269" s="7" t="s">
        <v>8302</v>
      </c>
      <c r="B8269" s="7" t="s">
        <v>10136</v>
      </c>
      <c r="C8269" s="8">
        <f>QS.CONTEXT.CREATE("market.8267",A8269,"USD","SOFR")</f>
        <v/>
      </c>
      <c r="D8269" s="8">
        <f>QS.CONTEXT.ADD.CURVE(C8269,"SOFR",$K$2:$K$7,$L$2:$L$7,,,"Actual360","LogLinear",TRUE)</f>
        <v/>
      </c>
      <c r="E8269" s="8">
        <f>QS.INSTRUMENT.SWAP("swap.8267",C8269,H8269,B8269,"USD","SOFR",I8269,J8269,0,"Actual360","Simple","Annual","Annual","Annual")</f>
        <v/>
      </c>
      <c r="F8269" s="8">
        <f>QS.TRADE.CREATE("trade.8267",C8269,E8269,A8269,"Receive")</f>
        <v/>
      </c>
      <c r="G8269" s="5"/>
      <c r="H8269" s="7" t="s">
        <v>8309</v>
      </c>
      <c r="I8269" s="9">
        <v>1826700</v>
      </c>
      <c r="J8269" s="10">
        <v>0.0367</v>
      </c>
    </row>
    <row r="8270" spans="1:10">
      <c r="A8270" s="7" t="s">
        <v>8303</v>
      </c>
      <c r="B8270" s="7" t="s">
        <v>10137</v>
      </c>
      <c r="C8270" s="8">
        <f>QS.CONTEXT.CREATE("market.8268",A8270,"USD","SOFR")</f>
        <v/>
      </c>
      <c r="D8270" s="8">
        <f>QS.CONTEXT.ADD.CURVE(C8270,"SOFR",$K$2:$K$7,$L$2:$L$7,,,"Actual360","LogLinear",TRUE)</f>
        <v/>
      </c>
      <c r="E8270" s="8">
        <f>QS.INSTRUMENT.SWAP("swap.8268",C8270,H8270,B8270,"USD","SOFR",I8270,J8270,0,"Actual360","Simple","Annual","Annual","Annual")</f>
        <v/>
      </c>
      <c r="F8270" s="8">
        <f>QS.TRADE.CREATE("trade.8268",C8270,E8270,A8270,"Receive")</f>
        <v/>
      </c>
      <c r="G8270" s="5"/>
      <c r="H8270" s="7" t="s">
        <v>8310</v>
      </c>
      <c r="I8270" s="9">
        <v>1826800</v>
      </c>
      <c r="J8270" s="10">
        <v>0.03680000000000001</v>
      </c>
    </row>
    <row r="8271" spans="1:10">
      <c r="A8271" s="7" t="s">
        <v>8304</v>
      </c>
      <c r="B8271" s="7" t="s">
        <v>10138</v>
      </c>
      <c r="C8271" s="8">
        <f>QS.CONTEXT.CREATE("market.8269",A8271,"USD","SOFR")</f>
        <v/>
      </c>
      <c r="D8271" s="8">
        <f>QS.CONTEXT.ADD.CURVE(C8271,"SOFR",$K$2:$K$7,$L$2:$L$7,,,"Actual360","LogLinear",TRUE)</f>
        <v/>
      </c>
      <c r="E8271" s="8">
        <f>QS.INSTRUMENT.SWAP("swap.8269",C8271,H8271,B8271,"USD","SOFR",I8271,J8271,0,"Actual360","Simple","Annual","Annual","Annual")</f>
        <v/>
      </c>
      <c r="F8271" s="8">
        <f>QS.TRADE.CREATE("trade.8269",C8271,E8271,A8271,"Receive")</f>
        <v/>
      </c>
      <c r="G8271" s="5"/>
      <c r="H8271" s="7" t="s">
        <v>8311</v>
      </c>
      <c r="I8271" s="9">
        <v>1826900</v>
      </c>
      <c r="J8271" s="10">
        <v>0.0369</v>
      </c>
    </row>
    <row r="8272" spans="1:10">
      <c r="A8272" s="7" t="s">
        <v>8305</v>
      </c>
      <c r="B8272" s="7" t="s">
        <v>10139</v>
      </c>
      <c r="C8272" s="8">
        <f>QS.CONTEXT.CREATE("market.8270",A8272,"USD","SOFR")</f>
        <v/>
      </c>
      <c r="D8272" s="8">
        <f>QS.CONTEXT.ADD.CURVE(C8272,"SOFR",$K$2:$K$7,$L$2:$L$7,,,"Actual360","LogLinear",TRUE)</f>
        <v/>
      </c>
      <c r="E8272" s="8">
        <f>QS.INSTRUMENT.SWAP("swap.8270",C8272,H8272,B8272,"USD","SOFR",I8272,J8272,0,"Actual360","Simple","Annual","Annual","Annual")</f>
        <v/>
      </c>
      <c r="F8272" s="8">
        <f>QS.TRADE.CREATE("trade.8270",C8272,E8272,A8272,"Receive")</f>
        <v/>
      </c>
      <c r="G8272" s="5"/>
      <c r="H8272" s="7" t="s">
        <v>8312</v>
      </c>
      <c r="I8272" s="9">
        <v>1827000</v>
      </c>
      <c r="J8272" s="10">
        <v>0.03700000000000001</v>
      </c>
    </row>
    <row r="8273" spans="1:10">
      <c r="A8273" s="7" t="s">
        <v>8306</v>
      </c>
      <c r="B8273" s="7" t="s">
        <v>10140</v>
      </c>
      <c r="C8273" s="8">
        <f>QS.CONTEXT.CREATE("market.8271",A8273,"USD","SOFR")</f>
        <v/>
      </c>
      <c r="D8273" s="8">
        <f>QS.CONTEXT.ADD.CURVE(C8273,"SOFR",$K$2:$K$7,$L$2:$L$7,,,"Actual360","LogLinear",TRUE)</f>
        <v/>
      </c>
      <c r="E8273" s="8">
        <f>QS.INSTRUMENT.SWAP("swap.8271",C8273,H8273,B8273,"USD","SOFR",I8273,J8273,0,"Actual360","Simple","Annual","Annual","Annual")</f>
        <v/>
      </c>
      <c r="F8273" s="8">
        <f>QS.TRADE.CREATE("trade.8271",C8273,E8273,A8273,"Receive")</f>
        <v/>
      </c>
      <c r="G8273" s="5"/>
      <c r="H8273" s="7" t="s">
        <v>8313</v>
      </c>
      <c r="I8273" s="9">
        <v>1827100</v>
      </c>
      <c r="J8273" s="10">
        <v>0.0371</v>
      </c>
    </row>
    <row r="8274" spans="1:10">
      <c r="A8274" s="7" t="s">
        <v>8307</v>
      </c>
      <c r="B8274" s="7" t="s">
        <v>10141</v>
      </c>
      <c r="C8274" s="8">
        <f>QS.CONTEXT.CREATE("market.8272",A8274,"USD","SOFR")</f>
        <v/>
      </c>
      <c r="D8274" s="8">
        <f>QS.CONTEXT.ADD.CURVE(C8274,"SOFR",$K$2:$K$7,$L$2:$L$7,,,"Actual360","LogLinear",TRUE)</f>
        <v/>
      </c>
      <c r="E8274" s="8">
        <f>QS.INSTRUMENT.SWAP("swap.8272",C8274,H8274,B8274,"USD","SOFR",I8274,J8274,0,"Actual360","Simple","Annual","Annual","Annual")</f>
        <v/>
      </c>
      <c r="F8274" s="8">
        <f>QS.TRADE.CREATE("trade.8272",C8274,E8274,A8274,"Receive")</f>
        <v/>
      </c>
      <c r="G8274" s="5"/>
      <c r="H8274" s="7" t="s">
        <v>8314</v>
      </c>
      <c r="I8274" s="9">
        <v>1827200</v>
      </c>
      <c r="J8274" s="10">
        <v>0.0372</v>
      </c>
    </row>
    <row r="8275" spans="1:10">
      <c r="A8275" s="7" t="s">
        <v>8308</v>
      </c>
      <c r="B8275" s="7" t="s">
        <v>10142</v>
      </c>
      <c r="C8275" s="8">
        <f>QS.CONTEXT.CREATE("market.8273",A8275,"USD","SOFR")</f>
        <v/>
      </c>
      <c r="D8275" s="8">
        <f>QS.CONTEXT.ADD.CURVE(C8275,"SOFR",$K$2:$K$7,$L$2:$L$7,,,"Actual360","LogLinear",TRUE)</f>
        <v/>
      </c>
      <c r="E8275" s="8">
        <f>QS.INSTRUMENT.SWAP("swap.8273",C8275,H8275,B8275,"USD","SOFR",I8275,J8275,0,"Actual360","Simple","Annual","Annual","Annual")</f>
        <v/>
      </c>
      <c r="F8275" s="8">
        <f>QS.TRADE.CREATE("trade.8273",C8275,E8275,A8275,"Receive")</f>
        <v/>
      </c>
      <c r="G8275" s="5"/>
      <c r="H8275" s="7" t="s">
        <v>8315</v>
      </c>
      <c r="I8275" s="9">
        <v>1827300</v>
      </c>
      <c r="J8275" s="10">
        <v>0.0373</v>
      </c>
    </row>
    <row r="8276" spans="1:10">
      <c r="A8276" s="7" t="s">
        <v>8309</v>
      </c>
      <c r="B8276" s="7" t="s">
        <v>10143</v>
      </c>
      <c r="C8276" s="8">
        <f>QS.CONTEXT.CREATE("market.8274",A8276,"USD","SOFR")</f>
        <v/>
      </c>
      <c r="D8276" s="8">
        <f>QS.CONTEXT.ADD.CURVE(C8276,"SOFR",$K$2:$K$7,$L$2:$L$7,,,"Actual360","LogLinear",TRUE)</f>
        <v/>
      </c>
      <c r="E8276" s="8">
        <f>QS.INSTRUMENT.SWAP("swap.8274",C8276,H8276,B8276,"USD","SOFR",I8276,J8276,0,"Actual360","Simple","Annual","Annual","Annual")</f>
        <v/>
      </c>
      <c r="F8276" s="8">
        <f>QS.TRADE.CREATE("trade.8274",C8276,E8276,A8276,"Receive")</f>
        <v/>
      </c>
      <c r="G8276" s="5"/>
      <c r="H8276" s="7" t="s">
        <v>8316</v>
      </c>
      <c r="I8276" s="9">
        <v>1827400</v>
      </c>
      <c r="J8276" s="10">
        <v>0.0374</v>
      </c>
    </row>
    <row r="8277" spans="1:10">
      <c r="A8277" s="7" t="s">
        <v>8310</v>
      </c>
      <c r="B8277" s="7" t="s">
        <v>10144</v>
      </c>
      <c r="C8277" s="8">
        <f>QS.CONTEXT.CREATE("market.8275",A8277,"USD","SOFR")</f>
        <v/>
      </c>
      <c r="D8277" s="8">
        <f>QS.CONTEXT.ADD.CURVE(C8277,"SOFR",$K$2:$K$7,$L$2:$L$7,,,"Actual360","LogLinear",TRUE)</f>
        <v/>
      </c>
      <c r="E8277" s="8">
        <f>QS.INSTRUMENT.SWAP("swap.8275",C8277,H8277,B8277,"USD","SOFR",I8277,J8277,0,"Actual360","Simple","Annual","Annual","Annual")</f>
        <v/>
      </c>
      <c r="F8277" s="8">
        <f>QS.TRADE.CREATE("trade.8275",C8277,E8277,A8277,"Receive")</f>
        <v/>
      </c>
      <c r="G8277" s="5"/>
      <c r="H8277" s="7" t="s">
        <v>8317</v>
      </c>
      <c r="I8277" s="9">
        <v>1827500</v>
      </c>
      <c r="J8277" s="10">
        <v>0.03750000000000001</v>
      </c>
    </row>
    <row r="8278" spans="1:10">
      <c r="A8278" s="7" t="s">
        <v>8311</v>
      </c>
      <c r="B8278" s="7" t="s">
        <v>10145</v>
      </c>
      <c r="C8278" s="8">
        <f>QS.CONTEXT.CREATE("market.8276",A8278,"USD","SOFR")</f>
        <v/>
      </c>
      <c r="D8278" s="8">
        <f>QS.CONTEXT.ADD.CURVE(C8278,"SOFR",$K$2:$K$7,$L$2:$L$7,,,"Actual360","LogLinear",TRUE)</f>
        <v/>
      </c>
      <c r="E8278" s="8">
        <f>QS.INSTRUMENT.SWAP("swap.8276",C8278,H8278,B8278,"USD","SOFR",I8278,J8278,0,"Actual360","Simple","Annual","Annual","Annual")</f>
        <v/>
      </c>
      <c r="F8278" s="8">
        <f>QS.TRADE.CREATE("trade.8276",C8278,E8278,A8278,"Receive")</f>
        <v/>
      </c>
      <c r="G8278" s="5"/>
      <c r="H8278" s="7" t="s">
        <v>8318</v>
      </c>
      <c r="I8278" s="9">
        <v>1827600</v>
      </c>
      <c r="J8278" s="10">
        <v>0.0376</v>
      </c>
    </row>
    <row r="8279" spans="1:10">
      <c r="A8279" s="7" t="s">
        <v>8312</v>
      </c>
      <c r="B8279" s="7" t="s">
        <v>10146</v>
      </c>
      <c r="C8279" s="8">
        <f>QS.CONTEXT.CREATE("market.8277",A8279,"USD","SOFR")</f>
        <v/>
      </c>
      <c r="D8279" s="8">
        <f>QS.CONTEXT.ADD.CURVE(C8279,"SOFR",$K$2:$K$7,$L$2:$L$7,,,"Actual360","LogLinear",TRUE)</f>
        <v/>
      </c>
      <c r="E8279" s="8">
        <f>QS.INSTRUMENT.SWAP("swap.8277",C8279,H8279,B8279,"USD","SOFR",I8279,J8279,0,"Actual360","Simple","Annual","Annual","Annual")</f>
        <v/>
      </c>
      <c r="F8279" s="8">
        <f>QS.TRADE.CREATE("trade.8277",C8279,E8279,A8279,"Receive")</f>
        <v/>
      </c>
      <c r="G8279" s="5"/>
      <c r="H8279" s="7" t="s">
        <v>8319</v>
      </c>
      <c r="I8279" s="9">
        <v>1827700</v>
      </c>
      <c r="J8279" s="10">
        <v>0.0377</v>
      </c>
    </row>
    <row r="8280" spans="1:10">
      <c r="A8280" s="7" t="s">
        <v>8313</v>
      </c>
      <c r="B8280" s="7" t="s">
        <v>10147</v>
      </c>
      <c r="C8280" s="8">
        <f>QS.CONTEXT.CREATE("market.8278",A8280,"USD","SOFR")</f>
        <v/>
      </c>
      <c r="D8280" s="8">
        <f>QS.CONTEXT.ADD.CURVE(C8280,"SOFR",$K$2:$K$7,$L$2:$L$7,,,"Actual360","LogLinear",TRUE)</f>
        <v/>
      </c>
      <c r="E8280" s="8">
        <f>QS.INSTRUMENT.SWAP("swap.8278",C8280,H8280,B8280,"USD","SOFR",I8280,J8280,0,"Actual360","Simple","Annual","Annual","Annual")</f>
        <v/>
      </c>
      <c r="F8280" s="8">
        <f>QS.TRADE.CREATE("trade.8278",C8280,E8280,A8280,"Receive")</f>
        <v/>
      </c>
      <c r="G8280" s="5"/>
      <c r="H8280" s="7" t="s">
        <v>8320</v>
      </c>
      <c r="I8280" s="9">
        <v>1827800</v>
      </c>
      <c r="J8280" s="10">
        <v>0.0378</v>
      </c>
    </row>
    <row r="8281" spans="1:10">
      <c r="A8281" s="7" t="s">
        <v>8314</v>
      </c>
      <c r="B8281" s="7" t="s">
        <v>10148</v>
      </c>
      <c r="C8281" s="8">
        <f>QS.CONTEXT.CREATE("market.8279",A8281,"USD","SOFR")</f>
        <v/>
      </c>
      <c r="D8281" s="8">
        <f>QS.CONTEXT.ADD.CURVE(C8281,"SOFR",$K$2:$K$7,$L$2:$L$7,,,"Actual360","LogLinear",TRUE)</f>
        <v/>
      </c>
      <c r="E8281" s="8">
        <f>QS.INSTRUMENT.SWAP("swap.8279",C8281,H8281,B8281,"USD","SOFR",I8281,J8281,0,"Actual360","Simple","Annual","Annual","Annual")</f>
        <v/>
      </c>
      <c r="F8281" s="8">
        <f>QS.TRADE.CREATE("trade.8279",C8281,E8281,A8281,"Receive")</f>
        <v/>
      </c>
      <c r="G8281" s="5"/>
      <c r="H8281" s="7" t="s">
        <v>8321</v>
      </c>
      <c r="I8281" s="9">
        <v>1827900</v>
      </c>
      <c r="J8281" s="10">
        <v>0.0379</v>
      </c>
    </row>
    <row r="8282" spans="1:10">
      <c r="A8282" s="7" t="s">
        <v>8315</v>
      </c>
      <c r="B8282" s="7" t="s">
        <v>10149</v>
      </c>
      <c r="C8282" s="8">
        <f>QS.CONTEXT.CREATE("market.8280",A8282,"USD","SOFR")</f>
        <v/>
      </c>
      <c r="D8282" s="8">
        <f>QS.CONTEXT.ADD.CURVE(C8282,"SOFR",$K$2:$K$7,$L$2:$L$7,,,"Actual360","LogLinear",TRUE)</f>
        <v/>
      </c>
      <c r="E8282" s="8">
        <f>QS.INSTRUMENT.SWAP("swap.8280",C8282,H8282,B8282,"USD","SOFR",I8282,J8282,0,"Actual360","Simple","Annual","Annual","Annual")</f>
        <v/>
      </c>
      <c r="F8282" s="8">
        <f>QS.TRADE.CREATE("trade.8280",C8282,E8282,A8282,"Receive")</f>
        <v/>
      </c>
      <c r="G8282" s="5"/>
      <c r="H8282" s="7" t="s">
        <v>8322</v>
      </c>
      <c r="I8282" s="9">
        <v>1828000</v>
      </c>
      <c r="J8282" s="10">
        <v>0.03800000000000001</v>
      </c>
    </row>
    <row r="8283" spans="1:10">
      <c r="A8283" s="7" t="s">
        <v>8316</v>
      </c>
      <c r="B8283" s="7" t="s">
        <v>10150</v>
      </c>
      <c r="C8283" s="8">
        <f>QS.CONTEXT.CREATE("market.8281",A8283,"USD","SOFR")</f>
        <v/>
      </c>
      <c r="D8283" s="8">
        <f>QS.CONTEXT.ADD.CURVE(C8283,"SOFR",$K$2:$K$7,$L$2:$L$7,,,"Actual360","LogLinear",TRUE)</f>
        <v/>
      </c>
      <c r="E8283" s="8">
        <f>QS.INSTRUMENT.SWAP("swap.8281",C8283,H8283,B8283,"USD","SOFR",I8283,J8283,0,"Actual360","Simple","Annual","Annual","Annual")</f>
        <v/>
      </c>
      <c r="F8283" s="8">
        <f>QS.TRADE.CREATE("trade.8281",C8283,E8283,A8283,"Receive")</f>
        <v/>
      </c>
      <c r="G8283" s="5"/>
      <c r="H8283" s="7" t="s">
        <v>8323</v>
      </c>
      <c r="I8283" s="9">
        <v>1828100</v>
      </c>
      <c r="J8283" s="10">
        <v>0.0381</v>
      </c>
    </row>
    <row r="8284" spans="1:10">
      <c r="A8284" s="7" t="s">
        <v>8317</v>
      </c>
      <c r="B8284" s="7" t="s">
        <v>10151</v>
      </c>
      <c r="C8284" s="8">
        <f>QS.CONTEXT.CREATE("market.8282",A8284,"USD","SOFR")</f>
        <v/>
      </c>
      <c r="D8284" s="8">
        <f>QS.CONTEXT.ADD.CURVE(C8284,"SOFR",$K$2:$K$7,$L$2:$L$7,,,"Actual360","LogLinear",TRUE)</f>
        <v/>
      </c>
      <c r="E8284" s="8">
        <f>QS.INSTRUMENT.SWAP("swap.8282",C8284,H8284,B8284,"USD","SOFR",I8284,J8284,0,"Actual360","Simple","Annual","Annual","Annual")</f>
        <v/>
      </c>
      <c r="F8284" s="8">
        <f>QS.TRADE.CREATE("trade.8282",C8284,E8284,A8284,"Receive")</f>
        <v/>
      </c>
      <c r="G8284" s="5"/>
      <c r="H8284" s="7" t="s">
        <v>8324</v>
      </c>
      <c r="I8284" s="9">
        <v>1828200</v>
      </c>
      <c r="J8284" s="10">
        <v>0.0382</v>
      </c>
    </row>
    <row r="8285" spans="1:10">
      <c r="A8285" s="7" t="s">
        <v>8318</v>
      </c>
      <c r="B8285" s="7" t="s">
        <v>10152</v>
      </c>
      <c r="C8285" s="8">
        <f>QS.CONTEXT.CREATE("market.8283",A8285,"USD","SOFR")</f>
        <v/>
      </c>
      <c r="D8285" s="8">
        <f>QS.CONTEXT.ADD.CURVE(C8285,"SOFR",$K$2:$K$7,$L$2:$L$7,,,"Actual360","LogLinear",TRUE)</f>
        <v/>
      </c>
      <c r="E8285" s="8">
        <f>QS.INSTRUMENT.SWAP("swap.8283",C8285,H8285,B8285,"USD","SOFR",I8285,J8285,0,"Actual360","Simple","Annual","Annual","Annual")</f>
        <v/>
      </c>
      <c r="F8285" s="8">
        <f>QS.TRADE.CREATE("trade.8283",C8285,E8285,A8285,"Receive")</f>
        <v/>
      </c>
      <c r="G8285" s="5"/>
      <c r="H8285" s="7" t="s">
        <v>8325</v>
      </c>
      <c r="I8285" s="9">
        <v>1828300</v>
      </c>
      <c r="J8285" s="10">
        <v>0.0383</v>
      </c>
    </row>
    <row r="8286" spans="1:10">
      <c r="A8286" s="7" t="s">
        <v>8319</v>
      </c>
      <c r="B8286" s="7" t="s">
        <v>10153</v>
      </c>
      <c r="C8286" s="8">
        <f>QS.CONTEXT.CREATE("market.8284",A8286,"USD","SOFR")</f>
        <v/>
      </c>
      <c r="D8286" s="8">
        <f>QS.CONTEXT.ADD.CURVE(C8286,"SOFR",$K$2:$K$7,$L$2:$L$7,,,"Actual360","LogLinear",TRUE)</f>
        <v/>
      </c>
      <c r="E8286" s="8">
        <f>QS.INSTRUMENT.SWAP("swap.8284",C8286,H8286,B8286,"USD","SOFR",I8286,J8286,0,"Actual360","Simple","Annual","Annual","Annual")</f>
        <v/>
      </c>
      <c r="F8286" s="8">
        <f>QS.TRADE.CREATE("trade.8284",C8286,E8286,A8286,"Receive")</f>
        <v/>
      </c>
      <c r="G8286" s="5"/>
      <c r="H8286" s="7" t="s">
        <v>8326</v>
      </c>
      <c r="I8286" s="9">
        <v>1828400</v>
      </c>
      <c r="J8286" s="10">
        <v>0.0384</v>
      </c>
    </row>
    <row r="8287" spans="1:10">
      <c r="A8287" s="7" t="s">
        <v>8320</v>
      </c>
      <c r="B8287" s="7" t="s">
        <v>10154</v>
      </c>
      <c r="C8287" s="8">
        <f>QS.CONTEXT.CREATE("market.8285",A8287,"USD","SOFR")</f>
        <v/>
      </c>
      <c r="D8287" s="8">
        <f>QS.CONTEXT.ADD.CURVE(C8287,"SOFR",$K$2:$K$7,$L$2:$L$7,,,"Actual360","LogLinear",TRUE)</f>
        <v/>
      </c>
      <c r="E8287" s="8">
        <f>QS.INSTRUMENT.SWAP("swap.8285",C8287,H8287,B8287,"USD","SOFR",I8287,J8287,0,"Actual360","Simple","Annual","Annual","Annual")</f>
        <v/>
      </c>
      <c r="F8287" s="8">
        <f>QS.TRADE.CREATE("trade.8285",C8287,E8287,A8287,"Receive")</f>
        <v/>
      </c>
      <c r="G8287" s="5"/>
      <c r="H8287" s="7" t="s">
        <v>8327</v>
      </c>
      <c r="I8287" s="9">
        <v>1828500</v>
      </c>
      <c r="J8287" s="10">
        <v>0.03850000000000001</v>
      </c>
    </row>
    <row r="8288" spans="1:10">
      <c r="A8288" s="7" t="s">
        <v>8321</v>
      </c>
      <c r="B8288" s="7" t="s">
        <v>10155</v>
      </c>
      <c r="C8288" s="8">
        <f>QS.CONTEXT.CREATE("market.8286",A8288,"USD","SOFR")</f>
        <v/>
      </c>
      <c r="D8288" s="8">
        <f>QS.CONTEXT.ADD.CURVE(C8288,"SOFR",$K$2:$K$7,$L$2:$L$7,,,"Actual360","LogLinear",TRUE)</f>
        <v/>
      </c>
      <c r="E8288" s="8">
        <f>QS.INSTRUMENT.SWAP("swap.8286",C8288,H8288,B8288,"USD","SOFR",I8288,J8288,0,"Actual360","Simple","Annual","Annual","Annual")</f>
        <v/>
      </c>
      <c r="F8288" s="8">
        <f>QS.TRADE.CREATE("trade.8286",C8288,E8288,A8288,"Receive")</f>
        <v/>
      </c>
      <c r="G8288" s="5"/>
      <c r="H8288" s="7" t="s">
        <v>8328</v>
      </c>
      <c r="I8288" s="9">
        <v>1828600</v>
      </c>
      <c r="J8288" s="10">
        <v>0.0386</v>
      </c>
    </row>
    <row r="8289" spans="1:10">
      <c r="A8289" s="7" t="s">
        <v>8322</v>
      </c>
      <c r="B8289" s="7" t="s">
        <v>10156</v>
      </c>
      <c r="C8289" s="8">
        <f>QS.CONTEXT.CREATE("market.8287",A8289,"USD","SOFR")</f>
        <v/>
      </c>
      <c r="D8289" s="8">
        <f>QS.CONTEXT.ADD.CURVE(C8289,"SOFR",$K$2:$K$7,$L$2:$L$7,,,"Actual360","LogLinear",TRUE)</f>
        <v/>
      </c>
      <c r="E8289" s="8">
        <f>QS.INSTRUMENT.SWAP("swap.8287",C8289,H8289,B8289,"USD","SOFR",I8289,J8289,0,"Actual360","Simple","Annual","Annual","Annual")</f>
        <v/>
      </c>
      <c r="F8289" s="8">
        <f>QS.TRADE.CREATE("trade.8287",C8289,E8289,A8289,"Receive")</f>
        <v/>
      </c>
      <c r="G8289" s="5"/>
      <c r="H8289" s="7" t="s">
        <v>8329</v>
      </c>
      <c r="I8289" s="9">
        <v>1828700</v>
      </c>
      <c r="J8289" s="10">
        <v>0.03870000000000001</v>
      </c>
    </row>
    <row r="8290" spans="1:10">
      <c r="A8290" s="7" t="s">
        <v>8323</v>
      </c>
      <c r="B8290" s="7" t="s">
        <v>10157</v>
      </c>
      <c r="C8290" s="8">
        <f>QS.CONTEXT.CREATE("market.8288",A8290,"USD","SOFR")</f>
        <v/>
      </c>
      <c r="D8290" s="8">
        <f>QS.CONTEXT.ADD.CURVE(C8290,"SOFR",$K$2:$K$7,$L$2:$L$7,,,"Actual360","LogLinear",TRUE)</f>
        <v/>
      </c>
      <c r="E8290" s="8">
        <f>QS.INSTRUMENT.SWAP("swap.8288",C8290,H8290,B8290,"USD","SOFR",I8290,J8290,0,"Actual360","Simple","Annual","Annual","Annual")</f>
        <v/>
      </c>
      <c r="F8290" s="8">
        <f>QS.TRADE.CREATE("trade.8288",C8290,E8290,A8290,"Receive")</f>
        <v/>
      </c>
      <c r="G8290" s="5"/>
      <c r="H8290" s="7" t="s">
        <v>8330</v>
      </c>
      <c r="I8290" s="9">
        <v>1828800</v>
      </c>
      <c r="J8290" s="10">
        <v>0.0388</v>
      </c>
    </row>
    <row r="8291" spans="1:10">
      <c r="A8291" s="7" t="s">
        <v>8324</v>
      </c>
      <c r="B8291" s="7" t="s">
        <v>10158</v>
      </c>
      <c r="C8291" s="8">
        <f>QS.CONTEXT.CREATE("market.8289",A8291,"USD","SOFR")</f>
        <v/>
      </c>
      <c r="D8291" s="8">
        <f>QS.CONTEXT.ADD.CURVE(C8291,"SOFR",$K$2:$K$7,$L$2:$L$7,,,"Actual360","LogLinear",TRUE)</f>
        <v/>
      </c>
      <c r="E8291" s="8">
        <f>QS.INSTRUMENT.SWAP("swap.8289",C8291,H8291,B8291,"USD","SOFR",I8291,J8291,0,"Actual360","Simple","Annual","Annual","Annual")</f>
        <v/>
      </c>
      <c r="F8291" s="8">
        <f>QS.TRADE.CREATE("trade.8289",C8291,E8291,A8291,"Receive")</f>
        <v/>
      </c>
      <c r="G8291" s="5"/>
      <c r="H8291" s="7" t="s">
        <v>8331</v>
      </c>
      <c r="I8291" s="9">
        <v>1828900</v>
      </c>
      <c r="J8291" s="10">
        <v>0.0389</v>
      </c>
    </row>
    <row r="8292" spans="1:10">
      <c r="A8292" s="7" t="s">
        <v>8325</v>
      </c>
      <c r="B8292" s="7" t="s">
        <v>10159</v>
      </c>
      <c r="C8292" s="8">
        <f>QS.CONTEXT.CREATE("market.8290",A8292,"USD","SOFR")</f>
        <v/>
      </c>
      <c r="D8292" s="8">
        <f>QS.CONTEXT.ADD.CURVE(C8292,"SOFR",$K$2:$K$7,$L$2:$L$7,,,"Actual360","LogLinear",TRUE)</f>
        <v/>
      </c>
      <c r="E8292" s="8">
        <f>QS.INSTRUMENT.SWAP("swap.8290",C8292,H8292,B8292,"USD","SOFR",I8292,J8292,0,"Actual360","Simple","Annual","Annual","Annual")</f>
        <v/>
      </c>
      <c r="F8292" s="8">
        <f>QS.TRADE.CREATE("trade.8290",C8292,E8292,A8292,"Receive")</f>
        <v/>
      </c>
      <c r="G8292" s="5"/>
      <c r="H8292" s="7" t="s">
        <v>8332</v>
      </c>
      <c r="I8292" s="9">
        <v>1829000</v>
      </c>
      <c r="J8292" s="10">
        <v>0.03900000000000001</v>
      </c>
    </row>
    <row r="8293" spans="1:10">
      <c r="A8293" s="7" t="s">
        <v>8326</v>
      </c>
      <c r="B8293" s="7" t="s">
        <v>10160</v>
      </c>
      <c r="C8293" s="8">
        <f>QS.CONTEXT.CREATE("market.8291",A8293,"USD","SOFR")</f>
        <v/>
      </c>
      <c r="D8293" s="8">
        <f>QS.CONTEXT.ADD.CURVE(C8293,"SOFR",$K$2:$K$7,$L$2:$L$7,,,"Actual360","LogLinear",TRUE)</f>
        <v/>
      </c>
      <c r="E8293" s="8">
        <f>QS.INSTRUMENT.SWAP("swap.8291",C8293,H8293,B8293,"USD","SOFR",I8293,J8293,0,"Actual360","Simple","Annual","Annual","Annual")</f>
        <v/>
      </c>
      <c r="F8293" s="8">
        <f>QS.TRADE.CREATE("trade.8291",C8293,E8293,A8293,"Receive")</f>
        <v/>
      </c>
      <c r="G8293" s="5"/>
      <c r="H8293" s="7" t="s">
        <v>8333</v>
      </c>
      <c r="I8293" s="9">
        <v>1829100</v>
      </c>
      <c r="J8293" s="10">
        <v>0.0391</v>
      </c>
    </row>
    <row r="8294" spans="1:10">
      <c r="A8294" s="7" t="s">
        <v>8327</v>
      </c>
      <c r="B8294" s="7" t="s">
        <v>10161</v>
      </c>
      <c r="C8294" s="8">
        <f>QS.CONTEXT.CREATE("market.8292",A8294,"USD","SOFR")</f>
        <v/>
      </c>
      <c r="D8294" s="8">
        <f>QS.CONTEXT.ADD.CURVE(C8294,"SOFR",$K$2:$K$7,$L$2:$L$7,,,"Actual360","LogLinear",TRUE)</f>
        <v/>
      </c>
      <c r="E8294" s="8">
        <f>QS.INSTRUMENT.SWAP("swap.8292",C8294,H8294,B8294,"USD","SOFR",I8294,J8294,0,"Actual360","Simple","Annual","Annual","Annual")</f>
        <v/>
      </c>
      <c r="F8294" s="8">
        <f>QS.TRADE.CREATE("trade.8292",C8294,E8294,A8294,"Receive")</f>
        <v/>
      </c>
      <c r="G8294" s="5"/>
      <c r="H8294" s="7" t="s">
        <v>8334</v>
      </c>
      <c r="I8294" s="9">
        <v>1829200</v>
      </c>
      <c r="J8294" s="10">
        <v>0.03920000000000001</v>
      </c>
    </row>
    <row r="8295" spans="1:10">
      <c r="A8295" s="7" t="s">
        <v>8328</v>
      </c>
      <c r="B8295" s="7" t="s">
        <v>10162</v>
      </c>
      <c r="C8295" s="8">
        <f>QS.CONTEXT.CREATE("market.8293",A8295,"USD","SOFR")</f>
        <v/>
      </c>
      <c r="D8295" s="8">
        <f>QS.CONTEXT.ADD.CURVE(C8295,"SOFR",$K$2:$K$7,$L$2:$L$7,,,"Actual360","LogLinear",TRUE)</f>
        <v/>
      </c>
      <c r="E8295" s="8">
        <f>QS.INSTRUMENT.SWAP("swap.8293",C8295,H8295,B8295,"USD","SOFR",I8295,J8295,0,"Actual360","Simple","Annual","Annual","Annual")</f>
        <v/>
      </c>
      <c r="F8295" s="8">
        <f>QS.TRADE.CREATE("trade.8293",C8295,E8295,A8295,"Receive")</f>
        <v/>
      </c>
      <c r="G8295" s="5"/>
      <c r="H8295" s="7" t="s">
        <v>8335</v>
      </c>
      <c r="I8295" s="9">
        <v>1829300</v>
      </c>
      <c r="J8295" s="10">
        <v>0.0393</v>
      </c>
    </row>
    <row r="8296" spans="1:10">
      <c r="A8296" s="7" t="s">
        <v>8329</v>
      </c>
      <c r="B8296" s="7" t="s">
        <v>10163</v>
      </c>
      <c r="C8296" s="8">
        <f>QS.CONTEXT.CREATE("market.8294",A8296,"USD","SOFR")</f>
        <v/>
      </c>
      <c r="D8296" s="8">
        <f>QS.CONTEXT.ADD.CURVE(C8296,"SOFR",$K$2:$K$7,$L$2:$L$7,,,"Actual360","LogLinear",TRUE)</f>
        <v/>
      </c>
      <c r="E8296" s="8">
        <f>QS.INSTRUMENT.SWAP("swap.8294",C8296,H8296,B8296,"USD","SOFR",I8296,J8296,0,"Actual360","Simple","Annual","Annual","Annual")</f>
        <v/>
      </c>
      <c r="F8296" s="8">
        <f>QS.TRADE.CREATE("trade.8294",C8296,E8296,A8296,"Receive")</f>
        <v/>
      </c>
      <c r="G8296" s="5"/>
      <c r="H8296" s="7" t="s">
        <v>8336</v>
      </c>
      <c r="I8296" s="9">
        <v>1829400</v>
      </c>
      <c r="J8296" s="10">
        <v>0.0394</v>
      </c>
    </row>
    <row r="8297" spans="1:10">
      <c r="A8297" s="7" t="s">
        <v>8330</v>
      </c>
      <c r="B8297" s="7" t="s">
        <v>10164</v>
      </c>
      <c r="C8297" s="8">
        <f>QS.CONTEXT.CREATE("market.8295",A8297,"USD","SOFR")</f>
        <v/>
      </c>
      <c r="D8297" s="8">
        <f>QS.CONTEXT.ADD.CURVE(C8297,"SOFR",$K$2:$K$7,$L$2:$L$7,,,"Actual360","LogLinear",TRUE)</f>
        <v/>
      </c>
      <c r="E8297" s="8">
        <f>QS.INSTRUMENT.SWAP("swap.8295",C8297,H8297,B8297,"USD","SOFR",I8297,J8297,0,"Actual360","Simple","Annual","Annual","Annual")</f>
        <v/>
      </c>
      <c r="F8297" s="8">
        <f>QS.TRADE.CREATE("trade.8295",C8297,E8297,A8297,"Receive")</f>
        <v/>
      </c>
      <c r="G8297" s="5"/>
      <c r="H8297" s="7" t="s">
        <v>8337</v>
      </c>
      <c r="I8297" s="9">
        <v>1829500</v>
      </c>
      <c r="J8297" s="10">
        <v>0.03950000000000001</v>
      </c>
    </row>
    <row r="8298" spans="1:10">
      <c r="A8298" s="7" t="s">
        <v>8331</v>
      </c>
      <c r="B8298" s="7" t="s">
        <v>10165</v>
      </c>
      <c r="C8298" s="8">
        <f>QS.CONTEXT.CREATE("market.8296",A8298,"USD","SOFR")</f>
        <v/>
      </c>
      <c r="D8298" s="8">
        <f>QS.CONTEXT.ADD.CURVE(C8298,"SOFR",$K$2:$K$7,$L$2:$L$7,,,"Actual360","LogLinear",TRUE)</f>
        <v/>
      </c>
      <c r="E8298" s="8">
        <f>QS.INSTRUMENT.SWAP("swap.8296",C8298,H8298,B8298,"USD","SOFR",I8298,J8298,0,"Actual360","Simple","Annual","Annual","Annual")</f>
        <v/>
      </c>
      <c r="F8298" s="8">
        <f>QS.TRADE.CREATE("trade.8296",C8298,E8298,A8298,"Receive")</f>
        <v/>
      </c>
      <c r="G8298" s="5"/>
      <c r="H8298" s="7" t="s">
        <v>8338</v>
      </c>
      <c r="I8298" s="9">
        <v>1829600</v>
      </c>
      <c r="J8298" s="10">
        <v>0.0396</v>
      </c>
    </row>
    <row r="8299" spans="1:10">
      <c r="A8299" s="7" t="s">
        <v>8332</v>
      </c>
      <c r="B8299" s="7" t="s">
        <v>10166</v>
      </c>
      <c r="C8299" s="8">
        <f>QS.CONTEXT.CREATE("market.8297",A8299,"USD","SOFR")</f>
        <v/>
      </c>
      <c r="D8299" s="8">
        <f>QS.CONTEXT.ADD.CURVE(C8299,"SOFR",$K$2:$K$7,$L$2:$L$7,,,"Actual360","LogLinear",TRUE)</f>
        <v/>
      </c>
      <c r="E8299" s="8">
        <f>QS.INSTRUMENT.SWAP("swap.8297",C8299,H8299,B8299,"USD","SOFR",I8299,J8299,0,"Actual360","Simple","Annual","Annual","Annual")</f>
        <v/>
      </c>
      <c r="F8299" s="8">
        <f>QS.TRADE.CREATE("trade.8297",C8299,E8299,A8299,"Receive")</f>
        <v/>
      </c>
      <c r="G8299" s="5"/>
      <c r="H8299" s="7" t="s">
        <v>8339</v>
      </c>
      <c r="I8299" s="9">
        <v>1829700</v>
      </c>
      <c r="J8299" s="10">
        <v>0.03970000000000001</v>
      </c>
    </row>
    <row r="8300" spans="1:10">
      <c r="A8300" s="7" t="s">
        <v>8333</v>
      </c>
      <c r="B8300" s="7" t="s">
        <v>10167</v>
      </c>
      <c r="C8300" s="8">
        <f>QS.CONTEXT.CREATE("market.8298",A8300,"USD","SOFR")</f>
        <v/>
      </c>
      <c r="D8300" s="8">
        <f>QS.CONTEXT.ADD.CURVE(C8300,"SOFR",$K$2:$K$7,$L$2:$L$7,,,"Actual360","LogLinear",TRUE)</f>
        <v/>
      </c>
      <c r="E8300" s="8">
        <f>QS.INSTRUMENT.SWAP("swap.8298",C8300,H8300,B8300,"USD","SOFR",I8300,J8300,0,"Actual360","Simple","Annual","Annual","Annual")</f>
        <v/>
      </c>
      <c r="F8300" s="8">
        <f>QS.TRADE.CREATE("trade.8298",C8300,E8300,A8300,"Receive")</f>
        <v/>
      </c>
      <c r="G8300" s="5"/>
      <c r="H8300" s="7" t="s">
        <v>8340</v>
      </c>
      <c r="I8300" s="9">
        <v>1829800</v>
      </c>
      <c r="J8300" s="10">
        <v>0.0398</v>
      </c>
    </row>
    <row r="8301" spans="1:10">
      <c r="A8301" s="7" t="s">
        <v>8334</v>
      </c>
      <c r="B8301" s="7" t="s">
        <v>10168</v>
      </c>
      <c r="C8301" s="8">
        <f>QS.CONTEXT.CREATE("market.8299",A8301,"USD","SOFR")</f>
        <v/>
      </c>
      <c r="D8301" s="8">
        <f>QS.CONTEXT.ADD.CURVE(C8301,"SOFR",$K$2:$K$7,$L$2:$L$7,,,"Actual360","LogLinear",TRUE)</f>
        <v/>
      </c>
      <c r="E8301" s="8">
        <f>QS.INSTRUMENT.SWAP("swap.8299",C8301,H8301,B8301,"USD","SOFR",I8301,J8301,0,"Actual360","Simple","Annual","Annual","Annual")</f>
        <v/>
      </c>
      <c r="F8301" s="8">
        <f>QS.TRADE.CREATE("trade.8299",C8301,E8301,A8301,"Receive")</f>
        <v/>
      </c>
      <c r="G8301" s="5"/>
      <c r="H8301" s="7" t="s">
        <v>8341</v>
      </c>
      <c r="I8301" s="9">
        <v>1829900</v>
      </c>
      <c r="J8301" s="10">
        <v>0.0399</v>
      </c>
    </row>
    <row r="8302" spans="1:10">
      <c r="A8302" s="7" t="s">
        <v>8335</v>
      </c>
      <c r="B8302" s="7" t="s">
        <v>10169</v>
      </c>
      <c r="C8302" s="8">
        <f>QS.CONTEXT.CREATE("market.8300",A8302,"USD","SOFR")</f>
        <v/>
      </c>
      <c r="D8302" s="8">
        <f>QS.CONTEXT.ADD.CURVE(C8302,"SOFR",$K$2:$K$7,$L$2:$L$7,,,"Actual360","LogLinear",TRUE)</f>
        <v/>
      </c>
      <c r="E8302" s="8">
        <f>QS.INSTRUMENT.SWAP("swap.8300",C8302,H8302,B8302,"USD","SOFR",I8302,J8302,0,"Actual360","Simple","Annual","Annual","Annual")</f>
        <v/>
      </c>
      <c r="F8302" s="8">
        <f>QS.TRADE.CREATE("trade.8300",C8302,E8302,A8302,"Receive")</f>
        <v/>
      </c>
      <c r="G8302" s="5"/>
      <c r="H8302" s="7" t="s">
        <v>8342</v>
      </c>
      <c r="I8302" s="9">
        <v>1830000</v>
      </c>
      <c r="J8302" s="10">
        <v>0.035</v>
      </c>
    </row>
    <row r="8303" spans="1:10">
      <c r="A8303" s="7" t="s">
        <v>8336</v>
      </c>
      <c r="B8303" s="7" t="s">
        <v>10170</v>
      </c>
      <c r="C8303" s="8">
        <f>QS.CONTEXT.CREATE("market.8301",A8303,"USD","SOFR")</f>
        <v/>
      </c>
      <c r="D8303" s="8">
        <f>QS.CONTEXT.ADD.CURVE(C8303,"SOFR",$K$2:$K$7,$L$2:$L$7,,,"Actual360","LogLinear",TRUE)</f>
        <v/>
      </c>
      <c r="E8303" s="8">
        <f>QS.INSTRUMENT.SWAP("swap.8301",C8303,H8303,B8303,"USD","SOFR",I8303,J8303,0,"Actual360","Simple","Annual","Annual","Annual")</f>
        <v/>
      </c>
      <c r="F8303" s="8">
        <f>QS.TRADE.CREATE("trade.8301",C8303,E8303,A8303,"Receive")</f>
        <v/>
      </c>
      <c r="G8303" s="5"/>
      <c r="H8303" s="7" t="s">
        <v>8343</v>
      </c>
      <c r="I8303" s="9">
        <v>1830100</v>
      </c>
      <c r="J8303" s="10">
        <v>0.03510000000000001</v>
      </c>
    </row>
    <row r="8304" spans="1:10">
      <c r="A8304" s="7" t="s">
        <v>8337</v>
      </c>
      <c r="B8304" s="7" t="s">
        <v>10171</v>
      </c>
      <c r="C8304" s="8">
        <f>QS.CONTEXT.CREATE("market.8302",A8304,"USD","SOFR")</f>
        <v/>
      </c>
      <c r="D8304" s="8">
        <f>QS.CONTEXT.ADD.CURVE(C8304,"SOFR",$K$2:$K$7,$L$2:$L$7,,,"Actual360","LogLinear",TRUE)</f>
        <v/>
      </c>
      <c r="E8304" s="8">
        <f>QS.INSTRUMENT.SWAP("swap.8302",C8304,H8304,B8304,"USD","SOFR",I8304,J8304,0,"Actual360","Simple","Annual","Annual","Annual")</f>
        <v/>
      </c>
      <c r="F8304" s="8">
        <f>QS.TRADE.CREATE("trade.8302",C8304,E8304,A8304,"Receive")</f>
        <v/>
      </c>
      <c r="G8304" s="5"/>
      <c r="H8304" s="7" t="s">
        <v>8344</v>
      </c>
      <c r="I8304" s="9">
        <v>1830200</v>
      </c>
      <c r="J8304" s="10">
        <v>0.0352</v>
      </c>
    </row>
    <row r="8305" spans="1:10">
      <c r="A8305" s="7" t="s">
        <v>8338</v>
      </c>
      <c r="B8305" s="7" t="s">
        <v>10172</v>
      </c>
      <c r="C8305" s="8">
        <f>QS.CONTEXT.CREATE("market.8303",A8305,"USD","SOFR")</f>
        <v/>
      </c>
      <c r="D8305" s="8">
        <f>QS.CONTEXT.ADD.CURVE(C8305,"SOFR",$K$2:$K$7,$L$2:$L$7,,,"Actual360","LogLinear",TRUE)</f>
        <v/>
      </c>
      <c r="E8305" s="8">
        <f>QS.INSTRUMENT.SWAP("swap.8303",C8305,H8305,B8305,"USD","SOFR",I8305,J8305,0,"Actual360","Simple","Annual","Annual","Annual")</f>
        <v/>
      </c>
      <c r="F8305" s="8">
        <f>QS.TRADE.CREATE("trade.8303",C8305,E8305,A8305,"Receive")</f>
        <v/>
      </c>
      <c r="G8305" s="5"/>
      <c r="H8305" s="7" t="s">
        <v>8345</v>
      </c>
      <c r="I8305" s="9">
        <v>1830300</v>
      </c>
      <c r="J8305" s="10">
        <v>0.0353</v>
      </c>
    </row>
    <row r="8306" spans="1:10">
      <c r="A8306" s="7" t="s">
        <v>8339</v>
      </c>
      <c r="B8306" s="7" t="s">
        <v>10173</v>
      </c>
      <c r="C8306" s="8">
        <f>QS.CONTEXT.CREATE("market.8304",A8306,"USD","SOFR")</f>
        <v/>
      </c>
      <c r="D8306" s="8">
        <f>QS.CONTEXT.ADD.CURVE(C8306,"SOFR",$K$2:$K$7,$L$2:$L$7,,,"Actual360","LogLinear",TRUE)</f>
        <v/>
      </c>
      <c r="E8306" s="8">
        <f>QS.INSTRUMENT.SWAP("swap.8304",C8306,H8306,B8306,"USD","SOFR",I8306,J8306,0,"Actual360","Simple","Annual","Annual","Annual")</f>
        <v/>
      </c>
      <c r="F8306" s="8">
        <f>QS.TRADE.CREATE("trade.8304",C8306,E8306,A8306,"Receive")</f>
        <v/>
      </c>
      <c r="G8306" s="5"/>
      <c r="H8306" s="7" t="s">
        <v>8346</v>
      </c>
      <c r="I8306" s="9">
        <v>1830400</v>
      </c>
      <c r="J8306" s="10">
        <v>0.0354</v>
      </c>
    </row>
    <row r="8307" spans="1:10">
      <c r="A8307" s="7" t="s">
        <v>8340</v>
      </c>
      <c r="B8307" s="7" t="s">
        <v>10174</v>
      </c>
      <c r="C8307" s="8">
        <f>QS.CONTEXT.CREATE("market.8305",A8307,"USD","SOFR")</f>
        <v/>
      </c>
      <c r="D8307" s="8">
        <f>QS.CONTEXT.ADD.CURVE(C8307,"SOFR",$K$2:$K$7,$L$2:$L$7,,,"Actual360","LogLinear",TRUE)</f>
        <v/>
      </c>
      <c r="E8307" s="8">
        <f>QS.INSTRUMENT.SWAP("swap.8305",C8307,H8307,B8307,"USD","SOFR",I8307,J8307,0,"Actual360","Simple","Annual","Annual","Annual")</f>
        <v/>
      </c>
      <c r="F8307" s="8">
        <f>QS.TRADE.CREATE("trade.8305",C8307,E8307,A8307,"Receive")</f>
        <v/>
      </c>
      <c r="G8307" s="5"/>
      <c r="H8307" s="7" t="s">
        <v>8347</v>
      </c>
      <c r="I8307" s="9">
        <v>1830500</v>
      </c>
      <c r="J8307" s="10">
        <v>0.0355</v>
      </c>
    </row>
    <row r="8308" spans="1:10">
      <c r="A8308" s="7" t="s">
        <v>8341</v>
      </c>
      <c r="B8308" s="7" t="s">
        <v>10175</v>
      </c>
      <c r="C8308" s="8">
        <f>QS.CONTEXT.CREATE("market.8306",A8308,"USD","SOFR")</f>
        <v/>
      </c>
      <c r="D8308" s="8">
        <f>QS.CONTEXT.ADD.CURVE(C8308,"SOFR",$K$2:$K$7,$L$2:$L$7,,,"Actual360","LogLinear",TRUE)</f>
        <v/>
      </c>
      <c r="E8308" s="8">
        <f>QS.INSTRUMENT.SWAP("swap.8306",C8308,H8308,B8308,"USD","SOFR",I8308,J8308,0,"Actual360","Simple","Annual","Annual","Annual")</f>
        <v/>
      </c>
      <c r="F8308" s="8">
        <f>QS.TRADE.CREATE("trade.8306",C8308,E8308,A8308,"Receive")</f>
        <v/>
      </c>
      <c r="G8308" s="5"/>
      <c r="H8308" s="7" t="s">
        <v>8348</v>
      </c>
      <c r="I8308" s="9">
        <v>1830600</v>
      </c>
      <c r="J8308" s="10">
        <v>0.03560000000000001</v>
      </c>
    </row>
    <row r="8309" spans="1:10">
      <c r="A8309" s="7" t="s">
        <v>8342</v>
      </c>
      <c r="B8309" s="7" t="s">
        <v>10176</v>
      </c>
      <c r="C8309" s="8">
        <f>QS.CONTEXT.CREATE("market.8307",A8309,"USD","SOFR")</f>
        <v/>
      </c>
      <c r="D8309" s="8">
        <f>QS.CONTEXT.ADD.CURVE(C8309,"SOFR",$K$2:$K$7,$L$2:$L$7,,,"Actual360","LogLinear",TRUE)</f>
        <v/>
      </c>
      <c r="E8309" s="8">
        <f>QS.INSTRUMENT.SWAP("swap.8307",C8309,H8309,B8309,"USD","SOFR",I8309,J8309,0,"Actual360","Simple","Annual","Annual","Annual")</f>
        <v/>
      </c>
      <c r="F8309" s="8">
        <f>QS.TRADE.CREATE("trade.8307",C8309,E8309,A8309,"Receive")</f>
        <v/>
      </c>
      <c r="G8309" s="5"/>
      <c r="H8309" s="7" t="s">
        <v>8349</v>
      </c>
      <c r="I8309" s="9">
        <v>1830700</v>
      </c>
      <c r="J8309" s="10">
        <v>0.0357</v>
      </c>
    </row>
    <row r="8310" spans="1:10">
      <c r="A8310" s="7" t="s">
        <v>8343</v>
      </c>
      <c r="B8310" s="7" t="s">
        <v>10177</v>
      </c>
      <c r="C8310" s="8">
        <f>QS.CONTEXT.CREATE("market.8308",A8310,"USD","SOFR")</f>
        <v/>
      </c>
      <c r="D8310" s="8">
        <f>QS.CONTEXT.ADD.CURVE(C8310,"SOFR",$K$2:$K$7,$L$2:$L$7,,,"Actual360","LogLinear",TRUE)</f>
        <v/>
      </c>
      <c r="E8310" s="8">
        <f>QS.INSTRUMENT.SWAP("swap.8308",C8310,H8310,B8310,"USD","SOFR",I8310,J8310,0,"Actual360","Simple","Annual","Annual","Annual")</f>
        <v/>
      </c>
      <c r="F8310" s="8">
        <f>QS.TRADE.CREATE("trade.8308",C8310,E8310,A8310,"Receive")</f>
        <v/>
      </c>
      <c r="G8310" s="5"/>
      <c r="H8310" s="7" t="s">
        <v>8350</v>
      </c>
      <c r="I8310" s="9">
        <v>1830800</v>
      </c>
      <c r="J8310" s="10">
        <v>0.03580000000000001</v>
      </c>
    </row>
    <row r="8311" spans="1:10">
      <c r="A8311" s="7" t="s">
        <v>8344</v>
      </c>
      <c r="B8311" s="7" t="s">
        <v>10178</v>
      </c>
      <c r="C8311" s="8">
        <f>QS.CONTEXT.CREATE("market.8309",A8311,"USD","SOFR")</f>
        <v/>
      </c>
      <c r="D8311" s="8">
        <f>QS.CONTEXT.ADD.CURVE(C8311,"SOFR",$K$2:$K$7,$L$2:$L$7,,,"Actual360","LogLinear",TRUE)</f>
        <v/>
      </c>
      <c r="E8311" s="8">
        <f>QS.INSTRUMENT.SWAP("swap.8309",C8311,H8311,B8311,"USD","SOFR",I8311,J8311,0,"Actual360","Simple","Annual","Annual","Annual")</f>
        <v/>
      </c>
      <c r="F8311" s="8">
        <f>QS.TRADE.CREATE("trade.8309",C8311,E8311,A8311,"Receive")</f>
        <v/>
      </c>
      <c r="G8311" s="5"/>
      <c r="H8311" s="7" t="s">
        <v>8351</v>
      </c>
      <c r="I8311" s="9">
        <v>1830900</v>
      </c>
      <c r="J8311" s="10">
        <v>0.0359</v>
      </c>
    </row>
    <row r="8312" spans="1:10">
      <c r="A8312" s="7" t="s">
        <v>8345</v>
      </c>
      <c r="B8312" s="7" t="s">
        <v>10179</v>
      </c>
      <c r="C8312" s="8">
        <f>QS.CONTEXT.CREATE("market.8310",A8312,"USD","SOFR")</f>
        <v/>
      </c>
      <c r="D8312" s="8">
        <f>QS.CONTEXT.ADD.CURVE(C8312,"SOFR",$K$2:$K$7,$L$2:$L$7,,,"Actual360","LogLinear",TRUE)</f>
        <v/>
      </c>
      <c r="E8312" s="8">
        <f>QS.INSTRUMENT.SWAP("swap.8310",C8312,H8312,B8312,"USD","SOFR",I8312,J8312,0,"Actual360","Simple","Annual","Annual","Annual")</f>
        <v/>
      </c>
      <c r="F8312" s="8">
        <f>QS.TRADE.CREATE("trade.8310",C8312,E8312,A8312,"Receive")</f>
        <v/>
      </c>
      <c r="G8312" s="5"/>
      <c r="H8312" s="7" t="s">
        <v>8352</v>
      </c>
      <c r="I8312" s="9">
        <v>1831000</v>
      </c>
      <c r="J8312" s="10">
        <v>0.036</v>
      </c>
    </row>
    <row r="8313" spans="1:10">
      <c r="A8313" s="7" t="s">
        <v>8346</v>
      </c>
      <c r="B8313" s="7" t="s">
        <v>10180</v>
      </c>
      <c r="C8313" s="8">
        <f>QS.CONTEXT.CREATE("market.8311",A8313,"USD","SOFR")</f>
        <v/>
      </c>
      <c r="D8313" s="8">
        <f>QS.CONTEXT.ADD.CURVE(C8313,"SOFR",$K$2:$K$7,$L$2:$L$7,,,"Actual360","LogLinear",TRUE)</f>
        <v/>
      </c>
      <c r="E8313" s="8">
        <f>QS.INSTRUMENT.SWAP("swap.8311",C8313,H8313,B8313,"USD","SOFR",I8313,J8313,0,"Actual360","Simple","Annual","Annual","Annual")</f>
        <v/>
      </c>
      <c r="F8313" s="8">
        <f>QS.TRADE.CREATE("trade.8311",C8313,E8313,A8313,"Receive")</f>
        <v/>
      </c>
      <c r="G8313" s="5"/>
      <c r="H8313" s="7" t="s">
        <v>8353</v>
      </c>
      <c r="I8313" s="9">
        <v>1831100</v>
      </c>
      <c r="J8313" s="10">
        <v>0.0361</v>
      </c>
    </row>
    <row r="8314" spans="1:10">
      <c r="A8314" s="7" t="s">
        <v>8347</v>
      </c>
      <c r="B8314" s="7" t="s">
        <v>10181</v>
      </c>
      <c r="C8314" s="8">
        <f>QS.CONTEXT.CREATE("market.8312",A8314,"USD","SOFR")</f>
        <v/>
      </c>
      <c r="D8314" s="8">
        <f>QS.CONTEXT.ADD.CURVE(C8314,"SOFR",$K$2:$K$7,$L$2:$L$7,,,"Actual360","LogLinear",TRUE)</f>
        <v/>
      </c>
      <c r="E8314" s="8">
        <f>QS.INSTRUMENT.SWAP("swap.8312",C8314,H8314,B8314,"USD","SOFR",I8314,J8314,0,"Actual360","Simple","Annual","Annual","Annual")</f>
        <v/>
      </c>
      <c r="F8314" s="8">
        <f>QS.TRADE.CREATE("trade.8312",C8314,E8314,A8314,"Receive")</f>
        <v/>
      </c>
      <c r="G8314" s="5"/>
      <c r="H8314" s="7" t="s">
        <v>8354</v>
      </c>
      <c r="I8314" s="9">
        <v>1831200</v>
      </c>
      <c r="J8314" s="10">
        <v>0.0362</v>
      </c>
    </row>
    <row r="8315" spans="1:10">
      <c r="A8315" s="7" t="s">
        <v>8348</v>
      </c>
      <c r="B8315" s="7" t="s">
        <v>10182</v>
      </c>
      <c r="C8315" s="8">
        <f>QS.CONTEXT.CREATE("market.8313",A8315,"USD","SOFR")</f>
        <v/>
      </c>
      <c r="D8315" s="8">
        <f>QS.CONTEXT.ADD.CURVE(C8315,"SOFR",$K$2:$K$7,$L$2:$L$7,,,"Actual360","LogLinear",TRUE)</f>
        <v/>
      </c>
      <c r="E8315" s="8">
        <f>QS.INSTRUMENT.SWAP("swap.8313",C8315,H8315,B8315,"USD","SOFR",I8315,J8315,0,"Actual360","Simple","Annual","Annual","Annual")</f>
        <v/>
      </c>
      <c r="F8315" s="8">
        <f>QS.TRADE.CREATE("trade.8313",C8315,E8315,A8315,"Receive")</f>
        <v/>
      </c>
      <c r="G8315" s="5"/>
      <c r="H8315" s="7" t="s">
        <v>8355</v>
      </c>
      <c r="I8315" s="9">
        <v>1831300</v>
      </c>
      <c r="J8315" s="10">
        <v>0.03630000000000001</v>
      </c>
    </row>
    <row r="8316" spans="1:10">
      <c r="A8316" s="7" t="s">
        <v>8349</v>
      </c>
      <c r="B8316" s="7" t="s">
        <v>10183</v>
      </c>
      <c r="C8316" s="8">
        <f>QS.CONTEXT.CREATE("market.8314",A8316,"USD","SOFR")</f>
        <v/>
      </c>
      <c r="D8316" s="8">
        <f>QS.CONTEXT.ADD.CURVE(C8316,"SOFR",$K$2:$K$7,$L$2:$L$7,,,"Actual360","LogLinear",TRUE)</f>
        <v/>
      </c>
      <c r="E8316" s="8">
        <f>QS.INSTRUMENT.SWAP("swap.8314",C8316,H8316,B8316,"USD","SOFR",I8316,J8316,0,"Actual360","Simple","Annual","Annual","Annual")</f>
        <v/>
      </c>
      <c r="F8316" s="8">
        <f>QS.TRADE.CREATE("trade.8314",C8316,E8316,A8316,"Receive")</f>
        <v/>
      </c>
      <c r="G8316" s="5"/>
      <c r="H8316" s="7" t="s">
        <v>8356</v>
      </c>
      <c r="I8316" s="9">
        <v>1831400</v>
      </c>
      <c r="J8316" s="10">
        <v>0.0364</v>
      </c>
    </row>
    <row r="8317" spans="1:10">
      <c r="A8317" s="7" t="s">
        <v>8350</v>
      </c>
      <c r="B8317" s="7" t="s">
        <v>10184</v>
      </c>
      <c r="C8317" s="8">
        <f>QS.CONTEXT.CREATE("market.8315",A8317,"USD","SOFR")</f>
        <v/>
      </c>
      <c r="D8317" s="8">
        <f>QS.CONTEXT.ADD.CURVE(C8317,"SOFR",$K$2:$K$7,$L$2:$L$7,,,"Actual360","LogLinear",TRUE)</f>
        <v/>
      </c>
      <c r="E8317" s="8">
        <f>QS.INSTRUMENT.SWAP("swap.8315",C8317,H8317,B8317,"USD","SOFR",I8317,J8317,0,"Actual360","Simple","Annual","Annual","Annual")</f>
        <v/>
      </c>
      <c r="F8317" s="8">
        <f>QS.TRADE.CREATE("trade.8315",C8317,E8317,A8317,"Receive")</f>
        <v/>
      </c>
      <c r="G8317" s="5"/>
      <c r="H8317" s="7" t="s">
        <v>8357</v>
      </c>
      <c r="I8317" s="9">
        <v>1831500</v>
      </c>
      <c r="J8317" s="10">
        <v>0.0365</v>
      </c>
    </row>
    <row r="8318" spans="1:10">
      <c r="A8318" s="7" t="s">
        <v>8351</v>
      </c>
      <c r="B8318" s="7" t="s">
        <v>10185</v>
      </c>
      <c r="C8318" s="8">
        <f>QS.CONTEXT.CREATE("market.8316",A8318,"USD","SOFR")</f>
        <v/>
      </c>
      <c r="D8318" s="8">
        <f>QS.CONTEXT.ADD.CURVE(C8318,"SOFR",$K$2:$K$7,$L$2:$L$7,,,"Actual360","LogLinear",TRUE)</f>
        <v/>
      </c>
      <c r="E8318" s="8">
        <f>QS.INSTRUMENT.SWAP("swap.8316",C8318,H8318,B8318,"USD","SOFR",I8318,J8318,0,"Actual360","Simple","Annual","Annual","Annual")</f>
        <v/>
      </c>
      <c r="F8318" s="8">
        <f>QS.TRADE.CREATE("trade.8316",C8318,E8318,A8318,"Receive")</f>
        <v/>
      </c>
      <c r="G8318" s="5"/>
      <c r="H8318" s="7" t="s">
        <v>8358</v>
      </c>
      <c r="I8318" s="9">
        <v>1831600</v>
      </c>
      <c r="J8318" s="10">
        <v>0.0366</v>
      </c>
    </row>
    <row r="8319" spans="1:10">
      <c r="A8319" s="7" t="s">
        <v>8352</v>
      </c>
      <c r="B8319" s="7" t="s">
        <v>10186</v>
      </c>
      <c r="C8319" s="8">
        <f>QS.CONTEXT.CREATE("market.8317",A8319,"USD","SOFR")</f>
        <v/>
      </c>
      <c r="D8319" s="8">
        <f>QS.CONTEXT.ADD.CURVE(C8319,"SOFR",$K$2:$K$7,$L$2:$L$7,,,"Actual360","LogLinear",TRUE)</f>
        <v/>
      </c>
      <c r="E8319" s="8">
        <f>QS.INSTRUMENT.SWAP("swap.8317",C8319,H8319,B8319,"USD","SOFR",I8319,J8319,0,"Actual360","Simple","Annual","Annual","Annual")</f>
        <v/>
      </c>
      <c r="F8319" s="8">
        <f>QS.TRADE.CREATE("trade.8317",C8319,E8319,A8319,"Receive")</f>
        <v/>
      </c>
      <c r="G8319" s="5"/>
      <c r="H8319" s="7" t="s">
        <v>8359</v>
      </c>
      <c r="I8319" s="9">
        <v>1831700</v>
      </c>
      <c r="J8319" s="10">
        <v>0.0367</v>
      </c>
    </row>
    <row r="8320" spans="1:10">
      <c r="A8320" s="7" t="s">
        <v>8353</v>
      </c>
      <c r="B8320" s="7" t="s">
        <v>10187</v>
      </c>
      <c r="C8320" s="8">
        <f>QS.CONTEXT.CREATE("market.8318",A8320,"USD","SOFR")</f>
        <v/>
      </c>
      <c r="D8320" s="8">
        <f>QS.CONTEXT.ADD.CURVE(C8320,"SOFR",$K$2:$K$7,$L$2:$L$7,,,"Actual360","LogLinear",TRUE)</f>
        <v/>
      </c>
      <c r="E8320" s="8">
        <f>QS.INSTRUMENT.SWAP("swap.8318",C8320,H8320,B8320,"USD","SOFR",I8320,J8320,0,"Actual360","Simple","Annual","Annual","Annual")</f>
        <v/>
      </c>
      <c r="F8320" s="8">
        <f>QS.TRADE.CREATE("trade.8318",C8320,E8320,A8320,"Receive")</f>
        <v/>
      </c>
      <c r="G8320" s="5"/>
      <c r="H8320" s="7" t="s">
        <v>8360</v>
      </c>
      <c r="I8320" s="9">
        <v>1831800</v>
      </c>
      <c r="J8320" s="10">
        <v>0.03680000000000001</v>
      </c>
    </row>
    <row r="8321" spans="1:10">
      <c r="A8321" s="7" t="s">
        <v>8354</v>
      </c>
      <c r="B8321" s="7" t="s">
        <v>10188</v>
      </c>
      <c r="C8321" s="8">
        <f>QS.CONTEXT.CREATE("market.8319",A8321,"USD","SOFR")</f>
        <v/>
      </c>
      <c r="D8321" s="8">
        <f>QS.CONTEXT.ADD.CURVE(C8321,"SOFR",$K$2:$K$7,$L$2:$L$7,,,"Actual360","LogLinear",TRUE)</f>
        <v/>
      </c>
      <c r="E8321" s="8">
        <f>QS.INSTRUMENT.SWAP("swap.8319",C8321,H8321,B8321,"USD","SOFR",I8321,J8321,0,"Actual360","Simple","Annual","Annual","Annual")</f>
        <v/>
      </c>
      <c r="F8321" s="8">
        <f>QS.TRADE.CREATE("trade.8319",C8321,E8321,A8321,"Receive")</f>
        <v/>
      </c>
      <c r="G8321" s="5"/>
      <c r="H8321" s="7" t="s">
        <v>8361</v>
      </c>
      <c r="I8321" s="9">
        <v>1831900</v>
      </c>
      <c r="J8321" s="10">
        <v>0.0369</v>
      </c>
    </row>
    <row r="8322" spans="1:10">
      <c r="A8322" s="7" t="s">
        <v>8355</v>
      </c>
      <c r="B8322" s="7" t="s">
        <v>10189</v>
      </c>
      <c r="C8322" s="8">
        <f>QS.CONTEXT.CREATE("market.8320",A8322,"USD","SOFR")</f>
        <v/>
      </c>
      <c r="D8322" s="8">
        <f>QS.CONTEXT.ADD.CURVE(C8322,"SOFR",$K$2:$K$7,$L$2:$L$7,,,"Actual360","LogLinear",TRUE)</f>
        <v/>
      </c>
      <c r="E8322" s="8">
        <f>QS.INSTRUMENT.SWAP("swap.8320",C8322,H8322,B8322,"USD","SOFR",I8322,J8322,0,"Actual360","Simple","Annual","Annual","Annual")</f>
        <v/>
      </c>
      <c r="F8322" s="8">
        <f>QS.TRADE.CREATE("trade.8320",C8322,E8322,A8322,"Receive")</f>
        <v/>
      </c>
      <c r="G8322" s="5"/>
      <c r="H8322" s="7" t="s">
        <v>8362</v>
      </c>
      <c r="I8322" s="9">
        <v>1832000</v>
      </c>
      <c r="J8322" s="10">
        <v>0.03700000000000001</v>
      </c>
    </row>
    <row r="8323" spans="1:10">
      <c r="A8323" s="7" t="s">
        <v>8356</v>
      </c>
      <c r="B8323" s="7" t="s">
        <v>10190</v>
      </c>
      <c r="C8323" s="8">
        <f>QS.CONTEXT.CREATE("market.8321",A8323,"USD","SOFR")</f>
        <v/>
      </c>
      <c r="D8323" s="8">
        <f>QS.CONTEXT.ADD.CURVE(C8323,"SOFR",$K$2:$K$7,$L$2:$L$7,,,"Actual360","LogLinear",TRUE)</f>
        <v/>
      </c>
      <c r="E8323" s="8">
        <f>QS.INSTRUMENT.SWAP("swap.8321",C8323,H8323,B8323,"USD","SOFR",I8323,J8323,0,"Actual360","Simple","Annual","Annual","Annual")</f>
        <v/>
      </c>
      <c r="F8323" s="8">
        <f>QS.TRADE.CREATE("trade.8321",C8323,E8323,A8323,"Receive")</f>
        <v/>
      </c>
      <c r="G8323" s="5"/>
      <c r="H8323" s="7" t="s">
        <v>8363</v>
      </c>
      <c r="I8323" s="9">
        <v>1832100</v>
      </c>
      <c r="J8323" s="10">
        <v>0.0371</v>
      </c>
    </row>
    <row r="8324" spans="1:10">
      <c r="A8324" s="7" t="s">
        <v>8357</v>
      </c>
      <c r="B8324" s="7" t="s">
        <v>10191</v>
      </c>
      <c r="C8324" s="8">
        <f>QS.CONTEXT.CREATE("market.8322",A8324,"USD","SOFR")</f>
        <v/>
      </c>
      <c r="D8324" s="8">
        <f>QS.CONTEXT.ADD.CURVE(C8324,"SOFR",$K$2:$K$7,$L$2:$L$7,,,"Actual360","LogLinear",TRUE)</f>
        <v/>
      </c>
      <c r="E8324" s="8">
        <f>QS.INSTRUMENT.SWAP("swap.8322",C8324,H8324,B8324,"USD","SOFR",I8324,J8324,0,"Actual360","Simple","Annual","Annual","Annual")</f>
        <v/>
      </c>
      <c r="F8324" s="8">
        <f>QS.TRADE.CREATE("trade.8322",C8324,E8324,A8324,"Receive")</f>
        <v/>
      </c>
      <c r="G8324" s="5"/>
      <c r="H8324" s="7" t="s">
        <v>8364</v>
      </c>
      <c r="I8324" s="9">
        <v>1832200</v>
      </c>
      <c r="J8324" s="10">
        <v>0.0372</v>
      </c>
    </row>
    <row r="8325" spans="1:10">
      <c r="A8325" s="7" t="s">
        <v>8358</v>
      </c>
      <c r="B8325" s="7" t="s">
        <v>10192</v>
      </c>
      <c r="C8325" s="8">
        <f>QS.CONTEXT.CREATE("market.8323",A8325,"USD","SOFR")</f>
        <v/>
      </c>
      <c r="D8325" s="8">
        <f>QS.CONTEXT.ADD.CURVE(C8325,"SOFR",$K$2:$K$7,$L$2:$L$7,,,"Actual360","LogLinear",TRUE)</f>
        <v/>
      </c>
      <c r="E8325" s="8">
        <f>QS.INSTRUMENT.SWAP("swap.8323",C8325,H8325,B8325,"USD","SOFR",I8325,J8325,0,"Actual360","Simple","Annual","Annual","Annual")</f>
        <v/>
      </c>
      <c r="F8325" s="8">
        <f>QS.TRADE.CREATE("trade.8323",C8325,E8325,A8325,"Receive")</f>
        <v/>
      </c>
      <c r="G8325" s="5"/>
      <c r="H8325" s="7" t="s">
        <v>8365</v>
      </c>
      <c r="I8325" s="9">
        <v>1832300</v>
      </c>
      <c r="J8325" s="10">
        <v>0.0373</v>
      </c>
    </row>
    <row r="8326" spans="1:10">
      <c r="A8326" s="7" t="s">
        <v>8359</v>
      </c>
      <c r="B8326" s="7" t="s">
        <v>10193</v>
      </c>
      <c r="C8326" s="8">
        <f>QS.CONTEXT.CREATE("market.8324",A8326,"USD","SOFR")</f>
        <v/>
      </c>
      <c r="D8326" s="8">
        <f>QS.CONTEXT.ADD.CURVE(C8326,"SOFR",$K$2:$K$7,$L$2:$L$7,,,"Actual360","LogLinear",TRUE)</f>
        <v/>
      </c>
      <c r="E8326" s="8">
        <f>QS.INSTRUMENT.SWAP("swap.8324",C8326,H8326,B8326,"USD","SOFR",I8326,J8326,0,"Actual360","Simple","Annual","Annual","Annual")</f>
        <v/>
      </c>
      <c r="F8326" s="8">
        <f>QS.TRADE.CREATE("trade.8324",C8326,E8326,A8326,"Receive")</f>
        <v/>
      </c>
      <c r="G8326" s="5"/>
      <c r="H8326" s="7" t="s">
        <v>8366</v>
      </c>
      <c r="I8326" s="9">
        <v>1832400</v>
      </c>
      <c r="J8326" s="10">
        <v>0.0374</v>
      </c>
    </row>
    <row r="8327" spans="1:10">
      <c r="A8327" s="7" t="s">
        <v>8360</v>
      </c>
      <c r="B8327" s="7" t="s">
        <v>10194</v>
      </c>
      <c r="C8327" s="8">
        <f>QS.CONTEXT.CREATE("market.8325",A8327,"USD","SOFR")</f>
        <v/>
      </c>
      <c r="D8327" s="8">
        <f>QS.CONTEXT.ADD.CURVE(C8327,"SOFR",$K$2:$K$7,$L$2:$L$7,,,"Actual360","LogLinear",TRUE)</f>
        <v/>
      </c>
      <c r="E8327" s="8">
        <f>QS.INSTRUMENT.SWAP("swap.8325",C8327,H8327,B8327,"USD","SOFR",I8327,J8327,0,"Actual360","Simple","Annual","Annual","Annual")</f>
        <v/>
      </c>
      <c r="F8327" s="8">
        <f>QS.TRADE.CREATE("trade.8325",C8327,E8327,A8327,"Receive")</f>
        <v/>
      </c>
      <c r="G8327" s="5"/>
      <c r="H8327" s="7" t="s">
        <v>8367</v>
      </c>
      <c r="I8327" s="9">
        <v>1832500</v>
      </c>
      <c r="J8327" s="10">
        <v>0.03750000000000001</v>
      </c>
    </row>
    <row r="8328" spans="1:10">
      <c r="A8328" s="7" t="s">
        <v>8361</v>
      </c>
      <c r="B8328" s="7" t="s">
        <v>10195</v>
      </c>
      <c r="C8328" s="8">
        <f>QS.CONTEXT.CREATE("market.8326",A8328,"USD","SOFR")</f>
        <v/>
      </c>
      <c r="D8328" s="8">
        <f>QS.CONTEXT.ADD.CURVE(C8328,"SOFR",$K$2:$K$7,$L$2:$L$7,,,"Actual360","LogLinear",TRUE)</f>
        <v/>
      </c>
      <c r="E8328" s="8">
        <f>QS.INSTRUMENT.SWAP("swap.8326",C8328,H8328,B8328,"USD","SOFR",I8328,J8328,0,"Actual360","Simple","Annual","Annual","Annual")</f>
        <v/>
      </c>
      <c r="F8328" s="8">
        <f>QS.TRADE.CREATE("trade.8326",C8328,E8328,A8328,"Receive")</f>
        <v/>
      </c>
      <c r="G8328" s="5"/>
      <c r="H8328" s="7" t="s">
        <v>8368</v>
      </c>
      <c r="I8328" s="9">
        <v>1832600</v>
      </c>
      <c r="J8328" s="10">
        <v>0.0376</v>
      </c>
    </row>
    <row r="8329" spans="1:10">
      <c r="A8329" s="7" t="s">
        <v>8362</v>
      </c>
      <c r="B8329" s="7" t="s">
        <v>10196</v>
      </c>
      <c r="C8329" s="8">
        <f>QS.CONTEXT.CREATE("market.8327",A8329,"USD","SOFR")</f>
        <v/>
      </c>
      <c r="D8329" s="8">
        <f>QS.CONTEXT.ADD.CURVE(C8329,"SOFR",$K$2:$K$7,$L$2:$L$7,,,"Actual360","LogLinear",TRUE)</f>
        <v/>
      </c>
      <c r="E8329" s="8">
        <f>QS.INSTRUMENT.SWAP("swap.8327",C8329,H8329,B8329,"USD","SOFR",I8329,J8329,0,"Actual360","Simple","Annual","Annual","Annual")</f>
        <v/>
      </c>
      <c r="F8329" s="8">
        <f>QS.TRADE.CREATE("trade.8327",C8329,E8329,A8329,"Receive")</f>
        <v/>
      </c>
      <c r="G8329" s="5"/>
      <c r="H8329" s="7" t="s">
        <v>8369</v>
      </c>
      <c r="I8329" s="9">
        <v>1832700</v>
      </c>
      <c r="J8329" s="10">
        <v>0.0377</v>
      </c>
    </row>
    <row r="8330" spans="1:10">
      <c r="A8330" s="7" t="s">
        <v>8363</v>
      </c>
      <c r="B8330" s="7" t="s">
        <v>10197</v>
      </c>
      <c r="C8330" s="8">
        <f>QS.CONTEXT.CREATE("market.8328",A8330,"USD","SOFR")</f>
        <v/>
      </c>
      <c r="D8330" s="8">
        <f>QS.CONTEXT.ADD.CURVE(C8330,"SOFR",$K$2:$K$7,$L$2:$L$7,,,"Actual360","LogLinear",TRUE)</f>
        <v/>
      </c>
      <c r="E8330" s="8">
        <f>QS.INSTRUMENT.SWAP("swap.8328",C8330,H8330,B8330,"USD","SOFR",I8330,J8330,0,"Actual360","Simple","Annual","Annual","Annual")</f>
        <v/>
      </c>
      <c r="F8330" s="8">
        <f>QS.TRADE.CREATE("trade.8328",C8330,E8330,A8330,"Receive")</f>
        <v/>
      </c>
      <c r="G8330" s="5"/>
      <c r="H8330" s="7" t="s">
        <v>8370</v>
      </c>
      <c r="I8330" s="9">
        <v>1832800</v>
      </c>
      <c r="J8330" s="10">
        <v>0.0378</v>
      </c>
    </row>
    <row r="8331" spans="1:10">
      <c r="A8331" s="7" t="s">
        <v>8364</v>
      </c>
      <c r="B8331" s="7" t="s">
        <v>10198</v>
      </c>
      <c r="C8331" s="8">
        <f>QS.CONTEXT.CREATE("market.8329",A8331,"USD","SOFR")</f>
        <v/>
      </c>
      <c r="D8331" s="8">
        <f>QS.CONTEXT.ADD.CURVE(C8331,"SOFR",$K$2:$K$7,$L$2:$L$7,,,"Actual360","LogLinear",TRUE)</f>
        <v/>
      </c>
      <c r="E8331" s="8">
        <f>QS.INSTRUMENT.SWAP("swap.8329",C8331,H8331,B8331,"USD","SOFR",I8331,J8331,0,"Actual360","Simple","Annual","Annual","Annual")</f>
        <v/>
      </c>
      <c r="F8331" s="8">
        <f>QS.TRADE.CREATE("trade.8329",C8331,E8331,A8331,"Receive")</f>
        <v/>
      </c>
      <c r="G8331" s="5"/>
      <c r="H8331" s="7" t="s">
        <v>8371</v>
      </c>
      <c r="I8331" s="9">
        <v>1832900</v>
      </c>
      <c r="J8331" s="10">
        <v>0.0379</v>
      </c>
    </row>
    <row r="8332" spans="1:10">
      <c r="A8332" s="7" t="s">
        <v>8365</v>
      </c>
      <c r="B8332" s="7" t="s">
        <v>10199</v>
      </c>
      <c r="C8332" s="8">
        <f>QS.CONTEXT.CREATE("market.8330",A8332,"USD","SOFR")</f>
        <v/>
      </c>
      <c r="D8332" s="8">
        <f>QS.CONTEXT.ADD.CURVE(C8332,"SOFR",$K$2:$K$7,$L$2:$L$7,,,"Actual360","LogLinear",TRUE)</f>
        <v/>
      </c>
      <c r="E8332" s="8">
        <f>QS.INSTRUMENT.SWAP("swap.8330",C8332,H8332,B8332,"USD","SOFR",I8332,J8332,0,"Actual360","Simple","Annual","Annual","Annual")</f>
        <v/>
      </c>
      <c r="F8332" s="8">
        <f>QS.TRADE.CREATE("trade.8330",C8332,E8332,A8332,"Receive")</f>
        <v/>
      </c>
      <c r="G8332" s="5"/>
      <c r="H8332" s="7" t="s">
        <v>8372</v>
      </c>
      <c r="I8332" s="9">
        <v>1833000</v>
      </c>
      <c r="J8332" s="10">
        <v>0.03800000000000001</v>
      </c>
    </row>
    <row r="8333" spans="1:10">
      <c r="A8333" s="7" t="s">
        <v>8366</v>
      </c>
      <c r="B8333" s="7" t="s">
        <v>10200</v>
      </c>
      <c r="C8333" s="8">
        <f>QS.CONTEXT.CREATE("market.8331",A8333,"USD","SOFR")</f>
        <v/>
      </c>
      <c r="D8333" s="8">
        <f>QS.CONTEXT.ADD.CURVE(C8333,"SOFR",$K$2:$K$7,$L$2:$L$7,,,"Actual360","LogLinear",TRUE)</f>
        <v/>
      </c>
      <c r="E8333" s="8">
        <f>QS.INSTRUMENT.SWAP("swap.8331",C8333,H8333,B8333,"USD","SOFR",I8333,J8333,0,"Actual360","Simple","Annual","Annual","Annual")</f>
        <v/>
      </c>
      <c r="F8333" s="8">
        <f>QS.TRADE.CREATE("trade.8331",C8333,E8333,A8333,"Receive")</f>
        <v/>
      </c>
      <c r="G8333" s="5"/>
      <c r="H8333" s="7" t="s">
        <v>8373</v>
      </c>
      <c r="I8333" s="9">
        <v>1833100</v>
      </c>
      <c r="J8333" s="10">
        <v>0.0381</v>
      </c>
    </row>
    <row r="8334" spans="1:10">
      <c r="A8334" s="7" t="s">
        <v>8367</v>
      </c>
      <c r="B8334" s="7" t="s">
        <v>10201</v>
      </c>
      <c r="C8334" s="8">
        <f>QS.CONTEXT.CREATE("market.8332",A8334,"USD","SOFR")</f>
        <v/>
      </c>
      <c r="D8334" s="8">
        <f>QS.CONTEXT.ADD.CURVE(C8334,"SOFR",$K$2:$K$7,$L$2:$L$7,,,"Actual360","LogLinear",TRUE)</f>
        <v/>
      </c>
      <c r="E8334" s="8">
        <f>QS.INSTRUMENT.SWAP("swap.8332",C8334,H8334,B8334,"USD","SOFR",I8334,J8334,0,"Actual360","Simple","Annual","Annual","Annual")</f>
        <v/>
      </c>
      <c r="F8334" s="8">
        <f>QS.TRADE.CREATE("trade.8332",C8334,E8334,A8334,"Receive")</f>
        <v/>
      </c>
      <c r="G8334" s="5"/>
      <c r="H8334" s="7" t="s">
        <v>8374</v>
      </c>
      <c r="I8334" s="9">
        <v>1833200</v>
      </c>
      <c r="J8334" s="10">
        <v>0.0382</v>
      </c>
    </row>
    <row r="8335" spans="1:10">
      <c r="A8335" s="7" t="s">
        <v>8368</v>
      </c>
      <c r="B8335" s="7" t="s">
        <v>10202</v>
      </c>
      <c r="C8335" s="8">
        <f>QS.CONTEXT.CREATE("market.8333",A8335,"USD","SOFR")</f>
        <v/>
      </c>
      <c r="D8335" s="8">
        <f>QS.CONTEXT.ADD.CURVE(C8335,"SOFR",$K$2:$K$7,$L$2:$L$7,,,"Actual360","LogLinear",TRUE)</f>
        <v/>
      </c>
      <c r="E8335" s="8">
        <f>QS.INSTRUMENT.SWAP("swap.8333",C8335,H8335,B8335,"USD","SOFR",I8335,J8335,0,"Actual360","Simple","Annual","Annual","Annual")</f>
        <v/>
      </c>
      <c r="F8335" s="8">
        <f>QS.TRADE.CREATE("trade.8333",C8335,E8335,A8335,"Receive")</f>
        <v/>
      </c>
      <c r="G8335" s="5"/>
      <c r="H8335" s="7" t="s">
        <v>8375</v>
      </c>
      <c r="I8335" s="9">
        <v>1833300</v>
      </c>
      <c r="J8335" s="10">
        <v>0.0383</v>
      </c>
    </row>
    <row r="8336" spans="1:10">
      <c r="A8336" s="7" t="s">
        <v>8369</v>
      </c>
      <c r="B8336" s="7" t="s">
        <v>10203</v>
      </c>
      <c r="C8336" s="8">
        <f>QS.CONTEXT.CREATE("market.8334",A8336,"USD","SOFR")</f>
        <v/>
      </c>
      <c r="D8336" s="8">
        <f>QS.CONTEXT.ADD.CURVE(C8336,"SOFR",$K$2:$K$7,$L$2:$L$7,,,"Actual360","LogLinear",TRUE)</f>
        <v/>
      </c>
      <c r="E8336" s="8">
        <f>QS.INSTRUMENT.SWAP("swap.8334",C8336,H8336,B8336,"USD","SOFR",I8336,J8336,0,"Actual360","Simple","Annual","Annual","Annual")</f>
        <v/>
      </c>
      <c r="F8336" s="8">
        <f>QS.TRADE.CREATE("trade.8334",C8336,E8336,A8336,"Receive")</f>
        <v/>
      </c>
      <c r="G8336" s="5"/>
      <c r="H8336" s="7" t="s">
        <v>8376</v>
      </c>
      <c r="I8336" s="9">
        <v>1833400</v>
      </c>
      <c r="J8336" s="10">
        <v>0.0384</v>
      </c>
    </row>
    <row r="8337" spans="1:10">
      <c r="A8337" s="7" t="s">
        <v>8370</v>
      </c>
      <c r="B8337" s="7" t="s">
        <v>10204</v>
      </c>
      <c r="C8337" s="8">
        <f>QS.CONTEXT.CREATE("market.8335",A8337,"USD","SOFR")</f>
        <v/>
      </c>
      <c r="D8337" s="8">
        <f>QS.CONTEXT.ADD.CURVE(C8337,"SOFR",$K$2:$K$7,$L$2:$L$7,,,"Actual360","LogLinear",TRUE)</f>
        <v/>
      </c>
      <c r="E8337" s="8">
        <f>QS.INSTRUMENT.SWAP("swap.8335",C8337,H8337,B8337,"USD","SOFR",I8337,J8337,0,"Actual360","Simple","Annual","Annual","Annual")</f>
        <v/>
      </c>
      <c r="F8337" s="8">
        <f>QS.TRADE.CREATE("trade.8335",C8337,E8337,A8337,"Receive")</f>
        <v/>
      </c>
      <c r="G8337" s="5"/>
      <c r="H8337" s="7" t="s">
        <v>8377</v>
      </c>
      <c r="I8337" s="9">
        <v>1833500</v>
      </c>
      <c r="J8337" s="10">
        <v>0.03850000000000001</v>
      </c>
    </row>
    <row r="8338" spans="1:10">
      <c r="A8338" s="7" t="s">
        <v>8371</v>
      </c>
      <c r="B8338" s="7" t="s">
        <v>10205</v>
      </c>
      <c r="C8338" s="8">
        <f>QS.CONTEXT.CREATE("market.8336",A8338,"USD","SOFR")</f>
        <v/>
      </c>
      <c r="D8338" s="8">
        <f>QS.CONTEXT.ADD.CURVE(C8338,"SOFR",$K$2:$K$7,$L$2:$L$7,,,"Actual360","LogLinear",TRUE)</f>
        <v/>
      </c>
      <c r="E8338" s="8">
        <f>QS.INSTRUMENT.SWAP("swap.8336",C8338,H8338,B8338,"USD","SOFR",I8338,J8338,0,"Actual360","Simple","Annual","Annual","Annual")</f>
        <v/>
      </c>
      <c r="F8338" s="8">
        <f>QS.TRADE.CREATE("trade.8336",C8338,E8338,A8338,"Receive")</f>
        <v/>
      </c>
      <c r="G8338" s="5"/>
      <c r="H8338" s="7" t="s">
        <v>8378</v>
      </c>
      <c r="I8338" s="9">
        <v>1833600</v>
      </c>
      <c r="J8338" s="10">
        <v>0.0386</v>
      </c>
    </row>
    <row r="8339" spans="1:10">
      <c r="A8339" s="7" t="s">
        <v>8372</v>
      </c>
      <c r="B8339" s="7" t="s">
        <v>10206</v>
      </c>
      <c r="C8339" s="8">
        <f>QS.CONTEXT.CREATE("market.8337",A8339,"USD","SOFR")</f>
        <v/>
      </c>
      <c r="D8339" s="8">
        <f>QS.CONTEXT.ADD.CURVE(C8339,"SOFR",$K$2:$K$7,$L$2:$L$7,,,"Actual360","LogLinear",TRUE)</f>
        <v/>
      </c>
      <c r="E8339" s="8">
        <f>QS.INSTRUMENT.SWAP("swap.8337",C8339,H8339,B8339,"USD","SOFR",I8339,J8339,0,"Actual360","Simple","Annual","Annual","Annual")</f>
        <v/>
      </c>
      <c r="F8339" s="8">
        <f>QS.TRADE.CREATE("trade.8337",C8339,E8339,A8339,"Receive")</f>
        <v/>
      </c>
      <c r="G8339" s="5"/>
      <c r="H8339" s="7" t="s">
        <v>8379</v>
      </c>
      <c r="I8339" s="9">
        <v>1833700</v>
      </c>
      <c r="J8339" s="10">
        <v>0.03870000000000001</v>
      </c>
    </row>
    <row r="8340" spans="1:10">
      <c r="A8340" s="7" t="s">
        <v>8373</v>
      </c>
      <c r="B8340" s="7" t="s">
        <v>10207</v>
      </c>
      <c r="C8340" s="8">
        <f>QS.CONTEXT.CREATE("market.8338",A8340,"USD","SOFR")</f>
        <v/>
      </c>
      <c r="D8340" s="8">
        <f>QS.CONTEXT.ADD.CURVE(C8340,"SOFR",$K$2:$K$7,$L$2:$L$7,,,"Actual360","LogLinear",TRUE)</f>
        <v/>
      </c>
      <c r="E8340" s="8">
        <f>QS.INSTRUMENT.SWAP("swap.8338",C8340,H8340,B8340,"USD","SOFR",I8340,J8340,0,"Actual360","Simple","Annual","Annual","Annual")</f>
        <v/>
      </c>
      <c r="F8340" s="8">
        <f>QS.TRADE.CREATE("trade.8338",C8340,E8340,A8340,"Receive")</f>
        <v/>
      </c>
      <c r="G8340" s="5"/>
      <c r="H8340" s="7" t="s">
        <v>8380</v>
      </c>
      <c r="I8340" s="9">
        <v>1833800</v>
      </c>
      <c r="J8340" s="10">
        <v>0.0388</v>
      </c>
    </row>
    <row r="8341" spans="1:10">
      <c r="A8341" s="7" t="s">
        <v>8374</v>
      </c>
      <c r="B8341" s="7" t="s">
        <v>10208</v>
      </c>
      <c r="C8341" s="8">
        <f>QS.CONTEXT.CREATE("market.8339",A8341,"USD","SOFR")</f>
        <v/>
      </c>
      <c r="D8341" s="8">
        <f>QS.CONTEXT.ADD.CURVE(C8341,"SOFR",$K$2:$K$7,$L$2:$L$7,,,"Actual360","LogLinear",TRUE)</f>
        <v/>
      </c>
      <c r="E8341" s="8">
        <f>QS.INSTRUMENT.SWAP("swap.8339",C8341,H8341,B8341,"USD","SOFR",I8341,J8341,0,"Actual360","Simple","Annual","Annual","Annual")</f>
        <v/>
      </c>
      <c r="F8341" s="8">
        <f>QS.TRADE.CREATE("trade.8339",C8341,E8341,A8341,"Receive")</f>
        <v/>
      </c>
      <c r="G8341" s="5"/>
      <c r="H8341" s="7" t="s">
        <v>8381</v>
      </c>
      <c r="I8341" s="9">
        <v>1833900</v>
      </c>
      <c r="J8341" s="10">
        <v>0.0389</v>
      </c>
    </row>
    <row r="8342" spans="1:10">
      <c r="A8342" s="7" t="s">
        <v>8375</v>
      </c>
      <c r="B8342" s="7" t="s">
        <v>10209</v>
      </c>
      <c r="C8342" s="8">
        <f>QS.CONTEXT.CREATE("market.8340",A8342,"USD","SOFR")</f>
        <v/>
      </c>
      <c r="D8342" s="8">
        <f>QS.CONTEXT.ADD.CURVE(C8342,"SOFR",$K$2:$K$7,$L$2:$L$7,,,"Actual360","LogLinear",TRUE)</f>
        <v/>
      </c>
      <c r="E8342" s="8">
        <f>QS.INSTRUMENT.SWAP("swap.8340",C8342,H8342,B8342,"USD","SOFR",I8342,J8342,0,"Actual360","Simple","Annual","Annual","Annual")</f>
        <v/>
      </c>
      <c r="F8342" s="8">
        <f>QS.TRADE.CREATE("trade.8340",C8342,E8342,A8342,"Receive")</f>
        <v/>
      </c>
      <c r="G8342" s="5"/>
      <c r="H8342" s="7" t="s">
        <v>8382</v>
      </c>
      <c r="I8342" s="9">
        <v>1834000</v>
      </c>
      <c r="J8342" s="10">
        <v>0.03900000000000001</v>
      </c>
    </row>
    <row r="8343" spans="1:10">
      <c r="A8343" s="7" t="s">
        <v>8376</v>
      </c>
      <c r="B8343" s="7" t="s">
        <v>10210</v>
      </c>
      <c r="C8343" s="8">
        <f>QS.CONTEXT.CREATE("market.8341",A8343,"USD","SOFR")</f>
        <v/>
      </c>
      <c r="D8343" s="8">
        <f>QS.CONTEXT.ADD.CURVE(C8343,"SOFR",$K$2:$K$7,$L$2:$L$7,,,"Actual360","LogLinear",TRUE)</f>
        <v/>
      </c>
      <c r="E8343" s="8">
        <f>QS.INSTRUMENT.SWAP("swap.8341",C8343,H8343,B8343,"USD","SOFR",I8343,J8343,0,"Actual360","Simple","Annual","Annual","Annual")</f>
        <v/>
      </c>
      <c r="F8343" s="8">
        <f>QS.TRADE.CREATE("trade.8341",C8343,E8343,A8343,"Receive")</f>
        <v/>
      </c>
      <c r="G8343" s="5"/>
      <c r="H8343" s="7" t="s">
        <v>8383</v>
      </c>
      <c r="I8343" s="9">
        <v>1834100</v>
      </c>
      <c r="J8343" s="10">
        <v>0.0391</v>
      </c>
    </row>
    <row r="8344" spans="1:10">
      <c r="A8344" s="7" t="s">
        <v>8377</v>
      </c>
      <c r="B8344" s="7" t="s">
        <v>10211</v>
      </c>
      <c r="C8344" s="8">
        <f>QS.CONTEXT.CREATE("market.8342",A8344,"USD","SOFR")</f>
        <v/>
      </c>
      <c r="D8344" s="8">
        <f>QS.CONTEXT.ADD.CURVE(C8344,"SOFR",$K$2:$K$7,$L$2:$L$7,,,"Actual360","LogLinear",TRUE)</f>
        <v/>
      </c>
      <c r="E8344" s="8">
        <f>QS.INSTRUMENT.SWAP("swap.8342",C8344,H8344,B8344,"USD","SOFR",I8344,J8344,0,"Actual360","Simple","Annual","Annual","Annual")</f>
        <v/>
      </c>
      <c r="F8344" s="8">
        <f>QS.TRADE.CREATE("trade.8342",C8344,E8344,A8344,"Receive")</f>
        <v/>
      </c>
      <c r="G8344" s="5"/>
      <c r="H8344" s="7" t="s">
        <v>8384</v>
      </c>
      <c r="I8344" s="9">
        <v>1834200</v>
      </c>
      <c r="J8344" s="10">
        <v>0.03920000000000001</v>
      </c>
    </row>
    <row r="8345" spans="1:10">
      <c r="A8345" s="7" t="s">
        <v>8378</v>
      </c>
      <c r="B8345" s="7" t="s">
        <v>10212</v>
      </c>
      <c r="C8345" s="8">
        <f>QS.CONTEXT.CREATE("market.8343",A8345,"USD","SOFR")</f>
        <v/>
      </c>
      <c r="D8345" s="8">
        <f>QS.CONTEXT.ADD.CURVE(C8345,"SOFR",$K$2:$K$7,$L$2:$L$7,,,"Actual360","LogLinear",TRUE)</f>
        <v/>
      </c>
      <c r="E8345" s="8">
        <f>QS.INSTRUMENT.SWAP("swap.8343",C8345,H8345,B8345,"USD","SOFR",I8345,J8345,0,"Actual360","Simple","Annual","Annual","Annual")</f>
        <v/>
      </c>
      <c r="F8345" s="8">
        <f>QS.TRADE.CREATE("trade.8343",C8345,E8345,A8345,"Receive")</f>
        <v/>
      </c>
      <c r="G8345" s="5"/>
      <c r="H8345" s="7" t="s">
        <v>8385</v>
      </c>
      <c r="I8345" s="9">
        <v>1834300</v>
      </c>
      <c r="J8345" s="10">
        <v>0.0393</v>
      </c>
    </row>
    <row r="8346" spans="1:10">
      <c r="A8346" s="7" t="s">
        <v>8379</v>
      </c>
      <c r="B8346" s="7" t="s">
        <v>10213</v>
      </c>
      <c r="C8346" s="8">
        <f>QS.CONTEXT.CREATE("market.8344",A8346,"USD","SOFR")</f>
        <v/>
      </c>
      <c r="D8346" s="8">
        <f>QS.CONTEXT.ADD.CURVE(C8346,"SOFR",$K$2:$K$7,$L$2:$L$7,,,"Actual360","LogLinear",TRUE)</f>
        <v/>
      </c>
      <c r="E8346" s="8">
        <f>QS.INSTRUMENT.SWAP("swap.8344",C8346,H8346,B8346,"USD","SOFR",I8346,J8346,0,"Actual360","Simple","Annual","Annual","Annual")</f>
        <v/>
      </c>
      <c r="F8346" s="8">
        <f>QS.TRADE.CREATE("trade.8344",C8346,E8346,A8346,"Receive")</f>
        <v/>
      </c>
      <c r="G8346" s="5"/>
      <c r="H8346" s="7" t="s">
        <v>8386</v>
      </c>
      <c r="I8346" s="9">
        <v>1834400</v>
      </c>
      <c r="J8346" s="10">
        <v>0.0394</v>
      </c>
    </row>
    <row r="8347" spans="1:10">
      <c r="A8347" s="7" t="s">
        <v>8380</v>
      </c>
      <c r="B8347" s="7" t="s">
        <v>10214</v>
      </c>
      <c r="C8347" s="8">
        <f>QS.CONTEXT.CREATE("market.8345",A8347,"USD","SOFR")</f>
        <v/>
      </c>
      <c r="D8347" s="8">
        <f>QS.CONTEXT.ADD.CURVE(C8347,"SOFR",$K$2:$K$7,$L$2:$L$7,,,"Actual360","LogLinear",TRUE)</f>
        <v/>
      </c>
      <c r="E8347" s="8">
        <f>QS.INSTRUMENT.SWAP("swap.8345",C8347,H8347,B8347,"USD","SOFR",I8347,J8347,0,"Actual360","Simple","Annual","Annual","Annual")</f>
        <v/>
      </c>
      <c r="F8347" s="8">
        <f>QS.TRADE.CREATE("trade.8345",C8347,E8347,A8347,"Receive")</f>
        <v/>
      </c>
      <c r="G8347" s="5"/>
      <c r="H8347" s="7" t="s">
        <v>8387</v>
      </c>
      <c r="I8347" s="9">
        <v>1834500</v>
      </c>
      <c r="J8347" s="10">
        <v>0.03950000000000001</v>
      </c>
    </row>
    <row r="8348" spans="1:10">
      <c r="A8348" s="7" t="s">
        <v>8381</v>
      </c>
      <c r="B8348" s="7" t="s">
        <v>10215</v>
      </c>
      <c r="C8348" s="8">
        <f>QS.CONTEXT.CREATE("market.8346",A8348,"USD","SOFR")</f>
        <v/>
      </c>
      <c r="D8348" s="8">
        <f>QS.CONTEXT.ADD.CURVE(C8348,"SOFR",$K$2:$K$7,$L$2:$L$7,,,"Actual360","LogLinear",TRUE)</f>
        <v/>
      </c>
      <c r="E8348" s="8">
        <f>QS.INSTRUMENT.SWAP("swap.8346",C8348,H8348,B8348,"USD","SOFR",I8348,J8348,0,"Actual360","Simple","Annual","Annual","Annual")</f>
        <v/>
      </c>
      <c r="F8348" s="8">
        <f>QS.TRADE.CREATE("trade.8346",C8348,E8348,A8348,"Receive")</f>
        <v/>
      </c>
      <c r="G8348" s="5"/>
      <c r="H8348" s="7" t="s">
        <v>8388</v>
      </c>
      <c r="I8348" s="9">
        <v>1834600</v>
      </c>
      <c r="J8348" s="10">
        <v>0.0396</v>
      </c>
    </row>
    <row r="8349" spans="1:10">
      <c r="A8349" s="7" t="s">
        <v>8382</v>
      </c>
      <c r="B8349" s="7" t="s">
        <v>10216</v>
      </c>
      <c r="C8349" s="8">
        <f>QS.CONTEXT.CREATE("market.8347",A8349,"USD","SOFR")</f>
        <v/>
      </c>
      <c r="D8349" s="8">
        <f>QS.CONTEXT.ADD.CURVE(C8349,"SOFR",$K$2:$K$7,$L$2:$L$7,,,"Actual360","LogLinear",TRUE)</f>
        <v/>
      </c>
      <c r="E8349" s="8">
        <f>QS.INSTRUMENT.SWAP("swap.8347",C8349,H8349,B8349,"USD","SOFR",I8349,J8349,0,"Actual360","Simple","Annual","Annual","Annual")</f>
        <v/>
      </c>
      <c r="F8349" s="8">
        <f>QS.TRADE.CREATE("trade.8347",C8349,E8349,A8349,"Receive")</f>
        <v/>
      </c>
      <c r="G8349" s="5"/>
      <c r="H8349" s="7" t="s">
        <v>8389</v>
      </c>
      <c r="I8349" s="9">
        <v>1834700</v>
      </c>
      <c r="J8349" s="10">
        <v>0.03970000000000001</v>
      </c>
    </row>
    <row r="8350" spans="1:10">
      <c r="A8350" s="7" t="s">
        <v>8383</v>
      </c>
      <c r="B8350" s="7" t="s">
        <v>10217</v>
      </c>
      <c r="C8350" s="8">
        <f>QS.CONTEXT.CREATE("market.8348",A8350,"USD","SOFR")</f>
        <v/>
      </c>
      <c r="D8350" s="8">
        <f>QS.CONTEXT.ADD.CURVE(C8350,"SOFR",$K$2:$K$7,$L$2:$L$7,,,"Actual360","LogLinear",TRUE)</f>
        <v/>
      </c>
      <c r="E8350" s="8">
        <f>QS.INSTRUMENT.SWAP("swap.8348",C8350,H8350,B8350,"USD","SOFR",I8350,J8350,0,"Actual360","Simple","Annual","Annual","Annual")</f>
        <v/>
      </c>
      <c r="F8350" s="8">
        <f>QS.TRADE.CREATE("trade.8348",C8350,E8350,A8350,"Receive")</f>
        <v/>
      </c>
      <c r="G8350" s="5"/>
      <c r="H8350" s="7" t="s">
        <v>8390</v>
      </c>
      <c r="I8350" s="9">
        <v>1834800</v>
      </c>
      <c r="J8350" s="10">
        <v>0.0398</v>
      </c>
    </row>
    <row r="8351" spans="1:10">
      <c r="A8351" s="7" t="s">
        <v>8384</v>
      </c>
      <c r="B8351" s="7" t="s">
        <v>10218</v>
      </c>
      <c r="C8351" s="8">
        <f>QS.CONTEXT.CREATE("market.8349",A8351,"USD","SOFR")</f>
        <v/>
      </c>
      <c r="D8351" s="8">
        <f>QS.CONTEXT.ADD.CURVE(C8351,"SOFR",$K$2:$K$7,$L$2:$L$7,,,"Actual360","LogLinear",TRUE)</f>
        <v/>
      </c>
      <c r="E8351" s="8">
        <f>QS.INSTRUMENT.SWAP("swap.8349",C8351,H8351,B8351,"USD","SOFR",I8351,J8351,0,"Actual360","Simple","Annual","Annual","Annual")</f>
        <v/>
      </c>
      <c r="F8351" s="8">
        <f>QS.TRADE.CREATE("trade.8349",C8351,E8351,A8351,"Receive")</f>
        <v/>
      </c>
      <c r="G8351" s="5"/>
      <c r="H8351" s="7" t="s">
        <v>8391</v>
      </c>
      <c r="I8351" s="9">
        <v>1834900</v>
      </c>
      <c r="J8351" s="10">
        <v>0.0399</v>
      </c>
    </row>
    <row r="8352" spans="1:10">
      <c r="A8352" s="7" t="s">
        <v>8385</v>
      </c>
      <c r="B8352" s="7" t="s">
        <v>10219</v>
      </c>
      <c r="C8352" s="8">
        <f>QS.CONTEXT.CREATE("market.8350",A8352,"USD","SOFR")</f>
        <v/>
      </c>
      <c r="D8352" s="8">
        <f>QS.CONTEXT.ADD.CURVE(C8352,"SOFR",$K$2:$K$7,$L$2:$L$7,,,"Actual360","LogLinear",TRUE)</f>
        <v/>
      </c>
      <c r="E8352" s="8">
        <f>QS.INSTRUMENT.SWAP("swap.8350",C8352,H8352,B8352,"USD","SOFR",I8352,J8352,0,"Actual360","Simple","Annual","Annual","Annual")</f>
        <v/>
      </c>
      <c r="F8352" s="8">
        <f>QS.TRADE.CREATE("trade.8350",C8352,E8352,A8352,"Receive")</f>
        <v/>
      </c>
      <c r="G8352" s="5"/>
      <c r="H8352" s="7" t="s">
        <v>8392</v>
      </c>
      <c r="I8352" s="9">
        <v>1835000</v>
      </c>
      <c r="J8352" s="10">
        <v>0.035</v>
      </c>
    </row>
    <row r="8353" spans="1:10">
      <c r="A8353" s="7" t="s">
        <v>8386</v>
      </c>
      <c r="B8353" s="7" t="s">
        <v>10220</v>
      </c>
      <c r="C8353" s="8">
        <f>QS.CONTEXT.CREATE("market.8351",A8353,"USD","SOFR")</f>
        <v/>
      </c>
      <c r="D8353" s="8">
        <f>QS.CONTEXT.ADD.CURVE(C8353,"SOFR",$K$2:$K$7,$L$2:$L$7,,,"Actual360","LogLinear",TRUE)</f>
        <v/>
      </c>
      <c r="E8353" s="8">
        <f>QS.INSTRUMENT.SWAP("swap.8351",C8353,H8353,B8353,"USD","SOFR",I8353,J8353,0,"Actual360","Simple","Annual","Annual","Annual")</f>
        <v/>
      </c>
      <c r="F8353" s="8">
        <f>QS.TRADE.CREATE("trade.8351",C8353,E8353,A8353,"Receive")</f>
        <v/>
      </c>
      <c r="G8353" s="5"/>
      <c r="H8353" s="7" t="s">
        <v>8393</v>
      </c>
      <c r="I8353" s="9">
        <v>1835100</v>
      </c>
      <c r="J8353" s="10">
        <v>0.03510000000000001</v>
      </c>
    </row>
    <row r="8354" spans="1:10">
      <c r="A8354" s="7" t="s">
        <v>8387</v>
      </c>
      <c r="B8354" s="7" t="s">
        <v>10221</v>
      </c>
      <c r="C8354" s="8">
        <f>QS.CONTEXT.CREATE("market.8352",A8354,"USD","SOFR")</f>
        <v/>
      </c>
      <c r="D8354" s="8">
        <f>QS.CONTEXT.ADD.CURVE(C8354,"SOFR",$K$2:$K$7,$L$2:$L$7,,,"Actual360","LogLinear",TRUE)</f>
        <v/>
      </c>
      <c r="E8354" s="8">
        <f>QS.INSTRUMENT.SWAP("swap.8352",C8354,H8354,B8354,"USD","SOFR",I8354,J8354,0,"Actual360","Simple","Annual","Annual","Annual")</f>
        <v/>
      </c>
      <c r="F8354" s="8">
        <f>QS.TRADE.CREATE("trade.8352",C8354,E8354,A8354,"Receive")</f>
        <v/>
      </c>
      <c r="G8354" s="5"/>
      <c r="H8354" s="7" t="s">
        <v>8394</v>
      </c>
      <c r="I8354" s="9">
        <v>1835200</v>
      </c>
      <c r="J8354" s="10">
        <v>0.0352</v>
      </c>
    </row>
    <row r="8355" spans="1:10">
      <c r="A8355" s="7" t="s">
        <v>8388</v>
      </c>
      <c r="B8355" s="7" t="s">
        <v>10222</v>
      </c>
      <c r="C8355" s="8">
        <f>QS.CONTEXT.CREATE("market.8353",A8355,"USD","SOFR")</f>
        <v/>
      </c>
      <c r="D8355" s="8">
        <f>QS.CONTEXT.ADD.CURVE(C8355,"SOFR",$K$2:$K$7,$L$2:$L$7,,,"Actual360","LogLinear",TRUE)</f>
        <v/>
      </c>
      <c r="E8355" s="8">
        <f>QS.INSTRUMENT.SWAP("swap.8353",C8355,H8355,B8355,"USD","SOFR",I8355,J8355,0,"Actual360","Simple","Annual","Annual","Annual")</f>
        <v/>
      </c>
      <c r="F8355" s="8">
        <f>QS.TRADE.CREATE("trade.8353",C8355,E8355,A8355,"Receive")</f>
        <v/>
      </c>
      <c r="G8355" s="5"/>
      <c r="H8355" s="7" t="s">
        <v>8395</v>
      </c>
      <c r="I8355" s="9">
        <v>1835300</v>
      </c>
      <c r="J8355" s="10">
        <v>0.0353</v>
      </c>
    </row>
    <row r="8356" spans="1:10">
      <c r="A8356" s="7" t="s">
        <v>8389</v>
      </c>
      <c r="B8356" s="7" t="s">
        <v>10223</v>
      </c>
      <c r="C8356" s="8">
        <f>QS.CONTEXT.CREATE("market.8354",A8356,"USD","SOFR")</f>
        <v/>
      </c>
      <c r="D8356" s="8">
        <f>QS.CONTEXT.ADD.CURVE(C8356,"SOFR",$K$2:$K$7,$L$2:$L$7,,,"Actual360","LogLinear",TRUE)</f>
        <v/>
      </c>
      <c r="E8356" s="8">
        <f>QS.INSTRUMENT.SWAP("swap.8354",C8356,H8356,B8356,"USD","SOFR",I8356,J8356,0,"Actual360","Simple","Annual","Annual","Annual")</f>
        <v/>
      </c>
      <c r="F8356" s="8">
        <f>QS.TRADE.CREATE("trade.8354",C8356,E8356,A8356,"Receive")</f>
        <v/>
      </c>
      <c r="G8356" s="5"/>
      <c r="H8356" s="7" t="s">
        <v>8396</v>
      </c>
      <c r="I8356" s="9">
        <v>1835400</v>
      </c>
      <c r="J8356" s="10">
        <v>0.0354</v>
      </c>
    </row>
    <row r="8357" spans="1:10">
      <c r="A8357" s="7" t="s">
        <v>8390</v>
      </c>
      <c r="B8357" s="7" t="s">
        <v>10224</v>
      </c>
      <c r="C8357" s="8">
        <f>QS.CONTEXT.CREATE("market.8355",A8357,"USD","SOFR")</f>
        <v/>
      </c>
      <c r="D8357" s="8">
        <f>QS.CONTEXT.ADD.CURVE(C8357,"SOFR",$K$2:$K$7,$L$2:$L$7,,,"Actual360","LogLinear",TRUE)</f>
        <v/>
      </c>
      <c r="E8357" s="8">
        <f>QS.INSTRUMENT.SWAP("swap.8355",C8357,H8357,B8357,"USD","SOFR",I8357,J8357,0,"Actual360","Simple","Annual","Annual","Annual")</f>
        <v/>
      </c>
      <c r="F8357" s="8">
        <f>QS.TRADE.CREATE("trade.8355",C8357,E8357,A8357,"Receive")</f>
        <v/>
      </c>
      <c r="G8357" s="5"/>
      <c r="H8357" s="7" t="s">
        <v>8397</v>
      </c>
      <c r="I8357" s="9">
        <v>1835500</v>
      </c>
      <c r="J8357" s="10">
        <v>0.0355</v>
      </c>
    </row>
    <row r="8358" spans="1:10">
      <c r="A8358" s="7" t="s">
        <v>8391</v>
      </c>
      <c r="B8358" s="7" t="s">
        <v>10225</v>
      </c>
      <c r="C8358" s="8">
        <f>QS.CONTEXT.CREATE("market.8356",A8358,"USD","SOFR")</f>
        <v/>
      </c>
      <c r="D8358" s="8">
        <f>QS.CONTEXT.ADD.CURVE(C8358,"SOFR",$K$2:$K$7,$L$2:$L$7,,,"Actual360","LogLinear",TRUE)</f>
        <v/>
      </c>
      <c r="E8358" s="8">
        <f>QS.INSTRUMENT.SWAP("swap.8356",C8358,H8358,B8358,"USD","SOFR",I8358,J8358,0,"Actual360","Simple","Annual","Annual","Annual")</f>
        <v/>
      </c>
      <c r="F8358" s="8">
        <f>QS.TRADE.CREATE("trade.8356",C8358,E8358,A8358,"Receive")</f>
        <v/>
      </c>
      <c r="G8358" s="5"/>
      <c r="H8358" s="7" t="s">
        <v>8398</v>
      </c>
      <c r="I8358" s="9">
        <v>1835600</v>
      </c>
      <c r="J8358" s="10">
        <v>0.03560000000000001</v>
      </c>
    </row>
    <row r="8359" spans="1:10">
      <c r="A8359" s="7" t="s">
        <v>8392</v>
      </c>
      <c r="B8359" s="7" t="s">
        <v>10226</v>
      </c>
      <c r="C8359" s="8">
        <f>QS.CONTEXT.CREATE("market.8357",A8359,"USD","SOFR")</f>
        <v/>
      </c>
      <c r="D8359" s="8">
        <f>QS.CONTEXT.ADD.CURVE(C8359,"SOFR",$K$2:$K$7,$L$2:$L$7,,,"Actual360","LogLinear",TRUE)</f>
        <v/>
      </c>
      <c r="E8359" s="8">
        <f>QS.INSTRUMENT.SWAP("swap.8357",C8359,H8359,B8359,"USD","SOFR",I8359,J8359,0,"Actual360","Simple","Annual","Annual","Annual")</f>
        <v/>
      </c>
      <c r="F8359" s="8">
        <f>QS.TRADE.CREATE("trade.8357",C8359,E8359,A8359,"Receive")</f>
        <v/>
      </c>
      <c r="G8359" s="5"/>
      <c r="H8359" s="7" t="s">
        <v>8399</v>
      </c>
      <c r="I8359" s="9">
        <v>1835700</v>
      </c>
      <c r="J8359" s="10">
        <v>0.0357</v>
      </c>
    </row>
    <row r="8360" spans="1:10">
      <c r="A8360" s="7" t="s">
        <v>8393</v>
      </c>
      <c r="B8360" s="7" t="s">
        <v>10227</v>
      </c>
      <c r="C8360" s="8">
        <f>QS.CONTEXT.CREATE("market.8358",A8360,"USD","SOFR")</f>
        <v/>
      </c>
      <c r="D8360" s="8">
        <f>QS.CONTEXT.ADD.CURVE(C8360,"SOFR",$K$2:$K$7,$L$2:$L$7,,,"Actual360","LogLinear",TRUE)</f>
        <v/>
      </c>
      <c r="E8360" s="8">
        <f>QS.INSTRUMENT.SWAP("swap.8358",C8360,H8360,B8360,"USD","SOFR",I8360,J8360,0,"Actual360","Simple","Annual","Annual","Annual")</f>
        <v/>
      </c>
      <c r="F8360" s="8">
        <f>QS.TRADE.CREATE("trade.8358",C8360,E8360,A8360,"Receive")</f>
        <v/>
      </c>
      <c r="G8360" s="5"/>
      <c r="H8360" s="7" t="s">
        <v>8400</v>
      </c>
      <c r="I8360" s="9">
        <v>1835800</v>
      </c>
      <c r="J8360" s="10">
        <v>0.03580000000000001</v>
      </c>
    </row>
    <row r="8361" spans="1:10">
      <c r="A8361" s="7" t="s">
        <v>8394</v>
      </c>
      <c r="B8361" s="7" t="s">
        <v>10228</v>
      </c>
      <c r="C8361" s="8">
        <f>QS.CONTEXT.CREATE("market.8359",A8361,"USD","SOFR")</f>
        <v/>
      </c>
      <c r="D8361" s="8">
        <f>QS.CONTEXT.ADD.CURVE(C8361,"SOFR",$K$2:$K$7,$L$2:$L$7,,,"Actual360","LogLinear",TRUE)</f>
        <v/>
      </c>
      <c r="E8361" s="8">
        <f>QS.INSTRUMENT.SWAP("swap.8359",C8361,H8361,B8361,"USD","SOFR",I8361,J8361,0,"Actual360","Simple","Annual","Annual","Annual")</f>
        <v/>
      </c>
      <c r="F8361" s="8">
        <f>QS.TRADE.CREATE("trade.8359",C8361,E8361,A8361,"Receive")</f>
        <v/>
      </c>
      <c r="G8361" s="5"/>
      <c r="H8361" s="7" t="s">
        <v>8401</v>
      </c>
      <c r="I8361" s="9">
        <v>1835900</v>
      </c>
      <c r="J8361" s="10">
        <v>0.0359</v>
      </c>
    </row>
    <row r="8362" spans="1:10">
      <c r="A8362" s="7" t="s">
        <v>8395</v>
      </c>
      <c r="B8362" s="7" t="s">
        <v>10229</v>
      </c>
      <c r="C8362" s="8">
        <f>QS.CONTEXT.CREATE("market.8360",A8362,"USD","SOFR")</f>
        <v/>
      </c>
      <c r="D8362" s="8">
        <f>QS.CONTEXT.ADD.CURVE(C8362,"SOFR",$K$2:$K$7,$L$2:$L$7,,,"Actual360","LogLinear",TRUE)</f>
        <v/>
      </c>
      <c r="E8362" s="8">
        <f>QS.INSTRUMENT.SWAP("swap.8360",C8362,H8362,B8362,"USD","SOFR",I8362,J8362,0,"Actual360","Simple","Annual","Annual","Annual")</f>
        <v/>
      </c>
      <c r="F8362" s="8">
        <f>QS.TRADE.CREATE("trade.8360",C8362,E8362,A8362,"Receive")</f>
        <v/>
      </c>
      <c r="G8362" s="5"/>
      <c r="H8362" s="7" t="s">
        <v>8402</v>
      </c>
      <c r="I8362" s="9">
        <v>1836000</v>
      </c>
      <c r="J8362" s="10">
        <v>0.036</v>
      </c>
    </row>
    <row r="8363" spans="1:10">
      <c r="A8363" s="7" t="s">
        <v>8396</v>
      </c>
      <c r="B8363" s="7" t="s">
        <v>10230</v>
      </c>
      <c r="C8363" s="8">
        <f>QS.CONTEXT.CREATE("market.8361",A8363,"USD","SOFR")</f>
        <v/>
      </c>
      <c r="D8363" s="8">
        <f>QS.CONTEXT.ADD.CURVE(C8363,"SOFR",$K$2:$K$7,$L$2:$L$7,,,"Actual360","LogLinear",TRUE)</f>
        <v/>
      </c>
      <c r="E8363" s="8">
        <f>QS.INSTRUMENT.SWAP("swap.8361",C8363,H8363,B8363,"USD","SOFR",I8363,J8363,0,"Actual360","Simple","Annual","Annual","Annual")</f>
        <v/>
      </c>
      <c r="F8363" s="8">
        <f>QS.TRADE.CREATE("trade.8361",C8363,E8363,A8363,"Receive")</f>
        <v/>
      </c>
      <c r="G8363" s="5"/>
      <c r="H8363" s="7" t="s">
        <v>8403</v>
      </c>
      <c r="I8363" s="9">
        <v>1836100</v>
      </c>
      <c r="J8363" s="10">
        <v>0.0361</v>
      </c>
    </row>
    <row r="8364" spans="1:10">
      <c r="A8364" s="7" t="s">
        <v>8397</v>
      </c>
      <c r="B8364" s="7" t="s">
        <v>10231</v>
      </c>
      <c r="C8364" s="8">
        <f>QS.CONTEXT.CREATE("market.8362",A8364,"USD","SOFR")</f>
        <v/>
      </c>
      <c r="D8364" s="8">
        <f>QS.CONTEXT.ADD.CURVE(C8364,"SOFR",$K$2:$K$7,$L$2:$L$7,,,"Actual360","LogLinear",TRUE)</f>
        <v/>
      </c>
      <c r="E8364" s="8">
        <f>QS.INSTRUMENT.SWAP("swap.8362",C8364,H8364,B8364,"USD","SOFR",I8364,J8364,0,"Actual360","Simple","Annual","Annual","Annual")</f>
        <v/>
      </c>
      <c r="F8364" s="8">
        <f>QS.TRADE.CREATE("trade.8362",C8364,E8364,A8364,"Receive")</f>
        <v/>
      </c>
      <c r="G8364" s="5"/>
      <c r="H8364" s="7" t="s">
        <v>8404</v>
      </c>
      <c r="I8364" s="9">
        <v>1836200</v>
      </c>
      <c r="J8364" s="10">
        <v>0.0362</v>
      </c>
    </row>
    <row r="8365" spans="1:10">
      <c r="A8365" s="7" t="s">
        <v>8398</v>
      </c>
      <c r="B8365" s="7" t="s">
        <v>10232</v>
      </c>
      <c r="C8365" s="8">
        <f>QS.CONTEXT.CREATE("market.8363",A8365,"USD","SOFR")</f>
        <v/>
      </c>
      <c r="D8365" s="8">
        <f>QS.CONTEXT.ADD.CURVE(C8365,"SOFR",$K$2:$K$7,$L$2:$L$7,,,"Actual360","LogLinear",TRUE)</f>
        <v/>
      </c>
      <c r="E8365" s="8">
        <f>QS.INSTRUMENT.SWAP("swap.8363",C8365,H8365,B8365,"USD","SOFR",I8365,J8365,0,"Actual360","Simple","Annual","Annual","Annual")</f>
        <v/>
      </c>
      <c r="F8365" s="8">
        <f>QS.TRADE.CREATE("trade.8363",C8365,E8365,A8365,"Receive")</f>
        <v/>
      </c>
      <c r="G8365" s="5"/>
      <c r="H8365" s="7" t="s">
        <v>8405</v>
      </c>
      <c r="I8365" s="9">
        <v>1836300</v>
      </c>
      <c r="J8365" s="10">
        <v>0.03630000000000001</v>
      </c>
    </row>
    <row r="8366" spans="1:10">
      <c r="A8366" s="7" t="s">
        <v>8399</v>
      </c>
      <c r="B8366" s="7" t="s">
        <v>10233</v>
      </c>
      <c r="C8366" s="8">
        <f>QS.CONTEXT.CREATE("market.8364",A8366,"USD","SOFR")</f>
        <v/>
      </c>
      <c r="D8366" s="8">
        <f>QS.CONTEXT.ADD.CURVE(C8366,"SOFR",$K$2:$K$7,$L$2:$L$7,,,"Actual360","LogLinear",TRUE)</f>
        <v/>
      </c>
      <c r="E8366" s="8">
        <f>QS.INSTRUMENT.SWAP("swap.8364",C8366,H8366,B8366,"USD","SOFR",I8366,J8366,0,"Actual360","Simple","Annual","Annual","Annual")</f>
        <v/>
      </c>
      <c r="F8366" s="8">
        <f>QS.TRADE.CREATE("trade.8364",C8366,E8366,A8366,"Receive")</f>
        <v/>
      </c>
      <c r="G8366" s="5"/>
      <c r="H8366" s="7" t="s">
        <v>8406</v>
      </c>
      <c r="I8366" s="9">
        <v>1836400</v>
      </c>
      <c r="J8366" s="10">
        <v>0.0364</v>
      </c>
    </row>
    <row r="8367" spans="1:10">
      <c r="A8367" s="7" t="s">
        <v>8400</v>
      </c>
      <c r="B8367" s="7" t="s">
        <v>10234</v>
      </c>
      <c r="C8367" s="8">
        <f>QS.CONTEXT.CREATE("market.8365",A8367,"USD","SOFR")</f>
        <v/>
      </c>
      <c r="D8367" s="8">
        <f>QS.CONTEXT.ADD.CURVE(C8367,"SOFR",$K$2:$K$7,$L$2:$L$7,,,"Actual360","LogLinear",TRUE)</f>
        <v/>
      </c>
      <c r="E8367" s="8">
        <f>QS.INSTRUMENT.SWAP("swap.8365",C8367,H8367,B8367,"USD","SOFR",I8367,J8367,0,"Actual360","Simple","Annual","Annual","Annual")</f>
        <v/>
      </c>
      <c r="F8367" s="8">
        <f>QS.TRADE.CREATE("trade.8365",C8367,E8367,A8367,"Receive")</f>
        <v/>
      </c>
      <c r="G8367" s="5"/>
      <c r="H8367" s="7" t="s">
        <v>8407</v>
      </c>
      <c r="I8367" s="9">
        <v>1836500</v>
      </c>
      <c r="J8367" s="10">
        <v>0.0365</v>
      </c>
    </row>
    <row r="8368" spans="1:10">
      <c r="A8368" s="7" t="s">
        <v>8401</v>
      </c>
      <c r="B8368" s="7" t="s">
        <v>10235</v>
      </c>
      <c r="C8368" s="8">
        <f>QS.CONTEXT.CREATE("market.8366",A8368,"USD","SOFR")</f>
        <v/>
      </c>
      <c r="D8368" s="8">
        <f>QS.CONTEXT.ADD.CURVE(C8368,"SOFR",$K$2:$K$7,$L$2:$L$7,,,"Actual360","LogLinear",TRUE)</f>
        <v/>
      </c>
      <c r="E8368" s="8">
        <f>QS.INSTRUMENT.SWAP("swap.8366",C8368,H8368,B8368,"USD","SOFR",I8368,J8368,0,"Actual360","Simple","Annual","Annual","Annual")</f>
        <v/>
      </c>
      <c r="F8368" s="8">
        <f>QS.TRADE.CREATE("trade.8366",C8368,E8368,A8368,"Receive")</f>
        <v/>
      </c>
      <c r="G8368" s="5"/>
      <c r="H8368" s="7" t="s">
        <v>8408</v>
      </c>
      <c r="I8368" s="9">
        <v>1836600</v>
      </c>
      <c r="J8368" s="10">
        <v>0.0366</v>
      </c>
    </row>
    <row r="8369" spans="1:10">
      <c r="A8369" s="7" t="s">
        <v>8402</v>
      </c>
      <c r="B8369" s="7" t="s">
        <v>10236</v>
      </c>
      <c r="C8369" s="8">
        <f>QS.CONTEXT.CREATE("market.8367",A8369,"USD","SOFR")</f>
        <v/>
      </c>
      <c r="D8369" s="8">
        <f>QS.CONTEXT.ADD.CURVE(C8369,"SOFR",$K$2:$K$7,$L$2:$L$7,,,"Actual360","LogLinear",TRUE)</f>
        <v/>
      </c>
      <c r="E8369" s="8">
        <f>QS.INSTRUMENT.SWAP("swap.8367",C8369,H8369,B8369,"USD","SOFR",I8369,J8369,0,"Actual360","Simple","Annual","Annual","Annual")</f>
        <v/>
      </c>
      <c r="F8369" s="8">
        <f>QS.TRADE.CREATE("trade.8367",C8369,E8369,A8369,"Receive")</f>
        <v/>
      </c>
      <c r="G8369" s="5"/>
      <c r="H8369" s="7" t="s">
        <v>8409</v>
      </c>
      <c r="I8369" s="9">
        <v>1836700</v>
      </c>
      <c r="J8369" s="10">
        <v>0.0367</v>
      </c>
    </row>
    <row r="8370" spans="1:10">
      <c r="A8370" s="7" t="s">
        <v>8403</v>
      </c>
      <c r="B8370" s="7" t="s">
        <v>10237</v>
      </c>
      <c r="C8370" s="8">
        <f>QS.CONTEXT.CREATE("market.8368",A8370,"USD","SOFR")</f>
        <v/>
      </c>
      <c r="D8370" s="8">
        <f>QS.CONTEXT.ADD.CURVE(C8370,"SOFR",$K$2:$K$7,$L$2:$L$7,,,"Actual360","LogLinear",TRUE)</f>
        <v/>
      </c>
      <c r="E8370" s="8">
        <f>QS.INSTRUMENT.SWAP("swap.8368",C8370,H8370,B8370,"USD","SOFR",I8370,J8370,0,"Actual360","Simple","Annual","Annual","Annual")</f>
        <v/>
      </c>
      <c r="F8370" s="8">
        <f>QS.TRADE.CREATE("trade.8368",C8370,E8370,A8370,"Receive")</f>
        <v/>
      </c>
      <c r="G8370" s="5"/>
      <c r="H8370" s="7" t="s">
        <v>8410</v>
      </c>
      <c r="I8370" s="9">
        <v>1836800</v>
      </c>
      <c r="J8370" s="10">
        <v>0.03680000000000001</v>
      </c>
    </row>
    <row r="8371" spans="1:10">
      <c r="A8371" s="7" t="s">
        <v>8404</v>
      </c>
      <c r="B8371" s="7" t="s">
        <v>10238</v>
      </c>
      <c r="C8371" s="8">
        <f>QS.CONTEXT.CREATE("market.8369",A8371,"USD","SOFR")</f>
        <v/>
      </c>
      <c r="D8371" s="8">
        <f>QS.CONTEXT.ADD.CURVE(C8371,"SOFR",$K$2:$K$7,$L$2:$L$7,,,"Actual360","LogLinear",TRUE)</f>
        <v/>
      </c>
      <c r="E8371" s="8">
        <f>QS.INSTRUMENT.SWAP("swap.8369",C8371,H8371,B8371,"USD","SOFR",I8371,J8371,0,"Actual360","Simple","Annual","Annual","Annual")</f>
        <v/>
      </c>
      <c r="F8371" s="8">
        <f>QS.TRADE.CREATE("trade.8369",C8371,E8371,A8371,"Receive")</f>
        <v/>
      </c>
      <c r="G8371" s="5"/>
      <c r="H8371" s="7" t="s">
        <v>8411</v>
      </c>
      <c r="I8371" s="9">
        <v>1836900</v>
      </c>
      <c r="J8371" s="10">
        <v>0.0369</v>
      </c>
    </row>
    <row r="8372" spans="1:10">
      <c r="A8372" s="7" t="s">
        <v>8405</v>
      </c>
      <c r="B8372" s="7" t="s">
        <v>10239</v>
      </c>
      <c r="C8372" s="8">
        <f>QS.CONTEXT.CREATE("market.8370",A8372,"USD","SOFR")</f>
        <v/>
      </c>
      <c r="D8372" s="8">
        <f>QS.CONTEXT.ADD.CURVE(C8372,"SOFR",$K$2:$K$7,$L$2:$L$7,,,"Actual360","LogLinear",TRUE)</f>
        <v/>
      </c>
      <c r="E8372" s="8">
        <f>QS.INSTRUMENT.SWAP("swap.8370",C8372,H8372,B8372,"USD","SOFR",I8372,J8372,0,"Actual360","Simple","Annual","Annual","Annual")</f>
        <v/>
      </c>
      <c r="F8372" s="8">
        <f>QS.TRADE.CREATE("trade.8370",C8372,E8372,A8372,"Receive")</f>
        <v/>
      </c>
      <c r="G8372" s="5"/>
      <c r="H8372" s="7" t="s">
        <v>8412</v>
      </c>
      <c r="I8372" s="9">
        <v>1837000</v>
      </c>
      <c r="J8372" s="10">
        <v>0.03700000000000001</v>
      </c>
    </row>
    <row r="8373" spans="1:10">
      <c r="A8373" s="7" t="s">
        <v>8406</v>
      </c>
      <c r="B8373" s="7" t="s">
        <v>10240</v>
      </c>
      <c r="C8373" s="8">
        <f>QS.CONTEXT.CREATE("market.8371",A8373,"USD","SOFR")</f>
        <v/>
      </c>
      <c r="D8373" s="8">
        <f>QS.CONTEXT.ADD.CURVE(C8373,"SOFR",$K$2:$K$7,$L$2:$L$7,,,"Actual360","LogLinear",TRUE)</f>
        <v/>
      </c>
      <c r="E8373" s="8">
        <f>QS.INSTRUMENT.SWAP("swap.8371",C8373,H8373,B8373,"USD","SOFR",I8373,J8373,0,"Actual360","Simple","Annual","Annual","Annual")</f>
        <v/>
      </c>
      <c r="F8373" s="8">
        <f>QS.TRADE.CREATE("trade.8371",C8373,E8373,A8373,"Receive")</f>
        <v/>
      </c>
      <c r="G8373" s="5"/>
      <c r="H8373" s="7" t="s">
        <v>8413</v>
      </c>
      <c r="I8373" s="9">
        <v>1837100</v>
      </c>
      <c r="J8373" s="10">
        <v>0.0371</v>
      </c>
    </row>
    <row r="8374" spans="1:10">
      <c r="A8374" s="7" t="s">
        <v>8407</v>
      </c>
      <c r="B8374" s="7" t="s">
        <v>10241</v>
      </c>
      <c r="C8374" s="8">
        <f>QS.CONTEXT.CREATE("market.8372",A8374,"USD","SOFR")</f>
        <v/>
      </c>
      <c r="D8374" s="8">
        <f>QS.CONTEXT.ADD.CURVE(C8374,"SOFR",$K$2:$K$7,$L$2:$L$7,,,"Actual360","LogLinear",TRUE)</f>
        <v/>
      </c>
      <c r="E8374" s="8">
        <f>QS.INSTRUMENT.SWAP("swap.8372",C8374,H8374,B8374,"USD","SOFR",I8374,J8374,0,"Actual360","Simple","Annual","Annual","Annual")</f>
        <v/>
      </c>
      <c r="F8374" s="8">
        <f>QS.TRADE.CREATE("trade.8372",C8374,E8374,A8374,"Receive")</f>
        <v/>
      </c>
      <c r="G8374" s="5"/>
      <c r="H8374" s="7" t="s">
        <v>8414</v>
      </c>
      <c r="I8374" s="9">
        <v>1837200</v>
      </c>
      <c r="J8374" s="10">
        <v>0.0372</v>
      </c>
    </row>
    <row r="8375" spans="1:10">
      <c r="A8375" s="7" t="s">
        <v>8408</v>
      </c>
      <c r="B8375" s="7" t="s">
        <v>10242</v>
      </c>
      <c r="C8375" s="8">
        <f>QS.CONTEXT.CREATE("market.8373",A8375,"USD","SOFR")</f>
        <v/>
      </c>
      <c r="D8375" s="8">
        <f>QS.CONTEXT.ADD.CURVE(C8375,"SOFR",$K$2:$K$7,$L$2:$L$7,,,"Actual360","LogLinear",TRUE)</f>
        <v/>
      </c>
      <c r="E8375" s="8">
        <f>QS.INSTRUMENT.SWAP("swap.8373",C8375,H8375,B8375,"USD","SOFR",I8375,J8375,0,"Actual360","Simple","Annual","Annual","Annual")</f>
        <v/>
      </c>
      <c r="F8375" s="8">
        <f>QS.TRADE.CREATE("trade.8373",C8375,E8375,A8375,"Receive")</f>
        <v/>
      </c>
      <c r="G8375" s="5"/>
      <c r="H8375" s="7" t="s">
        <v>8415</v>
      </c>
      <c r="I8375" s="9">
        <v>1837300</v>
      </c>
      <c r="J8375" s="10">
        <v>0.0373</v>
      </c>
    </row>
    <row r="8376" spans="1:10">
      <c r="A8376" s="7" t="s">
        <v>8409</v>
      </c>
      <c r="B8376" s="7" t="s">
        <v>10243</v>
      </c>
      <c r="C8376" s="8">
        <f>QS.CONTEXT.CREATE("market.8374",A8376,"USD","SOFR")</f>
        <v/>
      </c>
      <c r="D8376" s="8">
        <f>QS.CONTEXT.ADD.CURVE(C8376,"SOFR",$K$2:$K$7,$L$2:$L$7,,,"Actual360","LogLinear",TRUE)</f>
        <v/>
      </c>
      <c r="E8376" s="8">
        <f>QS.INSTRUMENT.SWAP("swap.8374",C8376,H8376,B8376,"USD","SOFR",I8376,J8376,0,"Actual360","Simple","Annual","Annual","Annual")</f>
        <v/>
      </c>
      <c r="F8376" s="8">
        <f>QS.TRADE.CREATE("trade.8374",C8376,E8376,A8376,"Receive")</f>
        <v/>
      </c>
      <c r="G8376" s="5"/>
      <c r="H8376" s="7" t="s">
        <v>8416</v>
      </c>
      <c r="I8376" s="9">
        <v>1837400</v>
      </c>
      <c r="J8376" s="10">
        <v>0.0374</v>
      </c>
    </row>
    <row r="8377" spans="1:10">
      <c r="A8377" s="7" t="s">
        <v>8410</v>
      </c>
      <c r="B8377" s="7" t="s">
        <v>10244</v>
      </c>
      <c r="C8377" s="8">
        <f>QS.CONTEXT.CREATE("market.8375",A8377,"USD","SOFR")</f>
        <v/>
      </c>
      <c r="D8377" s="8">
        <f>QS.CONTEXT.ADD.CURVE(C8377,"SOFR",$K$2:$K$7,$L$2:$L$7,,,"Actual360","LogLinear",TRUE)</f>
        <v/>
      </c>
      <c r="E8377" s="8">
        <f>QS.INSTRUMENT.SWAP("swap.8375",C8377,H8377,B8377,"USD","SOFR",I8377,J8377,0,"Actual360","Simple","Annual","Annual","Annual")</f>
        <v/>
      </c>
      <c r="F8377" s="8">
        <f>QS.TRADE.CREATE("trade.8375",C8377,E8377,A8377,"Receive")</f>
        <v/>
      </c>
      <c r="G8377" s="5"/>
      <c r="H8377" s="7" t="s">
        <v>8417</v>
      </c>
      <c r="I8377" s="9">
        <v>1837500</v>
      </c>
      <c r="J8377" s="10">
        <v>0.03750000000000001</v>
      </c>
    </row>
    <row r="8378" spans="1:10">
      <c r="A8378" s="7" t="s">
        <v>8411</v>
      </c>
      <c r="B8378" s="7" t="s">
        <v>10245</v>
      </c>
      <c r="C8378" s="8">
        <f>QS.CONTEXT.CREATE("market.8376",A8378,"USD","SOFR")</f>
        <v/>
      </c>
      <c r="D8378" s="8">
        <f>QS.CONTEXT.ADD.CURVE(C8378,"SOFR",$K$2:$K$7,$L$2:$L$7,,,"Actual360","LogLinear",TRUE)</f>
        <v/>
      </c>
      <c r="E8378" s="8">
        <f>QS.INSTRUMENT.SWAP("swap.8376",C8378,H8378,B8378,"USD","SOFR",I8378,J8378,0,"Actual360","Simple","Annual","Annual","Annual")</f>
        <v/>
      </c>
      <c r="F8378" s="8">
        <f>QS.TRADE.CREATE("trade.8376",C8378,E8378,A8378,"Receive")</f>
        <v/>
      </c>
      <c r="G8378" s="5"/>
      <c r="H8378" s="7" t="s">
        <v>8418</v>
      </c>
      <c r="I8378" s="9">
        <v>1837600</v>
      </c>
      <c r="J8378" s="10">
        <v>0.0376</v>
      </c>
    </row>
    <row r="8379" spans="1:10">
      <c r="A8379" s="7" t="s">
        <v>8412</v>
      </c>
      <c r="B8379" s="7" t="s">
        <v>10246</v>
      </c>
      <c r="C8379" s="8">
        <f>QS.CONTEXT.CREATE("market.8377",A8379,"USD","SOFR")</f>
        <v/>
      </c>
      <c r="D8379" s="8">
        <f>QS.CONTEXT.ADD.CURVE(C8379,"SOFR",$K$2:$K$7,$L$2:$L$7,,,"Actual360","LogLinear",TRUE)</f>
        <v/>
      </c>
      <c r="E8379" s="8">
        <f>QS.INSTRUMENT.SWAP("swap.8377",C8379,H8379,B8379,"USD","SOFR",I8379,J8379,0,"Actual360","Simple","Annual","Annual","Annual")</f>
        <v/>
      </c>
      <c r="F8379" s="8">
        <f>QS.TRADE.CREATE("trade.8377",C8379,E8379,A8379,"Receive")</f>
        <v/>
      </c>
      <c r="G8379" s="5"/>
      <c r="H8379" s="7" t="s">
        <v>8419</v>
      </c>
      <c r="I8379" s="9">
        <v>1837700</v>
      </c>
      <c r="J8379" s="10">
        <v>0.0377</v>
      </c>
    </row>
    <row r="8380" spans="1:10">
      <c r="A8380" s="7" t="s">
        <v>8413</v>
      </c>
      <c r="B8380" s="7" t="s">
        <v>10247</v>
      </c>
      <c r="C8380" s="8">
        <f>QS.CONTEXT.CREATE("market.8378",A8380,"USD","SOFR")</f>
        <v/>
      </c>
      <c r="D8380" s="8">
        <f>QS.CONTEXT.ADD.CURVE(C8380,"SOFR",$K$2:$K$7,$L$2:$L$7,,,"Actual360","LogLinear",TRUE)</f>
        <v/>
      </c>
      <c r="E8380" s="8">
        <f>QS.INSTRUMENT.SWAP("swap.8378",C8380,H8380,B8380,"USD","SOFR",I8380,J8380,0,"Actual360","Simple","Annual","Annual","Annual")</f>
        <v/>
      </c>
      <c r="F8380" s="8">
        <f>QS.TRADE.CREATE("trade.8378",C8380,E8380,A8380,"Receive")</f>
        <v/>
      </c>
      <c r="G8380" s="5"/>
      <c r="H8380" s="7" t="s">
        <v>8420</v>
      </c>
      <c r="I8380" s="9">
        <v>1837800</v>
      </c>
      <c r="J8380" s="10">
        <v>0.0378</v>
      </c>
    </row>
    <row r="8381" spans="1:10">
      <c r="A8381" s="7" t="s">
        <v>8414</v>
      </c>
      <c r="B8381" s="7" t="s">
        <v>10248</v>
      </c>
      <c r="C8381" s="8">
        <f>QS.CONTEXT.CREATE("market.8379",A8381,"USD","SOFR")</f>
        <v/>
      </c>
      <c r="D8381" s="8">
        <f>QS.CONTEXT.ADD.CURVE(C8381,"SOFR",$K$2:$K$7,$L$2:$L$7,,,"Actual360","LogLinear",TRUE)</f>
        <v/>
      </c>
      <c r="E8381" s="8">
        <f>QS.INSTRUMENT.SWAP("swap.8379",C8381,H8381,B8381,"USD","SOFR",I8381,J8381,0,"Actual360","Simple","Annual","Annual","Annual")</f>
        <v/>
      </c>
      <c r="F8381" s="8">
        <f>QS.TRADE.CREATE("trade.8379",C8381,E8381,A8381,"Receive")</f>
        <v/>
      </c>
      <c r="G8381" s="5"/>
      <c r="H8381" s="7" t="s">
        <v>8421</v>
      </c>
      <c r="I8381" s="9">
        <v>1837900</v>
      </c>
      <c r="J8381" s="10">
        <v>0.0379</v>
      </c>
    </row>
    <row r="8382" spans="1:10">
      <c r="A8382" s="7" t="s">
        <v>8415</v>
      </c>
      <c r="B8382" s="7" t="s">
        <v>10249</v>
      </c>
      <c r="C8382" s="8">
        <f>QS.CONTEXT.CREATE("market.8380",A8382,"USD","SOFR")</f>
        <v/>
      </c>
      <c r="D8382" s="8">
        <f>QS.CONTEXT.ADD.CURVE(C8382,"SOFR",$K$2:$K$7,$L$2:$L$7,,,"Actual360","LogLinear",TRUE)</f>
        <v/>
      </c>
      <c r="E8382" s="8">
        <f>QS.INSTRUMENT.SWAP("swap.8380",C8382,H8382,B8382,"USD","SOFR",I8382,J8382,0,"Actual360","Simple","Annual","Annual","Annual")</f>
        <v/>
      </c>
      <c r="F8382" s="8">
        <f>QS.TRADE.CREATE("trade.8380",C8382,E8382,A8382,"Receive")</f>
        <v/>
      </c>
      <c r="G8382" s="5"/>
      <c r="H8382" s="7" t="s">
        <v>8422</v>
      </c>
      <c r="I8382" s="9">
        <v>1838000</v>
      </c>
      <c r="J8382" s="10">
        <v>0.03800000000000001</v>
      </c>
    </row>
    <row r="8383" spans="1:10">
      <c r="A8383" s="7" t="s">
        <v>8416</v>
      </c>
      <c r="B8383" s="7" t="s">
        <v>10250</v>
      </c>
      <c r="C8383" s="8">
        <f>QS.CONTEXT.CREATE("market.8381",A8383,"USD","SOFR")</f>
        <v/>
      </c>
      <c r="D8383" s="8">
        <f>QS.CONTEXT.ADD.CURVE(C8383,"SOFR",$K$2:$K$7,$L$2:$L$7,,,"Actual360","LogLinear",TRUE)</f>
        <v/>
      </c>
      <c r="E8383" s="8">
        <f>QS.INSTRUMENT.SWAP("swap.8381",C8383,H8383,B8383,"USD","SOFR",I8383,J8383,0,"Actual360","Simple","Annual","Annual","Annual")</f>
        <v/>
      </c>
      <c r="F8383" s="8">
        <f>QS.TRADE.CREATE("trade.8381",C8383,E8383,A8383,"Receive")</f>
        <v/>
      </c>
      <c r="G8383" s="5"/>
      <c r="H8383" s="7" t="s">
        <v>8423</v>
      </c>
      <c r="I8383" s="9">
        <v>1838100</v>
      </c>
      <c r="J8383" s="10">
        <v>0.0381</v>
      </c>
    </row>
    <row r="8384" spans="1:10">
      <c r="A8384" s="7" t="s">
        <v>8417</v>
      </c>
      <c r="B8384" s="7" t="s">
        <v>10251</v>
      </c>
      <c r="C8384" s="8">
        <f>QS.CONTEXT.CREATE("market.8382",A8384,"USD","SOFR")</f>
        <v/>
      </c>
      <c r="D8384" s="8">
        <f>QS.CONTEXT.ADD.CURVE(C8384,"SOFR",$K$2:$K$7,$L$2:$L$7,,,"Actual360","LogLinear",TRUE)</f>
        <v/>
      </c>
      <c r="E8384" s="8">
        <f>QS.INSTRUMENT.SWAP("swap.8382",C8384,H8384,B8384,"USD","SOFR",I8384,J8384,0,"Actual360","Simple","Annual","Annual","Annual")</f>
        <v/>
      </c>
      <c r="F8384" s="8">
        <f>QS.TRADE.CREATE("trade.8382",C8384,E8384,A8384,"Receive")</f>
        <v/>
      </c>
      <c r="G8384" s="5"/>
      <c r="H8384" s="7" t="s">
        <v>8424</v>
      </c>
      <c r="I8384" s="9">
        <v>1838200</v>
      </c>
      <c r="J8384" s="10">
        <v>0.0382</v>
      </c>
    </row>
    <row r="8385" spans="1:10">
      <c r="A8385" s="7" t="s">
        <v>8418</v>
      </c>
      <c r="B8385" s="7" t="s">
        <v>10252</v>
      </c>
      <c r="C8385" s="8">
        <f>QS.CONTEXT.CREATE("market.8383",A8385,"USD","SOFR")</f>
        <v/>
      </c>
      <c r="D8385" s="8">
        <f>QS.CONTEXT.ADD.CURVE(C8385,"SOFR",$K$2:$K$7,$L$2:$L$7,,,"Actual360","LogLinear",TRUE)</f>
        <v/>
      </c>
      <c r="E8385" s="8">
        <f>QS.INSTRUMENT.SWAP("swap.8383",C8385,H8385,B8385,"USD","SOFR",I8385,J8385,0,"Actual360","Simple","Annual","Annual","Annual")</f>
        <v/>
      </c>
      <c r="F8385" s="8">
        <f>QS.TRADE.CREATE("trade.8383",C8385,E8385,A8385,"Receive")</f>
        <v/>
      </c>
      <c r="G8385" s="5"/>
      <c r="H8385" s="7" t="s">
        <v>8425</v>
      </c>
      <c r="I8385" s="9">
        <v>1838300</v>
      </c>
      <c r="J8385" s="10">
        <v>0.0383</v>
      </c>
    </row>
    <row r="8386" spans="1:10">
      <c r="A8386" s="7" t="s">
        <v>8419</v>
      </c>
      <c r="B8386" s="7" t="s">
        <v>10253</v>
      </c>
      <c r="C8386" s="8">
        <f>QS.CONTEXT.CREATE("market.8384",A8386,"USD","SOFR")</f>
        <v/>
      </c>
      <c r="D8386" s="8">
        <f>QS.CONTEXT.ADD.CURVE(C8386,"SOFR",$K$2:$K$7,$L$2:$L$7,,,"Actual360","LogLinear",TRUE)</f>
        <v/>
      </c>
      <c r="E8386" s="8">
        <f>QS.INSTRUMENT.SWAP("swap.8384",C8386,H8386,B8386,"USD","SOFR",I8386,J8386,0,"Actual360","Simple","Annual","Annual","Annual")</f>
        <v/>
      </c>
      <c r="F8386" s="8">
        <f>QS.TRADE.CREATE("trade.8384",C8386,E8386,A8386,"Receive")</f>
        <v/>
      </c>
      <c r="G8386" s="5"/>
      <c r="H8386" s="7" t="s">
        <v>8426</v>
      </c>
      <c r="I8386" s="9">
        <v>1838400</v>
      </c>
      <c r="J8386" s="10">
        <v>0.0384</v>
      </c>
    </row>
    <row r="8387" spans="1:10">
      <c r="A8387" s="7" t="s">
        <v>8420</v>
      </c>
      <c r="B8387" s="7" t="s">
        <v>10254</v>
      </c>
      <c r="C8387" s="8">
        <f>QS.CONTEXT.CREATE("market.8385",A8387,"USD","SOFR")</f>
        <v/>
      </c>
      <c r="D8387" s="8">
        <f>QS.CONTEXT.ADD.CURVE(C8387,"SOFR",$K$2:$K$7,$L$2:$L$7,,,"Actual360","LogLinear",TRUE)</f>
        <v/>
      </c>
      <c r="E8387" s="8">
        <f>QS.INSTRUMENT.SWAP("swap.8385",C8387,H8387,B8387,"USD","SOFR",I8387,J8387,0,"Actual360","Simple","Annual","Annual","Annual")</f>
        <v/>
      </c>
      <c r="F8387" s="8">
        <f>QS.TRADE.CREATE("trade.8385",C8387,E8387,A8387,"Receive")</f>
        <v/>
      </c>
      <c r="G8387" s="5"/>
      <c r="H8387" s="7" t="s">
        <v>8427</v>
      </c>
      <c r="I8387" s="9">
        <v>1838500</v>
      </c>
      <c r="J8387" s="10">
        <v>0.03850000000000001</v>
      </c>
    </row>
    <row r="8388" spans="1:10">
      <c r="A8388" s="7" t="s">
        <v>8421</v>
      </c>
      <c r="B8388" s="7" t="s">
        <v>10255</v>
      </c>
      <c r="C8388" s="8">
        <f>QS.CONTEXT.CREATE("market.8386",A8388,"USD","SOFR")</f>
        <v/>
      </c>
      <c r="D8388" s="8">
        <f>QS.CONTEXT.ADD.CURVE(C8388,"SOFR",$K$2:$K$7,$L$2:$L$7,,,"Actual360","LogLinear",TRUE)</f>
        <v/>
      </c>
      <c r="E8388" s="8">
        <f>QS.INSTRUMENT.SWAP("swap.8386",C8388,H8388,B8388,"USD","SOFR",I8388,J8388,0,"Actual360","Simple","Annual","Annual","Annual")</f>
        <v/>
      </c>
      <c r="F8388" s="8">
        <f>QS.TRADE.CREATE("trade.8386",C8388,E8388,A8388,"Receive")</f>
        <v/>
      </c>
      <c r="G8388" s="5"/>
      <c r="H8388" s="7" t="s">
        <v>8428</v>
      </c>
      <c r="I8388" s="9">
        <v>1838600</v>
      </c>
      <c r="J8388" s="10">
        <v>0.0386</v>
      </c>
    </row>
    <row r="8389" spans="1:10">
      <c r="A8389" s="7" t="s">
        <v>8422</v>
      </c>
      <c r="B8389" s="7" t="s">
        <v>10256</v>
      </c>
      <c r="C8389" s="8">
        <f>QS.CONTEXT.CREATE("market.8387",A8389,"USD","SOFR")</f>
        <v/>
      </c>
      <c r="D8389" s="8">
        <f>QS.CONTEXT.ADD.CURVE(C8389,"SOFR",$K$2:$K$7,$L$2:$L$7,,,"Actual360","LogLinear",TRUE)</f>
        <v/>
      </c>
      <c r="E8389" s="8">
        <f>QS.INSTRUMENT.SWAP("swap.8387",C8389,H8389,B8389,"USD","SOFR",I8389,J8389,0,"Actual360","Simple","Annual","Annual","Annual")</f>
        <v/>
      </c>
      <c r="F8389" s="8">
        <f>QS.TRADE.CREATE("trade.8387",C8389,E8389,A8389,"Receive")</f>
        <v/>
      </c>
      <c r="G8389" s="5"/>
      <c r="H8389" s="7" t="s">
        <v>8429</v>
      </c>
      <c r="I8389" s="9">
        <v>1838700</v>
      </c>
      <c r="J8389" s="10">
        <v>0.03870000000000001</v>
      </c>
    </row>
    <row r="8390" spans="1:10">
      <c r="A8390" s="7" t="s">
        <v>8423</v>
      </c>
      <c r="B8390" s="7" t="s">
        <v>10257</v>
      </c>
      <c r="C8390" s="8">
        <f>QS.CONTEXT.CREATE("market.8388",A8390,"USD","SOFR")</f>
        <v/>
      </c>
      <c r="D8390" s="8">
        <f>QS.CONTEXT.ADD.CURVE(C8390,"SOFR",$K$2:$K$7,$L$2:$L$7,,,"Actual360","LogLinear",TRUE)</f>
        <v/>
      </c>
      <c r="E8390" s="8">
        <f>QS.INSTRUMENT.SWAP("swap.8388",C8390,H8390,B8390,"USD","SOFR",I8390,J8390,0,"Actual360","Simple","Annual","Annual","Annual")</f>
        <v/>
      </c>
      <c r="F8390" s="8">
        <f>QS.TRADE.CREATE("trade.8388",C8390,E8390,A8390,"Receive")</f>
        <v/>
      </c>
      <c r="G8390" s="5"/>
      <c r="H8390" s="7" t="s">
        <v>8430</v>
      </c>
      <c r="I8390" s="9">
        <v>1838800</v>
      </c>
      <c r="J8390" s="10">
        <v>0.0388</v>
      </c>
    </row>
    <row r="8391" spans="1:10">
      <c r="A8391" s="7" t="s">
        <v>8424</v>
      </c>
      <c r="B8391" s="7" t="s">
        <v>10258</v>
      </c>
      <c r="C8391" s="8">
        <f>QS.CONTEXT.CREATE("market.8389",A8391,"USD","SOFR")</f>
        <v/>
      </c>
      <c r="D8391" s="8">
        <f>QS.CONTEXT.ADD.CURVE(C8391,"SOFR",$K$2:$K$7,$L$2:$L$7,,,"Actual360","LogLinear",TRUE)</f>
        <v/>
      </c>
      <c r="E8391" s="8">
        <f>QS.INSTRUMENT.SWAP("swap.8389",C8391,H8391,B8391,"USD","SOFR",I8391,J8391,0,"Actual360","Simple","Annual","Annual","Annual")</f>
        <v/>
      </c>
      <c r="F8391" s="8">
        <f>QS.TRADE.CREATE("trade.8389",C8391,E8391,A8391,"Receive")</f>
        <v/>
      </c>
      <c r="G8391" s="5"/>
      <c r="H8391" s="7" t="s">
        <v>8431</v>
      </c>
      <c r="I8391" s="9">
        <v>1838900</v>
      </c>
      <c r="J8391" s="10">
        <v>0.0389</v>
      </c>
    </row>
    <row r="8392" spans="1:10">
      <c r="A8392" s="7" t="s">
        <v>8425</v>
      </c>
      <c r="B8392" s="7" t="s">
        <v>10259</v>
      </c>
      <c r="C8392" s="8">
        <f>QS.CONTEXT.CREATE("market.8390",A8392,"USD","SOFR")</f>
        <v/>
      </c>
      <c r="D8392" s="8">
        <f>QS.CONTEXT.ADD.CURVE(C8392,"SOFR",$K$2:$K$7,$L$2:$L$7,,,"Actual360","LogLinear",TRUE)</f>
        <v/>
      </c>
      <c r="E8392" s="8">
        <f>QS.INSTRUMENT.SWAP("swap.8390",C8392,H8392,B8392,"USD","SOFR",I8392,J8392,0,"Actual360","Simple","Annual","Annual","Annual")</f>
        <v/>
      </c>
      <c r="F8392" s="8">
        <f>QS.TRADE.CREATE("trade.8390",C8392,E8392,A8392,"Receive")</f>
        <v/>
      </c>
      <c r="G8392" s="5"/>
      <c r="H8392" s="7" t="s">
        <v>8432</v>
      </c>
      <c r="I8392" s="9">
        <v>1839000</v>
      </c>
      <c r="J8392" s="10">
        <v>0.03900000000000001</v>
      </c>
    </row>
    <row r="8393" spans="1:10">
      <c r="A8393" s="7" t="s">
        <v>8426</v>
      </c>
      <c r="B8393" s="7" t="s">
        <v>10260</v>
      </c>
      <c r="C8393" s="8">
        <f>QS.CONTEXT.CREATE("market.8391",A8393,"USD","SOFR")</f>
        <v/>
      </c>
      <c r="D8393" s="8">
        <f>QS.CONTEXT.ADD.CURVE(C8393,"SOFR",$K$2:$K$7,$L$2:$L$7,,,"Actual360","LogLinear",TRUE)</f>
        <v/>
      </c>
      <c r="E8393" s="8">
        <f>QS.INSTRUMENT.SWAP("swap.8391",C8393,H8393,B8393,"USD","SOFR",I8393,J8393,0,"Actual360","Simple","Annual","Annual","Annual")</f>
        <v/>
      </c>
      <c r="F8393" s="8">
        <f>QS.TRADE.CREATE("trade.8391",C8393,E8393,A8393,"Receive")</f>
        <v/>
      </c>
      <c r="G8393" s="5"/>
      <c r="H8393" s="7" t="s">
        <v>8433</v>
      </c>
      <c r="I8393" s="9">
        <v>1839100</v>
      </c>
      <c r="J8393" s="10">
        <v>0.0391</v>
      </c>
    </row>
    <row r="8394" spans="1:10">
      <c r="A8394" s="7" t="s">
        <v>8427</v>
      </c>
      <c r="B8394" s="7" t="s">
        <v>10261</v>
      </c>
      <c r="C8394" s="8">
        <f>QS.CONTEXT.CREATE("market.8392",A8394,"USD","SOFR")</f>
        <v/>
      </c>
      <c r="D8394" s="8">
        <f>QS.CONTEXT.ADD.CURVE(C8394,"SOFR",$K$2:$K$7,$L$2:$L$7,,,"Actual360","LogLinear",TRUE)</f>
        <v/>
      </c>
      <c r="E8394" s="8">
        <f>QS.INSTRUMENT.SWAP("swap.8392",C8394,H8394,B8394,"USD","SOFR",I8394,J8394,0,"Actual360","Simple","Annual","Annual","Annual")</f>
        <v/>
      </c>
      <c r="F8394" s="8">
        <f>QS.TRADE.CREATE("trade.8392",C8394,E8394,A8394,"Receive")</f>
        <v/>
      </c>
      <c r="G8394" s="5"/>
      <c r="H8394" s="7" t="s">
        <v>8434</v>
      </c>
      <c r="I8394" s="9">
        <v>1839200</v>
      </c>
      <c r="J8394" s="10">
        <v>0.03920000000000001</v>
      </c>
    </row>
    <row r="8395" spans="1:10">
      <c r="A8395" s="7" t="s">
        <v>8428</v>
      </c>
      <c r="B8395" s="7" t="s">
        <v>10262</v>
      </c>
      <c r="C8395" s="8">
        <f>QS.CONTEXT.CREATE("market.8393",A8395,"USD","SOFR")</f>
        <v/>
      </c>
      <c r="D8395" s="8">
        <f>QS.CONTEXT.ADD.CURVE(C8395,"SOFR",$K$2:$K$7,$L$2:$L$7,,,"Actual360","LogLinear",TRUE)</f>
        <v/>
      </c>
      <c r="E8395" s="8">
        <f>QS.INSTRUMENT.SWAP("swap.8393",C8395,H8395,B8395,"USD","SOFR",I8395,J8395,0,"Actual360","Simple","Annual","Annual","Annual")</f>
        <v/>
      </c>
      <c r="F8395" s="8">
        <f>QS.TRADE.CREATE("trade.8393",C8395,E8395,A8395,"Receive")</f>
        <v/>
      </c>
      <c r="G8395" s="5"/>
      <c r="H8395" s="7" t="s">
        <v>8435</v>
      </c>
      <c r="I8395" s="9">
        <v>1839300</v>
      </c>
      <c r="J8395" s="10">
        <v>0.0393</v>
      </c>
    </row>
    <row r="8396" spans="1:10">
      <c r="A8396" s="7" t="s">
        <v>8429</v>
      </c>
      <c r="B8396" s="7" t="s">
        <v>10263</v>
      </c>
      <c r="C8396" s="8">
        <f>QS.CONTEXT.CREATE("market.8394",A8396,"USD","SOFR")</f>
        <v/>
      </c>
      <c r="D8396" s="8">
        <f>QS.CONTEXT.ADD.CURVE(C8396,"SOFR",$K$2:$K$7,$L$2:$L$7,,,"Actual360","LogLinear",TRUE)</f>
        <v/>
      </c>
      <c r="E8396" s="8">
        <f>QS.INSTRUMENT.SWAP("swap.8394",C8396,H8396,B8396,"USD","SOFR",I8396,J8396,0,"Actual360","Simple","Annual","Annual","Annual")</f>
        <v/>
      </c>
      <c r="F8396" s="8">
        <f>QS.TRADE.CREATE("trade.8394",C8396,E8396,A8396,"Receive")</f>
        <v/>
      </c>
      <c r="G8396" s="5"/>
      <c r="H8396" s="7" t="s">
        <v>8436</v>
      </c>
      <c r="I8396" s="9">
        <v>1839400</v>
      </c>
      <c r="J8396" s="10">
        <v>0.0394</v>
      </c>
    </row>
    <row r="8397" spans="1:10">
      <c r="A8397" s="7" t="s">
        <v>8430</v>
      </c>
      <c r="B8397" s="7" t="s">
        <v>10264</v>
      </c>
      <c r="C8397" s="8">
        <f>QS.CONTEXT.CREATE("market.8395",A8397,"USD","SOFR")</f>
        <v/>
      </c>
      <c r="D8397" s="8">
        <f>QS.CONTEXT.ADD.CURVE(C8397,"SOFR",$K$2:$K$7,$L$2:$L$7,,,"Actual360","LogLinear",TRUE)</f>
        <v/>
      </c>
      <c r="E8397" s="8">
        <f>QS.INSTRUMENT.SWAP("swap.8395",C8397,H8397,B8397,"USD","SOFR",I8397,J8397,0,"Actual360","Simple","Annual","Annual","Annual")</f>
        <v/>
      </c>
      <c r="F8397" s="8">
        <f>QS.TRADE.CREATE("trade.8395",C8397,E8397,A8397,"Receive")</f>
        <v/>
      </c>
      <c r="G8397" s="5"/>
      <c r="H8397" s="7" t="s">
        <v>8437</v>
      </c>
      <c r="I8397" s="9">
        <v>1839500</v>
      </c>
      <c r="J8397" s="10">
        <v>0.03950000000000001</v>
      </c>
    </row>
    <row r="8398" spans="1:10">
      <c r="A8398" s="7" t="s">
        <v>8431</v>
      </c>
      <c r="B8398" s="7" t="s">
        <v>10265</v>
      </c>
      <c r="C8398" s="8">
        <f>QS.CONTEXT.CREATE("market.8396",A8398,"USD","SOFR")</f>
        <v/>
      </c>
      <c r="D8398" s="8">
        <f>QS.CONTEXT.ADD.CURVE(C8398,"SOFR",$K$2:$K$7,$L$2:$L$7,,,"Actual360","LogLinear",TRUE)</f>
        <v/>
      </c>
      <c r="E8398" s="8">
        <f>QS.INSTRUMENT.SWAP("swap.8396",C8398,H8398,B8398,"USD","SOFR",I8398,J8398,0,"Actual360","Simple","Annual","Annual","Annual")</f>
        <v/>
      </c>
      <c r="F8398" s="8">
        <f>QS.TRADE.CREATE("trade.8396",C8398,E8398,A8398,"Receive")</f>
        <v/>
      </c>
      <c r="G8398" s="5"/>
      <c r="H8398" s="7" t="s">
        <v>8438</v>
      </c>
      <c r="I8398" s="9">
        <v>1839600</v>
      </c>
      <c r="J8398" s="10">
        <v>0.0396</v>
      </c>
    </row>
    <row r="8399" spans="1:10">
      <c r="A8399" s="7" t="s">
        <v>8432</v>
      </c>
      <c r="B8399" s="7" t="s">
        <v>10266</v>
      </c>
      <c r="C8399" s="8">
        <f>QS.CONTEXT.CREATE("market.8397",A8399,"USD","SOFR")</f>
        <v/>
      </c>
      <c r="D8399" s="8">
        <f>QS.CONTEXT.ADD.CURVE(C8399,"SOFR",$K$2:$K$7,$L$2:$L$7,,,"Actual360","LogLinear",TRUE)</f>
        <v/>
      </c>
      <c r="E8399" s="8">
        <f>QS.INSTRUMENT.SWAP("swap.8397",C8399,H8399,B8399,"USD","SOFR",I8399,J8399,0,"Actual360","Simple","Annual","Annual","Annual")</f>
        <v/>
      </c>
      <c r="F8399" s="8">
        <f>QS.TRADE.CREATE("trade.8397",C8399,E8399,A8399,"Receive")</f>
        <v/>
      </c>
      <c r="G8399" s="5"/>
      <c r="H8399" s="7" t="s">
        <v>8439</v>
      </c>
      <c r="I8399" s="9">
        <v>1839700</v>
      </c>
      <c r="J8399" s="10">
        <v>0.03970000000000001</v>
      </c>
    </row>
    <row r="8400" spans="1:10">
      <c r="A8400" s="7" t="s">
        <v>8433</v>
      </c>
      <c r="B8400" s="7" t="s">
        <v>10267</v>
      </c>
      <c r="C8400" s="8">
        <f>QS.CONTEXT.CREATE("market.8398",A8400,"USD","SOFR")</f>
        <v/>
      </c>
      <c r="D8400" s="8">
        <f>QS.CONTEXT.ADD.CURVE(C8400,"SOFR",$K$2:$K$7,$L$2:$L$7,,,"Actual360","LogLinear",TRUE)</f>
        <v/>
      </c>
      <c r="E8400" s="8">
        <f>QS.INSTRUMENT.SWAP("swap.8398",C8400,H8400,B8400,"USD","SOFR",I8400,J8400,0,"Actual360","Simple","Annual","Annual","Annual")</f>
        <v/>
      </c>
      <c r="F8400" s="8">
        <f>QS.TRADE.CREATE("trade.8398",C8400,E8400,A8400,"Receive")</f>
        <v/>
      </c>
      <c r="G8400" s="5"/>
      <c r="H8400" s="7" t="s">
        <v>8440</v>
      </c>
      <c r="I8400" s="9">
        <v>1839800</v>
      </c>
      <c r="J8400" s="10">
        <v>0.0398</v>
      </c>
    </row>
    <row r="8401" spans="1:10">
      <c r="A8401" s="7" t="s">
        <v>8434</v>
      </c>
      <c r="B8401" s="7" t="s">
        <v>10268</v>
      </c>
      <c r="C8401" s="8">
        <f>QS.CONTEXT.CREATE("market.8399",A8401,"USD","SOFR")</f>
        <v/>
      </c>
      <c r="D8401" s="8">
        <f>QS.CONTEXT.ADD.CURVE(C8401,"SOFR",$K$2:$K$7,$L$2:$L$7,,,"Actual360","LogLinear",TRUE)</f>
        <v/>
      </c>
      <c r="E8401" s="8">
        <f>QS.INSTRUMENT.SWAP("swap.8399",C8401,H8401,B8401,"USD","SOFR",I8401,J8401,0,"Actual360","Simple","Annual","Annual","Annual")</f>
        <v/>
      </c>
      <c r="F8401" s="8">
        <f>QS.TRADE.CREATE("trade.8399",C8401,E8401,A8401,"Receive")</f>
        <v/>
      </c>
      <c r="G8401" s="5"/>
      <c r="H8401" s="7" t="s">
        <v>8441</v>
      </c>
      <c r="I8401" s="9">
        <v>1839900</v>
      </c>
      <c r="J8401" s="10">
        <v>0.0399</v>
      </c>
    </row>
    <row r="8402" spans="1:10">
      <c r="A8402" s="7" t="s">
        <v>8435</v>
      </c>
      <c r="B8402" s="7" t="s">
        <v>10269</v>
      </c>
      <c r="C8402" s="8">
        <f>QS.CONTEXT.CREATE("market.8400",A8402,"USD","SOFR")</f>
        <v/>
      </c>
      <c r="D8402" s="8">
        <f>QS.CONTEXT.ADD.CURVE(C8402,"SOFR",$K$2:$K$7,$L$2:$L$7,,,"Actual360","LogLinear",TRUE)</f>
        <v/>
      </c>
      <c r="E8402" s="8">
        <f>QS.INSTRUMENT.SWAP("swap.8400",C8402,H8402,B8402,"USD","SOFR",I8402,J8402,0,"Actual360","Simple","Annual","Annual","Annual")</f>
        <v/>
      </c>
      <c r="F8402" s="8">
        <f>QS.TRADE.CREATE("trade.8400",C8402,E8402,A8402,"Receive")</f>
        <v/>
      </c>
      <c r="G8402" s="5"/>
      <c r="H8402" s="7" t="s">
        <v>8442</v>
      </c>
      <c r="I8402" s="9">
        <v>1840000</v>
      </c>
      <c r="J8402" s="10">
        <v>0.035</v>
      </c>
    </row>
    <row r="8403" spans="1:10">
      <c r="A8403" s="7" t="s">
        <v>8436</v>
      </c>
      <c r="B8403" s="7" t="s">
        <v>10270</v>
      </c>
      <c r="C8403" s="8">
        <f>QS.CONTEXT.CREATE("market.8401",A8403,"USD","SOFR")</f>
        <v/>
      </c>
      <c r="D8403" s="8">
        <f>QS.CONTEXT.ADD.CURVE(C8403,"SOFR",$K$2:$K$7,$L$2:$L$7,,,"Actual360","LogLinear",TRUE)</f>
        <v/>
      </c>
      <c r="E8403" s="8">
        <f>QS.INSTRUMENT.SWAP("swap.8401",C8403,H8403,B8403,"USD","SOFR",I8403,J8403,0,"Actual360","Simple","Annual","Annual","Annual")</f>
        <v/>
      </c>
      <c r="F8403" s="8">
        <f>QS.TRADE.CREATE("trade.8401",C8403,E8403,A8403,"Receive")</f>
        <v/>
      </c>
      <c r="G8403" s="5"/>
      <c r="H8403" s="7" t="s">
        <v>8443</v>
      </c>
      <c r="I8403" s="9">
        <v>1840100</v>
      </c>
      <c r="J8403" s="10">
        <v>0.03510000000000001</v>
      </c>
    </row>
    <row r="8404" spans="1:10">
      <c r="A8404" s="7" t="s">
        <v>8437</v>
      </c>
      <c r="B8404" s="7" t="s">
        <v>10271</v>
      </c>
      <c r="C8404" s="8">
        <f>QS.CONTEXT.CREATE("market.8402",A8404,"USD","SOFR")</f>
        <v/>
      </c>
      <c r="D8404" s="8">
        <f>QS.CONTEXT.ADD.CURVE(C8404,"SOFR",$K$2:$K$7,$L$2:$L$7,,,"Actual360","LogLinear",TRUE)</f>
        <v/>
      </c>
      <c r="E8404" s="8">
        <f>QS.INSTRUMENT.SWAP("swap.8402",C8404,H8404,B8404,"USD","SOFR",I8404,J8404,0,"Actual360","Simple","Annual","Annual","Annual")</f>
        <v/>
      </c>
      <c r="F8404" s="8">
        <f>QS.TRADE.CREATE("trade.8402",C8404,E8404,A8404,"Receive")</f>
        <v/>
      </c>
      <c r="G8404" s="5"/>
      <c r="H8404" s="7" t="s">
        <v>8444</v>
      </c>
      <c r="I8404" s="9">
        <v>1840200</v>
      </c>
      <c r="J8404" s="10">
        <v>0.0352</v>
      </c>
    </row>
    <row r="8405" spans="1:10">
      <c r="A8405" s="7" t="s">
        <v>8438</v>
      </c>
      <c r="B8405" s="7" t="s">
        <v>10272</v>
      </c>
      <c r="C8405" s="8">
        <f>QS.CONTEXT.CREATE("market.8403",A8405,"USD","SOFR")</f>
        <v/>
      </c>
      <c r="D8405" s="8">
        <f>QS.CONTEXT.ADD.CURVE(C8405,"SOFR",$K$2:$K$7,$L$2:$L$7,,,"Actual360","LogLinear",TRUE)</f>
        <v/>
      </c>
      <c r="E8405" s="8">
        <f>QS.INSTRUMENT.SWAP("swap.8403",C8405,H8405,B8405,"USD","SOFR",I8405,J8405,0,"Actual360","Simple","Annual","Annual","Annual")</f>
        <v/>
      </c>
      <c r="F8405" s="8">
        <f>QS.TRADE.CREATE("trade.8403",C8405,E8405,A8405,"Receive")</f>
        <v/>
      </c>
      <c r="G8405" s="5"/>
      <c r="H8405" s="7" t="s">
        <v>8445</v>
      </c>
      <c r="I8405" s="9">
        <v>1840300</v>
      </c>
      <c r="J8405" s="10">
        <v>0.0353</v>
      </c>
    </row>
    <row r="8406" spans="1:10">
      <c r="A8406" s="7" t="s">
        <v>8439</v>
      </c>
      <c r="B8406" s="7" t="s">
        <v>10273</v>
      </c>
      <c r="C8406" s="8">
        <f>QS.CONTEXT.CREATE("market.8404",A8406,"USD","SOFR")</f>
        <v/>
      </c>
      <c r="D8406" s="8">
        <f>QS.CONTEXT.ADD.CURVE(C8406,"SOFR",$K$2:$K$7,$L$2:$L$7,,,"Actual360","LogLinear",TRUE)</f>
        <v/>
      </c>
      <c r="E8406" s="8">
        <f>QS.INSTRUMENT.SWAP("swap.8404",C8406,H8406,B8406,"USD","SOFR",I8406,J8406,0,"Actual360","Simple","Annual","Annual","Annual")</f>
        <v/>
      </c>
      <c r="F8406" s="8">
        <f>QS.TRADE.CREATE("trade.8404",C8406,E8406,A8406,"Receive")</f>
        <v/>
      </c>
      <c r="G8406" s="5"/>
      <c r="H8406" s="7" t="s">
        <v>8446</v>
      </c>
      <c r="I8406" s="9">
        <v>1840400</v>
      </c>
      <c r="J8406" s="10">
        <v>0.0354</v>
      </c>
    </row>
    <row r="8407" spans="1:10">
      <c r="A8407" s="7" t="s">
        <v>8440</v>
      </c>
      <c r="B8407" s="7" t="s">
        <v>10274</v>
      </c>
      <c r="C8407" s="8">
        <f>QS.CONTEXT.CREATE("market.8405",A8407,"USD","SOFR")</f>
        <v/>
      </c>
      <c r="D8407" s="8">
        <f>QS.CONTEXT.ADD.CURVE(C8407,"SOFR",$K$2:$K$7,$L$2:$L$7,,,"Actual360","LogLinear",TRUE)</f>
        <v/>
      </c>
      <c r="E8407" s="8">
        <f>QS.INSTRUMENT.SWAP("swap.8405",C8407,H8407,B8407,"USD","SOFR",I8407,J8407,0,"Actual360","Simple","Annual","Annual","Annual")</f>
        <v/>
      </c>
      <c r="F8407" s="8">
        <f>QS.TRADE.CREATE("trade.8405",C8407,E8407,A8407,"Receive")</f>
        <v/>
      </c>
      <c r="G8407" s="5"/>
      <c r="H8407" s="7" t="s">
        <v>8447</v>
      </c>
      <c r="I8407" s="9">
        <v>1840500</v>
      </c>
      <c r="J8407" s="10">
        <v>0.0355</v>
      </c>
    </row>
    <row r="8408" spans="1:10">
      <c r="A8408" s="7" t="s">
        <v>8441</v>
      </c>
      <c r="B8408" s="7" t="s">
        <v>10275</v>
      </c>
      <c r="C8408" s="8">
        <f>QS.CONTEXT.CREATE("market.8406",A8408,"USD","SOFR")</f>
        <v/>
      </c>
      <c r="D8408" s="8">
        <f>QS.CONTEXT.ADD.CURVE(C8408,"SOFR",$K$2:$K$7,$L$2:$L$7,,,"Actual360","LogLinear",TRUE)</f>
        <v/>
      </c>
      <c r="E8408" s="8">
        <f>QS.INSTRUMENT.SWAP("swap.8406",C8408,H8408,B8408,"USD","SOFR",I8408,J8408,0,"Actual360","Simple","Annual","Annual","Annual")</f>
        <v/>
      </c>
      <c r="F8408" s="8">
        <f>QS.TRADE.CREATE("trade.8406",C8408,E8408,A8408,"Receive")</f>
        <v/>
      </c>
      <c r="G8408" s="5"/>
      <c r="H8408" s="7" t="s">
        <v>8448</v>
      </c>
      <c r="I8408" s="9">
        <v>1840600</v>
      </c>
      <c r="J8408" s="10">
        <v>0.03560000000000001</v>
      </c>
    </row>
    <row r="8409" spans="1:10">
      <c r="A8409" s="7" t="s">
        <v>8442</v>
      </c>
      <c r="B8409" s="7" t="s">
        <v>10276</v>
      </c>
      <c r="C8409" s="8">
        <f>QS.CONTEXT.CREATE("market.8407",A8409,"USD","SOFR")</f>
        <v/>
      </c>
      <c r="D8409" s="8">
        <f>QS.CONTEXT.ADD.CURVE(C8409,"SOFR",$K$2:$K$7,$L$2:$L$7,,,"Actual360","LogLinear",TRUE)</f>
        <v/>
      </c>
      <c r="E8409" s="8">
        <f>QS.INSTRUMENT.SWAP("swap.8407",C8409,H8409,B8409,"USD","SOFR",I8409,J8409,0,"Actual360","Simple","Annual","Annual","Annual")</f>
        <v/>
      </c>
      <c r="F8409" s="8">
        <f>QS.TRADE.CREATE("trade.8407",C8409,E8409,A8409,"Receive")</f>
        <v/>
      </c>
      <c r="G8409" s="5"/>
      <c r="H8409" s="7" t="s">
        <v>8449</v>
      </c>
      <c r="I8409" s="9">
        <v>1840700</v>
      </c>
      <c r="J8409" s="10">
        <v>0.0357</v>
      </c>
    </row>
    <row r="8410" spans="1:10">
      <c r="A8410" s="7" t="s">
        <v>8443</v>
      </c>
      <c r="B8410" s="7" t="s">
        <v>10277</v>
      </c>
      <c r="C8410" s="8">
        <f>QS.CONTEXT.CREATE("market.8408",A8410,"USD","SOFR")</f>
        <v/>
      </c>
      <c r="D8410" s="8">
        <f>QS.CONTEXT.ADD.CURVE(C8410,"SOFR",$K$2:$K$7,$L$2:$L$7,,,"Actual360","LogLinear",TRUE)</f>
        <v/>
      </c>
      <c r="E8410" s="8">
        <f>QS.INSTRUMENT.SWAP("swap.8408",C8410,H8410,B8410,"USD","SOFR",I8410,J8410,0,"Actual360","Simple","Annual","Annual","Annual")</f>
        <v/>
      </c>
      <c r="F8410" s="8">
        <f>QS.TRADE.CREATE("trade.8408",C8410,E8410,A8410,"Receive")</f>
        <v/>
      </c>
      <c r="G8410" s="5"/>
      <c r="H8410" s="7" t="s">
        <v>8450</v>
      </c>
      <c r="I8410" s="9">
        <v>1840800</v>
      </c>
      <c r="J8410" s="10">
        <v>0.03580000000000001</v>
      </c>
    </row>
    <row r="8411" spans="1:10">
      <c r="A8411" s="7" t="s">
        <v>8444</v>
      </c>
      <c r="B8411" s="7" t="s">
        <v>10278</v>
      </c>
      <c r="C8411" s="8">
        <f>QS.CONTEXT.CREATE("market.8409",A8411,"USD","SOFR")</f>
        <v/>
      </c>
      <c r="D8411" s="8">
        <f>QS.CONTEXT.ADD.CURVE(C8411,"SOFR",$K$2:$K$7,$L$2:$L$7,,,"Actual360","LogLinear",TRUE)</f>
        <v/>
      </c>
      <c r="E8411" s="8">
        <f>QS.INSTRUMENT.SWAP("swap.8409",C8411,H8411,B8411,"USD","SOFR",I8411,J8411,0,"Actual360","Simple","Annual","Annual","Annual")</f>
        <v/>
      </c>
      <c r="F8411" s="8">
        <f>QS.TRADE.CREATE("trade.8409",C8411,E8411,A8411,"Receive")</f>
        <v/>
      </c>
      <c r="G8411" s="5"/>
      <c r="H8411" s="7" t="s">
        <v>8451</v>
      </c>
      <c r="I8411" s="9">
        <v>1840900</v>
      </c>
      <c r="J8411" s="10">
        <v>0.0359</v>
      </c>
    </row>
    <row r="8412" spans="1:10">
      <c r="A8412" s="7" t="s">
        <v>8445</v>
      </c>
      <c r="B8412" s="7" t="s">
        <v>10279</v>
      </c>
      <c r="C8412" s="8">
        <f>QS.CONTEXT.CREATE("market.8410",A8412,"USD","SOFR")</f>
        <v/>
      </c>
      <c r="D8412" s="8">
        <f>QS.CONTEXT.ADD.CURVE(C8412,"SOFR",$K$2:$K$7,$L$2:$L$7,,,"Actual360","LogLinear",TRUE)</f>
        <v/>
      </c>
      <c r="E8412" s="8">
        <f>QS.INSTRUMENT.SWAP("swap.8410",C8412,H8412,B8412,"USD","SOFR",I8412,J8412,0,"Actual360","Simple","Annual","Annual","Annual")</f>
        <v/>
      </c>
      <c r="F8412" s="8">
        <f>QS.TRADE.CREATE("trade.8410",C8412,E8412,A8412,"Receive")</f>
        <v/>
      </c>
      <c r="G8412" s="5"/>
      <c r="H8412" s="7" t="s">
        <v>8452</v>
      </c>
      <c r="I8412" s="9">
        <v>1841000</v>
      </c>
      <c r="J8412" s="10">
        <v>0.036</v>
      </c>
    </row>
    <row r="8413" spans="1:10">
      <c r="A8413" s="7" t="s">
        <v>8446</v>
      </c>
      <c r="B8413" s="7" t="s">
        <v>10280</v>
      </c>
      <c r="C8413" s="8">
        <f>QS.CONTEXT.CREATE("market.8411",A8413,"USD","SOFR")</f>
        <v/>
      </c>
      <c r="D8413" s="8">
        <f>QS.CONTEXT.ADD.CURVE(C8413,"SOFR",$K$2:$K$7,$L$2:$L$7,,,"Actual360","LogLinear",TRUE)</f>
        <v/>
      </c>
      <c r="E8413" s="8">
        <f>QS.INSTRUMENT.SWAP("swap.8411",C8413,H8413,B8413,"USD","SOFR",I8413,J8413,0,"Actual360","Simple","Annual","Annual","Annual")</f>
        <v/>
      </c>
      <c r="F8413" s="8">
        <f>QS.TRADE.CREATE("trade.8411",C8413,E8413,A8413,"Receive")</f>
        <v/>
      </c>
      <c r="G8413" s="5"/>
      <c r="H8413" s="7" t="s">
        <v>8453</v>
      </c>
      <c r="I8413" s="9">
        <v>1841100</v>
      </c>
      <c r="J8413" s="10">
        <v>0.0361</v>
      </c>
    </row>
    <row r="8414" spans="1:10">
      <c r="A8414" s="7" t="s">
        <v>8447</v>
      </c>
      <c r="B8414" s="7" t="s">
        <v>10281</v>
      </c>
      <c r="C8414" s="8">
        <f>QS.CONTEXT.CREATE("market.8412",A8414,"USD","SOFR")</f>
        <v/>
      </c>
      <c r="D8414" s="8">
        <f>QS.CONTEXT.ADD.CURVE(C8414,"SOFR",$K$2:$K$7,$L$2:$L$7,,,"Actual360","LogLinear",TRUE)</f>
        <v/>
      </c>
      <c r="E8414" s="8">
        <f>QS.INSTRUMENT.SWAP("swap.8412",C8414,H8414,B8414,"USD","SOFR",I8414,J8414,0,"Actual360","Simple","Annual","Annual","Annual")</f>
        <v/>
      </c>
      <c r="F8414" s="8">
        <f>QS.TRADE.CREATE("trade.8412",C8414,E8414,A8414,"Receive")</f>
        <v/>
      </c>
      <c r="G8414" s="5"/>
      <c r="H8414" s="7" t="s">
        <v>8454</v>
      </c>
      <c r="I8414" s="9">
        <v>1841200</v>
      </c>
      <c r="J8414" s="10">
        <v>0.0362</v>
      </c>
    </row>
    <row r="8415" spans="1:10">
      <c r="A8415" s="7" t="s">
        <v>8448</v>
      </c>
      <c r="B8415" s="7" t="s">
        <v>10282</v>
      </c>
      <c r="C8415" s="8">
        <f>QS.CONTEXT.CREATE("market.8413",A8415,"USD","SOFR")</f>
        <v/>
      </c>
      <c r="D8415" s="8">
        <f>QS.CONTEXT.ADD.CURVE(C8415,"SOFR",$K$2:$K$7,$L$2:$L$7,,,"Actual360","LogLinear",TRUE)</f>
        <v/>
      </c>
      <c r="E8415" s="8">
        <f>QS.INSTRUMENT.SWAP("swap.8413",C8415,H8415,B8415,"USD","SOFR",I8415,J8415,0,"Actual360","Simple","Annual","Annual","Annual")</f>
        <v/>
      </c>
      <c r="F8415" s="8">
        <f>QS.TRADE.CREATE("trade.8413",C8415,E8415,A8415,"Receive")</f>
        <v/>
      </c>
      <c r="G8415" s="5"/>
      <c r="H8415" s="7" t="s">
        <v>8455</v>
      </c>
      <c r="I8415" s="9">
        <v>1841300</v>
      </c>
      <c r="J8415" s="10">
        <v>0.03630000000000001</v>
      </c>
    </row>
    <row r="8416" spans="1:10">
      <c r="A8416" s="7" t="s">
        <v>8449</v>
      </c>
      <c r="B8416" s="7" t="s">
        <v>10283</v>
      </c>
      <c r="C8416" s="8">
        <f>QS.CONTEXT.CREATE("market.8414",A8416,"USD","SOFR")</f>
        <v/>
      </c>
      <c r="D8416" s="8">
        <f>QS.CONTEXT.ADD.CURVE(C8416,"SOFR",$K$2:$K$7,$L$2:$L$7,,,"Actual360","LogLinear",TRUE)</f>
        <v/>
      </c>
      <c r="E8416" s="8">
        <f>QS.INSTRUMENT.SWAP("swap.8414",C8416,H8416,B8416,"USD","SOFR",I8416,J8416,0,"Actual360","Simple","Annual","Annual","Annual")</f>
        <v/>
      </c>
      <c r="F8416" s="8">
        <f>QS.TRADE.CREATE("trade.8414",C8416,E8416,A8416,"Receive")</f>
        <v/>
      </c>
      <c r="G8416" s="5"/>
      <c r="H8416" s="7" t="s">
        <v>8456</v>
      </c>
      <c r="I8416" s="9">
        <v>1841400</v>
      </c>
      <c r="J8416" s="10">
        <v>0.0364</v>
      </c>
    </row>
    <row r="8417" spans="1:10">
      <c r="A8417" s="7" t="s">
        <v>8450</v>
      </c>
      <c r="B8417" s="7" t="s">
        <v>10284</v>
      </c>
      <c r="C8417" s="8">
        <f>QS.CONTEXT.CREATE("market.8415",A8417,"USD","SOFR")</f>
        <v/>
      </c>
      <c r="D8417" s="8">
        <f>QS.CONTEXT.ADD.CURVE(C8417,"SOFR",$K$2:$K$7,$L$2:$L$7,,,"Actual360","LogLinear",TRUE)</f>
        <v/>
      </c>
      <c r="E8417" s="8">
        <f>QS.INSTRUMENT.SWAP("swap.8415",C8417,H8417,B8417,"USD","SOFR",I8417,J8417,0,"Actual360","Simple","Annual","Annual","Annual")</f>
        <v/>
      </c>
      <c r="F8417" s="8">
        <f>QS.TRADE.CREATE("trade.8415",C8417,E8417,A8417,"Receive")</f>
        <v/>
      </c>
      <c r="G8417" s="5"/>
      <c r="H8417" s="7" t="s">
        <v>8457</v>
      </c>
      <c r="I8417" s="9">
        <v>1841500</v>
      </c>
      <c r="J8417" s="10">
        <v>0.0365</v>
      </c>
    </row>
    <row r="8418" spans="1:10">
      <c r="A8418" s="7" t="s">
        <v>8451</v>
      </c>
      <c r="B8418" s="7" t="s">
        <v>10285</v>
      </c>
      <c r="C8418" s="8">
        <f>QS.CONTEXT.CREATE("market.8416",A8418,"USD","SOFR")</f>
        <v/>
      </c>
      <c r="D8418" s="8">
        <f>QS.CONTEXT.ADD.CURVE(C8418,"SOFR",$K$2:$K$7,$L$2:$L$7,,,"Actual360","LogLinear",TRUE)</f>
        <v/>
      </c>
      <c r="E8418" s="8">
        <f>QS.INSTRUMENT.SWAP("swap.8416",C8418,H8418,B8418,"USD","SOFR",I8418,J8418,0,"Actual360","Simple","Annual","Annual","Annual")</f>
        <v/>
      </c>
      <c r="F8418" s="8">
        <f>QS.TRADE.CREATE("trade.8416",C8418,E8418,A8418,"Receive")</f>
        <v/>
      </c>
      <c r="G8418" s="5"/>
      <c r="H8418" s="7" t="s">
        <v>8458</v>
      </c>
      <c r="I8418" s="9">
        <v>1841600</v>
      </c>
      <c r="J8418" s="10">
        <v>0.0366</v>
      </c>
    </row>
    <row r="8419" spans="1:10">
      <c r="A8419" s="7" t="s">
        <v>8452</v>
      </c>
      <c r="B8419" s="7" t="s">
        <v>10286</v>
      </c>
      <c r="C8419" s="8">
        <f>QS.CONTEXT.CREATE("market.8417",A8419,"USD","SOFR")</f>
        <v/>
      </c>
      <c r="D8419" s="8">
        <f>QS.CONTEXT.ADD.CURVE(C8419,"SOFR",$K$2:$K$7,$L$2:$L$7,,,"Actual360","LogLinear",TRUE)</f>
        <v/>
      </c>
      <c r="E8419" s="8">
        <f>QS.INSTRUMENT.SWAP("swap.8417",C8419,H8419,B8419,"USD","SOFR",I8419,J8419,0,"Actual360","Simple","Annual","Annual","Annual")</f>
        <v/>
      </c>
      <c r="F8419" s="8">
        <f>QS.TRADE.CREATE("trade.8417",C8419,E8419,A8419,"Receive")</f>
        <v/>
      </c>
      <c r="G8419" s="5"/>
      <c r="H8419" s="7" t="s">
        <v>8459</v>
      </c>
      <c r="I8419" s="9">
        <v>1841700</v>
      </c>
      <c r="J8419" s="10">
        <v>0.0367</v>
      </c>
    </row>
    <row r="8420" spans="1:10">
      <c r="A8420" s="7" t="s">
        <v>8453</v>
      </c>
      <c r="B8420" s="7" t="s">
        <v>10287</v>
      </c>
      <c r="C8420" s="8">
        <f>QS.CONTEXT.CREATE("market.8418",A8420,"USD","SOFR")</f>
        <v/>
      </c>
      <c r="D8420" s="8">
        <f>QS.CONTEXT.ADD.CURVE(C8420,"SOFR",$K$2:$K$7,$L$2:$L$7,,,"Actual360","LogLinear",TRUE)</f>
        <v/>
      </c>
      <c r="E8420" s="8">
        <f>QS.INSTRUMENT.SWAP("swap.8418",C8420,H8420,B8420,"USD","SOFR",I8420,J8420,0,"Actual360","Simple","Annual","Annual","Annual")</f>
        <v/>
      </c>
      <c r="F8420" s="8">
        <f>QS.TRADE.CREATE("trade.8418",C8420,E8420,A8420,"Receive")</f>
        <v/>
      </c>
      <c r="G8420" s="5"/>
      <c r="H8420" s="7" t="s">
        <v>8460</v>
      </c>
      <c r="I8420" s="9">
        <v>1841800</v>
      </c>
      <c r="J8420" s="10">
        <v>0.03680000000000001</v>
      </c>
    </row>
    <row r="8421" spans="1:10">
      <c r="A8421" s="7" t="s">
        <v>8454</v>
      </c>
      <c r="B8421" s="7" t="s">
        <v>10288</v>
      </c>
      <c r="C8421" s="8">
        <f>QS.CONTEXT.CREATE("market.8419",A8421,"USD","SOFR")</f>
        <v/>
      </c>
      <c r="D8421" s="8">
        <f>QS.CONTEXT.ADD.CURVE(C8421,"SOFR",$K$2:$K$7,$L$2:$L$7,,,"Actual360","LogLinear",TRUE)</f>
        <v/>
      </c>
      <c r="E8421" s="8">
        <f>QS.INSTRUMENT.SWAP("swap.8419",C8421,H8421,B8421,"USD","SOFR",I8421,J8421,0,"Actual360","Simple","Annual","Annual","Annual")</f>
        <v/>
      </c>
      <c r="F8421" s="8">
        <f>QS.TRADE.CREATE("trade.8419",C8421,E8421,A8421,"Receive")</f>
        <v/>
      </c>
      <c r="G8421" s="5"/>
      <c r="H8421" s="7" t="s">
        <v>8461</v>
      </c>
      <c r="I8421" s="9">
        <v>1841900</v>
      </c>
      <c r="J8421" s="10">
        <v>0.0369</v>
      </c>
    </row>
    <row r="8422" spans="1:10">
      <c r="A8422" s="7" t="s">
        <v>8455</v>
      </c>
      <c r="B8422" s="7" t="s">
        <v>10289</v>
      </c>
      <c r="C8422" s="8">
        <f>QS.CONTEXT.CREATE("market.8420",A8422,"USD","SOFR")</f>
        <v/>
      </c>
      <c r="D8422" s="8">
        <f>QS.CONTEXT.ADD.CURVE(C8422,"SOFR",$K$2:$K$7,$L$2:$L$7,,,"Actual360","LogLinear",TRUE)</f>
        <v/>
      </c>
      <c r="E8422" s="8">
        <f>QS.INSTRUMENT.SWAP("swap.8420",C8422,H8422,B8422,"USD","SOFR",I8422,J8422,0,"Actual360","Simple","Annual","Annual","Annual")</f>
        <v/>
      </c>
      <c r="F8422" s="8">
        <f>QS.TRADE.CREATE("trade.8420",C8422,E8422,A8422,"Receive")</f>
        <v/>
      </c>
      <c r="G8422" s="5"/>
      <c r="H8422" s="7" t="s">
        <v>8462</v>
      </c>
      <c r="I8422" s="9">
        <v>1842000</v>
      </c>
      <c r="J8422" s="10">
        <v>0.03700000000000001</v>
      </c>
    </row>
    <row r="8423" spans="1:10">
      <c r="A8423" s="7" t="s">
        <v>8456</v>
      </c>
      <c r="B8423" s="7" t="s">
        <v>10290</v>
      </c>
      <c r="C8423" s="8">
        <f>QS.CONTEXT.CREATE("market.8421",A8423,"USD","SOFR")</f>
        <v/>
      </c>
      <c r="D8423" s="8">
        <f>QS.CONTEXT.ADD.CURVE(C8423,"SOFR",$K$2:$K$7,$L$2:$L$7,,,"Actual360","LogLinear",TRUE)</f>
        <v/>
      </c>
      <c r="E8423" s="8">
        <f>QS.INSTRUMENT.SWAP("swap.8421",C8423,H8423,B8423,"USD","SOFR",I8423,J8423,0,"Actual360","Simple","Annual","Annual","Annual")</f>
        <v/>
      </c>
      <c r="F8423" s="8">
        <f>QS.TRADE.CREATE("trade.8421",C8423,E8423,A8423,"Receive")</f>
        <v/>
      </c>
      <c r="G8423" s="5"/>
      <c r="H8423" s="7" t="s">
        <v>8463</v>
      </c>
      <c r="I8423" s="9">
        <v>1842100</v>
      </c>
      <c r="J8423" s="10">
        <v>0.0371</v>
      </c>
    </row>
    <row r="8424" spans="1:10">
      <c r="A8424" s="7" t="s">
        <v>8457</v>
      </c>
      <c r="B8424" s="7" t="s">
        <v>10291</v>
      </c>
      <c r="C8424" s="8">
        <f>QS.CONTEXT.CREATE("market.8422",A8424,"USD","SOFR")</f>
        <v/>
      </c>
      <c r="D8424" s="8">
        <f>QS.CONTEXT.ADD.CURVE(C8424,"SOFR",$K$2:$K$7,$L$2:$L$7,,,"Actual360","LogLinear",TRUE)</f>
        <v/>
      </c>
      <c r="E8424" s="8">
        <f>QS.INSTRUMENT.SWAP("swap.8422",C8424,H8424,B8424,"USD","SOFR",I8424,J8424,0,"Actual360","Simple","Annual","Annual","Annual")</f>
        <v/>
      </c>
      <c r="F8424" s="8">
        <f>QS.TRADE.CREATE("trade.8422",C8424,E8424,A8424,"Receive")</f>
        <v/>
      </c>
      <c r="G8424" s="5"/>
      <c r="H8424" s="7" t="s">
        <v>8464</v>
      </c>
      <c r="I8424" s="9">
        <v>1842200</v>
      </c>
      <c r="J8424" s="10">
        <v>0.0372</v>
      </c>
    </row>
    <row r="8425" spans="1:10">
      <c r="A8425" s="7" t="s">
        <v>8458</v>
      </c>
      <c r="B8425" s="7" t="s">
        <v>10292</v>
      </c>
      <c r="C8425" s="8">
        <f>QS.CONTEXT.CREATE("market.8423",A8425,"USD","SOFR")</f>
        <v/>
      </c>
      <c r="D8425" s="8">
        <f>QS.CONTEXT.ADD.CURVE(C8425,"SOFR",$K$2:$K$7,$L$2:$L$7,,,"Actual360","LogLinear",TRUE)</f>
        <v/>
      </c>
      <c r="E8425" s="8">
        <f>QS.INSTRUMENT.SWAP("swap.8423",C8425,H8425,B8425,"USD","SOFR",I8425,J8425,0,"Actual360","Simple","Annual","Annual","Annual")</f>
        <v/>
      </c>
      <c r="F8425" s="8">
        <f>QS.TRADE.CREATE("trade.8423",C8425,E8425,A8425,"Receive")</f>
        <v/>
      </c>
      <c r="G8425" s="5"/>
      <c r="H8425" s="7" t="s">
        <v>8465</v>
      </c>
      <c r="I8425" s="9">
        <v>1842300</v>
      </c>
      <c r="J8425" s="10">
        <v>0.0373</v>
      </c>
    </row>
    <row r="8426" spans="1:10">
      <c r="A8426" s="7" t="s">
        <v>8459</v>
      </c>
      <c r="B8426" s="7" t="s">
        <v>10293</v>
      </c>
      <c r="C8426" s="8">
        <f>QS.CONTEXT.CREATE("market.8424",A8426,"USD","SOFR")</f>
        <v/>
      </c>
      <c r="D8426" s="8">
        <f>QS.CONTEXT.ADD.CURVE(C8426,"SOFR",$K$2:$K$7,$L$2:$L$7,,,"Actual360","LogLinear",TRUE)</f>
        <v/>
      </c>
      <c r="E8426" s="8">
        <f>QS.INSTRUMENT.SWAP("swap.8424",C8426,H8426,B8426,"USD","SOFR",I8426,J8426,0,"Actual360","Simple","Annual","Annual","Annual")</f>
        <v/>
      </c>
      <c r="F8426" s="8">
        <f>QS.TRADE.CREATE("trade.8424",C8426,E8426,A8426,"Receive")</f>
        <v/>
      </c>
      <c r="G8426" s="5"/>
      <c r="H8426" s="7" t="s">
        <v>8466</v>
      </c>
      <c r="I8426" s="9">
        <v>1842400</v>
      </c>
      <c r="J8426" s="10">
        <v>0.0374</v>
      </c>
    </row>
    <row r="8427" spans="1:10">
      <c r="A8427" s="7" t="s">
        <v>8460</v>
      </c>
      <c r="B8427" s="7" t="s">
        <v>10294</v>
      </c>
      <c r="C8427" s="8">
        <f>QS.CONTEXT.CREATE("market.8425",A8427,"USD","SOFR")</f>
        <v/>
      </c>
      <c r="D8427" s="8">
        <f>QS.CONTEXT.ADD.CURVE(C8427,"SOFR",$K$2:$K$7,$L$2:$L$7,,,"Actual360","LogLinear",TRUE)</f>
        <v/>
      </c>
      <c r="E8427" s="8">
        <f>QS.INSTRUMENT.SWAP("swap.8425",C8427,H8427,B8427,"USD","SOFR",I8427,J8427,0,"Actual360","Simple","Annual","Annual","Annual")</f>
        <v/>
      </c>
      <c r="F8427" s="8">
        <f>QS.TRADE.CREATE("trade.8425",C8427,E8427,A8427,"Receive")</f>
        <v/>
      </c>
      <c r="G8427" s="5"/>
      <c r="H8427" s="7" t="s">
        <v>8467</v>
      </c>
      <c r="I8427" s="9">
        <v>1842500</v>
      </c>
      <c r="J8427" s="10">
        <v>0.03750000000000001</v>
      </c>
    </row>
    <row r="8428" spans="1:10">
      <c r="A8428" s="7" t="s">
        <v>8461</v>
      </c>
      <c r="B8428" s="7" t="s">
        <v>10295</v>
      </c>
      <c r="C8428" s="8">
        <f>QS.CONTEXT.CREATE("market.8426",A8428,"USD","SOFR")</f>
        <v/>
      </c>
      <c r="D8428" s="8">
        <f>QS.CONTEXT.ADD.CURVE(C8428,"SOFR",$K$2:$K$7,$L$2:$L$7,,,"Actual360","LogLinear",TRUE)</f>
        <v/>
      </c>
      <c r="E8428" s="8">
        <f>QS.INSTRUMENT.SWAP("swap.8426",C8428,H8428,B8428,"USD","SOFR",I8428,J8428,0,"Actual360","Simple","Annual","Annual","Annual")</f>
        <v/>
      </c>
      <c r="F8428" s="8">
        <f>QS.TRADE.CREATE("trade.8426",C8428,E8428,A8428,"Receive")</f>
        <v/>
      </c>
      <c r="G8428" s="5"/>
      <c r="H8428" s="7" t="s">
        <v>8468</v>
      </c>
      <c r="I8428" s="9">
        <v>1842600</v>
      </c>
      <c r="J8428" s="10">
        <v>0.0376</v>
      </c>
    </row>
    <row r="8429" spans="1:10">
      <c r="A8429" s="7" t="s">
        <v>8462</v>
      </c>
      <c r="B8429" s="7" t="s">
        <v>10296</v>
      </c>
      <c r="C8429" s="8">
        <f>QS.CONTEXT.CREATE("market.8427",A8429,"USD","SOFR")</f>
        <v/>
      </c>
      <c r="D8429" s="8">
        <f>QS.CONTEXT.ADD.CURVE(C8429,"SOFR",$K$2:$K$7,$L$2:$L$7,,,"Actual360","LogLinear",TRUE)</f>
        <v/>
      </c>
      <c r="E8429" s="8">
        <f>QS.INSTRUMENT.SWAP("swap.8427",C8429,H8429,B8429,"USD","SOFR",I8429,J8429,0,"Actual360","Simple","Annual","Annual","Annual")</f>
        <v/>
      </c>
      <c r="F8429" s="8">
        <f>QS.TRADE.CREATE("trade.8427",C8429,E8429,A8429,"Receive")</f>
        <v/>
      </c>
      <c r="G8429" s="5"/>
      <c r="H8429" s="7" t="s">
        <v>8469</v>
      </c>
      <c r="I8429" s="9">
        <v>1842700</v>
      </c>
      <c r="J8429" s="10">
        <v>0.0377</v>
      </c>
    </row>
    <row r="8430" spans="1:10">
      <c r="A8430" s="7" t="s">
        <v>8463</v>
      </c>
      <c r="B8430" s="7" t="s">
        <v>10297</v>
      </c>
      <c r="C8430" s="8">
        <f>QS.CONTEXT.CREATE("market.8428",A8430,"USD","SOFR")</f>
        <v/>
      </c>
      <c r="D8430" s="8">
        <f>QS.CONTEXT.ADD.CURVE(C8430,"SOFR",$K$2:$K$7,$L$2:$L$7,,,"Actual360","LogLinear",TRUE)</f>
        <v/>
      </c>
      <c r="E8430" s="8">
        <f>QS.INSTRUMENT.SWAP("swap.8428",C8430,H8430,B8430,"USD","SOFR",I8430,J8430,0,"Actual360","Simple","Annual","Annual","Annual")</f>
        <v/>
      </c>
      <c r="F8430" s="8">
        <f>QS.TRADE.CREATE("trade.8428",C8430,E8430,A8430,"Receive")</f>
        <v/>
      </c>
      <c r="G8430" s="5"/>
      <c r="H8430" s="7" t="s">
        <v>8470</v>
      </c>
      <c r="I8430" s="9">
        <v>1842800</v>
      </c>
      <c r="J8430" s="10">
        <v>0.0378</v>
      </c>
    </row>
    <row r="8431" spans="1:10">
      <c r="A8431" s="7" t="s">
        <v>8464</v>
      </c>
      <c r="B8431" s="7" t="s">
        <v>10298</v>
      </c>
      <c r="C8431" s="8">
        <f>QS.CONTEXT.CREATE("market.8429",A8431,"USD","SOFR")</f>
        <v/>
      </c>
      <c r="D8431" s="8">
        <f>QS.CONTEXT.ADD.CURVE(C8431,"SOFR",$K$2:$K$7,$L$2:$L$7,,,"Actual360","LogLinear",TRUE)</f>
        <v/>
      </c>
      <c r="E8431" s="8">
        <f>QS.INSTRUMENT.SWAP("swap.8429",C8431,H8431,B8431,"USD","SOFR",I8431,J8431,0,"Actual360","Simple","Annual","Annual","Annual")</f>
        <v/>
      </c>
      <c r="F8431" s="8">
        <f>QS.TRADE.CREATE("trade.8429",C8431,E8431,A8431,"Receive")</f>
        <v/>
      </c>
      <c r="G8431" s="5"/>
      <c r="H8431" s="7" t="s">
        <v>8471</v>
      </c>
      <c r="I8431" s="9">
        <v>1842900</v>
      </c>
      <c r="J8431" s="10">
        <v>0.0379</v>
      </c>
    </row>
    <row r="8432" spans="1:10">
      <c r="A8432" s="7" t="s">
        <v>8465</v>
      </c>
      <c r="B8432" s="7" t="s">
        <v>10299</v>
      </c>
      <c r="C8432" s="8">
        <f>QS.CONTEXT.CREATE("market.8430",A8432,"USD","SOFR")</f>
        <v/>
      </c>
      <c r="D8432" s="8">
        <f>QS.CONTEXT.ADD.CURVE(C8432,"SOFR",$K$2:$K$7,$L$2:$L$7,,,"Actual360","LogLinear",TRUE)</f>
        <v/>
      </c>
      <c r="E8432" s="8">
        <f>QS.INSTRUMENT.SWAP("swap.8430",C8432,H8432,B8432,"USD","SOFR",I8432,J8432,0,"Actual360","Simple","Annual","Annual","Annual")</f>
        <v/>
      </c>
      <c r="F8432" s="8">
        <f>QS.TRADE.CREATE("trade.8430",C8432,E8432,A8432,"Receive")</f>
        <v/>
      </c>
      <c r="G8432" s="5"/>
      <c r="H8432" s="7" t="s">
        <v>8472</v>
      </c>
      <c r="I8432" s="9">
        <v>1843000</v>
      </c>
      <c r="J8432" s="10">
        <v>0.03800000000000001</v>
      </c>
    </row>
    <row r="8433" spans="1:10">
      <c r="A8433" s="7" t="s">
        <v>8466</v>
      </c>
      <c r="B8433" s="7" t="s">
        <v>10300</v>
      </c>
      <c r="C8433" s="8">
        <f>QS.CONTEXT.CREATE("market.8431",A8433,"USD","SOFR")</f>
        <v/>
      </c>
      <c r="D8433" s="8">
        <f>QS.CONTEXT.ADD.CURVE(C8433,"SOFR",$K$2:$K$7,$L$2:$L$7,,,"Actual360","LogLinear",TRUE)</f>
        <v/>
      </c>
      <c r="E8433" s="8">
        <f>QS.INSTRUMENT.SWAP("swap.8431",C8433,H8433,B8433,"USD","SOFR",I8433,J8433,0,"Actual360","Simple","Annual","Annual","Annual")</f>
        <v/>
      </c>
      <c r="F8433" s="8">
        <f>QS.TRADE.CREATE("trade.8431",C8433,E8433,A8433,"Receive")</f>
        <v/>
      </c>
      <c r="G8433" s="5"/>
      <c r="H8433" s="7" t="s">
        <v>8473</v>
      </c>
      <c r="I8433" s="9">
        <v>1843100</v>
      </c>
      <c r="J8433" s="10">
        <v>0.0381</v>
      </c>
    </row>
    <row r="8434" spans="1:10">
      <c r="A8434" s="7" t="s">
        <v>8467</v>
      </c>
      <c r="B8434" s="7" t="s">
        <v>10301</v>
      </c>
      <c r="C8434" s="8">
        <f>QS.CONTEXT.CREATE("market.8432",A8434,"USD","SOFR")</f>
        <v/>
      </c>
      <c r="D8434" s="8">
        <f>QS.CONTEXT.ADD.CURVE(C8434,"SOFR",$K$2:$K$7,$L$2:$L$7,,,"Actual360","LogLinear",TRUE)</f>
        <v/>
      </c>
      <c r="E8434" s="8">
        <f>QS.INSTRUMENT.SWAP("swap.8432",C8434,H8434,B8434,"USD","SOFR",I8434,J8434,0,"Actual360","Simple","Annual","Annual","Annual")</f>
        <v/>
      </c>
      <c r="F8434" s="8">
        <f>QS.TRADE.CREATE("trade.8432",C8434,E8434,A8434,"Receive")</f>
        <v/>
      </c>
      <c r="G8434" s="5"/>
      <c r="H8434" s="7" t="s">
        <v>8474</v>
      </c>
      <c r="I8434" s="9">
        <v>1843200</v>
      </c>
      <c r="J8434" s="10">
        <v>0.0382</v>
      </c>
    </row>
    <row r="8435" spans="1:10">
      <c r="A8435" s="7" t="s">
        <v>8468</v>
      </c>
      <c r="B8435" s="7" t="s">
        <v>10302</v>
      </c>
      <c r="C8435" s="8">
        <f>QS.CONTEXT.CREATE("market.8433",A8435,"USD","SOFR")</f>
        <v/>
      </c>
      <c r="D8435" s="8">
        <f>QS.CONTEXT.ADD.CURVE(C8435,"SOFR",$K$2:$K$7,$L$2:$L$7,,,"Actual360","LogLinear",TRUE)</f>
        <v/>
      </c>
      <c r="E8435" s="8">
        <f>QS.INSTRUMENT.SWAP("swap.8433",C8435,H8435,B8435,"USD","SOFR",I8435,J8435,0,"Actual360","Simple","Annual","Annual","Annual")</f>
        <v/>
      </c>
      <c r="F8435" s="8">
        <f>QS.TRADE.CREATE("trade.8433",C8435,E8435,A8435,"Receive")</f>
        <v/>
      </c>
      <c r="G8435" s="5"/>
      <c r="H8435" s="7" t="s">
        <v>8475</v>
      </c>
      <c r="I8435" s="9">
        <v>1843300</v>
      </c>
      <c r="J8435" s="10">
        <v>0.0383</v>
      </c>
    </row>
    <row r="8436" spans="1:10">
      <c r="A8436" s="7" t="s">
        <v>8469</v>
      </c>
      <c r="B8436" s="7" t="s">
        <v>10303</v>
      </c>
      <c r="C8436" s="8">
        <f>QS.CONTEXT.CREATE("market.8434",A8436,"USD","SOFR")</f>
        <v/>
      </c>
      <c r="D8436" s="8">
        <f>QS.CONTEXT.ADD.CURVE(C8436,"SOFR",$K$2:$K$7,$L$2:$L$7,,,"Actual360","LogLinear",TRUE)</f>
        <v/>
      </c>
      <c r="E8436" s="8">
        <f>QS.INSTRUMENT.SWAP("swap.8434",C8436,H8436,B8436,"USD","SOFR",I8436,J8436,0,"Actual360","Simple","Annual","Annual","Annual")</f>
        <v/>
      </c>
      <c r="F8436" s="8">
        <f>QS.TRADE.CREATE("trade.8434",C8436,E8436,A8436,"Receive")</f>
        <v/>
      </c>
      <c r="G8436" s="5"/>
      <c r="H8436" s="7" t="s">
        <v>8476</v>
      </c>
      <c r="I8436" s="9">
        <v>1843400</v>
      </c>
      <c r="J8436" s="10">
        <v>0.0384</v>
      </c>
    </row>
    <row r="8437" spans="1:10">
      <c r="A8437" s="7" t="s">
        <v>8470</v>
      </c>
      <c r="B8437" s="7" t="s">
        <v>10304</v>
      </c>
      <c r="C8437" s="8">
        <f>QS.CONTEXT.CREATE("market.8435",A8437,"USD","SOFR")</f>
        <v/>
      </c>
      <c r="D8437" s="8">
        <f>QS.CONTEXT.ADD.CURVE(C8437,"SOFR",$K$2:$K$7,$L$2:$L$7,,,"Actual360","LogLinear",TRUE)</f>
        <v/>
      </c>
      <c r="E8437" s="8">
        <f>QS.INSTRUMENT.SWAP("swap.8435",C8437,H8437,B8437,"USD","SOFR",I8437,J8437,0,"Actual360","Simple","Annual","Annual","Annual")</f>
        <v/>
      </c>
      <c r="F8437" s="8">
        <f>QS.TRADE.CREATE("trade.8435",C8437,E8437,A8437,"Receive")</f>
        <v/>
      </c>
      <c r="G8437" s="5"/>
      <c r="H8437" s="7" t="s">
        <v>8477</v>
      </c>
      <c r="I8437" s="9">
        <v>1843500</v>
      </c>
      <c r="J8437" s="10">
        <v>0.03850000000000001</v>
      </c>
    </row>
    <row r="8438" spans="1:10">
      <c r="A8438" s="7" t="s">
        <v>8471</v>
      </c>
      <c r="B8438" s="7" t="s">
        <v>10305</v>
      </c>
      <c r="C8438" s="8">
        <f>QS.CONTEXT.CREATE("market.8436",A8438,"USD","SOFR")</f>
        <v/>
      </c>
      <c r="D8438" s="8">
        <f>QS.CONTEXT.ADD.CURVE(C8438,"SOFR",$K$2:$K$7,$L$2:$L$7,,,"Actual360","LogLinear",TRUE)</f>
        <v/>
      </c>
      <c r="E8438" s="8">
        <f>QS.INSTRUMENT.SWAP("swap.8436",C8438,H8438,B8438,"USD","SOFR",I8438,J8438,0,"Actual360","Simple","Annual","Annual","Annual")</f>
        <v/>
      </c>
      <c r="F8438" s="8">
        <f>QS.TRADE.CREATE("trade.8436",C8438,E8438,A8438,"Receive")</f>
        <v/>
      </c>
      <c r="G8438" s="5"/>
      <c r="H8438" s="7" t="s">
        <v>8478</v>
      </c>
      <c r="I8438" s="9">
        <v>1843600</v>
      </c>
      <c r="J8438" s="10">
        <v>0.0386</v>
      </c>
    </row>
    <row r="8439" spans="1:10">
      <c r="A8439" s="7" t="s">
        <v>8472</v>
      </c>
      <c r="B8439" s="7" t="s">
        <v>10306</v>
      </c>
      <c r="C8439" s="8">
        <f>QS.CONTEXT.CREATE("market.8437",A8439,"USD","SOFR")</f>
        <v/>
      </c>
      <c r="D8439" s="8">
        <f>QS.CONTEXT.ADD.CURVE(C8439,"SOFR",$K$2:$K$7,$L$2:$L$7,,,"Actual360","LogLinear",TRUE)</f>
        <v/>
      </c>
      <c r="E8439" s="8">
        <f>QS.INSTRUMENT.SWAP("swap.8437",C8439,H8439,B8439,"USD","SOFR",I8439,J8439,0,"Actual360","Simple","Annual","Annual","Annual")</f>
        <v/>
      </c>
      <c r="F8439" s="8">
        <f>QS.TRADE.CREATE("trade.8437",C8439,E8439,A8439,"Receive")</f>
        <v/>
      </c>
      <c r="G8439" s="5"/>
      <c r="H8439" s="7" t="s">
        <v>8479</v>
      </c>
      <c r="I8439" s="9">
        <v>1843700</v>
      </c>
      <c r="J8439" s="10">
        <v>0.03870000000000001</v>
      </c>
    </row>
    <row r="8440" spans="1:10">
      <c r="A8440" s="7" t="s">
        <v>8473</v>
      </c>
      <c r="B8440" s="7" t="s">
        <v>10307</v>
      </c>
      <c r="C8440" s="8">
        <f>QS.CONTEXT.CREATE("market.8438",A8440,"USD","SOFR")</f>
        <v/>
      </c>
      <c r="D8440" s="8">
        <f>QS.CONTEXT.ADD.CURVE(C8440,"SOFR",$K$2:$K$7,$L$2:$L$7,,,"Actual360","LogLinear",TRUE)</f>
        <v/>
      </c>
      <c r="E8440" s="8">
        <f>QS.INSTRUMENT.SWAP("swap.8438",C8440,H8440,B8440,"USD","SOFR",I8440,J8440,0,"Actual360","Simple","Annual","Annual","Annual")</f>
        <v/>
      </c>
      <c r="F8440" s="8">
        <f>QS.TRADE.CREATE("trade.8438",C8440,E8440,A8440,"Receive")</f>
        <v/>
      </c>
      <c r="G8440" s="5"/>
      <c r="H8440" s="7" t="s">
        <v>8480</v>
      </c>
      <c r="I8440" s="9">
        <v>1843800</v>
      </c>
      <c r="J8440" s="10">
        <v>0.0388</v>
      </c>
    </row>
    <row r="8441" spans="1:10">
      <c r="A8441" s="7" t="s">
        <v>8474</v>
      </c>
      <c r="B8441" s="7" t="s">
        <v>10308</v>
      </c>
      <c r="C8441" s="8">
        <f>QS.CONTEXT.CREATE("market.8439",A8441,"USD","SOFR")</f>
        <v/>
      </c>
      <c r="D8441" s="8">
        <f>QS.CONTEXT.ADD.CURVE(C8441,"SOFR",$K$2:$K$7,$L$2:$L$7,,,"Actual360","LogLinear",TRUE)</f>
        <v/>
      </c>
      <c r="E8441" s="8">
        <f>QS.INSTRUMENT.SWAP("swap.8439",C8441,H8441,B8441,"USD","SOFR",I8441,J8441,0,"Actual360","Simple","Annual","Annual","Annual")</f>
        <v/>
      </c>
      <c r="F8441" s="8">
        <f>QS.TRADE.CREATE("trade.8439",C8441,E8441,A8441,"Receive")</f>
        <v/>
      </c>
      <c r="G8441" s="5"/>
      <c r="H8441" s="7" t="s">
        <v>8481</v>
      </c>
      <c r="I8441" s="9">
        <v>1843900</v>
      </c>
      <c r="J8441" s="10">
        <v>0.0389</v>
      </c>
    </row>
    <row r="8442" spans="1:10">
      <c r="A8442" s="7" t="s">
        <v>8475</v>
      </c>
      <c r="B8442" s="7" t="s">
        <v>10309</v>
      </c>
      <c r="C8442" s="8">
        <f>QS.CONTEXT.CREATE("market.8440",A8442,"USD","SOFR")</f>
        <v/>
      </c>
      <c r="D8442" s="8">
        <f>QS.CONTEXT.ADD.CURVE(C8442,"SOFR",$K$2:$K$7,$L$2:$L$7,,,"Actual360","LogLinear",TRUE)</f>
        <v/>
      </c>
      <c r="E8442" s="8">
        <f>QS.INSTRUMENT.SWAP("swap.8440",C8442,H8442,B8442,"USD","SOFR",I8442,J8442,0,"Actual360","Simple","Annual","Annual","Annual")</f>
        <v/>
      </c>
      <c r="F8442" s="8">
        <f>QS.TRADE.CREATE("trade.8440",C8442,E8442,A8442,"Receive")</f>
        <v/>
      </c>
      <c r="G8442" s="5"/>
      <c r="H8442" s="7" t="s">
        <v>8482</v>
      </c>
      <c r="I8442" s="9">
        <v>1844000</v>
      </c>
      <c r="J8442" s="10">
        <v>0.03900000000000001</v>
      </c>
    </row>
    <row r="8443" spans="1:10">
      <c r="A8443" s="7" t="s">
        <v>8476</v>
      </c>
      <c r="B8443" s="7" t="s">
        <v>10310</v>
      </c>
      <c r="C8443" s="8">
        <f>QS.CONTEXT.CREATE("market.8441",A8443,"USD","SOFR")</f>
        <v/>
      </c>
      <c r="D8443" s="8">
        <f>QS.CONTEXT.ADD.CURVE(C8443,"SOFR",$K$2:$K$7,$L$2:$L$7,,,"Actual360","LogLinear",TRUE)</f>
        <v/>
      </c>
      <c r="E8443" s="8">
        <f>QS.INSTRUMENT.SWAP("swap.8441",C8443,H8443,B8443,"USD","SOFR",I8443,J8443,0,"Actual360","Simple","Annual","Annual","Annual")</f>
        <v/>
      </c>
      <c r="F8443" s="8">
        <f>QS.TRADE.CREATE("trade.8441",C8443,E8443,A8443,"Receive")</f>
        <v/>
      </c>
      <c r="G8443" s="5"/>
      <c r="H8443" s="7" t="s">
        <v>8483</v>
      </c>
      <c r="I8443" s="9">
        <v>1844100</v>
      </c>
      <c r="J8443" s="10">
        <v>0.0391</v>
      </c>
    </row>
    <row r="8444" spans="1:10">
      <c r="A8444" s="7" t="s">
        <v>8477</v>
      </c>
      <c r="B8444" s="7" t="s">
        <v>10311</v>
      </c>
      <c r="C8444" s="8">
        <f>QS.CONTEXT.CREATE("market.8442",A8444,"USD","SOFR")</f>
        <v/>
      </c>
      <c r="D8444" s="8">
        <f>QS.CONTEXT.ADD.CURVE(C8444,"SOFR",$K$2:$K$7,$L$2:$L$7,,,"Actual360","LogLinear",TRUE)</f>
        <v/>
      </c>
      <c r="E8444" s="8">
        <f>QS.INSTRUMENT.SWAP("swap.8442",C8444,H8444,B8444,"USD","SOFR",I8444,J8444,0,"Actual360","Simple","Annual","Annual","Annual")</f>
        <v/>
      </c>
      <c r="F8444" s="8">
        <f>QS.TRADE.CREATE("trade.8442",C8444,E8444,A8444,"Receive")</f>
        <v/>
      </c>
      <c r="G8444" s="5"/>
      <c r="H8444" s="7" t="s">
        <v>8484</v>
      </c>
      <c r="I8444" s="9">
        <v>1844200</v>
      </c>
      <c r="J8444" s="10">
        <v>0.03920000000000001</v>
      </c>
    </row>
    <row r="8445" spans="1:10">
      <c r="A8445" s="7" t="s">
        <v>8478</v>
      </c>
      <c r="B8445" s="7" t="s">
        <v>10312</v>
      </c>
      <c r="C8445" s="8">
        <f>QS.CONTEXT.CREATE("market.8443",A8445,"USD","SOFR")</f>
        <v/>
      </c>
      <c r="D8445" s="8">
        <f>QS.CONTEXT.ADD.CURVE(C8445,"SOFR",$K$2:$K$7,$L$2:$L$7,,,"Actual360","LogLinear",TRUE)</f>
        <v/>
      </c>
      <c r="E8445" s="8">
        <f>QS.INSTRUMENT.SWAP("swap.8443",C8445,H8445,B8445,"USD","SOFR",I8445,J8445,0,"Actual360","Simple","Annual","Annual","Annual")</f>
        <v/>
      </c>
      <c r="F8445" s="8">
        <f>QS.TRADE.CREATE("trade.8443",C8445,E8445,A8445,"Receive")</f>
        <v/>
      </c>
      <c r="G8445" s="5"/>
      <c r="H8445" s="7" t="s">
        <v>8485</v>
      </c>
      <c r="I8445" s="9">
        <v>1844300</v>
      </c>
      <c r="J8445" s="10">
        <v>0.0393</v>
      </c>
    </row>
    <row r="8446" spans="1:10">
      <c r="A8446" s="7" t="s">
        <v>8479</v>
      </c>
      <c r="B8446" s="7" t="s">
        <v>10313</v>
      </c>
      <c r="C8446" s="8">
        <f>QS.CONTEXT.CREATE("market.8444",A8446,"USD","SOFR")</f>
        <v/>
      </c>
      <c r="D8446" s="8">
        <f>QS.CONTEXT.ADD.CURVE(C8446,"SOFR",$K$2:$K$7,$L$2:$L$7,,,"Actual360","LogLinear",TRUE)</f>
        <v/>
      </c>
      <c r="E8446" s="8">
        <f>QS.INSTRUMENT.SWAP("swap.8444",C8446,H8446,B8446,"USD","SOFR",I8446,J8446,0,"Actual360","Simple","Annual","Annual","Annual")</f>
        <v/>
      </c>
      <c r="F8446" s="8">
        <f>QS.TRADE.CREATE("trade.8444",C8446,E8446,A8446,"Receive")</f>
        <v/>
      </c>
      <c r="G8446" s="5"/>
      <c r="H8446" s="7" t="s">
        <v>8486</v>
      </c>
      <c r="I8446" s="9">
        <v>1844400</v>
      </c>
      <c r="J8446" s="10">
        <v>0.0394</v>
      </c>
    </row>
    <row r="8447" spans="1:10">
      <c r="A8447" s="7" t="s">
        <v>8480</v>
      </c>
      <c r="B8447" s="7" t="s">
        <v>10314</v>
      </c>
      <c r="C8447" s="8">
        <f>QS.CONTEXT.CREATE("market.8445",A8447,"USD","SOFR")</f>
        <v/>
      </c>
      <c r="D8447" s="8">
        <f>QS.CONTEXT.ADD.CURVE(C8447,"SOFR",$K$2:$K$7,$L$2:$L$7,,,"Actual360","LogLinear",TRUE)</f>
        <v/>
      </c>
      <c r="E8447" s="8">
        <f>QS.INSTRUMENT.SWAP("swap.8445",C8447,H8447,B8447,"USD","SOFR",I8447,J8447,0,"Actual360","Simple","Annual","Annual","Annual")</f>
        <v/>
      </c>
      <c r="F8447" s="8">
        <f>QS.TRADE.CREATE("trade.8445",C8447,E8447,A8447,"Receive")</f>
        <v/>
      </c>
      <c r="G8447" s="5"/>
      <c r="H8447" s="7" t="s">
        <v>8487</v>
      </c>
      <c r="I8447" s="9">
        <v>1844500</v>
      </c>
      <c r="J8447" s="10">
        <v>0.03950000000000001</v>
      </c>
    </row>
    <row r="8448" spans="1:10">
      <c r="A8448" s="7" t="s">
        <v>8481</v>
      </c>
      <c r="B8448" s="7" t="s">
        <v>10315</v>
      </c>
      <c r="C8448" s="8">
        <f>QS.CONTEXT.CREATE("market.8446",A8448,"USD","SOFR")</f>
        <v/>
      </c>
      <c r="D8448" s="8">
        <f>QS.CONTEXT.ADD.CURVE(C8448,"SOFR",$K$2:$K$7,$L$2:$L$7,,,"Actual360","LogLinear",TRUE)</f>
        <v/>
      </c>
      <c r="E8448" s="8">
        <f>QS.INSTRUMENT.SWAP("swap.8446",C8448,H8448,B8448,"USD","SOFR",I8448,J8448,0,"Actual360","Simple","Annual","Annual","Annual")</f>
        <v/>
      </c>
      <c r="F8448" s="8">
        <f>QS.TRADE.CREATE("trade.8446",C8448,E8448,A8448,"Receive")</f>
        <v/>
      </c>
      <c r="G8448" s="5"/>
      <c r="H8448" s="7" t="s">
        <v>8488</v>
      </c>
      <c r="I8448" s="9">
        <v>1844600</v>
      </c>
      <c r="J8448" s="10">
        <v>0.0396</v>
      </c>
    </row>
    <row r="8449" spans="1:10">
      <c r="A8449" s="7" t="s">
        <v>8482</v>
      </c>
      <c r="B8449" s="7" t="s">
        <v>10316</v>
      </c>
      <c r="C8449" s="8">
        <f>QS.CONTEXT.CREATE("market.8447",A8449,"USD","SOFR")</f>
        <v/>
      </c>
      <c r="D8449" s="8">
        <f>QS.CONTEXT.ADD.CURVE(C8449,"SOFR",$K$2:$K$7,$L$2:$L$7,,,"Actual360","LogLinear",TRUE)</f>
        <v/>
      </c>
      <c r="E8449" s="8">
        <f>QS.INSTRUMENT.SWAP("swap.8447",C8449,H8449,B8449,"USD","SOFR",I8449,J8449,0,"Actual360","Simple","Annual","Annual","Annual")</f>
        <v/>
      </c>
      <c r="F8449" s="8">
        <f>QS.TRADE.CREATE("trade.8447",C8449,E8449,A8449,"Receive")</f>
        <v/>
      </c>
      <c r="G8449" s="5"/>
      <c r="H8449" s="7" t="s">
        <v>8489</v>
      </c>
      <c r="I8449" s="9">
        <v>1844700</v>
      </c>
      <c r="J8449" s="10">
        <v>0.03970000000000001</v>
      </c>
    </row>
    <row r="8450" spans="1:10">
      <c r="A8450" s="7" t="s">
        <v>8483</v>
      </c>
      <c r="B8450" s="7" t="s">
        <v>10317</v>
      </c>
      <c r="C8450" s="8">
        <f>QS.CONTEXT.CREATE("market.8448",A8450,"USD","SOFR")</f>
        <v/>
      </c>
      <c r="D8450" s="8">
        <f>QS.CONTEXT.ADD.CURVE(C8450,"SOFR",$K$2:$K$7,$L$2:$L$7,,,"Actual360","LogLinear",TRUE)</f>
        <v/>
      </c>
      <c r="E8450" s="8">
        <f>QS.INSTRUMENT.SWAP("swap.8448",C8450,H8450,B8450,"USD","SOFR",I8450,J8450,0,"Actual360","Simple","Annual","Annual","Annual")</f>
        <v/>
      </c>
      <c r="F8450" s="8">
        <f>QS.TRADE.CREATE("trade.8448",C8450,E8450,A8450,"Receive")</f>
        <v/>
      </c>
      <c r="G8450" s="5"/>
      <c r="H8450" s="7" t="s">
        <v>8490</v>
      </c>
      <c r="I8450" s="9">
        <v>1844800</v>
      </c>
      <c r="J8450" s="10">
        <v>0.0398</v>
      </c>
    </row>
    <row r="8451" spans="1:10">
      <c r="A8451" s="7" t="s">
        <v>8484</v>
      </c>
      <c r="B8451" s="7" t="s">
        <v>10318</v>
      </c>
      <c r="C8451" s="8">
        <f>QS.CONTEXT.CREATE("market.8449",A8451,"USD","SOFR")</f>
        <v/>
      </c>
      <c r="D8451" s="8">
        <f>QS.CONTEXT.ADD.CURVE(C8451,"SOFR",$K$2:$K$7,$L$2:$L$7,,,"Actual360","LogLinear",TRUE)</f>
        <v/>
      </c>
      <c r="E8451" s="8">
        <f>QS.INSTRUMENT.SWAP("swap.8449",C8451,H8451,B8451,"USD","SOFR",I8451,J8451,0,"Actual360","Simple","Annual","Annual","Annual")</f>
        <v/>
      </c>
      <c r="F8451" s="8">
        <f>QS.TRADE.CREATE("trade.8449",C8451,E8451,A8451,"Receive")</f>
        <v/>
      </c>
      <c r="G8451" s="5"/>
      <c r="H8451" s="7" t="s">
        <v>8491</v>
      </c>
      <c r="I8451" s="9">
        <v>1844900</v>
      </c>
      <c r="J8451" s="10">
        <v>0.0399</v>
      </c>
    </row>
    <row r="8452" spans="1:10">
      <c r="A8452" s="7" t="s">
        <v>8485</v>
      </c>
      <c r="B8452" s="7" t="s">
        <v>10319</v>
      </c>
      <c r="C8452" s="8">
        <f>QS.CONTEXT.CREATE("market.8450",A8452,"USD","SOFR")</f>
        <v/>
      </c>
      <c r="D8452" s="8">
        <f>QS.CONTEXT.ADD.CURVE(C8452,"SOFR",$K$2:$K$7,$L$2:$L$7,,,"Actual360","LogLinear",TRUE)</f>
        <v/>
      </c>
      <c r="E8452" s="8">
        <f>QS.INSTRUMENT.SWAP("swap.8450",C8452,H8452,B8452,"USD","SOFR",I8452,J8452,0,"Actual360","Simple","Annual","Annual","Annual")</f>
        <v/>
      </c>
      <c r="F8452" s="8">
        <f>QS.TRADE.CREATE("trade.8450",C8452,E8452,A8452,"Receive")</f>
        <v/>
      </c>
      <c r="G8452" s="5"/>
      <c r="H8452" s="7" t="s">
        <v>8492</v>
      </c>
      <c r="I8452" s="9">
        <v>1845000</v>
      </c>
      <c r="J8452" s="10">
        <v>0.035</v>
      </c>
    </row>
    <row r="8453" spans="1:10">
      <c r="A8453" s="7" t="s">
        <v>8486</v>
      </c>
      <c r="B8453" s="7" t="s">
        <v>10320</v>
      </c>
      <c r="C8453" s="8">
        <f>QS.CONTEXT.CREATE("market.8451",A8453,"USD","SOFR")</f>
        <v/>
      </c>
      <c r="D8453" s="8">
        <f>QS.CONTEXT.ADD.CURVE(C8453,"SOFR",$K$2:$K$7,$L$2:$L$7,,,"Actual360","LogLinear",TRUE)</f>
        <v/>
      </c>
      <c r="E8453" s="8">
        <f>QS.INSTRUMENT.SWAP("swap.8451",C8453,H8453,B8453,"USD","SOFR",I8453,J8453,0,"Actual360","Simple","Annual","Annual","Annual")</f>
        <v/>
      </c>
      <c r="F8453" s="8">
        <f>QS.TRADE.CREATE("trade.8451",C8453,E8453,A8453,"Receive")</f>
        <v/>
      </c>
      <c r="G8453" s="5"/>
      <c r="H8453" s="7" t="s">
        <v>8493</v>
      </c>
      <c r="I8453" s="9">
        <v>1845100</v>
      </c>
      <c r="J8453" s="10">
        <v>0.03510000000000001</v>
      </c>
    </row>
    <row r="8454" spans="1:10">
      <c r="A8454" s="7" t="s">
        <v>8487</v>
      </c>
      <c r="B8454" s="7" t="s">
        <v>10321</v>
      </c>
      <c r="C8454" s="8">
        <f>QS.CONTEXT.CREATE("market.8452",A8454,"USD","SOFR")</f>
        <v/>
      </c>
      <c r="D8454" s="8">
        <f>QS.CONTEXT.ADD.CURVE(C8454,"SOFR",$K$2:$K$7,$L$2:$L$7,,,"Actual360","LogLinear",TRUE)</f>
        <v/>
      </c>
      <c r="E8454" s="8">
        <f>QS.INSTRUMENT.SWAP("swap.8452",C8454,H8454,B8454,"USD","SOFR",I8454,J8454,0,"Actual360","Simple","Annual","Annual","Annual")</f>
        <v/>
      </c>
      <c r="F8454" s="8">
        <f>QS.TRADE.CREATE("trade.8452",C8454,E8454,A8454,"Receive")</f>
        <v/>
      </c>
      <c r="G8454" s="5"/>
      <c r="H8454" s="7" t="s">
        <v>8494</v>
      </c>
      <c r="I8454" s="9">
        <v>1845200</v>
      </c>
      <c r="J8454" s="10">
        <v>0.0352</v>
      </c>
    </row>
    <row r="8455" spans="1:10">
      <c r="A8455" s="7" t="s">
        <v>8488</v>
      </c>
      <c r="B8455" s="7" t="s">
        <v>10322</v>
      </c>
      <c r="C8455" s="8">
        <f>QS.CONTEXT.CREATE("market.8453",A8455,"USD","SOFR")</f>
        <v/>
      </c>
      <c r="D8455" s="8">
        <f>QS.CONTEXT.ADD.CURVE(C8455,"SOFR",$K$2:$K$7,$L$2:$L$7,,,"Actual360","LogLinear",TRUE)</f>
        <v/>
      </c>
      <c r="E8455" s="8">
        <f>QS.INSTRUMENT.SWAP("swap.8453",C8455,H8455,B8455,"USD","SOFR",I8455,J8455,0,"Actual360","Simple","Annual","Annual","Annual")</f>
        <v/>
      </c>
      <c r="F8455" s="8">
        <f>QS.TRADE.CREATE("trade.8453",C8455,E8455,A8455,"Receive")</f>
        <v/>
      </c>
      <c r="G8455" s="5"/>
      <c r="H8455" s="7" t="s">
        <v>8496</v>
      </c>
      <c r="I8455" s="9">
        <v>1845300</v>
      </c>
      <c r="J8455" s="10">
        <v>0.0353</v>
      </c>
    </row>
    <row r="8456" spans="1:10">
      <c r="A8456" s="7" t="s">
        <v>8489</v>
      </c>
      <c r="B8456" s="7" t="s">
        <v>10323</v>
      </c>
      <c r="C8456" s="8">
        <f>QS.CONTEXT.CREATE("market.8454",A8456,"USD","SOFR")</f>
        <v/>
      </c>
      <c r="D8456" s="8">
        <f>QS.CONTEXT.ADD.CURVE(C8456,"SOFR",$K$2:$K$7,$L$2:$L$7,,,"Actual360","LogLinear",TRUE)</f>
        <v/>
      </c>
      <c r="E8456" s="8">
        <f>QS.INSTRUMENT.SWAP("swap.8454",C8456,H8456,B8456,"USD","SOFR",I8456,J8456,0,"Actual360","Simple","Annual","Annual","Annual")</f>
        <v/>
      </c>
      <c r="F8456" s="8">
        <f>QS.TRADE.CREATE("trade.8454",C8456,E8456,A8456,"Receive")</f>
        <v/>
      </c>
      <c r="G8456" s="5"/>
      <c r="H8456" s="7" t="s">
        <v>8497</v>
      </c>
      <c r="I8456" s="9">
        <v>1845400</v>
      </c>
      <c r="J8456" s="10">
        <v>0.0354</v>
      </c>
    </row>
    <row r="8457" spans="1:10">
      <c r="A8457" s="7" t="s">
        <v>8490</v>
      </c>
      <c r="B8457" s="7" t="s">
        <v>10324</v>
      </c>
      <c r="C8457" s="8">
        <f>QS.CONTEXT.CREATE("market.8455",A8457,"USD","SOFR")</f>
        <v/>
      </c>
      <c r="D8457" s="8">
        <f>QS.CONTEXT.ADD.CURVE(C8457,"SOFR",$K$2:$K$7,$L$2:$L$7,,,"Actual360","LogLinear",TRUE)</f>
        <v/>
      </c>
      <c r="E8457" s="8">
        <f>QS.INSTRUMENT.SWAP("swap.8455",C8457,H8457,B8457,"USD","SOFR",I8457,J8457,0,"Actual360","Simple","Annual","Annual","Annual")</f>
        <v/>
      </c>
      <c r="F8457" s="8">
        <f>QS.TRADE.CREATE("trade.8455",C8457,E8457,A8457,"Receive")</f>
        <v/>
      </c>
      <c r="G8457" s="5"/>
      <c r="H8457" s="7" t="s">
        <v>8498</v>
      </c>
      <c r="I8457" s="9">
        <v>1845500</v>
      </c>
      <c r="J8457" s="10">
        <v>0.0355</v>
      </c>
    </row>
    <row r="8458" spans="1:10">
      <c r="A8458" s="7" t="s">
        <v>8491</v>
      </c>
      <c r="B8458" s="7" t="s">
        <v>10325</v>
      </c>
      <c r="C8458" s="8">
        <f>QS.CONTEXT.CREATE("market.8456",A8458,"USD","SOFR")</f>
        <v/>
      </c>
      <c r="D8458" s="8">
        <f>QS.CONTEXT.ADD.CURVE(C8458,"SOFR",$K$2:$K$7,$L$2:$L$7,,,"Actual360","LogLinear",TRUE)</f>
        <v/>
      </c>
      <c r="E8458" s="8">
        <f>QS.INSTRUMENT.SWAP("swap.8456",C8458,H8458,B8458,"USD","SOFR",I8458,J8458,0,"Actual360","Simple","Annual","Annual","Annual")</f>
        <v/>
      </c>
      <c r="F8458" s="8">
        <f>QS.TRADE.CREATE("trade.8456",C8458,E8458,A8458,"Receive")</f>
        <v/>
      </c>
      <c r="G8458" s="5"/>
      <c r="H8458" s="7" t="s">
        <v>8499</v>
      </c>
      <c r="I8458" s="9">
        <v>1845600</v>
      </c>
      <c r="J8458" s="10">
        <v>0.03560000000000001</v>
      </c>
    </row>
    <row r="8459" spans="1:10">
      <c r="A8459" s="7" t="s">
        <v>8492</v>
      </c>
      <c r="B8459" s="7" t="s">
        <v>10326</v>
      </c>
      <c r="C8459" s="8">
        <f>QS.CONTEXT.CREATE("market.8457",A8459,"USD","SOFR")</f>
        <v/>
      </c>
      <c r="D8459" s="8">
        <f>QS.CONTEXT.ADD.CURVE(C8459,"SOFR",$K$2:$K$7,$L$2:$L$7,,,"Actual360","LogLinear",TRUE)</f>
        <v/>
      </c>
      <c r="E8459" s="8">
        <f>QS.INSTRUMENT.SWAP("swap.8457",C8459,H8459,B8459,"USD","SOFR",I8459,J8459,0,"Actual360","Simple","Annual","Annual","Annual")</f>
        <v/>
      </c>
      <c r="F8459" s="8">
        <f>QS.TRADE.CREATE("trade.8457",C8459,E8459,A8459,"Receive")</f>
        <v/>
      </c>
      <c r="G8459" s="5"/>
      <c r="H8459" s="7" t="s">
        <v>8500</v>
      </c>
      <c r="I8459" s="9">
        <v>1845700</v>
      </c>
      <c r="J8459" s="10">
        <v>0.0357</v>
      </c>
    </row>
    <row r="8460" spans="1:10">
      <c r="A8460" s="7" t="s">
        <v>8493</v>
      </c>
      <c r="B8460" s="7" t="s">
        <v>10327</v>
      </c>
      <c r="C8460" s="8">
        <f>QS.CONTEXT.CREATE("market.8458",A8460,"USD","SOFR")</f>
        <v/>
      </c>
      <c r="D8460" s="8">
        <f>QS.CONTEXT.ADD.CURVE(C8460,"SOFR",$K$2:$K$7,$L$2:$L$7,,,"Actual360","LogLinear",TRUE)</f>
        <v/>
      </c>
      <c r="E8460" s="8">
        <f>QS.INSTRUMENT.SWAP("swap.8458",C8460,H8460,B8460,"USD","SOFR",I8460,J8460,0,"Actual360","Simple","Annual","Annual","Annual")</f>
        <v/>
      </c>
      <c r="F8460" s="8">
        <f>QS.TRADE.CREATE("trade.8458",C8460,E8460,A8460,"Receive")</f>
        <v/>
      </c>
      <c r="G8460" s="5"/>
      <c r="H8460" s="7" t="s">
        <v>8501</v>
      </c>
      <c r="I8460" s="9">
        <v>1845800</v>
      </c>
      <c r="J8460" s="10">
        <v>0.03580000000000001</v>
      </c>
    </row>
    <row r="8461" spans="1:10">
      <c r="A8461" s="7" t="s">
        <v>8494</v>
      </c>
      <c r="B8461" s="7" t="s">
        <v>10328</v>
      </c>
      <c r="C8461" s="8">
        <f>QS.CONTEXT.CREATE("market.8459",A8461,"USD","SOFR")</f>
        <v/>
      </c>
      <c r="D8461" s="8">
        <f>QS.CONTEXT.ADD.CURVE(C8461,"SOFR",$K$2:$K$7,$L$2:$L$7,,,"Actual360","LogLinear",TRUE)</f>
        <v/>
      </c>
      <c r="E8461" s="8">
        <f>QS.INSTRUMENT.SWAP("swap.8459",C8461,H8461,B8461,"USD","SOFR",I8461,J8461,0,"Actual360","Simple","Annual","Annual","Annual")</f>
        <v/>
      </c>
      <c r="F8461" s="8">
        <f>QS.TRADE.CREATE("trade.8459",C8461,E8461,A8461,"Receive")</f>
        <v/>
      </c>
      <c r="G8461" s="5"/>
      <c r="H8461" s="7" t="s">
        <v>8502</v>
      </c>
      <c r="I8461" s="9">
        <v>1845900</v>
      </c>
      <c r="J8461" s="10">
        <v>0.0359</v>
      </c>
    </row>
    <row r="8462" spans="1:10">
      <c r="A8462" s="7" t="s">
        <v>8496</v>
      </c>
      <c r="B8462" s="7" t="s">
        <v>10329</v>
      </c>
      <c r="C8462" s="8">
        <f>QS.CONTEXT.CREATE("market.8460",A8462,"USD","SOFR")</f>
        <v/>
      </c>
      <c r="D8462" s="8">
        <f>QS.CONTEXT.ADD.CURVE(C8462,"SOFR",$K$2:$K$7,$L$2:$L$7,,,"Actual360","LogLinear",TRUE)</f>
        <v/>
      </c>
      <c r="E8462" s="8">
        <f>QS.INSTRUMENT.SWAP("swap.8460",C8462,H8462,B8462,"USD","SOFR",I8462,J8462,0,"Actual360","Simple","Annual","Annual","Annual")</f>
        <v/>
      </c>
      <c r="F8462" s="8">
        <f>QS.TRADE.CREATE("trade.8460",C8462,E8462,A8462,"Receive")</f>
        <v/>
      </c>
      <c r="G8462" s="5"/>
      <c r="H8462" s="7" t="s">
        <v>8503</v>
      </c>
      <c r="I8462" s="9">
        <v>1846000</v>
      </c>
      <c r="J8462" s="10">
        <v>0.036</v>
      </c>
    </row>
    <row r="8463" spans="1:10">
      <c r="A8463" s="7" t="s">
        <v>8497</v>
      </c>
      <c r="B8463" s="7" t="s">
        <v>10330</v>
      </c>
      <c r="C8463" s="8">
        <f>QS.CONTEXT.CREATE("market.8461",A8463,"USD","SOFR")</f>
        <v/>
      </c>
      <c r="D8463" s="8">
        <f>QS.CONTEXT.ADD.CURVE(C8463,"SOFR",$K$2:$K$7,$L$2:$L$7,,,"Actual360","LogLinear",TRUE)</f>
        <v/>
      </c>
      <c r="E8463" s="8">
        <f>QS.INSTRUMENT.SWAP("swap.8461",C8463,H8463,B8463,"USD","SOFR",I8463,J8463,0,"Actual360","Simple","Annual","Annual","Annual")</f>
        <v/>
      </c>
      <c r="F8463" s="8">
        <f>QS.TRADE.CREATE("trade.8461",C8463,E8463,A8463,"Receive")</f>
        <v/>
      </c>
      <c r="G8463" s="5"/>
      <c r="H8463" s="7" t="s">
        <v>8504</v>
      </c>
      <c r="I8463" s="9">
        <v>1846100</v>
      </c>
      <c r="J8463" s="10">
        <v>0.0361</v>
      </c>
    </row>
    <row r="8464" spans="1:10">
      <c r="A8464" s="7" t="s">
        <v>8498</v>
      </c>
      <c r="B8464" s="7" t="s">
        <v>10331</v>
      </c>
      <c r="C8464" s="8">
        <f>QS.CONTEXT.CREATE("market.8462",A8464,"USD","SOFR")</f>
        <v/>
      </c>
      <c r="D8464" s="8">
        <f>QS.CONTEXT.ADD.CURVE(C8464,"SOFR",$K$2:$K$7,$L$2:$L$7,,,"Actual360","LogLinear",TRUE)</f>
        <v/>
      </c>
      <c r="E8464" s="8">
        <f>QS.INSTRUMENT.SWAP("swap.8462",C8464,H8464,B8464,"USD","SOFR",I8464,J8464,0,"Actual360","Simple","Annual","Annual","Annual")</f>
        <v/>
      </c>
      <c r="F8464" s="8">
        <f>QS.TRADE.CREATE("trade.8462",C8464,E8464,A8464,"Receive")</f>
        <v/>
      </c>
      <c r="G8464" s="5"/>
      <c r="H8464" s="7" t="s">
        <v>8505</v>
      </c>
      <c r="I8464" s="9">
        <v>1846200</v>
      </c>
      <c r="J8464" s="10">
        <v>0.0362</v>
      </c>
    </row>
    <row r="8465" spans="1:10">
      <c r="A8465" s="7" t="s">
        <v>8499</v>
      </c>
      <c r="B8465" s="7" t="s">
        <v>10332</v>
      </c>
      <c r="C8465" s="8">
        <f>QS.CONTEXT.CREATE("market.8463",A8465,"USD","SOFR")</f>
        <v/>
      </c>
      <c r="D8465" s="8">
        <f>QS.CONTEXT.ADD.CURVE(C8465,"SOFR",$K$2:$K$7,$L$2:$L$7,,,"Actual360","LogLinear",TRUE)</f>
        <v/>
      </c>
      <c r="E8465" s="8">
        <f>QS.INSTRUMENT.SWAP("swap.8463",C8465,H8465,B8465,"USD","SOFR",I8465,J8465,0,"Actual360","Simple","Annual","Annual","Annual")</f>
        <v/>
      </c>
      <c r="F8465" s="8">
        <f>QS.TRADE.CREATE("trade.8463",C8465,E8465,A8465,"Receive")</f>
        <v/>
      </c>
      <c r="G8465" s="5"/>
      <c r="H8465" s="7" t="s">
        <v>8506</v>
      </c>
      <c r="I8465" s="9">
        <v>1846300</v>
      </c>
      <c r="J8465" s="10">
        <v>0.03630000000000001</v>
      </c>
    </row>
    <row r="8466" spans="1:10">
      <c r="A8466" s="7" t="s">
        <v>8500</v>
      </c>
      <c r="B8466" s="7" t="s">
        <v>10333</v>
      </c>
      <c r="C8466" s="8">
        <f>QS.CONTEXT.CREATE("market.8464",A8466,"USD","SOFR")</f>
        <v/>
      </c>
      <c r="D8466" s="8">
        <f>QS.CONTEXT.ADD.CURVE(C8466,"SOFR",$K$2:$K$7,$L$2:$L$7,,,"Actual360","LogLinear",TRUE)</f>
        <v/>
      </c>
      <c r="E8466" s="8">
        <f>QS.INSTRUMENT.SWAP("swap.8464",C8466,H8466,B8466,"USD","SOFR",I8466,J8466,0,"Actual360","Simple","Annual","Annual","Annual")</f>
        <v/>
      </c>
      <c r="F8466" s="8">
        <f>QS.TRADE.CREATE("trade.8464",C8466,E8466,A8466,"Receive")</f>
        <v/>
      </c>
      <c r="G8466" s="5"/>
      <c r="H8466" s="7" t="s">
        <v>8507</v>
      </c>
      <c r="I8466" s="9">
        <v>1846400</v>
      </c>
      <c r="J8466" s="10">
        <v>0.0364</v>
      </c>
    </row>
    <row r="8467" spans="1:10">
      <c r="A8467" s="7" t="s">
        <v>8501</v>
      </c>
      <c r="B8467" s="7" t="s">
        <v>10334</v>
      </c>
      <c r="C8467" s="8">
        <f>QS.CONTEXT.CREATE("market.8465",A8467,"USD","SOFR")</f>
        <v/>
      </c>
      <c r="D8467" s="8">
        <f>QS.CONTEXT.ADD.CURVE(C8467,"SOFR",$K$2:$K$7,$L$2:$L$7,,,"Actual360","LogLinear",TRUE)</f>
        <v/>
      </c>
      <c r="E8467" s="8">
        <f>QS.INSTRUMENT.SWAP("swap.8465",C8467,H8467,B8467,"USD","SOFR",I8467,J8467,0,"Actual360","Simple","Annual","Annual","Annual")</f>
        <v/>
      </c>
      <c r="F8467" s="8">
        <f>QS.TRADE.CREATE("trade.8465",C8467,E8467,A8467,"Receive")</f>
        <v/>
      </c>
      <c r="G8467" s="5"/>
      <c r="H8467" s="7" t="s">
        <v>8508</v>
      </c>
      <c r="I8467" s="9">
        <v>1846500</v>
      </c>
      <c r="J8467" s="10">
        <v>0.0365</v>
      </c>
    </row>
    <row r="8468" spans="1:10">
      <c r="A8468" s="7" t="s">
        <v>8502</v>
      </c>
      <c r="B8468" s="7" t="s">
        <v>10335</v>
      </c>
      <c r="C8468" s="8">
        <f>QS.CONTEXT.CREATE("market.8466",A8468,"USD","SOFR")</f>
        <v/>
      </c>
      <c r="D8468" s="8">
        <f>QS.CONTEXT.ADD.CURVE(C8468,"SOFR",$K$2:$K$7,$L$2:$L$7,,,"Actual360","LogLinear",TRUE)</f>
        <v/>
      </c>
      <c r="E8468" s="8">
        <f>QS.INSTRUMENT.SWAP("swap.8466",C8468,H8468,B8468,"USD","SOFR",I8468,J8468,0,"Actual360","Simple","Annual","Annual","Annual")</f>
        <v/>
      </c>
      <c r="F8468" s="8">
        <f>QS.TRADE.CREATE("trade.8466",C8468,E8468,A8468,"Receive")</f>
        <v/>
      </c>
      <c r="G8468" s="5"/>
      <c r="H8468" s="7" t="s">
        <v>8509</v>
      </c>
      <c r="I8468" s="9">
        <v>1846600</v>
      </c>
      <c r="J8468" s="10">
        <v>0.0366</v>
      </c>
    </row>
    <row r="8469" spans="1:10">
      <c r="A8469" s="7" t="s">
        <v>8503</v>
      </c>
      <c r="B8469" s="7" t="s">
        <v>10336</v>
      </c>
      <c r="C8469" s="8">
        <f>QS.CONTEXT.CREATE("market.8467",A8469,"USD","SOFR")</f>
        <v/>
      </c>
      <c r="D8469" s="8">
        <f>QS.CONTEXT.ADD.CURVE(C8469,"SOFR",$K$2:$K$7,$L$2:$L$7,,,"Actual360","LogLinear",TRUE)</f>
        <v/>
      </c>
      <c r="E8469" s="8">
        <f>QS.INSTRUMENT.SWAP("swap.8467",C8469,H8469,B8469,"USD","SOFR",I8469,J8469,0,"Actual360","Simple","Annual","Annual","Annual")</f>
        <v/>
      </c>
      <c r="F8469" s="8">
        <f>QS.TRADE.CREATE("trade.8467",C8469,E8469,A8469,"Receive")</f>
        <v/>
      </c>
      <c r="G8469" s="5"/>
      <c r="H8469" s="7" t="s">
        <v>8510</v>
      </c>
      <c r="I8469" s="9">
        <v>1846700</v>
      </c>
      <c r="J8469" s="10">
        <v>0.0367</v>
      </c>
    </row>
    <row r="8470" spans="1:10">
      <c r="A8470" s="7" t="s">
        <v>8504</v>
      </c>
      <c r="B8470" s="7" t="s">
        <v>10337</v>
      </c>
      <c r="C8470" s="8">
        <f>QS.CONTEXT.CREATE("market.8468",A8470,"USD","SOFR")</f>
        <v/>
      </c>
      <c r="D8470" s="8">
        <f>QS.CONTEXT.ADD.CURVE(C8470,"SOFR",$K$2:$K$7,$L$2:$L$7,,,"Actual360","LogLinear",TRUE)</f>
        <v/>
      </c>
      <c r="E8470" s="8">
        <f>QS.INSTRUMENT.SWAP("swap.8468",C8470,H8470,B8470,"USD","SOFR",I8470,J8470,0,"Actual360","Simple","Annual","Annual","Annual")</f>
        <v/>
      </c>
      <c r="F8470" s="8">
        <f>QS.TRADE.CREATE("trade.8468",C8470,E8470,A8470,"Receive")</f>
        <v/>
      </c>
      <c r="G8470" s="5"/>
      <c r="H8470" s="7" t="s">
        <v>8511</v>
      </c>
      <c r="I8470" s="9">
        <v>1846800</v>
      </c>
      <c r="J8470" s="10">
        <v>0.03680000000000001</v>
      </c>
    </row>
    <row r="8471" spans="1:10">
      <c r="A8471" s="7" t="s">
        <v>8505</v>
      </c>
      <c r="B8471" s="7" t="s">
        <v>10338</v>
      </c>
      <c r="C8471" s="8">
        <f>QS.CONTEXT.CREATE("market.8469",A8471,"USD","SOFR")</f>
        <v/>
      </c>
      <c r="D8471" s="8">
        <f>QS.CONTEXT.ADD.CURVE(C8471,"SOFR",$K$2:$K$7,$L$2:$L$7,,,"Actual360","LogLinear",TRUE)</f>
        <v/>
      </c>
      <c r="E8471" s="8">
        <f>QS.INSTRUMENT.SWAP("swap.8469",C8471,H8471,B8471,"USD","SOFR",I8471,J8471,0,"Actual360","Simple","Annual","Annual","Annual")</f>
        <v/>
      </c>
      <c r="F8471" s="8">
        <f>QS.TRADE.CREATE("trade.8469",C8471,E8471,A8471,"Receive")</f>
        <v/>
      </c>
      <c r="G8471" s="5"/>
      <c r="H8471" s="7" t="s">
        <v>8512</v>
      </c>
      <c r="I8471" s="9">
        <v>1846900</v>
      </c>
      <c r="J8471" s="10">
        <v>0.0369</v>
      </c>
    </row>
    <row r="8472" spans="1:10">
      <c r="A8472" s="7" t="s">
        <v>8506</v>
      </c>
      <c r="B8472" s="7" t="s">
        <v>10339</v>
      </c>
      <c r="C8472" s="8">
        <f>QS.CONTEXT.CREATE("market.8470",A8472,"USD","SOFR")</f>
        <v/>
      </c>
      <c r="D8472" s="8">
        <f>QS.CONTEXT.ADD.CURVE(C8472,"SOFR",$K$2:$K$7,$L$2:$L$7,,,"Actual360","LogLinear",TRUE)</f>
        <v/>
      </c>
      <c r="E8472" s="8">
        <f>QS.INSTRUMENT.SWAP("swap.8470",C8472,H8472,B8472,"USD","SOFR",I8472,J8472,0,"Actual360","Simple","Annual","Annual","Annual")</f>
        <v/>
      </c>
      <c r="F8472" s="8">
        <f>QS.TRADE.CREATE("trade.8470",C8472,E8472,A8472,"Receive")</f>
        <v/>
      </c>
      <c r="G8472" s="5"/>
      <c r="H8472" s="7" t="s">
        <v>8513</v>
      </c>
      <c r="I8472" s="9">
        <v>1847000</v>
      </c>
      <c r="J8472" s="10">
        <v>0.03700000000000001</v>
      </c>
    </row>
    <row r="8473" spans="1:10">
      <c r="A8473" s="7" t="s">
        <v>8507</v>
      </c>
      <c r="B8473" s="7" t="s">
        <v>10340</v>
      </c>
      <c r="C8473" s="8">
        <f>QS.CONTEXT.CREATE("market.8471",A8473,"USD","SOFR")</f>
        <v/>
      </c>
      <c r="D8473" s="8">
        <f>QS.CONTEXT.ADD.CURVE(C8473,"SOFR",$K$2:$K$7,$L$2:$L$7,,,"Actual360","LogLinear",TRUE)</f>
        <v/>
      </c>
      <c r="E8473" s="8">
        <f>QS.INSTRUMENT.SWAP("swap.8471",C8473,H8473,B8473,"USD","SOFR",I8473,J8473,0,"Actual360","Simple","Annual","Annual","Annual")</f>
        <v/>
      </c>
      <c r="F8473" s="8">
        <f>QS.TRADE.CREATE("trade.8471",C8473,E8473,A8473,"Receive")</f>
        <v/>
      </c>
      <c r="G8473" s="5"/>
      <c r="H8473" s="7" t="s">
        <v>8514</v>
      </c>
      <c r="I8473" s="9">
        <v>1847100</v>
      </c>
      <c r="J8473" s="10">
        <v>0.0371</v>
      </c>
    </row>
    <row r="8474" spans="1:10">
      <c r="A8474" s="7" t="s">
        <v>8508</v>
      </c>
      <c r="B8474" s="7" t="s">
        <v>10341</v>
      </c>
      <c r="C8474" s="8">
        <f>QS.CONTEXT.CREATE("market.8472",A8474,"USD","SOFR")</f>
        <v/>
      </c>
      <c r="D8474" s="8">
        <f>QS.CONTEXT.ADD.CURVE(C8474,"SOFR",$K$2:$K$7,$L$2:$L$7,,,"Actual360","LogLinear",TRUE)</f>
        <v/>
      </c>
      <c r="E8474" s="8">
        <f>QS.INSTRUMENT.SWAP("swap.8472",C8474,H8474,B8474,"USD","SOFR",I8474,J8474,0,"Actual360","Simple","Annual","Annual","Annual")</f>
        <v/>
      </c>
      <c r="F8474" s="8">
        <f>QS.TRADE.CREATE("trade.8472",C8474,E8474,A8474,"Receive")</f>
        <v/>
      </c>
      <c r="G8474" s="5"/>
      <c r="H8474" s="7" t="s">
        <v>8515</v>
      </c>
      <c r="I8474" s="9">
        <v>1847200</v>
      </c>
      <c r="J8474" s="10">
        <v>0.0372</v>
      </c>
    </row>
    <row r="8475" spans="1:10">
      <c r="A8475" s="7" t="s">
        <v>8509</v>
      </c>
      <c r="B8475" s="7" t="s">
        <v>10342</v>
      </c>
      <c r="C8475" s="8">
        <f>QS.CONTEXT.CREATE("market.8473",A8475,"USD","SOFR")</f>
        <v/>
      </c>
      <c r="D8475" s="8">
        <f>QS.CONTEXT.ADD.CURVE(C8475,"SOFR",$K$2:$K$7,$L$2:$L$7,,,"Actual360","LogLinear",TRUE)</f>
        <v/>
      </c>
      <c r="E8475" s="8">
        <f>QS.INSTRUMENT.SWAP("swap.8473",C8475,H8475,B8475,"USD","SOFR",I8475,J8475,0,"Actual360","Simple","Annual","Annual","Annual")</f>
        <v/>
      </c>
      <c r="F8475" s="8">
        <f>QS.TRADE.CREATE("trade.8473",C8475,E8475,A8475,"Receive")</f>
        <v/>
      </c>
      <c r="G8475" s="5"/>
      <c r="H8475" s="7" t="s">
        <v>8516</v>
      </c>
      <c r="I8475" s="9">
        <v>1847300</v>
      </c>
      <c r="J8475" s="10">
        <v>0.0373</v>
      </c>
    </row>
    <row r="8476" spans="1:10">
      <c r="A8476" s="7" t="s">
        <v>8510</v>
      </c>
      <c r="B8476" s="7" t="s">
        <v>10343</v>
      </c>
      <c r="C8476" s="8">
        <f>QS.CONTEXT.CREATE("market.8474",A8476,"USD","SOFR")</f>
        <v/>
      </c>
      <c r="D8476" s="8">
        <f>QS.CONTEXT.ADD.CURVE(C8476,"SOFR",$K$2:$K$7,$L$2:$L$7,,,"Actual360","LogLinear",TRUE)</f>
        <v/>
      </c>
      <c r="E8476" s="8">
        <f>QS.INSTRUMENT.SWAP("swap.8474",C8476,H8476,B8476,"USD","SOFR",I8476,J8476,0,"Actual360","Simple","Annual","Annual","Annual")</f>
        <v/>
      </c>
      <c r="F8476" s="8">
        <f>QS.TRADE.CREATE("trade.8474",C8476,E8476,A8476,"Receive")</f>
        <v/>
      </c>
      <c r="G8476" s="5"/>
      <c r="H8476" s="7" t="s">
        <v>8517</v>
      </c>
      <c r="I8476" s="9">
        <v>1847400</v>
      </c>
      <c r="J8476" s="10">
        <v>0.0374</v>
      </c>
    </row>
    <row r="8477" spans="1:10">
      <c r="A8477" s="7" t="s">
        <v>8511</v>
      </c>
      <c r="B8477" s="7" t="s">
        <v>10344</v>
      </c>
      <c r="C8477" s="8">
        <f>QS.CONTEXT.CREATE("market.8475",A8477,"USD","SOFR")</f>
        <v/>
      </c>
      <c r="D8477" s="8">
        <f>QS.CONTEXT.ADD.CURVE(C8477,"SOFR",$K$2:$K$7,$L$2:$L$7,,,"Actual360","LogLinear",TRUE)</f>
        <v/>
      </c>
      <c r="E8477" s="8">
        <f>QS.INSTRUMENT.SWAP("swap.8475",C8477,H8477,B8477,"USD","SOFR",I8477,J8477,0,"Actual360","Simple","Annual","Annual","Annual")</f>
        <v/>
      </c>
      <c r="F8477" s="8">
        <f>QS.TRADE.CREATE("trade.8475",C8477,E8477,A8477,"Receive")</f>
        <v/>
      </c>
      <c r="G8477" s="5"/>
      <c r="H8477" s="7" t="s">
        <v>8518</v>
      </c>
      <c r="I8477" s="9">
        <v>1847500</v>
      </c>
      <c r="J8477" s="10">
        <v>0.03750000000000001</v>
      </c>
    </row>
    <row r="8478" spans="1:10">
      <c r="A8478" s="7" t="s">
        <v>8512</v>
      </c>
      <c r="B8478" s="7" t="s">
        <v>10345</v>
      </c>
      <c r="C8478" s="8">
        <f>QS.CONTEXT.CREATE("market.8476",A8478,"USD","SOFR")</f>
        <v/>
      </c>
      <c r="D8478" s="8">
        <f>QS.CONTEXT.ADD.CURVE(C8478,"SOFR",$K$2:$K$7,$L$2:$L$7,,,"Actual360","LogLinear",TRUE)</f>
        <v/>
      </c>
      <c r="E8478" s="8">
        <f>QS.INSTRUMENT.SWAP("swap.8476",C8478,H8478,B8478,"USD","SOFR",I8478,J8478,0,"Actual360","Simple","Annual","Annual","Annual")</f>
        <v/>
      </c>
      <c r="F8478" s="8">
        <f>QS.TRADE.CREATE("trade.8476",C8478,E8478,A8478,"Receive")</f>
        <v/>
      </c>
      <c r="G8478" s="5"/>
      <c r="H8478" s="7" t="s">
        <v>8519</v>
      </c>
      <c r="I8478" s="9">
        <v>1847600</v>
      </c>
      <c r="J8478" s="10">
        <v>0.0376</v>
      </c>
    </row>
    <row r="8479" spans="1:10">
      <c r="A8479" s="7" t="s">
        <v>8513</v>
      </c>
      <c r="B8479" s="7" t="s">
        <v>10346</v>
      </c>
      <c r="C8479" s="8">
        <f>QS.CONTEXT.CREATE("market.8477",A8479,"USD","SOFR")</f>
        <v/>
      </c>
      <c r="D8479" s="8">
        <f>QS.CONTEXT.ADD.CURVE(C8479,"SOFR",$K$2:$K$7,$L$2:$L$7,,,"Actual360","LogLinear",TRUE)</f>
        <v/>
      </c>
      <c r="E8479" s="8">
        <f>QS.INSTRUMENT.SWAP("swap.8477",C8479,H8479,B8479,"USD","SOFR",I8479,J8479,0,"Actual360","Simple","Annual","Annual","Annual")</f>
        <v/>
      </c>
      <c r="F8479" s="8">
        <f>QS.TRADE.CREATE("trade.8477",C8479,E8479,A8479,"Receive")</f>
        <v/>
      </c>
      <c r="G8479" s="5"/>
      <c r="H8479" s="7" t="s">
        <v>8520</v>
      </c>
      <c r="I8479" s="9">
        <v>1847700</v>
      </c>
      <c r="J8479" s="10">
        <v>0.0377</v>
      </c>
    </row>
    <row r="8480" spans="1:10">
      <c r="A8480" s="7" t="s">
        <v>8514</v>
      </c>
      <c r="B8480" s="7" t="s">
        <v>10347</v>
      </c>
      <c r="C8480" s="8">
        <f>QS.CONTEXT.CREATE("market.8478",A8480,"USD","SOFR")</f>
        <v/>
      </c>
      <c r="D8480" s="8">
        <f>QS.CONTEXT.ADD.CURVE(C8480,"SOFR",$K$2:$K$7,$L$2:$L$7,,,"Actual360","LogLinear",TRUE)</f>
        <v/>
      </c>
      <c r="E8480" s="8">
        <f>QS.INSTRUMENT.SWAP("swap.8478",C8480,H8480,B8480,"USD","SOFR",I8480,J8480,0,"Actual360","Simple","Annual","Annual","Annual")</f>
        <v/>
      </c>
      <c r="F8480" s="8">
        <f>QS.TRADE.CREATE("trade.8478",C8480,E8480,A8480,"Receive")</f>
        <v/>
      </c>
      <c r="G8480" s="5"/>
      <c r="H8480" s="7" t="s">
        <v>8521</v>
      </c>
      <c r="I8480" s="9">
        <v>1847800</v>
      </c>
      <c r="J8480" s="10">
        <v>0.0378</v>
      </c>
    </row>
    <row r="8481" spans="1:10">
      <c r="A8481" s="7" t="s">
        <v>8515</v>
      </c>
      <c r="B8481" s="7" t="s">
        <v>10348</v>
      </c>
      <c r="C8481" s="8">
        <f>QS.CONTEXT.CREATE("market.8479",A8481,"USD","SOFR")</f>
        <v/>
      </c>
      <c r="D8481" s="8">
        <f>QS.CONTEXT.ADD.CURVE(C8481,"SOFR",$K$2:$K$7,$L$2:$L$7,,,"Actual360","LogLinear",TRUE)</f>
        <v/>
      </c>
      <c r="E8481" s="8">
        <f>QS.INSTRUMENT.SWAP("swap.8479",C8481,H8481,B8481,"USD","SOFR",I8481,J8481,0,"Actual360","Simple","Annual","Annual","Annual")</f>
        <v/>
      </c>
      <c r="F8481" s="8">
        <f>QS.TRADE.CREATE("trade.8479",C8481,E8481,A8481,"Receive")</f>
        <v/>
      </c>
      <c r="G8481" s="5"/>
      <c r="H8481" s="7" t="s">
        <v>8522</v>
      </c>
      <c r="I8481" s="9">
        <v>1847900</v>
      </c>
      <c r="J8481" s="10">
        <v>0.0379</v>
      </c>
    </row>
    <row r="8482" spans="1:10">
      <c r="A8482" s="7" t="s">
        <v>8516</v>
      </c>
      <c r="B8482" s="7" t="s">
        <v>10349</v>
      </c>
      <c r="C8482" s="8">
        <f>QS.CONTEXT.CREATE("market.8480",A8482,"USD","SOFR")</f>
        <v/>
      </c>
      <c r="D8482" s="8">
        <f>QS.CONTEXT.ADD.CURVE(C8482,"SOFR",$K$2:$K$7,$L$2:$L$7,,,"Actual360","LogLinear",TRUE)</f>
        <v/>
      </c>
      <c r="E8482" s="8">
        <f>QS.INSTRUMENT.SWAP("swap.8480",C8482,H8482,B8482,"USD","SOFR",I8482,J8482,0,"Actual360","Simple","Annual","Annual","Annual")</f>
        <v/>
      </c>
      <c r="F8482" s="8">
        <f>QS.TRADE.CREATE("trade.8480",C8482,E8482,A8482,"Receive")</f>
        <v/>
      </c>
      <c r="G8482" s="5"/>
      <c r="H8482" s="7" t="s">
        <v>8523</v>
      </c>
      <c r="I8482" s="9">
        <v>1848000</v>
      </c>
      <c r="J8482" s="10">
        <v>0.03800000000000001</v>
      </c>
    </row>
    <row r="8483" spans="1:10">
      <c r="A8483" s="7" t="s">
        <v>8517</v>
      </c>
      <c r="B8483" s="7" t="s">
        <v>10350</v>
      </c>
      <c r="C8483" s="8">
        <f>QS.CONTEXT.CREATE("market.8481",A8483,"USD","SOFR")</f>
        <v/>
      </c>
      <c r="D8483" s="8">
        <f>QS.CONTEXT.ADD.CURVE(C8483,"SOFR",$K$2:$K$7,$L$2:$L$7,,,"Actual360","LogLinear",TRUE)</f>
        <v/>
      </c>
      <c r="E8483" s="8">
        <f>QS.INSTRUMENT.SWAP("swap.8481",C8483,H8483,B8483,"USD","SOFR",I8483,J8483,0,"Actual360","Simple","Annual","Annual","Annual")</f>
        <v/>
      </c>
      <c r="F8483" s="8">
        <f>QS.TRADE.CREATE("trade.8481",C8483,E8483,A8483,"Receive")</f>
        <v/>
      </c>
      <c r="G8483" s="5"/>
      <c r="H8483" s="7" t="s">
        <v>8524</v>
      </c>
      <c r="I8483" s="9">
        <v>1848100</v>
      </c>
      <c r="J8483" s="10">
        <v>0.0381</v>
      </c>
    </row>
    <row r="8484" spans="1:10">
      <c r="A8484" s="7" t="s">
        <v>8518</v>
      </c>
      <c r="B8484" s="7" t="s">
        <v>10351</v>
      </c>
      <c r="C8484" s="8">
        <f>QS.CONTEXT.CREATE("market.8482",A8484,"USD","SOFR")</f>
        <v/>
      </c>
      <c r="D8484" s="8">
        <f>QS.CONTEXT.ADD.CURVE(C8484,"SOFR",$K$2:$K$7,$L$2:$L$7,,,"Actual360","LogLinear",TRUE)</f>
        <v/>
      </c>
      <c r="E8484" s="8">
        <f>QS.INSTRUMENT.SWAP("swap.8482",C8484,H8484,B8484,"USD","SOFR",I8484,J8484,0,"Actual360","Simple","Annual","Annual","Annual")</f>
        <v/>
      </c>
      <c r="F8484" s="8">
        <f>QS.TRADE.CREATE("trade.8482",C8484,E8484,A8484,"Receive")</f>
        <v/>
      </c>
      <c r="G8484" s="5"/>
      <c r="H8484" s="7" t="s">
        <v>8525</v>
      </c>
      <c r="I8484" s="9">
        <v>1848200</v>
      </c>
      <c r="J8484" s="10">
        <v>0.0382</v>
      </c>
    </row>
    <row r="8485" spans="1:10">
      <c r="A8485" s="7" t="s">
        <v>8519</v>
      </c>
      <c r="B8485" s="7" t="s">
        <v>10352</v>
      </c>
      <c r="C8485" s="8">
        <f>QS.CONTEXT.CREATE("market.8483",A8485,"USD","SOFR")</f>
        <v/>
      </c>
      <c r="D8485" s="8">
        <f>QS.CONTEXT.ADD.CURVE(C8485,"SOFR",$K$2:$K$7,$L$2:$L$7,,,"Actual360","LogLinear",TRUE)</f>
        <v/>
      </c>
      <c r="E8485" s="8">
        <f>QS.INSTRUMENT.SWAP("swap.8483",C8485,H8485,B8485,"USD","SOFR",I8485,J8485,0,"Actual360","Simple","Annual","Annual","Annual")</f>
        <v/>
      </c>
      <c r="F8485" s="8">
        <f>QS.TRADE.CREATE("trade.8483",C8485,E8485,A8485,"Receive")</f>
        <v/>
      </c>
      <c r="G8485" s="5"/>
      <c r="H8485" s="7" t="s">
        <v>8526</v>
      </c>
      <c r="I8485" s="9">
        <v>1848300</v>
      </c>
      <c r="J8485" s="10">
        <v>0.0383</v>
      </c>
    </row>
    <row r="8486" spans="1:10">
      <c r="A8486" s="7" t="s">
        <v>8520</v>
      </c>
      <c r="B8486" s="7" t="s">
        <v>10353</v>
      </c>
      <c r="C8486" s="8">
        <f>QS.CONTEXT.CREATE("market.8484",A8486,"USD","SOFR")</f>
        <v/>
      </c>
      <c r="D8486" s="8">
        <f>QS.CONTEXT.ADD.CURVE(C8486,"SOFR",$K$2:$K$7,$L$2:$L$7,,,"Actual360","LogLinear",TRUE)</f>
        <v/>
      </c>
      <c r="E8486" s="8">
        <f>QS.INSTRUMENT.SWAP("swap.8484",C8486,H8486,B8486,"USD","SOFR",I8486,J8486,0,"Actual360","Simple","Annual","Annual","Annual")</f>
        <v/>
      </c>
      <c r="F8486" s="8">
        <f>QS.TRADE.CREATE("trade.8484",C8486,E8486,A8486,"Receive")</f>
        <v/>
      </c>
      <c r="G8486" s="5"/>
      <c r="H8486" s="7" t="s">
        <v>8527</v>
      </c>
      <c r="I8486" s="9">
        <v>1848400</v>
      </c>
      <c r="J8486" s="10">
        <v>0.0384</v>
      </c>
    </row>
    <row r="8487" spans="1:10">
      <c r="A8487" s="7" t="s">
        <v>8521</v>
      </c>
      <c r="B8487" s="7" t="s">
        <v>10354</v>
      </c>
      <c r="C8487" s="8">
        <f>QS.CONTEXT.CREATE("market.8485",A8487,"USD","SOFR")</f>
        <v/>
      </c>
      <c r="D8487" s="8">
        <f>QS.CONTEXT.ADD.CURVE(C8487,"SOFR",$K$2:$K$7,$L$2:$L$7,,,"Actual360","LogLinear",TRUE)</f>
        <v/>
      </c>
      <c r="E8487" s="8">
        <f>QS.INSTRUMENT.SWAP("swap.8485",C8487,H8487,B8487,"USD","SOFR",I8487,J8487,0,"Actual360","Simple","Annual","Annual","Annual")</f>
        <v/>
      </c>
      <c r="F8487" s="8">
        <f>QS.TRADE.CREATE("trade.8485",C8487,E8487,A8487,"Receive")</f>
        <v/>
      </c>
      <c r="G8487" s="5"/>
      <c r="H8487" s="7" t="s">
        <v>8528</v>
      </c>
      <c r="I8487" s="9">
        <v>1848500</v>
      </c>
      <c r="J8487" s="10">
        <v>0.03850000000000001</v>
      </c>
    </row>
    <row r="8488" spans="1:10">
      <c r="A8488" s="7" t="s">
        <v>8522</v>
      </c>
      <c r="B8488" s="7" t="s">
        <v>10355</v>
      </c>
      <c r="C8488" s="8">
        <f>QS.CONTEXT.CREATE("market.8486",A8488,"USD","SOFR")</f>
        <v/>
      </c>
      <c r="D8488" s="8">
        <f>QS.CONTEXT.ADD.CURVE(C8488,"SOFR",$K$2:$K$7,$L$2:$L$7,,,"Actual360","LogLinear",TRUE)</f>
        <v/>
      </c>
      <c r="E8488" s="8">
        <f>QS.INSTRUMENT.SWAP("swap.8486",C8488,H8488,B8488,"USD","SOFR",I8488,J8488,0,"Actual360","Simple","Annual","Annual","Annual")</f>
        <v/>
      </c>
      <c r="F8488" s="8">
        <f>QS.TRADE.CREATE("trade.8486",C8488,E8488,A8488,"Receive")</f>
        <v/>
      </c>
      <c r="G8488" s="5"/>
      <c r="H8488" s="7" t="s">
        <v>8529</v>
      </c>
      <c r="I8488" s="9">
        <v>1848600</v>
      </c>
      <c r="J8488" s="10">
        <v>0.0386</v>
      </c>
    </row>
    <row r="8489" spans="1:10">
      <c r="A8489" s="7" t="s">
        <v>8523</v>
      </c>
      <c r="B8489" s="7" t="s">
        <v>10356</v>
      </c>
      <c r="C8489" s="8">
        <f>QS.CONTEXT.CREATE("market.8487",A8489,"USD","SOFR")</f>
        <v/>
      </c>
      <c r="D8489" s="8">
        <f>QS.CONTEXT.ADD.CURVE(C8489,"SOFR",$K$2:$K$7,$L$2:$L$7,,,"Actual360","LogLinear",TRUE)</f>
        <v/>
      </c>
      <c r="E8489" s="8">
        <f>QS.INSTRUMENT.SWAP("swap.8487",C8489,H8489,B8489,"USD","SOFR",I8489,J8489,0,"Actual360","Simple","Annual","Annual","Annual")</f>
        <v/>
      </c>
      <c r="F8489" s="8">
        <f>QS.TRADE.CREATE("trade.8487",C8489,E8489,A8489,"Receive")</f>
        <v/>
      </c>
      <c r="G8489" s="5"/>
      <c r="H8489" s="7" t="s">
        <v>8530</v>
      </c>
      <c r="I8489" s="9">
        <v>1848700</v>
      </c>
      <c r="J8489" s="10">
        <v>0.03870000000000001</v>
      </c>
    </row>
    <row r="8490" spans="1:10">
      <c r="A8490" s="7" t="s">
        <v>8524</v>
      </c>
      <c r="B8490" s="7" t="s">
        <v>10357</v>
      </c>
      <c r="C8490" s="8">
        <f>QS.CONTEXT.CREATE("market.8488",A8490,"USD","SOFR")</f>
        <v/>
      </c>
      <c r="D8490" s="8">
        <f>QS.CONTEXT.ADD.CURVE(C8490,"SOFR",$K$2:$K$7,$L$2:$L$7,,,"Actual360","LogLinear",TRUE)</f>
        <v/>
      </c>
      <c r="E8490" s="8">
        <f>QS.INSTRUMENT.SWAP("swap.8488",C8490,H8490,B8490,"USD","SOFR",I8490,J8490,0,"Actual360","Simple","Annual","Annual","Annual")</f>
        <v/>
      </c>
      <c r="F8490" s="8">
        <f>QS.TRADE.CREATE("trade.8488",C8490,E8490,A8490,"Receive")</f>
        <v/>
      </c>
      <c r="G8490" s="5"/>
      <c r="H8490" s="7" t="s">
        <v>8531</v>
      </c>
      <c r="I8490" s="9">
        <v>1848800</v>
      </c>
      <c r="J8490" s="10">
        <v>0.0388</v>
      </c>
    </row>
    <row r="8491" spans="1:10">
      <c r="A8491" s="7" t="s">
        <v>8525</v>
      </c>
      <c r="B8491" s="7" t="s">
        <v>10358</v>
      </c>
      <c r="C8491" s="8">
        <f>QS.CONTEXT.CREATE("market.8489",A8491,"USD","SOFR")</f>
        <v/>
      </c>
      <c r="D8491" s="8">
        <f>QS.CONTEXT.ADD.CURVE(C8491,"SOFR",$K$2:$K$7,$L$2:$L$7,,,"Actual360","LogLinear",TRUE)</f>
        <v/>
      </c>
      <c r="E8491" s="8">
        <f>QS.INSTRUMENT.SWAP("swap.8489",C8491,H8491,B8491,"USD","SOFR",I8491,J8491,0,"Actual360","Simple","Annual","Annual","Annual")</f>
        <v/>
      </c>
      <c r="F8491" s="8">
        <f>QS.TRADE.CREATE("trade.8489",C8491,E8491,A8491,"Receive")</f>
        <v/>
      </c>
      <c r="G8491" s="5"/>
      <c r="H8491" s="7" t="s">
        <v>8532</v>
      </c>
      <c r="I8491" s="9">
        <v>1848900</v>
      </c>
      <c r="J8491" s="10">
        <v>0.0389</v>
      </c>
    </row>
    <row r="8492" spans="1:10">
      <c r="A8492" s="7" t="s">
        <v>8526</v>
      </c>
      <c r="B8492" s="7" t="s">
        <v>10359</v>
      </c>
      <c r="C8492" s="8">
        <f>QS.CONTEXT.CREATE("market.8490",A8492,"USD","SOFR")</f>
        <v/>
      </c>
      <c r="D8492" s="8">
        <f>QS.CONTEXT.ADD.CURVE(C8492,"SOFR",$K$2:$K$7,$L$2:$L$7,,,"Actual360","LogLinear",TRUE)</f>
        <v/>
      </c>
      <c r="E8492" s="8">
        <f>QS.INSTRUMENT.SWAP("swap.8490",C8492,H8492,B8492,"USD","SOFR",I8492,J8492,0,"Actual360","Simple","Annual","Annual","Annual")</f>
        <v/>
      </c>
      <c r="F8492" s="8">
        <f>QS.TRADE.CREATE("trade.8490",C8492,E8492,A8492,"Receive")</f>
        <v/>
      </c>
      <c r="G8492" s="5"/>
      <c r="H8492" s="7" t="s">
        <v>8533</v>
      </c>
      <c r="I8492" s="9">
        <v>1849000</v>
      </c>
      <c r="J8492" s="10">
        <v>0.03900000000000001</v>
      </c>
    </row>
    <row r="8493" spans="1:10">
      <c r="A8493" s="7" t="s">
        <v>8527</v>
      </c>
      <c r="B8493" s="7" t="s">
        <v>10360</v>
      </c>
      <c r="C8493" s="8">
        <f>QS.CONTEXT.CREATE("market.8491",A8493,"USD","SOFR")</f>
        <v/>
      </c>
      <c r="D8493" s="8">
        <f>QS.CONTEXT.ADD.CURVE(C8493,"SOFR",$K$2:$K$7,$L$2:$L$7,,,"Actual360","LogLinear",TRUE)</f>
        <v/>
      </c>
      <c r="E8493" s="8">
        <f>QS.INSTRUMENT.SWAP("swap.8491",C8493,H8493,B8493,"USD","SOFR",I8493,J8493,0,"Actual360","Simple","Annual","Annual","Annual")</f>
        <v/>
      </c>
      <c r="F8493" s="8">
        <f>QS.TRADE.CREATE("trade.8491",C8493,E8493,A8493,"Receive")</f>
        <v/>
      </c>
      <c r="G8493" s="5"/>
      <c r="H8493" s="7" t="s">
        <v>8534</v>
      </c>
      <c r="I8493" s="9">
        <v>1849100</v>
      </c>
      <c r="J8493" s="10">
        <v>0.0391</v>
      </c>
    </row>
    <row r="8494" spans="1:10">
      <c r="A8494" s="7" t="s">
        <v>8528</v>
      </c>
      <c r="B8494" s="7" t="s">
        <v>10361</v>
      </c>
      <c r="C8494" s="8">
        <f>QS.CONTEXT.CREATE("market.8492",A8494,"USD","SOFR")</f>
        <v/>
      </c>
      <c r="D8494" s="8">
        <f>QS.CONTEXT.ADD.CURVE(C8494,"SOFR",$K$2:$K$7,$L$2:$L$7,,,"Actual360","LogLinear",TRUE)</f>
        <v/>
      </c>
      <c r="E8494" s="8">
        <f>QS.INSTRUMENT.SWAP("swap.8492",C8494,H8494,B8494,"USD","SOFR",I8494,J8494,0,"Actual360","Simple","Annual","Annual","Annual")</f>
        <v/>
      </c>
      <c r="F8494" s="8">
        <f>QS.TRADE.CREATE("trade.8492",C8494,E8494,A8494,"Receive")</f>
        <v/>
      </c>
      <c r="G8494" s="5"/>
      <c r="H8494" s="7" t="s">
        <v>8535</v>
      </c>
      <c r="I8494" s="9">
        <v>1849200</v>
      </c>
      <c r="J8494" s="10">
        <v>0.03920000000000001</v>
      </c>
    </row>
    <row r="8495" spans="1:10">
      <c r="A8495" s="7" t="s">
        <v>8529</v>
      </c>
      <c r="B8495" s="7" t="s">
        <v>10362</v>
      </c>
      <c r="C8495" s="8">
        <f>QS.CONTEXT.CREATE("market.8493",A8495,"USD","SOFR")</f>
        <v/>
      </c>
      <c r="D8495" s="8">
        <f>QS.CONTEXT.ADD.CURVE(C8495,"SOFR",$K$2:$K$7,$L$2:$L$7,,,"Actual360","LogLinear",TRUE)</f>
        <v/>
      </c>
      <c r="E8495" s="8">
        <f>QS.INSTRUMENT.SWAP("swap.8493",C8495,H8495,B8495,"USD","SOFR",I8495,J8495,0,"Actual360","Simple","Annual","Annual","Annual")</f>
        <v/>
      </c>
      <c r="F8495" s="8">
        <f>QS.TRADE.CREATE("trade.8493",C8495,E8495,A8495,"Receive")</f>
        <v/>
      </c>
      <c r="G8495" s="5"/>
      <c r="H8495" s="7" t="s">
        <v>8536</v>
      </c>
      <c r="I8495" s="9">
        <v>1849300</v>
      </c>
      <c r="J8495" s="10">
        <v>0.0393</v>
      </c>
    </row>
    <row r="8496" spans="1:10">
      <c r="A8496" s="7" t="s">
        <v>8530</v>
      </c>
      <c r="B8496" s="7" t="s">
        <v>10363</v>
      </c>
      <c r="C8496" s="8">
        <f>QS.CONTEXT.CREATE("market.8494",A8496,"USD","SOFR")</f>
        <v/>
      </c>
      <c r="D8496" s="8">
        <f>QS.CONTEXT.ADD.CURVE(C8496,"SOFR",$K$2:$K$7,$L$2:$L$7,,,"Actual360","LogLinear",TRUE)</f>
        <v/>
      </c>
      <c r="E8496" s="8">
        <f>QS.INSTRUMENT.SWAP("swap.8494",C8496,H8496,B8496,"USD","SOFR",I8496,J8496,0,"Actual360","Simple","Annual","Annual","Annual")</f>
        <v/>
      </c>
      <c r="F8496" s="8">
        <f>QS.TRADE.CREATE("trade.8494",C8496,E8496,A8496,"Receive")</f>
        <v/>
      </c>
      <c r="G8496" s="5"/>
      <c r="H8496" s="7" t="s">
        <v>8537</v>
      </c>
      <c r="I8496" s="9">
        <v>1849400</v>
      </c>
      <c r="J8496" s="10">
        <v>0.0394</v>
      </c>
    </row>
    <row r="8497" spans="1:10">
      <c r="A8497" s="7" t="s">
        <v>8531</v>
      </c>
      <c r="B8497" s="7" t="s">
        <v>10364</v>
      </c>
      <c r="C8497" s="8">
        <f>QS.CONTEXT.CREATE("market.8495",A8497,"USD","SOFR")</f>
        <v/>
      </c>
      <c r="D8497" s="8">
        <f>QS.CONTEXT.ADD.CURVE(C8497,"SOFR",$K$2:$K$7,$L$2:$L$7,,,"Actual360","LogLinear",TRUE)</f>
        <v/>
      </c>
      <c r="E8497" s="8">
        <f>QS.INSTRUMENT.SWAP("swap.8495",C8497,H8497,B8497,"USD","SOFR",I8497,J8497,0,"Actual360","Simple","Annual","Annual","Annual")</f>
        <v/>
      </c>
      <c r="F8497" s="8">
        <f>QS.TRADE.CREATE("trade.8495",C8497,E8497,A8497,"Receive")</f>
        <v/>
      </c>
      <c r="G8497" s="5"/>
      <c r="H8497" s="7" t="s">
        <v>8538</v>
      </c>
      <c r="I8497" s="9">
        <v>1849500</v>
      </c>
      <c r="J8497" s="10">
        <v>0.03950000000000001</v>
      </c>
    </row>
    <row r="8498" spans="1:10">
      <c r="A8498" s="7" t="s">
        <v>8532</v>
      </c>
      <c r="B8498" s="7" t="s">
        <v>10365</v>
      </c>
      <c r="C8498" s="8">
        <f>QS.CONTEXT.CREATE("market.8496",A8498,"USD","SOFR")</f>
        <v/>
      </c>
      <c r="D8498" s="8">
        <f>QS.CONTEXT.ADD.CURVE(C8498,"SOFR",$K$2:$K$7,$L$2:$L$7,,,"Actual360","LogLinear",TRUE)</f>
        <v/>
      </c>
      <c r="E8498" s="8">
        <f>QS.INSTRUMENT.SWAP("swap.8496",C8498,H8498,B8498,"USD","SOFR",I8498,J8498,0,"Actual360","Simple","Annual","Annual","Annual")</f>
        <v/>
      </c>
      <c r="F8498" s="8">
        <f>QS.TRADE.CREATE("trade.8496",C8498,E8498,A8498,"Receive")</f>
        <v/>
      </c>
      <c r="G8498" s="5"/>
      <c r="H8498" s="7" t="s">
        <v>8539</v>
      </c>
      <c r="I8498" s="9">
        <v>1849600</v>
      </c>
      <c r="J8498" s="10">
        <v>0.0396</v>
      </c>
    </row>
    <row r="8499" spans="1:10">
      <c r="A8499" s="7" t="s">
        <v>8533</v>
      </c>
      <c r="B8499" s="7" t="s">
        <v>10366</v>
      </c>
      <c r="C8499" s="8">
        <f>QS.CONTEXT.CREATE("market.8497",A8499,"USD","SOFR")</f>
        <v/>
      </c>
      <c r="D8499" s="8">
        <f>QS.CONTEXT.ADD.CURVE(C8499,"SOFR",$K$2:$K$7,$L$2:$L$7,,,"Actual360","LogLinear",TRUE)</f>
        <v/>
      </c>
      <c r="E8499" s="8">
        <f>QS.INSTRUMENT.SWAP("swap.8497",C8499,H8499,B8499,"USD","SOFR",I8499,J8499,0,"Actual360","Simple","Annual","Annual","Annual")</f>
        <v/>
      </c>
      <c r="F8499" s="8">
        <f>QS.TRADE.CREATE("trade.8497",C8499,E8499,A8499,"Receive")</f>
        <v/>
      </c>
      <c r="G8499" s="5"/>
      <c r="H8499" s="7" t="s">
        <v>8540</v>
      </c>
      <c r="I8499" s="9">
        <v>1849700</v>
      </c>
      <c r="J8499" s="10">
        <v>0.03970000000000001</v>
      </c>
    </row>
    <row r="8500" spans="1:10">
      <c r="A8500" s="7" t="s">
        <v>8534</v>
      </c>
      <c r="B8500" s="7" t="s">
        <v>10367</v>
      </c>
      <c r="C8500" s="8">
        <f>QS.CONTEXT.CREATE("market.8498",A8500,"USD","SOFR")</f>
        <v/>
      </c>
      <c r="D8500" s="8">
        <f>QS.CONTEXT.ADD.CURVE(C8500,"SOFR",$K$2:$K$7,$L$2:$L$7,,,"Actual360","LogLinear",TRUE)</f>
        <v/>
      </c>
      <c r="E8500" s="8">
        <f>QS.INSTRUMENT.SWAP("swap.8498",C8500,H8500,B8500,"USD","SOFR",I8500,J8500,0,"Actual360","Simple","Annual","Annual","Annual")</f>
        <v/>
      </c>
      <c r="F8500" s="8">
        <f>QS.TRADE.CREATE("trade.8498",C8500,E8500,A8500,"Receive")</f>
        <v/>
      </c>
      <c r="G8500" s="5"/>
      <c r="H8500" s="7" t="s">
        <v>8541</v>
      </c>
      <c r="I8500" s="9">
        <v>1849800</v>
      </c>
      <c r="J8500" s="10">
        <v>0.0398</v>
      </c>
    </row>
    <row r="8501" spans="1:10">
      <c r="A8501" s="7" t="s">
        <v>8535</v>
      </c>
      <c r="B8501" s="7" t="s">
        <v>10368</v>
      </c>
      <c r="C8501" s="8">
        <f>QS.CONTEXT.CREATE("market.8499",A8501,"USD","SOFR")</f>
        <v/>
      </c>
      <c r="D8501" s="8">
        <f>QS.CONTEXT.ADD.CURVE(C8501,"SOFR",$K$2:$K$7,$L$2:$L$7,,,"Actual360","LogLinear",TRUE)</f>
        <v/>
      </c>
      <c r="E8501" s="8">
        <f>QS.INSTRUMENT.SWAP("swap.8499",C8501,H8501,B8501,"USD","SOFR",I8501,J8501,0,"Actual360","Simple","Annual","Annual","Annual")</f>
        <v/>
      </c>
      <c r="F8501" s="8">
        <f>QS.TRADE.CREATE("trade.8499",C8501,E8501,A8501,"Receive")</f>
        <v/>
      </c>
      <c r="G8501" s="5"/>
      <c r="H8501" s="7" t="s">
        <v>8542</v>
      </c>
      <c r="I8501" s="9">
        <v>1849900</v>
      </c>
      <c r="J8501" s="10">
        <v>0.0399</v>
      </c>
    </row>
    <row r="8502" spans="1:10">
      <c r="A8502" s="7" t="s">
        <v>8536</v>
      </c>
      <c r="B8502" s="7" t="s">
        <v>10369</v>
      </c>
      <c r="C8502" s="8">
        <f>QS.CONTEXT.CREATE("market.8500",A8502,"USD","SOFR")</f>
        <v/>
      </c>
      <c r="D8502" s="8">
        <f>QS.CONTEXT.ADD.CURVE(C8502,"SOFR",$K$2:$K$7,$L$2:$L$7,,,"Actual360","LogLinear",TRUE)</f>
        <v/>
      </c>
      <c r="E8502" s="8">
        <f>QS.INSTRUMENT.SWAP("swap.8500",C8502,H8502,B8502,"USD","SOFR",I8502,J8502,0,"Actual360","Simple","Annual","Annual","Annual")</f>
        <v/>
      </c>
      <c r="F8502" s="8">
        <f>QS.TRADE.CREATE("trade.8500",C8502,E8502,A8502,"Receive")</f>
        <v/>
      </c>
      <c r="G8502" s="5"/>
      <c r="H8502" s="7" t="s">
        <v>8543</v>
      </c>
      <c r="I8502" s="9">
        <v>1850000</v>
      </c>
      <c r="J8502" s="10">
        <v>0.035</v>
      </c>
    </row>
    <row r="8503" spans="1:10">
      <c r="A8503" s="7" t="s">
        <v>8537</v>
      </c>
      <c r="B8503" s="7" t="s">
        <v>10370</v>
      </c>
      <c r="C8503" s="8">
        <f>QS.CONTEXT.CREATE("market.8501",A8503,"USD","SOFR")</f>
        <v/>
      </c>
      <c r="D8503" s="8">
        <f>QS.CONTEXT.ADD.CURVE(C8503,"SOFR",$K$2:$K$7,$L$2:$L$7,,,"Actual360","LogLinear",TRUE)</f>
        <v/>
      </c>
      <c r="E8503" s="8">
        <f>QS.INSTRUMENT.SWAP("swap.8501",C8503,H8503,B8503,"USD","SOFR",I8503,J8503,0,"Actual360","Simple","Annual","Annual","Annual")</f>
        <v/>
      </c>
      <c r="F8503" s="8">
        <f>QS.TRADE.CREATE("trade.8501",C8503,E8503,A8503,"Receive")</f>
        <v/>
      </c>
      <c r="G8503" s="5"/>
      <c r="H8503" s="7" t="s">
        <v>8544</v>
      </c>
      <c r="I8503" s="9">
        <v>1850100</v>
      </c>
      <c r="J8503" s="10">
        <v>0.03510000000000001</v>
      </c>
    </row>
    <row r="8504" spans="1:10">
      <c r="A8504" s="7" t="s">
        <v>8538</v>
      </c>
      <c r="B8504" s="7" t="s">
        <v>10371</v>
      </c>
      <c r="C8504" s="8">
        <f>QS.CONTEXT.CREATE("market.8502",A8504,"USD","SOFR")</f>
        <v/>
      </c>
      <c r="D8504" s="8">
        <f>QS.CONTEXT.ADD.CURVE(C8504,"SOFR",$K$2:$K$7,$L$2:$L$7,,,"Actual360","LogLinear",TRUE)</f>
        <v/>
      </c>
      <c r="E8504" s="8">
        <f>QS.INSTRUMENT.SWAP("swap.8502",C8504,H8504,B8504,"USD","SOFR",I8504,J8504,0,"Actual360","Simple","Annual","Annual","Annual")</f>
        <v/>
      </c>
      <c r="F8504" s="8">
        <f>QS.TRADE.CREATE("trade.8502",C8504,E8504,A8504,"Receive")</f>
        <v/>
      </c>
      <c r="G8504" s="5"/>
      <c r="H8504" s="7" t="s">
        <v>8545</v>
      </c>
      <c r="I8504" s="9">
        <v>1850200</v>
      </c>
      <c r="J8504" s="10">
        <v>0.0352</v>
      </c>
    </row>
    <row r="8505" spans="1:10">
      <c r="A8505" s="7" t="s">
        <v>8539</v>
      </c>
      <c r="B8505" s="7" t="s">
        <v>10372</v>
      </c>
      <c r="C8505" s="8">
        <f>QS.CONTEXT.CREATE("market.8503",A8505,"USD","SOFR")</f>
        <v/>
      </c>
      <c r="D8505" s="8">
        <f>QS.CONTEXT.ADD.CURVE(C8505,"SOFR",$K$2:$K$7,$L$2:$L$7,,,"Actual360","LogLinear",TRUE)</f>
        <v/>
      </c>
      <c r="E8505" s="8">
        <f>QS.INSTRUMENT.SWAP("swap.8503",C8505,H8505,B8505,"USD","SOFR",I8505,J8505,0,"Actual360","Simple","Annual","Annual","Annual")</f>
        <v/>
      </c>
      <c r="F8505" s="8">
        <f>QS.TRADE.CREATE("trade.8503",C8505,E8505,A8505,"Receive")</f>
        <v/>
      </c>
      <c r="G8505" s="5"/>
      <c r="H8505" s="7" t="s">
        <v>8546</v>
      </c>
      <c r="I8505" s="9">
        <v>1850300</v>
      </c>
      <c r="J8505" s="10">
        <v>0.0353</v>
      </c>
    </row>
    <row r="8506" spans="1:10">
      <c r="A8506" s="7" t="s">
        <v>8540</v>
      </c>
      <c r="B8506" s="7" t="s">
        <v>10373</v>
      </c>
      <c r="C8506" s="8">
        <f>QS.CONTEXT.CREATE("market.8504",A8506,"USD","SOFR")</f>
        <v/>
      </c>
      <c r="D8506" s="8">
        <f>QS.CONTEXT.ADD.CURVE(C8506,"SOFR",$K$2:$K$7,$L$2:$L$7,,,"Actual360","LogLinear",TRUE)</f>
        <v/>
      </c>
      <c r="E8506" s="8">
        <f>QS.INSTRUMENT.SWAP("swap.8504",C8506,H8506,B8506,"USD","SOFR",I8506,J8506,0,"Actual360","Simple","Annual","Annual","Annual")</f>
        <v/>
      </c>
      <c r="F8506" s="8">
        <f>QS.TRADE.CREATE("trade.8504",C8506,E8506,A8506,"Receive")</f>
        <v/>
      </c>
      <c r="G8506" s="5"/>
      <c r="H8506" s="7" t="s">
        <v>8547</v>
      </c>
      <c r="I8506" s="9">
        <v>1850400</v>
      </c>
      <c r="J8506" s="10">
        <v>0.0354</v>
      </c>
    </row>
    <row r="8507" spans="1:10">
      <c r="A8507" s="7" t="s">
        <v>8541</v>
      </c>
      <c r="B8507" s="7" t="s">
        <v>10374</v>
      </c>
      <c r="C8507" s="8">
        <f>QS.CONTEXT.CREATE("market.8505",A8507,"USD","SOFR")</f>
        <v/>
      </c>
      <c r="D8507" s="8">
        <f>QS.CONTEXT.ADD.CURVE(C8507,"SOFR",$K$2:$K$7,$L$2:$L$7,,,"Actual360","LogLinear",TRUE)</f>
        <v/>
      </c>
      <c r="E8507" s="8">
        <f>QS.INSTRUMENT.SWAP("swap.8505",C8507,H8507,B8507,"USD","SOFR",I8507,J8507,0,"Actual360","Simple","Annual","Annual","Annual")</f>
        <v/>
      </c>
      <c r="F8507" s="8">
        <f>QS.TRADE.CREATE("trade.8505",C8507,E8507,A8507,"Receive")</f>
        <v/>
      </c>
      <c r="G8507" s="5"/>
      <c r="H8507" s="7" t="s">
        <v>8548</v>
      </c>
      <c r="I8507" s="9">
        <v>1850500</v>
      </c>
      <c r="J8507" s="10">
        <v>0.0355</v>
      </c>
    </row>
    <row r="8508" spans="1:10">
      <c r="A8508" s="7" t="s">
        <v>8542</v>
      </c>
      <c r="B8508" s="7" t="s">
        <v>10375</v>
      </c>
      <c r="C8508" s="8">
        <f>QS.CONTEXT.CREATE("market.8506",A8508,"USD","SOFR")</f>
        <v/>
      </c>
      <c r="D8508" s="8">
        <f>QS.CONTEXT.ADD.CURVE(C8508,"SOFR",$K$2:$K$7,$L$2:$L$7,,,"Actual360","LogLinear",TRUE)</f>
        <v/>
      </c>
      <c r="E8508" s="8">
        <f>QS.INSTRUMENT.SWAP("swap.8506",C8508,H8508,B8508,"USD","SOFR",I8508,J8508,0,"Actual360","Simple","Annual","Annual","Annual")</f>
        <v/>
      </c>
      <c r="F8508" s="8">
        <f>QS.TRADE.CREATE("trade.8506",C8508,E8508,A8508,"Receive")</f>
        <v/>
      </c>
      <c r="G8508" s="5"/>
      <c r="H8508" s="7" t="s">
        <v>8549</v>
      </c>
      <c r="I8508" s="9">
        <v>1850600</v>
      </c>
      <c r="J8508" s="10">
        <v>0.03560000000000001</v>
      </c>
    </row>
    <row r="8509" spans="1:10">
      <c r="A8509" s="7" t="s">
        <v>8543</v>
      </c>
      <c r="B8509" s="7" t="s">
        <v>10376</v>
      </c>
      <c r="C8509" s="8">
        <f>QS.CONTEXT.CREATE("market.8507",A8509,"USD","SOFR")</f>
        <v/>
      </c>
      <c r="D8509" s="8">
        <f>QS.CONTEXT.ADD.CURVE(C8509,"SOFR",$K$2:$K$7,$L$2:$L$7,,,"Actual360","LogLinear",TRUE)</f>
        <v/>
      </c>
      <c r="E8509" s="8">
        <f>QS.INSTRUMENT.SWAP("swap.8507",C8509,H8509,B8509,"USD","SOFR",I8509,J8509,0,"Actual360","Simple","Annual","Annual","Annual")</f>
        <v/>
      </c>
      <c r="F8509" s="8">
        <f>QS.TRADE.CREATE("trade.8507",C8509,E8509,A8509,"Receive")</f>
        <v/>
      </c>
      <c r="G8509" s="5"/>
      <c r="H8509" s="7" t="s">
        <v>8550</v>
      </c>
      <c r="I8509" s="9">
        <v>1850700</v>
      </c>
      <c r="J8509" s="10">
        <v>0.0357</v>
      </c>
    </row>
    <row r="8510" spans="1:10">
      <c r="A8510" s="7" t="s">
        <v>8544</v>
      </c>
      <c r="B8510" s="7" t="s">
        <v>10377</v>
      </c>
      <c r="C8510" s="8">
        <f>QS.CONTEXT.CREATE("market.8508",A8510,"USD","SOFR")</f>
        <v/>
      </c>
      <c r="D8510" s="8">
        <f>QS.CONTEXT.ADD.CURVE(C8510,"SOFR",$K$2:$K$7,$L$2:$L$7,,,"Actual360","LogLinear",TRUE)</f>
        <v/>
      </c>
      <c r="E8510" s="8">
        <f>QS.INSTRUMENT.SWAP("swap.8508",C8510,H8510,B8510,"USD","SOFR",I8510,J8510,0,"Actual360","Simple","Annual","Annual","Annual")</f>
        <v/>
      </c>
      <c r="F8510" s="8">
        <f>QS.TRADE.CREATE("trade.8508",C8510,E8510,A8510,"Receive")</f>
        <v/>
      </c>
      <c r="G8510" s="5"/>
      <c r="H8510" s="7" t="s">
        <v>8551</v>
      </c>
      <c r="I8510" s="9">
        <v>1850800</v>
      </c>
      <c r="J8510" s="10">
        <v>0.03580000000000001</v>
      </c>
    </row>
    <row r="8511" spans="1:10">
      <c r="A8511" s="7" t="s">
        <v>8545</v>
      </c>
      <c r="B8511" s="7" t="s">
        <v>10378</v>
      </c>
      <c r="C8511" s="8">
        <f>QS.CONTEXT.CREATE("market.8509",A8511,"USD","SOFR")</f>
        <v/>
      </c>
      <c r="D8511" s="8">
        <f>QS.CONTEXT.ADD.CURVE(C8511,"SOFR",$K$2:$K$7,$L$2:$L$7,,,"Actual360","LogLinear",TRUE)</f>
        <v/>
      </c>
      <c r="E8511" s="8">
        <f>QS.INSTRUMENT.SWAP("swap.8509",C8511,H8511,B8511,"USD","SOFR",I8511,J8511,0,"Actual360","Simple","Annual","Annual","Annual")</f>
        <v/>
      </c>
      <c r="F8511" s="8">
        <f>QS.TRADE.CREATE("trade.8509",C8511,E8511,A8511,"Receive")</f>
        <v/>
      </c>
      <c r="G8511" s="5"/>
      <c r="H8511" s="7" t="s">
        <v>8552</v>
      </c>
      <c r="I8511" s="9">
        <v>1850900</v>
      </c>
      <c r="J8511" s="10">
        <v>0.0359</v>
      </c>
    </row>
    <row r="8512" spans="1:10">
      <c r="A8512" s="7" t="s">
        <v>8546</v>
      </c>
      <c r="B8512" s="7" t="s">
        <v>10379</v>
      </c>
      <c r="C8512" s="8">
        <f>QS.CONTEXT.CREATE("market.8510",A8512,"USD","SOFR")</f>
        <v/>
      </c>
      <c r="D8512" s="8">
        <f>QS.CONTEXT.ADD.CURVE(C8512,"SOFR",$K$2:$K$7,$L$2:$L$7,,,"Actual360","LogLinear",TRUE)</f>
        <v/>
      </c>
      <c r="E8512" s="8">
        <f>QS.INSTRUMENT.SWAP("swap.8510",C8512,H8512,B8512,"USD","SOFR",I8512,J8512,0,"Actual360","Simple","Annual","Annual","Annual")</f>
        <v/>
      </c>
      <c r="F8512" s="8">
        <f>QS.TRADE.CREATE("trade.8510",C8512,E8512,A8512,"Receive")</f>
        <v/>
      </c>
      <c r="G8512" s="5"/>
      <c r="H8512" s="7" t="s">
        <v>8553</v>
      </c>
      <c r="I8512" s="9">
        <v>1851000</v>
      </c>
      <c r="J8512" s="10">
        <v>0.036</v>
      </c>
    </row>
    <row r="8513" spans="1:10">
      <c r="A8513" s="7" t="s">
        <v>8547</v>
      </c>
      <c r="B8513" s="7" t="s">
        <v>10380</v>
      </c>
      <c r="C8513" s="8">
        <f>QS.CONTEXT.CREATE("market.8511",A8513,"USD","SOFR")</f>
        <v/>
      </c>
      <c r="D8513" s="8">
        <f>QS.CONTEXT.ADD.CURVE(C8513,"SOFR",$K$2:$K$7,$L$2:$L$7,,,"Actual360","LogLinear",TRUE)</f>
        <v/>
      </c>
      <c r="E8513" s="8">
        <f>QS.INSTRUMENT.SWAP("swap.8511",C8513,H8513,B8513,"USD","SOFR",I8513,J8513,0,"Actual360","Simple","Annual","Annual","Annual")</f>
        <v/>
      </c>
      <c r="F8513" s="8">
        <f>QS.TRADE.CREATE("trade.8511",C8513,E8513,A8513,"Receive")</f>
        <v/>
      </c>
      <c r="G8513" s="5"/>
      <c r="H8513" s="7" t="s">
        <v>8554</v>
      </c>
      <c r="I8513" s="9">
        <v>1851100</v>
      </c>
      <c r="J8513" s="10">
        <v>0.0361</v>
      </c>
    </row>
    <row r="8514" spans="1:10">
      <c r="A8514" s="7" t="s">
        <v>8548</v>
      </c>
      <c r="B8514" s="7" t="s">
        <v>10381</v>
      </c>
      <c r="C8514" s="8">
        <f>QS.CONTEXT.CREATE("market.8512",A8514,"USD","SOFR")</f>
        <v/>
      </c>
      <c r="D8514" s="8">
        <f>QS.CONTEXT.ADD.CURVE(C8514,"SOFR",$K$2:$K$7,$L$2:$L$7,,,"Actual360","LogLinear",TRUE)</f>
        <v/>
      </c>
      <c r="E8514" s="8">
        <f>QS.INSTRUMENT.SWAP("swap.8512",C8514,H8514,B8514,"USD","SOFR",I8514,J8514,0,"Actual360","Simple","Annual","Annual","Annual")</f>
        <v/>
      </c>
      <c r="F8514" s="8">
        <f>QS.TRADE.CREATE("trade.8512",C8514,E8514,A8514,"Receive")</f>
        <v/>
      </c>
      <c r="G8514" s="5"/>
      <c r="H8514" s="7" t="s">
        <v>8555</v>
      </c>
      <c r="I8514" s="9">
        <v>1851200</v>
      </c>
      <c r="J8514" s="10">
        <v>0.0362</v>
      </c>
    </row>
    <row r="8515" spans="1:10">
      <c r="A8515" s="7" t="s">
        <v>8549</v>
      </c>
      <c r="B8515" s="7" t="s">
        <v>10382</v>
      </c>
      <c r="C8515" s="8">
        <f>QS.CONTEXT.CREATE("market.8513",A8515,"USD","SOFR")</f>
        <v/>
      </c>
      <c r="D8515" s="8">
        <f>QS.CONTEXT.ADD.CURVE(C8515,"SOFR",$K$2:$K$7,$L$2:$L$7,,,"Actual360","LogLinear",TRUE)</f>
        <v/>
      </c>
      <c r="E8515" s="8">
        <f>QS.INSTRUMENT.SWAP("swap.8513",C8515,H8515,B8515,"USD","SOFR",I8515,J8515,0,"Actual360","Simple","Annual","Annual","Annual")</f>
        <v/>
      </c>
      <c r="F8515" s="8">
        <f>QS.TRADE.CREATE("trade.8513",C8515,E8515,A8515,"Receive")</f>
        <v/>
      </c>
      <c r="G8515" s="5"/>
      <c r="H8515" s="7" t="s">
        <v>8556</v>
      </c>
      <c r="I8515" s="9">
        <v>1851300</v>
      </c>
      <c r="J8515" s="10">
        <v>0.03630000000000001</v>
      </c>
    </row>
    <row r="8516" spans="1:10">
      <c r="A8516" s="7" t="s">
        <v>8550</v>
      </c>
      <c r="B8516" s="7" t="s">
        <v>10383</v>
      </c>
      <c r="C8516" s="8">
        <f>QS.CONTEXT.CREATE("market.8514",A8516,"USD","SOFR")</f>
        <v/>
      </c>
      <c r="D8516" s="8">
        <f>QS.CONTEXT.ADD.CURVE(C8516,"SOFR",$K$2:$K$7,$L$2:$L$7,,,"Actual360","LogLinear",TRUE)</f>
        <v/>
      </c>
      <c r="E8516" s="8">
        <f>QS.INSTRUMENT.SWAP("swap.8514",C8516,H8516,B8516,"USD","SOFR",I8516,J8516,0,"Actual360","Simple","Annual","Annual","Annual")</f>
        <v/>
      </c>
      <c r="F8516" s="8">
        <f>QS.TRADE.CREATE("trade.8514",C8516,E8516,A8516,"Receive")</f>
        <v/>
      </c>
      <c r="G8516" s="5"/>
      <c r="H8516" s="7" t="s">
        <v>8557</v>
      </c>
      <c r="I8516" s="9">
        <v>1851400</v>
      </c>
      <c r="J8516" s="10">
        <v>0.0364</v>
      </c>
    </row>
    <row r="8517" spans="1:10">
      <c r="A8517" s="7" t="s">
        <v>8551</v>
      </c>
      <c r="B8517" s="7" t="s">
        <v>10384</v>
      </c>
      <c r="C8517" s="8">
        <f>QS.CONTEXT.CREATE("market.8515",A8517,"USD","SOFR")</f>
        <v/>
      </c>
      <c r="D8517" s="8">
        <f>QS.CONTEXT.ADD.CURVE(C8517,"SOFR",$K$2:$K$7,$L$2:$L$7,,,"Actual360","LogLinear",TRUE)</f>
        <v/>
      </c>
      <c r="E8517" s="8">
        <f>QS.INSTRUMENT.SWAP("swap.8515",C8517,H8517,B8517,"USD","SOFR",I8517,J8517,0,"Actual360","Simple","Annual","Annual","Annual")</f>
        <v/>
      </c>
      <c r="F8517" s="8">
        <f>QS.TRADE.CREATE("trade.8515",C8517,E8517,A8517,"Receive")</f>
        <v/>
      </c>
      <c r="G8517" s="5"/>
      <c r="H8517" s="7" t="s">
        <v>8558</v>
      </c>
      <c r="I8517" s="9">
        <v>1851500</v>
      </c>
      <c r="J8517" s="10">
        <v>0.0365</v>
      </c>
    </row>
    <row r="8518" spans="1:10">
      <c r="A8518" s="7" t="s">
        <v>8552</v>
      </c>
      <c r="B8518" s="7" t="s">
        <v>10385</v>
      </c>
      <c r="C8518" s="8">
        <f>QS.CONTEXT.CREATE("market.8516",A8518,"USD","SOFR")</f>
        <v/>
      </c>
      <c r="D8518" s="8">
        <f>QS.CONTEXT.ADD.CURVE(C8518,"SOFR",$K$2:$K$7,$L$2:$L$7,,,"Actual360","LogLinear",TRUE)</f>
        <v/>
      </c>
      <c r="E8518" s="8">
        <f>QS.INSTRUMENT.SWAP("swap.8516",C8518,H8518,B8518,"USD","SOFR",I8518,J8518,0,"Actual360","Simple","Annual","Annual","Annual")</f>
        <v/>
      </c>
      <c r="F8518" s="8">
        <f>QS.TRADE.CREATE("trade.8516",C8518,E8518,A8518,"Receive")</f>
        <v/>
      </c>
      <c r="G8518" s="5"/>
      <c r="H8518" s="7" t="s">
        <v>8559</v>
      </c>
      <c r="I8518" s="9">
        <v>1851600</v>
      </c>
      <c r="J8518" s="10">
        <v>0.0366</v>
      </c>
    </row>
    <row r="8519" spans="1:10">
      <c r="A8519" s="7" t="s">
        <v>8553</v>
      </c>
      <c r="B8519" s="7" t="s">
        <v>10386</v>
      </c>
      <c r="C8519" s="8">
        <f>QS.CONTEXT.CREATE("market.8517",A8519,"USD","SOFR")</f>
        <v/>
      </c>
      <c r="D8519" s="8">
        <f>QS.CONTEXT.ADD.CURVE(C8519,"SOFR",$K$2:$K$7,$L$2:$L$7,,,"Actual360","LogLinear",TRUE)</f>
        <v/>
      </c>
      <c r="E8519" s="8">
        <f>QS.INSTRUMENT.SWAP("swap.8517",C8519,H8519,B8519,"USD","SOFR",I8519,J8519,0,"Actual360","Simple","Annual","Annual","Annual")</f>
        <v/>
      </c>
      <c r="F8519" s="8">
        <f>QS.TRADE.CREATE("trade.8517",C8519,E8519,A8519,"Receive")</f>
        <v/>
      </c>
      <c r="G8519" s="5"/>
      <c r="H8519" s="7" t="s">
        <v>8560</v>
      </c>
      <c r="I8519" s="9">
        <v>1851700</v>
      </c>
      <c r="J8519" s="10">
        <v>0.0367</v>
      </c>
    </row>
    <row r="8520" spans="1:10">
      <c r="A8520" s="7" t="s">
        <v>8554</v>
      </c>
      <c r="B8520" s="7" t="s">
        <v>10387</v>
      </c>
      <c r="C8520" s="8">
        <f>QS.CONTEXT.CREATE("market.8518",A8520,"USD","SOFR")</f>
        <v/>
      </c>
      <c r="D8520" s="8">
        <f>QS.CONTEXT.ADD.CURVE(C8520,"SOFR",$K$2:$K$7,$L$2:$L$7,,,"Actual360","LogLinear",TRUE)</f>
        <v/>
      </c>
      <c r="E8520" s="8">
        <f>QS.INSTRUMENT.SWAP("swap.8518",C8520,H8520,B8520,"USD","SOFR",I8520,J8520,0,"Actual360","Simple","Annual","Annual","Annual")</f>
        <v/>
      </c>
      <c r="F8520" s="8">
        <f>QS.TRADE.CREATE("trade.8518",C8520,E8520,A8520,"Receive")</f>
        <v/>
      </c>
      <c r="G8520" s="5"/>
      <c r="H8520" s="7" t="s">
        <v>8561</v>
      </c>
      <c r="I8520" s="9">
        <v>1851800</v>
      </c>
      <c r="J8520" s="10">
        <v>0.03680000000000001</v>
      </c>
    </row>
    <row r="8521" spans="1:10">
      <c r="A8521" s="7" t="s">
        <v>8555</v>
      </c>
      <c r="B8521" s="7" t="s">
        <v>10388</v>
      </c>
      <c r="C8521" s="8">
        <f>QS.CONTEXT.CREATE("market.8519",A8521,"USD","SOFR")</f>
        <v/>
      </c>
      <c r="D8521" s="8">
        <f>QS.CONTEXT.ADD.CURVE(C8521,"SOFR",$K$2:$K$7,$L$2:$L$7,,,"Actual360","LogLinear",TRUE)</f>
        <v/>
      </c>
      <c r="E8521" s="8">
        <f>QS.INSTRUMENT.SWAP("swap.8519",C8521,H8521,B8521,"USD","SOFR",I8521,J8521,0,"Actual360","Simple","Annual","Annual","Annual")</f>
        <v/>
      </c>
      <c r="F8521" s="8">
        <f>QS.TRADE.CREATE("trade.8519",C8521,E8521,A8521,"Receive")</f>
        <v/>
      </c>
      <c r="G8521" s="5"/>
      <c r="H8521" s="7" t="s">
        <v>8562</v>
      </c>
      <c r="I8521" s="9">
        <v>1851900</v>
      </c>
      <c r="J8521" s="10">
        <v>0.0369</v>
      </c>
    </row>
    <row r="8522" spans="1:10">
      <c r="A8522" s="7" t="s">
        <v>8556</v>
      </c>
      <c r="B8522" s="7" t="s">
        <v>10389</v>
      </c>
      <c r="C8522" s="8">
        <f>QS.CONTEXT.CREATE("market.8520",A8522,"USD","SOFR")</f>
        <v/>
      </c>
      <c r="D8522" s="8">
        <f>QS.CONTEXT.ADD.CURVE(C8522,"SOFR",$K$2:$K$7,$L$2:$L$7,,,"Actual360","LogLinear",TRUE)</f>
        <v/>
      </c>
      <c r="E8522" s="8">
        <f>QS.INSTRUMENT.SWAP("swap.8520",C8522,H8522,B8522,"USD","SOFR",I8522,J8522,0,"Actual360","Simple","Annual","Annual","Annual")</f>
        <v/>
      </c>
      <c r="F8522" s="8">
        <f>QS.TRADE.CREATE("trade.8520",C8522,E8522,A8522,"Receive")</f>
        <v/>
      </c>
      <c r="G8522" s="5"/>
      <c r="H8522" s="7" t="s">
        <v>8563</v>
      </c>
      <c r="I8522" s="9">
        <v>1852000</v>
      </c>
      <c r="J8522" s="10">
        <v>0.03700000000000001</v>
      </c>
    </row>
    <row r="8523" spans="1:10">
      <c r="A8523" s="7" t="s">
        <v>8557</v>
      </c>
      <c r="B8523" s="7" t="s">
        <v>10390</v>
      </c>
      <c r="C8523" s="8">
        <f>QS.CONTEXT.CREATE("market.8521",A8523,"USD","SOFR")</f>
        <v/>
      </c>
      <c r="D8523" s="8">
        <f>QS.CONTEXT.ADD.CURVE(C8523,"SOFR",$K$2:$K$7,$L$2:$L$7,,,"Actual360","LogLinear",TRUE)</f>
        <v/>
      </c>
      <c r="E8523" s="8">
        <f>QS.INSTRUMENT.SWAP("swap.8521",C8523,H8523,B8523,"USD","SOFR",I8523,J8523,0,"Actual360","Simple","Annual","Annual","Annual")</f>
        <v/>
      </c>
      <c r="F8523" s="8">
        <f>QS.TRADE.CREATE("trade.8521",C8523,E8523,A8523,"Receive")</f>
        <v/>
      </c>
      <c r="G8523" s="5"/>
      <c r="H8523" s="7" t="s">
        <v>8564</v>
      </c>
      <c r="I8523" s="9">
        <v>1852100</v>
      </c>
      <c r="J8523" s="10">
        <v>0.0371</v>
      </c>
    </row>
    <row r="8524" spans="1:10">
      <c r="A8524" s="7" t="s">
        <v>8558</v>
      </c>
      <c r="B8524" s="7" t="s">
        <v>10391</v>
      </c>
      <c r="C8524" s="8">
        <f>QS.CONTEXT.CREATE("market.8522",A8524,"USD","SOFR")</f>
        <v/>
      </c>
      <c r="D8524" s="8">
        <f>QS.CONTEXT.ADD.CURVE(C8524,"SOFR",$K$2:$K$7,$L$2:$L$7,,,"Actual360","LogLinear",TRUE)</f>
        <v/>
      </c>
      <c r="E8524" s="8">
        <f>QS.INSTRUMENT.SWAP("swap.8522",C8524,H8524,B8524,"USD","SOFR",I8524,J8524,0,"Actual360","Simple","Annual","Annual","Annual")</f>
        <v/>
      </c>
      <c r="F8524" s="8">
        <f>QS.TRADE.CREATE("trade.8522",C8524,E8524,A8524,"Receive")</f>
        <v/>
      </c>
      <c r="G8524" s="5"/>
      <c r="H8524" s="7" t="s">
        <v>8565</v>
      </c>
      <c r="I8524" s="9">
        <v>1852200</v>
      </c>
      <c r="J8524" s="10">
        <v>0.0372</v>
      </c>
    </row>
    <row r="8525" spans="1:10">
      <c r="A8525" s="7" t="s">
        <v>8559</v>
      </c>
      <c r="B8525" s="7" t="s">
        <v>10392</v>
      </c>
      <c r="C8525" s="8">
        <f>QS.CONTEXT.CREATE("market.8523",A8525,"USD","SOFR")</f>
        <v/>
      </c>
      <c r="D8525" s="8">
        <f>QS.CONTEXT.ADD.CURVE(C8525,"SOFR",$K$2:$K$7,$L$2:$L$7,,,"Actual360","LogLinear",TRUE)</f>
        <v/>
      </c>
      <c r="E8525" s="8">
        <f>QS.INSTRUMENT.SWAP("swap.8523",C8525,H8525,B8525,"USD","SOFR",I8525,J8525,0,"Actual360","Simple","Annual","Annual","Annual")</f>
        <v/>
      </c>
      <c r="F8525" s="8">
        <f>QS.TRADE.CREATE("trade.8523",C8525,E8525,A8525,"Receive")</f>
        <v/>
      </c>
      <c r="G8525" s="5"/>
      <c r="H8525" s="7" t="s">
        <v>8566</v>
      </c>
      <c r="I8525" s="9">
        <v>1852300</v>
      </c>
      <c r="J8525" s="10">
        <v>0.0373</v>
      </c>
    </row>
    <row r="8526" spans="1:10">
      <c r="A8526" s="7" t="s">
        <v>8560</v>
      </c>
      <c r="B8526" s="7" t="s">
        <v>10393</v>
      </c>
      <c r="C8526" s="8">
        <f>QS.CONTEXT.CREATE("market.8524",A8526,"USD","SOFR")</f>
        <v/>
      </c>
      <c r="D8526" s="8">
        <f>QS.CONTEXT.ADD.CURVE(C8526,"SOFR",$K$2:$K$7,$L$2:$L$7,,,"Actual360","LogLinear",TRUE)</f>
        <v/>
      </c>
      <c r="E8526" s="8">
        <f>QS.INSTRUMENT.SWAP("swap.8524",C8526,H8526,B8526,"USD","SOFR",I8526,J8526,0,"Actual360","Simple","Annual","Annual","Annual")</f>
        <v/>
      </c>
      <c r="F8526" s="8">
        <f>QS.TRADE.CREATE("trade.8524",C8526,E8526,A8526,"Receive")</f>
        <v/>
      </c>
      <c r="G8526" s="5"/>
      <c r="H8526" s="7" t="s">
        <v>8567</v>
      </c>
      <c r="I8526" s="9">
        <v>1852400</v>
      </c>
      <c r="J8526" s="10">
        <v>0.0374</v>
      </c>
    </row>
    <row r="8527" spans="1:10">
      <c r="A8527" s="7" t="s">
        <v>8561</v>
      </c>
      <c r="B8527" s="7" t="s">
        <v>10394</v>
      </c>
      <c r="C8527" s="8">
        <f>QS.CONTEXT.CREATE("market.8525",A8527,"USD","SOFR")</f>
        <v/>
      </c>
      <c r="D8527" s="8">
        <f>QS.CONTEXT.ADD.CURVE(C8527,"SOFR",$K$2:$K$7,$L$2:$L$7,,,"Actual360","LogLinear",TRUE)</f>
        <v/>
      </c>
      <c r="E8527" s="8">
        <f>QS.INSTRUMENT.SWAP("swap.8525",C8527,H8527,B8527,"USD","SOFR",I8527,J8527,0,"Actual360","Simple","Annual","Annual","Annual")</f>
        <v/>
      </c>
      <c r="F8527" s="8">
        <f>QS.TRADE.CREATE("trade.8525",C8527,E8527,A8527,"Receive")</f>
        <v/>
      </c>
      <c r="G8527" s="5"/>
      <c r="H8527" s="7" t="s">
        <v>8568</v>
      </c>
      <c r="I8527" s="9">
        <v>1852500</v>
      </c>
      <c r="J8527" s="10">
        <v>0.03750000000000001</v>
      </c>
    </row>
    <row r="8528" spans="1:10">
      <c r="A8528" s="7" t="s">
        <v>8562</v>
      </c>
      <c r="B8528" s="7" t="s">
        <v>10395</v>
      </c>
      <c r="C8528" s="8">
        <f>QS.CONTEXT.CREATE("market.8526",A8528,"USD","SOFR")</f>
        <v/>
      </c>
      <c r="D8528" s="8">
        <f>QS.CONTEXT.ADD.CURVE(C8528,"SOFR",$K$2:$K$7,$L$2:$L$7,,,"Actual360","LogLinear",TRUE)</f>
        <v/>
      </c>
      <c r="E8528" s="8">
        <f>QS.INSTRUMENT.SWAP("swap.8526",C8528,H8528,B8528,"USD","SOFR",I8528,J8528,0,"Actual360","Simple","Annual","Annual","Annual")</f>
        <v/>
      </c>
      <c r="F8528" s="8">
        <f>QS.TRADE.CREATE("trade.8526",C8528,E8528,A8528,"Receive")</f>
        <v/>
      </c>
      <c r="G8528" s="5"/>
      <c r="H8528" s="7" t="s">
        <v>8569</v>
      </c>
      <c r="I8528" s="9">
        <v>1852600</v>
      </c>
      <c r="J8528" s="10">
        <v>0.0376</v>
      </c>
    </row>
    <row r="8529" spans="1:10">
      <c r="A8529" s="7" t="s">
        <v>8563</v>
      </c>
      <c r="B8529" s="7" t="s">
        <v>10396</v>
      </c>
      <c r="C8529" s="8">
        <f>QS.CONTEXT.CREATE("market.8527",A8529,"USD","SOFR")</f>
        <v/>
      </c>
      <c r="D8529" s="8">
        <f>QS.CONTEXT.ADD.CURVE(C8529,"SOFR",$K$2:$K$7,$L$2:$L$7,,,"Actual360","LogLinear",TRUE)</f>
        <v/>
      </c>
      <c r="E8529" s="8">
        <f>QS.INSTRUMENT.SWAP("swap.8527",C8529,H8529,B8529,"USD","SOFR",I8529,J8529,0,"Actual360","Simple","Annual","Annual","Annual")</f>
        <v/>
      </c>
      <c r="F8529" s="8">
        <f>QS.TRADE.CREATE("trade.8527",C8529,E8529,A8529,"Receive")</f>
        <v/>
      </c>
      <c r="G8529" s="5"/>
      <c r="H8529" s="7" t="s">
        <v>8570</v>
      </c>
      <c r="I8529" s="9">
        <v>1852700</v>
      </c>
      <c r="J8529" s="10">
        <v>0.0377</v>
      </c>
    </row>
    <row r="8530" spans="1:10">
      <c r="A8530" s="7" t="s">
        <v>8564</v>
      </c>
      <c r="B8530" s="7" t="s">
        <v>10397</v>
      </c>
      <c r="C8530" s="8">
        <f>QS.CONTEXT.CREATE("market.8528",A8530,"USD","SOFR")</f>
        <v/>
      </c>
      <c r="D8530" s="8">
        <f>QS.CONTEXT.ADD.CURVE(C8530,"SOFR",$K$2:$K$7,$L$2:$L$7,,,"Actual360","LogLinear",TRUE)</f>
        <v/>
      </c>
      <c r="E8530" s="8">
        <f>QS.INSTRUMENT.SWAP("swap.8528",C8530,H8530,B8530,"USD","SOFR",I8530,J8530,0,"Actual360","Simple","Annual","Annual","Annual")</f>
        <v/>
      </c>
      <c r="F8530" s="8">
        <f>QS.TRADE.CREATE("trade.8528",C8530,E8530,A8530,"Receive")</f>
        <v/>
      </c>
      <c r="G8530" s="5"/>
      <c r="H8530" s="7" t="s">
        <v>8571</v>
      </c>
      <c r="I8530" s="9">
        <v>1852800</v>
      </c>
      <c r="J8530" s="10">
        <v>0.0378</v>
      </c>
    </row>
    <row r="8531" spans="1:10">
      <c r="A8531" s="7" t="s">
        <v>8565</v>
      </c>
      <c r="B8531" s="7" t="s">
        <v>10398</v>
      </c>
      <c r="C8531" s="8">
        <f>QS.CONTEXT.CREATE("market.8529",A8531,"USD","SOFR")</f>
        <v/>
      </c>
      <c r="D8531" s="8">
        <f>QS.CONTEXT.ADD.CURVE(C8531,"SOFR",$K$2:$K$7,$L$2:$L$7,,,"Actual360","LogLinear",TRUE)</f>
        <v/>
      </c>
      <c r="E8531" s="8">
        <f>QS.INSTRUMENT.SWAP("swap.8529",C8531,H8531,B8531,"USD","SOFR",I8531,J8531,0,"Actual360","Simple","Annual","Annual","Annual")</f>
        <v/>
      </c>
      <c r="F8531" s="8">
        <f>QS.TRADE.CREATE("trade.8529",C8531,E8531,A8531,"Receive")</f>
        <v/>
      </c>
      <c r="G8531" s="5"/>
      <c r="H8531" s="7" t="s">
        <v>8572</v>
      </c>
      <c r="I8531" s="9">
        <v>1852900</v>
      </c>
      <c r="J8531" s="10">
        <v>0.0379</v>
      </c>
    </row>
    <row r="8532" spans="1:10">
      <c r="A8532" s="7" t="s">
        <v>8566</v>
      </c>
      <c r="B8532" s="7" t="s">
        <v>10399</v>
      </c>
      <c r="C8532" s="8">
        <f>QS.CONTEXT.CREATE("market.8530",A8532,"USD","SOFR")</f>
        <v/>
      </c>
      <c r="D8532" s="8">
        <f>QS.CONTEXT.ADD.CURVE(C8532,"SOFR",$K$2:$K$7,$L$2:$L$7,,,"Actual360","LogLinear",TRUE)</f>
        <v/>
      </c>
      <c r="E8532" s="8">
        <f>QS.INSTRUMENT.SWAP("swap.8530",C8532,H8532,B8532,"USD","SOFR",I8532,J8532,0,"Actual360","Simple","Annual","Annual","Annual")</f>
        <v/>
      </c>
      <c r="F8532" s="8">
        <f>QS.TRADE.CREATE("trade.8530",C8532,E8532,A8532,"Receive")</f>
        <v/>
      </c>
      <c r="G8532" s="5"/>
      <c r="H8532" s="7" t="s">
        <v>8573</v>
      </c>
      <c r="I8532" s="9">
        <v>1853000</v>
      </c>
      <c r="J8532" s="10">
        <v>0.03800000000000001</v>
      </c>
    </row>
    <row r="8533" spans="1:10">
      <c r="A8533" s="7" t="s">
        <v>8567</v>
      </c>
      <c r="B8533" s="7" t="s">
        <v>10400</v>
      </c>
      <c r="C8533" s="8">
        <f>QS.CONTEXT.CREATE("market.8531",A8533,"USD","SOFR")</f>
        <v/>
      </c>
      <c r="D8533" s="8">
        <f>QS.CONTEXT.ADD.CURVE(C8533,"SOFR",$K$2:$K$7,$L$2:$L$7,,,"Actual360","LogLinear",TRUE)</f>
        <v/>
      </c>
      <c r="E8533" s="8">
        <f>QS.INSTRUMENT.SWAP("swap.8531",C8533,H8533,B8533,"USD","SOFR",I8533,J8533,0,"Actual360","Simple","Annual","Annual","Annual")</f>
        <v/>
      </c>
      <c r="F8533" s="8">
        <f>QS.TRADE.CREATE("trade.8531",C8533,E8533,A8533,"Receive")</f>
        <v/>
      </c>
      <c r="G8533" s="5"/>
      <c r="H8533" s="7" t="s">
        <v>8574</v>
      </c>
      <c r="I8533" s="9">
        <v>1853100</v>
      </c>
      <c r="J8533" s="10">
        <v>0.0381</v>
      </c>
    </row>
    <row r="8534" spans="1:10">
      <c r="A8534" s="7" t="s">
        <v>8568</v>
      </c>
      <c r="B8534" s="7" t="s">
        <v>10401</v>
      </c>
      <c r="C8534" s="8">
        <f>QS.CONTEXT.CREATE("market.8532",A8534,"USD","SOFR")</f>
        <v/>
      </c>
      <c r="D8534" s="8">
        <f>QS.CONTEXT.ADD.CURVE(C8534,"SOFR",$K$2:$K$7,$L$2:$L$7,,,"Actual360","LogLinear",TRUE)</f>
        <v/>
      </c>
      <c r="E8534" s="8">
        <f>QS.INSTRUMENT.SWAP("swap.8532",C8534,H8534,B8534,"USD","SOFR",I8534,J8534,0,"Actual360","Simple","Annual","Annual","Annual")</f>
        <v/>
      </c>
      <c r="F8534" s="8">
        <f>QS.TRADE.CREATE("trade.8532",C8534,E8534,A8534,"Receive")</f>
        <v/>
      </c>
      <c r="G8534" s="5"/>
      <c r="H8534" s="7" t="s">
        <v>8575</v>
      </c>
      <c r="I8534" s="9">
        <v>1853200</v>
      </c>
      <c r="J8534" s="10">
        <v>0.0382</v>
      </c>
    </row>
    <row r="8535" spans="1:10">
      <c r="A8535" s="7" t="s">
        <v>8569</v>
      </c>
      <c r="B8535" s="7" t="s">
        <v>10402</v>
      </c>
      <c r="C8535" s="8">
        <f>QS.CONTEXT.CREATE("market.8533",A8535,"USD","SOFR")</f>
        <v/>
      </c>
      <c r="D8535" s="8">
        <f>QS.CONTEXT.ADD.CURVE(C8535,"SOFR",$K$2:$K$7,$L$2:$L$7,,,"Actual360","LogLinear",TRUE)</f>
        <v/>
      </c>
      <c r="E8535" s="8">
        <f>QS.INSTRUMENT.SWAP("swap.8533",C8535,H8535,B8535,"USD","SOFR",I8535,J8535,0,"Actual360","Simple","Annual","Annual","Annual")</f>
        <v/>
      </c>
      <c r="F8535" s="8">
        <f>QS.TRADE.CREATE("trade.8533",C8535,E8535,A8535,"Receive")</f>
        <v/>
      </c>
      <c r="G8535" s="5"/>
      <c r="H8535" s="7" t="s">
        <v>8576</v>
      </c>
      <c r="I8535" s="9">
        <v>1853300</v>
      </c>
      <c r="J8535" s="10">
        <v>0.0383</v>
      </c>
    </row>
    <row r="8536" spans="1:10">
      <c r="A8536" s="7" t="s">
        <v>8570</v>
      </c>
      <c r="B8536" s="7" t="s">
        <v>10403</v>
      </c>
      <c r="C8536" s="8">
        <f>QS.CONTEXT.CREATE("market.8534",A8536,"USD","SOFR")</f>
        <v/>
      </c>
      <c r="D8536" s="8">
        <f>QS.CONTEXT.ADD.CURVE(C8536,"SOFR",$K$2:$K$7,$L$2:$L$7,,,"Actual360","LogLinear",TRUE)</f>
        <v/>
      </c>
      <c r="E8536" s="8">
        <f>QS.INSTRUMENT.SWAP("swap.8534",C8536,H8536,B8536,"USD","SOFR",I8536,J8536,0,"Actual360","Simple","Annual","Annual","Annual")</f>
        <v/>
      </c>
      <c r="F8536" s="8">
        <f>QS.TRADE.CREATE("trade.8534",C8536,E8536,A8536,"Receive")</f>
        <v/>
      </c>
      <c r="G8536" s="5"/>
      <c r="H8536" s="7" t="s">
        <v>8577</v>
      </c>
      <c r="I8536" s="9">
        <v>1853400</v>
      </c>
      <c r="J8536" s="10">
        <v>0.0384</v>
      </c>
    </row>
    <row r="8537" spans="1:10">
      <c r="A8537" s="7" t="s">
        <v>8571</v>
      </c>
      <c r="B8537" s="7" t="s">
        <v>10404</v>
      </c>
      <c r="C8537" s="8">
        <f>QS.CONTEXT.CREATE("market.8535",A8537,"USD","SOFR")</f>
        <v/>
      </c>
      <c r="D8537" s="8">
        <f>QS.CONTEXT.ADD.CURVE(C8537,"SOFR",$K$2:$K$7,$L$2:$L$7,,,"Actual360","LogLinear",TRUE)</f>
        <v/>
      </c>
      <c r="E8537" s="8">
        <f>QS.INSTRUMENT.SWAP("swap.8535",C8537,H8537,B8537,"USD","SOFR",I8537,J8537,0,"Actual360","Simple","Annual","Annual","Annual")</f>
        <v/>
      </c>
      <c r="F8537" s="8">
        <f>QS.TRADE.CREATE("trade.8535",C8537,E8537,A8537,"Receive")</f>
        <v/>
      </c>
      <c r="G8537" s="5"/>
      <c r="H8537" s="7" t="s">
        <v>8578</v>
      </c>
      <c r="I8537" s="9">
        <v>1853500</v>
      </c>
      <c r="J8537" s="10">
        <v>0.03850000000000001</v>
      </c>
    </row>
    <row r="8538" spans="1:10">
      <c r="A8538" s="7" t="s">
        <v>8572</v>
      </c>
      <c r="B8538" s="7" t="s">
        <v>10405</v>
      </c>
      <c r="C8538" s="8">
        <f>QS.CONTEXT.CREATE("market.8536",A8538,"USD","SOFR")</f>
        <v/>
      </c>
      <c r="D8538" s="8">
        <f>QS.CONTEXT.ADD.CURVE(C8538,"SOFR",$K$2:$K$7,$L$2:$L$7,,,"Actual360","LogLinear",TRUE)</f>
        <v/>
      </c>
      <c r="E8538" s="8">
        <f>QS.INSTRUMENT.SWAP("swap.8536",C8538,H8538,B8538,"USD","SOFR",I8538,J8538,0,"Actual360","Simple","Annual","Annual","Annual")</f>
        <v/>
      </c>
      <c r="F8538" s="8">
        <f>QS.TRADE.CREATE("trade.8536",C8538,E8538,A8538,"Receive")</f>
        <v/>
      </c>
      <c r="G8538" s="5"/>
      <c r="H8538" s="7" t="s">
        <v>8579</v>
      </c>
      <c r="I8538" s="9">
        <v>1853600</v>
      </c>
      <c r="J8538" s="10">
        <v>0.0386</v>
      </c>
    </row>
    <row r="8539" spans="1:10">
      <c r="A8539" s="7" t="s">
        <v>8573</v>
      </c>
      <c r="B8539" s="7" t="s">
        <v>10406</v>
      </c>
      <c r="C8539" s="8">
        <f>QS.CONTEXT.CREATE("market.8537",A8539,"USD","SOFR")</f>
        <v/>
      </c>
      <c r="D8539" s="8">
        <f>QS.CONTEXT.ADD.CURVE(C8539,"SOFR",$K$2:$K$7,$L$2:$L$7,,,"Actual360","LogLinear",TRUE)</f>
        <v/>
      </c>
      <c r="E8539" s="8">
        <f>QS.INSTRUMENT.SWAP("swap.8537",C8539,H8539,B8539,"USD","SOFR",I8539,J8539,0,"Actual360","Simple","Annual","Annual","Annual")</f>
        <v/>
      </c>
      <c r="F8539" s="8">
        <f>QS.TRADE.CREATE("trade.8537",C8539,E8539,A8539,"Receive")</f>
        <v/>
      </c>
      <c r="G8539" s="5"/>
      <c r="H8539" s="7" t="s">
        <v>8580</v>
      </c>
      <c r="I8539" s="9">
        <v>1853700</v>
      </c>
      <c r="J8539" s="10">
        <v>0.03870000000000001</v>
      </c>
    </row>
    <row r="8540" spans="1:10">
      <c r="A8540" s="7" t="s">
        <v>8574</v>
      </c>
      <c r="B8540" s="7" t="s">
        <v>10407</v>
      </c>
      <c r="C8540" s="8">
        <f>QS.CONTEXT.CREATE("market.8538",A8540,"USD","SOFR")</f>
        <v/>
      </c>
      <c r="D8540" s="8">
        <f>QS.CONTEXT.ADD.CURVE(C8540,"SOFR",$K$2:$K$7,$L$2:$L$7,,,"Actual360","LogLinear",TRUE)</f>
        <v/>
      </c>
      <c r="E8540" s="8">
        <f>QS.INSTRUMENT.SWAP("swap.8538",C8540,H8540,B8540,"USD","SOFR",I8540,J8540,0,"Actual360","Simple","Annual","Annual","Annual")</f>
        <v/>
      </c>
      <c r="F8540" s="8">
        <f>QS.TRADE.CREATE("trade.8538",C8540,E8540,A8540,"Receive")</f>
        <v/>
      </c>
      <c r="G8540" s="5"/>
      <c r="H8540" s="7" t="s">
        <v>8581</v>
      </c>
      <c r="I8540" s="9">
        <v>1853800</v>
      </c>
      <c r="J8540" s="10">
        <v>0.0388</v>
      </c>
    </row>
    <row r="8541" spans="1:10">
      <c r="A8541" s="7" t="s">
        <v>8575</v>
      </c>
      <c r="B8541" s="7" t="s">
        <v>10408</v>
      </c>
      <c r="C8541" s="8">
        <f>QS.CONTEXT.CREATE("market.8539",A8541,"USD","SOFR")</f>
        <v/>
      </c>
      <c r="D8541" s="8">
        <f>QS.CONTEXT.ADD.CURVE(C8541,"SOFR",$K$2:$K$7,$L$2:$L$7,,,"Actual360","LogLinear",TRUE)</f>
        <v/>
      </c>
      <c r="E8541" s="8">
        <f>QS.INSTRUMENT.SWAP("swap.8539",C8541,H8541,B8541,"USD","SOFR",I8541,J8541,0,"Actual360","Simple","Annual","Annual","Annual")</f>
        <v/>
      </c>
      <c r="F8541" s="8">
        <f>QS.TRADE.CREATE("trade.8539",C8541,E8541,A8541,"Receive")</f>
        <v/>
      </c>
      <c r="G8541" s="5"/>
      <c r="H8541" s="7" t="s">
        <v>8582</v>
      </c>
      <c r="I8541" s="9">
        <v>1853900</v>
      </c>
      <c r="J8541" s="10">
        <v>0.0389</v>
      </c>
    </row>
    <row r="8542" spans="1:10">
      <c r="A8542" s="7" t="s">
        <v>8576</v>
      </c>
      <c r="B8542" s="7" t="s">
        <v>10409</v>
      </c>
      <c r="C8542" s="8">
        <f>QS.CONTEXT.CREATE("market.8540",A8542,"USD","SOFR")</f>
        <v/>
      </c>
      <c r="D8542" s="8">
        <f>QS.CONTEXT.ADD.CURVE(C8542,"SOFR",$K$2:$K$7,$L$2:$L$7,,,"Actual360","LogLinear",TRUE)</f>
        <v/>
      </c>
      <c r="E8542" s="8">
        <f>QS.INSTRUMENT.SWAP("swap.8540",C8542,H8542,B8542,"USD","SOFR",I8542,J8542,0,"Actual360","Simple","Annual","Annual","Annual")</f>
        <v/>
      </c>
      <c r="F8542" s="8">
        <f>QS.TRADE.CREATE("trade.8540",C8542,E8542,A8542,"Receive")</f>
        <v/>
      </c>
      <c r="G8542" s="5"/>
      <c r="H8542" s="7" t="s">
        <v>8583</v>
      </c>
      <c r="I8542" s="9">
        <v>1854000</v>
      </c>
      <c r="J8542" s="10">
        <v>0.03900000000000001</v>
      </c>
    </row>
    <row r="8543" spans="1:10">
      <c r="A8543" s="7" t="s">
        <v>8577</v>
      </c>
      <c r="B8543" s="7" t="s">
        <v>10410</v>
      </c>
      <c r="C8543" s="8">
        <f>QS.CONTEXT.CREATE("market.8541",A8543,"USD","SOFR")</f>
        <v/>
      </c>
      <c r="D8543" s="8">
        <f>QS.CONTEXT.ADD.CURVE(C8543,"SOFR",$K$2:$K$7,$L$2:$L$7,,,"Actual360","LogLinear",TRUE)</f>
        <v/>
      </c>
      <c r="E8543" s="8">
        <f>QS.INSTRUMENT.SWAP("swap.8541",C8543,H8543,B8543,"USD","SOFR",I8543,J8543,0,"Actual360","Simple","Annual","Annual","Annual")</f>
        <v/>
      </c>
      <c r="F8543" s="8">
        <f>QS.TRADE.CREATE("trade.8541",C8543,E8543,A8543,"Receive")</f>
        <v/>
      </c>
      <c r="G8543" s="5"/>
      <c r="H8543" s="7" t="s">
        <v>8584</v>
      </c>
      <c r="I8543" s="9">
        <v>1854100</v>
      </c>
      <c r="J8543" s="10">
        <v>0.0391</v>
      </c>
    </row>
    <row r="8544" spans="1:10">
      <c r="A8544" s="7" t="s">
        <v>8578</v>
      </c>
      <c r="B8544" s="7" t="s">
        <v>10411</v>
      </c>
      <c r="C8544" s="8">
        <f>QS.CONTEXT.CREATE("market.8542",A8544,"USD","SOFR")</f>
        <v/>
      </c>
      <c r="D8544" s="8">
        <f>QS.CONTEXT.ADD.CURVE(C8544,"SOFR",$K$2:$K$7,$L$2:$L$7,,,"Actual360","LogLinear",TRUE)</f>
        <v/>
      </c>
      <c r="E8544" s="8">
        <f>QS.INSTRUMENT.SWAP("swap.8542",C8544,H8544,B8544,"USD","SOFR",I8544,J8544,0,"Actual360","Simple","Annual","Annual","Annual")</f>
        <v/>
      </c>
      <c r="F8544" s="8">
        <f>QS.TRADE.CREATE("trade.8542",C8544,E8544,A8544,"Receive")</f>
        <v/>
      </c>
      <c r="G8544" s="5"/>
      <c r="H8544" s="7" t="s">
        <v>8585</v>
      </c>
      <c r="I8544" s="9">
        <v>1854200</v>
      </c>
      <c r="J8544" s="10">
        <v>0.03920000000000001</v>
      </c>
    </row>
    <row r="8545" spans="1:10">
      <c r="A8545" s="7" t="s">
        <v>8579</v>
      </c>
      <c r="B8545" s="7" t="s">
        <v>10412</v>
      </c>
      <c r="C8545" s="8">
        <f>QS.CONTEXT.CREATE("market.8543",A8545,"USD","SOFR")</f>
        <v/>
      </c>
      <c r="D8545" s="8">
        <f>QS.CONTEXT.ADD.CURVE(C8545,"SOFR",$K$2:$K$7,$L$2:$L$7,,,"Actual360","LogLinear",TRUE)</f>
        <v/>
      </c>
      <c r="E8545" s="8">
        <f>QS.INSTRUMENT.SWAP("swap.8543",C8545,H8545,B8545,"USD","SOFR",I8545,J8545,0,"Actual360","Simple","Annual","Annual","Annual")</f>
        <v/>
      </c>
      <c r="F8545" s="8">
        <f>QS.TRADE.CREATE("trade.8543",C8545,E8545,A8545,"Receive")</f>
        <v/>
      </c>
      <c r="G8545" s="5"/>
      <c r="H8545" s="7" t="s">
        <v>8586</v>
      </c>
      <c r="I8545" s="9">
        <v>1854300</v>
      </c>
      <c r="J8545" s="10">
        <v>0.0393</v>
      </c>
    </row>
    <row r="8546" spans="1:10">
      <c r="A8546" s="7" t="s">
        <v>8580</v>
      </c>
      <c r="B8546" s="7" t="s">
        <v>10413</v>
      </c>
      <c r="C8546" s="8">
        <f>QS.CONTEXT.CREATE("market.8544",A8546,"USD","SOFR")</f>
        <v/>
      </c>
      <c r="D8546" s="8">
        <f>QS.CONTEXT.ADD.CURVE(C8546,"SOFR",$K$2:$K$7,$L$2:$L$7,,,"Actual360","LogLinear",TRUE)</f>
        <v/>
      </c>
      <c r="E8546" s="8">
        <f>QS.INSTRUMENT.SWAP("swap.8544",C8546,H8546,B8546,"USD","SOFR",I8546,J8546,0,"Actual360","Simple","Annual","Annual","Annual")</f>
        <v/>
      </c>
      <c r="F8546" s="8">
        <f>QS.TRADE.CREATE("trade.8544",C8546,E8546,A8546,"Receive")</f>
        <v/>
      </c>
      <c r="G8546" s="5"/>
      <c r="H8546" s="7" t="s">
        <v>8587</v>
      </c>
      <c r="I8546" s="9">
        <v>1854400</v>
      </c>
      <c r="J8546" s="10">
        <v>0.0394</v>
      </c>
    </row>
    <row r="8547" spans="1:10">
      <c r="A8547" s="7" t="s">
        <v>8581</v>
      </c>
      <c r="B8547" s="7" t="s">
        <v>10414</v>
      </c>
      <c r="C8547" s="8">
        <f>QS.CONTEXT.CREATE("market.8545",A8547,"USD","SOFR")</f>
        <v/>
      </c>
      <c r="D8547" s="8">
        <f>QS.CONTEXT.ADD.CURVE(C8547,"SOFR",$K$2:$K$7,$L$2:$L$7,,,"Actual360","LogLinear",TRUE)</f>
        <v/>
      </c>
      <c r="E8547" s="8">
        <f>QS.INSTRUMENT.SWAP("swap.8545",C8547,H8547,B8547,"USD","SOFR",I8547,J8547,0,"Actual360","Simple","Annual","Annual","Annual")</f>
        <v/>
      </c>
      <c r="F8547" s="8">
        <f>QS.TRADE.CREATE("trade.8545",C8547,E8547,A8547,"Receive")</f>
        <v/>
      </c>
      <c r="G8547" s="5"/>
      <c r="H8547" s="7" t="s">
        <v>8588</v>
      </c>
      <c r="I8547" s="9">
        <v>1854500</v>
      </c>
      <c r="J8547" s="10">
        <v>0.03950000000000001</v>
      </c>
    </row>
    <row r="8548" spans="1:10">
      <c r="A8548" s="7" t="s">
        <v>8582</v>
      </c>
      <c r="B8548" s="7" t="s">
        <v>10415</v>
      </c>
      <c r="C8548" s="8">
        <f>QS.CONTEXT.CREATE("market.8546",A8548,"USD","SOFR")</f>
        <v/>
      </c>
      <c r="D8548" s="8">
        <f>QS.CONTEXT.ADD.CURVE(C8548,"SOFR",$K$2:$K$7,$L$2:$L$7,,,"Actual360","LogLinear",TRUE)</f>
        <v/>
      </c>
      <c r="E8548" s="8">
        <f>QS.INSTRUMENT.SWAP("swap.8546",C8548,H8548,B8548,"USD","SOFR",I8548,J8548,0,"Actual360","Simple","Annual","Annual","Annual")</f>
        <v/>
      </c>
      <c r="F8548" s="8">
        <f>QS.TRADE.CREATE("trade.8546",C8548,E8548,A8548,"Receive")</f>
        <v/>
      </c>
      <c r="G8548" s="5"/>
      <c r="H8548" s="7" t="s">
        <v>8589</v>
      </c>
      <c r="I8548" s="9">
        <v>1854600</v>
      </c>
      <c r="J8548" s="10">
        <v>0.0396</v>
      </c>
    </row>
    <row r="8549" spans="1:10">
      <c r="A8549" s="7" t="s">
        <v>8583</v>
      </c>
      <c r="B8549" s="7" t="s">
        <v>10416</v>
      </c>
      <c r="C8549" s="8">
        <f>QS.CONTEXT.CREATE("market.8547",A8549,"USD","SOFR")</f>
        <v/>
      </c>
      <c r="D8549" s="8">
        <f>QS.CONTEXT.ADD.CURVE(C8549,"SOFR",$K$2:$K$7,$L$2:$L$7,,,"Actual360","LogLinear",TRUE)</f>
        <v/>
      </c>
      <c r="E8549" s="8">
        <f>QS.INSTRUMENT.SWAP("swap.8547",C8549,H8549,B8549,"USD","SOFR",I8549,J8549,0,"Actual360","Simple","Annual","Annual","Annual")</f>
        <v/>
      </c>
      <c r="F8549" s="8">
        <f>QS.TRADE.CREATE("trade.8547",C8549,E8549,A8549,"Receive")</f>
        <v/>
      </c>
      <c r="G8549" s="5"/>
      <c r="H8549" s="7" t="s">
        <v>8590</v>
      </c>
      <c r="I8549" s="9">
        <v>1854700</v>
      </c>
      <c r="J8549" s="10">
        <v>0.03970000000000001</v>
      </c>
    </row>
    <row r="8550" spans="1:10">
      <c r="A8550" s="7" t="s">
        <v>8584</v>
      </c>
      <c r="B8550" s="7" t="s">
        <v>10417</v>
      </c>
      <c r="C8550" s="8">
        <f>QS.CONTEXT.CREATE("market.8548",A8550,"USD","SOFR")</f>
        <v/>
      </c>
      <c r="D8550" s="8">
        <f>QS.CONTEXT.ADD.CURVE(C8550,"SOFR",$K$2:$K$7,$L$2:$L$7,,,"Actual360","LogLinear",TRUE)</f>
        <v/>
      </c>
      <c r="E8550" s="8">
        <f>QS.INSTRUMENT.SWAP("swap.8548",C8550,H8550,B8550,"USD","SOFR",I8550,J8550,0,"Actual360","Simple","Annual","Annual","Annual")</f>
        <v/>
      </c>
      <c r="F8550" s="8">
        <f>QS.TRADE.CREATE("trade.8548",C8550,E8550,A8550,"Receive")</f>
        <v/>
      </c>
      <c r="G8550" s="5"/>
      <c r="H8550" s="7" t="s">
        <v>8591</v>
      </c>
      <c r="I8550" s="9">
        <v>1854800</v>
      </c>
      <c r="J8550" s="10">
        <v>0.0398</v>
      </c>
    </row>
    <row r="8551" spans="1:10">
      <c r="A8551" s="7" t="s">
        <v>8585</v>
      </c>
      <c r="B8551" s="7" t="s">
        <v>10418</v>
      </c>
      <c r="C8551" s="8">
        <f>QS.CONTEXT.CREATE("market.8549",A8551,"USD","SOFR")</f>
        <v/>
      </c>
      <c r="D8551" s="8">
        <f>QS.CONTEXT.ADD.CURVE(C8551,"SOFR",$K$2:$K$7,$L$2:$L$7,,,"Actual360","LogLinear",TRUE)</f>
        <v/>
      </c>
      <c r="E8551" s="8">
        <f>QS.INSTRUMENT.SWAP("swap.8549",C8551,H8551,B8551,"USD","SOFR",I8551,J8551,0,"Actual360","Simple","Annual","Annual","Annual")</f>
        <v/>
      </c>
      <c r="F8551" s="8">
        <f>QS.TRADE.CREATE("trade.8549",C8551,E8551,A8551,"Receive")</f>
        <v/>
      </c>
      <c r="G8551" s="5"/>
      <c r="H8551" s="7" t="s">
        <v>8592</v>
      </c>
      <c r="I8551" s="9">
        <v>1854900</v>
      </c>
      <c r="J8551" s="10">
        <v>0.0399</v>
      </c>
    </row>
    <row r="8552" spans="1:10">
      <c r="A8552" s="7" t="s">
        <v>8586</v>
      </c>
      <c r="B8552" s="7" t="s">
        <v>10419</v>
      </c>
      <c r="C8552" s="8">
        <f>QS.CONTEXT.CREATE("market.8550",A8552,"USD","SOFR")</f>
        <v/>
      </c>
      <c r="D8552" s="8">
        <f>QS.CONTEXT.ADD.CURVE(C8552,"SOFR",$K$2:$K$7,$L$2:$L$7,,,"Actual360","LogLinear",TRUE)</f>
        <v/>
      </c>
      <c r="E8552" s="8">
        <f>QS.INSTRUMENT.SWAP("swap.8550",C8552,H8552,B8552,"USD","SOFR",I8552,J8552,0,"Actual360","Simple","Annual","Annual","Annual")</f>
        <v/>
      </c>
      <c r="F8552" s="8">
        <f>QS.TRADE.CREATE("trade.8550",C8552,E8552,A8552,"Receive")</f>
        <v/>
      </c>
      <c r="G8552" s="5"/>
      <c r="H8552" s="7" t="s">
        <v>8593</v>
      </c>
      <c r="I8552" s="9">
        <v>1855000</v>
      </c>
      <c r="J8552" s="10">
        <v>0.035</v>
      </c>
    </row>
    <row r="8553" spans="1:10">
      <c r="A8553" s="7" t="s">
        <v>8587</v>
      </c>
      <c r="B8553" s="7" t="s">
        <v>10420</v>
      </c>
      <c r="C8553" s="8">
        <f>QS.CONTEXT.CREATE("market.8551",A8553,"USD","SOFR")</f>
        <v/>
      </c>
      <c r="D8553" s="8">
        <f>QS.CONTEXT.ADD.CURVE(C8553,"SOFR",$K$2:$K$7,$L$2:$L$7,,,"Actual360","LogLinear",TRUE)</f>
        <v/>
      </c>
      <c r="E8553" s="8">
        <f>QS.INSTRUMENT.SWAP("swap.8551",C8553,H8553,B8553,"USD","SOFR",I8553,J8553,0,"Actual360","Simple","Annual","Annual","Annual")</f>
        <v/>
      </c>
      <c r="F8553" s="8">
        <f>QS.TRADE.CREATE("trade.8551",C8553,E8553,A8553,"Receive")</f>
        <v/>
      </c>
      <c r="G8553" s="5"/>
      <c r="H8553" s="7" t="s">
        <v>8594</v>
      </c>
      <c r="I8553" s="9">
        <v>1855100</v>
      </c>
      <c r="J8553" s="10">
        <v>0.03510000000000001</v>
      </c>
    </row>
    <row r="8554" spans="1:10">
      <c r="A8554" s="7" t="s">
        <v>8588</v>
      </c>
      <c r="B8554" s="7" t="s">
        <v>10421</v>
      </c>
      <c r="C8554" s="8">
        <f>QS.CONTEXT.CREATE("market.8552",A8554,"USD","SOFR")</f>
        <v/>
      </c>
      <c r="D8554" s="8">
        <f>QS.CONTEXT.ADD.CURVE(C8554,"SOFR",$K$2:$K$7,$L$2:$L$7,,,"Actual360","LogLinear",TRUE)</f>
        <v/>
      </c>
      <c r="E8554" s="8">
        <f>QS.INSTRUMENT.SWAP("swap.8552",C8554,H8554,B8554,"USD","SOFR",I8554,J8554,0,"Actual360","Simple","Annual","Annual","Annual")</f>
        <v/>
      </c>
      <c r="F8554" s="8">
        <f>QS.TRADE.CREATE("trade.8552",C8554,E8554,A8554,"Receive")</f>
        <v/>
      </c>
      <c r="G8554" s="5"/>
      <c r="H8554" s="7" t="s">
        <v>8595</v>
      </c>
      <c r="I8554" s="9">
        <v>1855200</v>
      </c>
      <c r="J8554" s="10">
        <v>0.0352</v>
      </c>
    </row>
    <row r="8555" spans="1:10">
      <c r="A8555" s="7" t="s">
        <v>8589</v>
      </c>
      <c r="B8555" s="7" t="s">
        <v>10422</v>
      </c>
      <c r="C8555" s="8">
        <f>QS.CONTEXT.CREATE("market.8553",A8555,"USD","SOFR")</f>
        <v/>
      </c>
      <c r="D8555" s="8">
        <f>QS.CONTEXT.ADD.CURVE(C8555,"SOFR",$K$2:$K$7,$L$2:$L$7,,,"Actual360","LogLinear",TRUE)</f>
        <v/>
      </c>
      <c r="E8555" s="8">
        <f>QS.INSTRUMENT.SWAP("swap.8553",C8555,H8555,B8555,"USD","SOFR",I8555,J8555,0,"Actual360","Simple","Annual","Annual","Annual")</f>
        <v/>
      </c>
      <c r="F8555" s="8">
        <f>QS.TRADE.CREATE("trade.8553",C8555,E8555,A8555,"Receive")</f>
        <v/>
      </c>
      <c r="G8555" s="5"/>
      <c r="H8555" s="7" t="s">
        <v>8596</v>
      </c>
      <c r="I8555" s="9">
        <v>1855300</v>
      </c>
      <c r="J8555" s="10">
        <v>0.0353</v>
      </c>
    </row>
    <row r="8556" spans="1:10">
      <c r="A8556" s="7" t="s">
        <v>8590</v>
      </c>
      <c r="B8556" s="7" t="s">
        <v>10423</v>
      </c>
      <c r="C8556" s="8">
        <f>QS.CONTEXT.CREATE("market.8554",A8556,"USD","SOFR")</f>
        <v/>
      </c>
      <c r="D8556" s="8">
        <f>QS.CONTEXT.ADD.CURVE(C8556,"SOFR",$K$2:$K$7,$L$2:$L$7,,,"Actual360","LogLinear",TRUE)</f>
        <v/>
      </c>
      <c r="E8556" s="8">
        <f>QS.INSTRUMENT.SWAP("swap.8554",C8556,H8556,B8556,"USD","SOFR",I8556,J8556,0,"Actual360","Simple","Annual","Annual","Annual")</f>
        <v/>
      </c>
      <c r="F8556" s="8">
        <f>QS.TRADE.CREATE("trade.8554",C8556,E8556,A8556,"Receive")</f>
        <v/>
      </c>
      <c r="G8556" s="5"/>
      <c r="H8556" s="7" t="s">
        <v>8597</v>
      </c>
      <c r="I8556" s="9">
        <v>1855400</v>
      </c>
      <c r="J8556" s="10">
        <v>0.0354</v>
      </c>
    </row>
    <row r="8557" spans="1:10">
      <c r="A8557" s="7" t="s">
        <v>8591</v>
      </c>
      <c r="B8557" s="7" t="s">
        <v>10424</v>
      </c>
      <c r="C8557" s="8">
        <f>QS.CONTEXT.CREATE("market.8555",A8557,"USD","SOFR")</f>
        <v/>
      </c>
      <c r="D8557" s="8">
        <f>QS.CONTEXT.ADD.CURVE(C8557,"SOFR",$K$2:$K$7,$L$2:$L$7,,,"Actual360","LogLinear",TRUE)</f>
        <v/>
      </c>
      <c r="E8557" s="8">
        <f>QS.INSTRUMENT.SWAP("swap.8555",C8557,H8557,B8557,"USD","SOFR",I8557,J8557,0,"Actual360","Simple","Annual","Annual","Annual")</f>
        <v/>
      </c>
      <c r="F8557" s="8">
        <f>QS.TRADE.CREATE("trade.8555",C8557,E8557,A8557,"Receive")</f>
        <v/>
      </c>
      <c r="G8557" s="5"/>
      <c r="H8557" s="7" t="s">
        <v>8598</v>
      </c>
      <c r="I8557" s="9">
        <v>1855500</v>
      </c>
      <c r="J8557" s="10">
        <v>0.0355</v>
      </c>
    </row>
    <row r="8558" spans="1:10">
      <c r="A8558" s="7" t="s">
        <v>8592</v>
      </c>
      <c r="B8558" s="7" t="s">
        <v>10425</v>
      </c>
      <c r="C8558" s="8">
        <f>QS.CONTEXT.CREATE("market.8556",A8558,"USD","SOFR")</f>
        <v/>
      </c>
      <c r="D8558" s="8">
        <f>QS.CONTEXT.ADD.CURVE(C8558,"SOFR",$K$2:$K$7,$L$2:$L$7,,,"Actual360","LogLinear",TRUE)</f>
        <v/>
      </c>
      <c r="E8558" s="8">
        <f>QS.INSTRUMENT.SWAP("swap.8556",C8558,H8558,B8558,"USD","SOFR",I8558,J8558,0,"Actual360","Simple","Annual","Annual","Annual")</f>
        <v/>
      </c>
      <c r="F8558" s="8">
        <f>QS.TRADE.CREATE("trade.8556",C8558,E8558,A8558,"Receive")</f>
        <v/>
      </c>
      <c r="G8558" s="5"/>
      <c r="H8558" s="7" t="s">
        <v>8599</v>
      </c>
      <c r="I8558" s="9">
        <v>1855600</v>
      </c>
      <c r="J8558" s="10">
        <v>0.03560000000000001</v>
      </c>
    </row>
    <row r="8559" spans="1:10">
      <c r="A8559" s="7" t="s">
        <v>8593</v>
      </c>
      <c r="B8559" s="7" t="s">
        <v>10426</v>
      </c>
      <c r="C8559" s="8">
        <f>QS.CONTEXT.CREATE("market.8557",A8559,"USD","SOFR")</f>
        <v/>
      </c>
      <c r="D8559" s="8">
        <f>QS.CONTEXT.ADD.CURVE(C8559,"SOFR",$K$2:$K$7,$L$2:$L$7,,,"Actual360","LogLinear",TRUE)</f>
        <v/>
      </c>
      <c r="E8559" s="8">
        <f>QS.INSTRUMENT.SWAP("swap.8557",C8559,H8559,B8559,"USD","SOFR",I8559,J8559,0,"Actual360","Simple","Annual","Annual","Annual")</f>
        <v/>
      </c>
      <c r="F8559" s="8">
        <f>QS.TRADE.CREATE("trade.8557",C8559,E8559,A8559,"Receive")</f>
        <v/>
      </c>
      <c r="G8559" s="5"/>
      <c r="H8559" s="7" t="s">
        <v>8600</v>
      </c>
      <c r="I8559" s="9">
        <v>1855700</v>
      </c>
      <c r="J8559" s="10">
        <v>0.0357</v>
      </c>
    </row>
    <row r="8560" spans="1:10">
      <c r="A8560" s="7" t="s">
        <v>8594</v>
      </c>
      <c r="B8560" s="7" t="s">
        <v>10427</v>
      </c>
      <c r="C8560" s="8">
        <f>QS.CONTEXT.CREATE("market.8558",A8560,"USD","SOFR")</f>
        <v/>
      </c>
      <c r="D8560" s="8">
        <f>QS.CONTEXT.ADD.CURVE(C8560,"SOFR",$K$2:$K$7,$L$2:$L$7,,,"Actual360","LogLinear",TRUE)</f>
        <v/>
      </c>
      <c r="E8560" s="8">
        <f>QS.INSTRUMENT.SWAP("swap.8558",C8560,H8560,B8560,"USD","SOFR",I8560,J8560,0,"Actual360","Simple","Annual","Annual","Annual")</f>
        <v/>
      </c>
      <c r="F8560" s="8">
        <f>QS.TRADE.CREATE("trade.8558",C8560,E8560,A8560,"Receive")</f>
        <v/>
      </c>
      <c r="G8560" s="5"/>
      <c r="H8560" s="7" t="s">
        <v>8601</v>
      </c>
      <c r="I8560" s="9">
        <v>1855800</v>
      </c>
      <c r="J8560" s="10">
        <v>0.03580000000000001</v>
      </c>
    </row>
    <row r="8561" spans="1:10">
      <c r="A8561" s="7" t="s">
        <v>8595</v>
      </c>
      <c r="B8561" s="7" t="s">
        <v>10428</v>
      </c>
      <c r="C8561" s="8">
        <f>QS.CONTEXT.CREATE("market.8559",A8561,"USD","SOFR")</f>
        <v/>
      </c>
      <c r="D8561" s="8">
        <f>QS.CONTEXT.ADD.CURVE(C8561,"SOFR",$K$2:$K$7,$L$2:$L$7,,,"Actual360","LogLinear",TRUE)</f>
        <v/>
      </c>
      <c r="E8561" s="8">
        <f>QS.INSTRUMENT.SWAP("swap.8559",C8561,H8561,B8561,"USD","SOFR",I8561,J8561,0,"Actual360","Simple","Annual","Annual","Annual")</f>
        <v/>
      </c>
      <c r="F8561" s="8">
        <f>QS.TRADE.CREATE("trade.8559",C8561,E8561,A8561,"Receive")</f>
        <v/>
      </c>
      <c r="G8561" s="5"/>
      <c r="H8561" s="7" t="s">
        <v>8602</v>
      </c>
      <c r="I8561" s="9">
        <v>1855900</v>
      </c>
      <c r="J8561" s="10">
        <v>0.0359</v>
      </c>
    </row>
    <row r="8562" spans="1:10">
      <c r="A8562" s="7" t="s">
        <v>8596</v>
      </c>
      <c r="B8562" s="7" t="s">
        <v>10429</v>
      </c>
      <c r="C8562" s="8">
        <f>QS.CONTEXT.CREATE("market.8560",A8562,"USD","SOFR")</f>
        <v/>
      </c>
      <c r="D8562" s="8">
        <f>QS.CONTEXT.ADD.CURVE(C8562,"SOFR",$K$2:$K$7,$L$2:$L$7,,,"Actual360","LogLinear",TRUE)</f>
        <v/>
      </c>
      <c r="E8562" s="8">
        <f>QS.INSTRUMENT.SWAP("swap.8560",C8562,H8562,B8562,"USD","SOFR",I8562,J8562,0,"Actual360","Simple","Annual","Annual","Annual")</f>
        <v/>
      </c>
      <c r="F8562" s="8">
        <f>QS.TRADE.CREATE("trade.8560",C8562,E8562,A8562,"Receive")</f>
        <v/>
      </c>
      <c r="G8562" s="5"/>
      <c r="H8562" s="7" t="s">
        <v>8603</v>
      </c>
      <c r="I8562" s="9">
        <v>1856000</v>
      </c>
      <c r="J8562" s="10">
        <v>0.036</v>
      </c>
    </row>
    <row r="8563" spans="1:10">
      <c r="A8563" s="7" t="s">
        <v>8597</v>
      </c>
      <c r="B8563" s="7" t="s">
        <v>10430</v>
      </c>
      <c r="C8563" s="8">
        <f>QS.CONTEXT.CREATE("market.8561",A8563,"USD","SOFR")</f>
        <v/>
      </c>
      <c r="D8563" s="8">
        <f>QS.CONTEXT.ADD.CURVE(C8563,"SOFR",$K$2:$K$7,$L$2:$L$7,,,"Actual360","LogLinear",TRUE)</f>
        <v/>
      </c>
      <c r="E8563" s="8">
        <f>QS.INSTRUMENT.SWAP("swap.8561",C8563,H8563,B8563,"USD","SOFR",I8563,J8563,0,"Actual360","Simple","Annual","Annual","Annual")</f>
        <v/>
      </c>
      <c r="F8563" s="8">
        <f>QS.TRADE.CREATE("trade.8561",C8563,E8563,A8563,"Receive")</f>
        <v/>
      </c>
      <c r="G8563" s="5"/>
      <c r="H8563" s="7" t="s">
        <v>8604</v>
      </c>
      <c r="I8563" s="9">
        <v>1856100</v>
      </c>
      <c r="J8563" s="10">
        <v>0.0361</v>
      </c>
    </row>
    <row r="8564" spans="1:10">
      <c r="A8564" s="7" t="s">
        <v>8598</v>
      </c>
      <c r="B8564" s="7" t="s">
        <v>10431</v>
      </c>
      <c r="C8564" s="8">
        <f>QS.CONTEXT.CREATE("market.8562",A8564,"USD","SOFR")</f>
        <v/>
      </c>
      <c r="D8564" s="8">
        <f>QS.CONTEXT.ADD.CURVE(C8564,"SOFR",$K$2:$K$7,$L$2:$L$7,,,"Actual360","LogLinear",TRUE)</f>
        <v/>
      </c>
      <c r="E8564" s="8">
        <f>QS.INSTRUMENT.SWAP("swap.8562",C8564,H8564,B8564,"USD","SOFR",I8564,J8564,0,"Actual360","Simple","Annual","Annual","Annual")</f>
        <v/>
      </c>
      <c r="F8564" s="8">
        <f>QS.TRADE.CREATE("trade.8562",C8564,E8564,A8564,"Receive")</f>
        <v/>
      </c>
      <c r="G8564" s="5"/>
      <c r="H8564" s="7" t="s">
        <v>8605</v>
      </c>
      <c r="I8564" s="9">
        <v>1856200</v>
      </c>
      <c r="J8564" s="10">
        <v>0.0362</v>
      </c>
    </row>
    <row r="8565" spans="1:10">
      <c r="A8565" s="7" t="s">
        <v>8599</v>
      </c>
      <c r="B8565" s="7" t="s">
        <v>10432</v>
      </c>
      <c r="C8565" s="8">
        <f>QS.CONTEXT.CREATE("market.8563",A8565,"USD","SOFR")</f>
        <v/>
      </c>
      <c r="D8565" s="8">
        <f>QS.CONTEXT.ADD.CURVE(C8565,"SOFR",$K$2:$K$7,$L$2:$L$7,,,"Actual360","LogLinear",TRUE)</f>
        <v/>
      </c>
      <c r="E8565" s="8">
        <f>QS.INSTRUMENT.SWAP("swap.8563",C8565,H8565,B8565,"USD","SOFR",I8565,J8565,0,"Actual360","Simple","Annual","Annual","Annual")</f>
        <v/>
      </c>
      <c r="F8565" s="8">
        <f>QS.TRADE.CREATE("trade.8563",C8565,E8565,A8565,"Receive")</f>
        <v/>
      </c>
      <c r="G8565" s="5"/>
      <c r="H8565" s="7" t="s">
        <v>8606</v>
      </c>
      <c r="I8565" s="9">
        <v>1856300</v>
      </c>
      <c r="J8565" s="10">
        <v>0.03630000000000001</v>
      </c>
    </row>
    <row r="8566" spans="1:10">
      <c r="A8566" s="7" t="s">
        <v>8600</v>
      </c>
      <c r="B8566" s="7" t="s">
        <v>10433</v>
      </c>
      <c r="C8566" s="8">
        <f>QS.CONTEXT.CREATE("market.8564",A8566,"USD","SOFR")</f>
        <v/>
      </c>
      <c r="D8566" s="8">
        <f>QS.CONTEXT.ADD.CURVE(C8566,"SOFR",$K$2:$K$7,$L$2:$L$7,,,"Actual360","LogLinear",TRUE)</f>
        <v/>
      </c>
      <c r="E8566" s="8">
        <f>QS.INSTRUMENT.SWAP("swap.8564",C8566,H8566,B8566,"USD","SOFR",I8566,J8566,0,"Actual360","Simple","Annual","Annual","Annual")</f>
        <v/>
      </c>
      <c r="F8566" s="8">
        <f>QS.TRADE.CREATE("trade.8564",C8566,E8566,A8566,"Receive")</f>
        <v/>
      </c>
      <c r="G8566" s="5"/>
      <c r="H8566" s="7" t="s">
        <v>8607</v>
      </c>
      <c r="I8566" s="9">
        <v>1856400</v>
      </c>
      <c r="J8566" s="10">
        <v>0.0364</v>
      </c>
    </row>
    <row r="8567" spans="1:10">
      <c r="A8567" s="7" t="s">
        <v>8601</v>
      </c>
      <c r="B8567" s="7" t="s">
        <v>10434</v>
      </c>
      <c r="C8567" s="8">
        <f>QS.CONTEXT.CREATE("market.8565",A8567,"USD","SOFR")</f>
        <v/>
      </c>
      <c r="D8567" s="8">
        <f>QS.CONTEXT.ADD.CURVE(C8567,"SOFR",$K$2:$K$7,$L$2:$L$7,,,"Actual360","LogLinear",TRUE)</f>
        <v/>
      </c>
      <c r="E8567" s="8">
        <f>QS.INSTRUMENT.SWAP("swap.8565",C8567,H8567,B8567,"USD","SOFR",I8567,J8567,0,"Actual360","Simple","Annual","Annual","Annual")</f>
        <v/>
      </c>
      <c r="F8567" s="8">
        <f>QS.TRADE.CREATE("trade.8565",C8567,E8567,A8567,"Receive")</f>
        <v/>
      </c>
      <c r="G8567" s="5"/>
      <c r="H8567" s="7" t="s">
        <v>8608</v>
      </c>
      <c r="I8567" s="9">
        <v>1856500</v>
      </c>
      <c r="J8567" s="10">
        <v>0.0365</v>
      </c>
    </row>
    <row r="8568" spans="1:10">
      <c r="A8568" s="7" t="s">
        <v>8602</v>
      </c>
      <c r="B8568" s="7" t="s">
        <v>10435</v>
      </c>
      <c r="C8568" s="8">
        <f>QS.CONTEXT.CREATE("market.8566",A8568,"USD","SOFR")</f>
        <v/>
      </c>
      <c r="D8568" s="8">
        <f>QS.CONTEXT.ADD.CURVE(C8568,"SOFR",$K$2:$K$7,$L$2:$L$7,,,"Actual360","LogLinear",TRUE)</f>
        <v/>
      </c>
      <c r="E8568" s="8">
        <f>QS.INSTRUMENT.SWAP("swap.8566",C8568,H8568,B8568,"USD","SOFR",I8568,J8568,0,"Actual360","Simple","Annual","Annual","Annual")</f>
        <v/>
      </c>
      <c r="F8568" s="8">
        <f>QS.TRADE.CREATE("trade.8566",C8568,E8568,A8568,"Receive")</f>
        <v/>
      </c>
      <c r="G8568" s="5"/>
      <c r="H8568" s="7" t="s">
        <v>8609</v>
      </c>
      <c r="I8568" s="9">
        <v>1856600</v>
      </c>
      <c r="J8568" s="10">
        <v>0.0366</v>
      </c>
    </row>
    <row r="8569" spans="1:10">
      <c r="A8569" s="7" t="s">
        <v>8603</v>
      </c>
      <c r="B8569" s="7" t="s">
        <v>10436</v>
      </c>
      <c r="C8569" s="8">
        <f>QS.CONTEXT.CREATE("market.8567",A8569,"USD","SOFR")</f>
        <v/>
      </c>
      <c r="D8569" s="8">
        <f>QS.CONTEXT.ADD.CURVE(C8569,"SOFR",$K$2:$K$7,$L$2:$L$7,,,"Actual360","LogLinear",TRUE)</f>
        <v/>
      </c>
      <c r="E8569" s="8">
        <f>QS.INSTRUMENT.SWAP("swap.8567",C8569,H8569,B8569,"USD","SOFR",I8569,J8569,0,"Actual360","Simple","Annual","Annual","Annual")</f>
        <v/>
      </c>
      <c r="F8569" s="8">
        <f>QS.TRADE.CREATE("trade.8567",C8569,E8569,A8569,"Receive")</f>
        <v/>
      </c>
      <c r="G8569" s="5"/>
      <c r="H8569" s="7" t="s">
        <v>8610</v>
      </c>
      <c r="I8569" s="9">
        <v>1856700</v>
      </c>
      <c r="J8569" s="10">
        <v>0.0367</v>
      </c>
    </row>
    <row r="8570" spans="1:10">
      <c r="A8570" s="7" t="s">
        <v>8604</v>
      </c>
      <c r="B8570" s="7" t="s">
        <v>10437</v>
      </c>
      <c r="C8570" s="8">
        <f>QS.CONTEXT.CREATE("market.8568",A8570,"USD","SOFR")</f>
        <v/>
      </c>
      <c r="D8570" s="8">
        <f>QS.CONTEXT.ADD.CURVE(C8570,"SOFR",$K$2:$K$7,$L$2:$L$7,,,"Actual360","LogLinear",TRUE)</f>
        <v/>
      </c>
      <c r="E8570" s="8">
        <f>QS.INSTRUMENT.SWAP("swap.8568",C8570,H8570,B8570,"USD","SOFR",I8570,J8570,0,"Actual360","Simple","Annual","Annual","Annual")</f>
        <v/>
      </c>
      <c r="F8570" s="8">
        <f>QS.TRADE.CREATE("trade.8568",C8570,E8570,A8570,"Receive")</f>
        <v/>
      </c>
      <c r="G8570" s="5"/>
      <c r="H8570" s="7" t="s">
        <v>8611</v>
      </c>
      <c r="I8570" s="9">
        <v>1856800</v>
      </c>
      <c r="J8570" s="10">
        <v>0.03680000000000001</v>
      </c>
    </row>
    <row r="8571" spans="1:10">
      <c r="A8571" s="7" t="s">
        <v>8605</v>
      </c>
      <c r="B8571" s="7" t="s">
        <v>10438</v>
      </c>
      <c r="C8571" s="8">
        <f>QS.CONTEXT.CREATE("market.8569",A8571,"USD","SOFR")</f>
        <v/>
      </c>
      <c r="D8571" s="8">
        <f>QS.CONTEXT.ADD.CURVE(C8571,"SOFR",$K$2:$K$7,$L$2:$L$7,,,"Actual360","LogLinear",TRUE)</f>
        <v/>
      </c>
      <c r="E8571" s="8">
        <f>QS.INSTRUMENT.SWAP("swap.8569",C8571,H8571,B8571,"USD","SOFR",I8571,J8571,0,"Actual360","Simple","Annual","Annual","Annual")</f>
        <v/>
      </c>
      <c r="F8571" s="8">
        <f>QS.TRADE.CREATE("trade.8569",C8571,E8571,A8571,"Receive")</f>
        <v/>
      </c>
      <c r="G8571" s="5"/>
      <c r="H8571" s="7" t="s">
        <v>8612</v>
      </c>
      <c r="I8571" s="9">
        <v>1856900</v>
      </c>
      <c r="J8571" s="10">
        <v>0.0369</v>
      </c>
    </row>
    <row r="8572" spans="1:10">
      <c r="A8572" s="7" t="s">
        <v>8606</v>
      </c>
      <c r="B8572" s="7" t="s">
        <v>10439</v>
      </c>
      <c r="C8572" s="8">
        <f>QS.CONTEXT.CREATE("market.8570",A8572,"USD","SOFR")</f>
        <v/>
      </c>
      <c r="D8572" s="8">
        <f>QS.CONTEXT.ADD.CURVE(C8572,"SOFR",$K$2:$K$7,$L$2:$L$7,,,"Actual360","LogLinear",TRUE)</f>
        <v/>
      </c>
      <c r="E8572" s="8">
        <f>QS.INSTRUMENT.SWAP("swap.8570",C8572,H8572,B8572,"USD","SOFR",I8572,J8572,0,"Actual360","Simple","Annual","Annual","Annual")</f>
        <v/>
      </c>
      <c r="F8572" s="8">
        <f>QS.TRADE.CREATE("trade.8570",C8572,E8572,A8572,"Receive")</f>
        <v/>
      </c>
      <c r="G8572" s="5"/>
      <c r="H8572" s="7" t="s">
        <v>8613</v>
      </c>
      <c r="I8572" s="9">
        <v>1857000</v>
      </c>
      <c r="J8572" s="10">
        <v>0.03700000000000001</v>
      </c>
    </row>
    <row r="8573" spans="1:10">
      <c r="A8573" s="7" t="s">
        <v>8607</v>
      </c>
      <c r="B8573" s="7" t="s">
        <v>10440</v>
      </c>
      <c r="C8573" s="8">
        <f>QS.CONTEXT.CREATE("market.8571",A8573,"USD","SOFR")</f>
        <v/>
      </c>
      <c r="D8573" s="8">
        <f>QS.CONTEXT.ADD.CURVE(C8573,"SOFR",$K$2:$K$7,$L$2:$L$7,,,"Actual360","LogLinear",TRUE)</f>
        <v/>
      </c>
      <c r="E8573" s="8">
        <f>QS.INSTRUMENT.SWAP("swap.8571",C8573,H8573,B8573,"USD","SOFR",I8573,J8573,0,"Actual360","Simple","Annual","Annual","Annual")</f>
        <v/>
      </c>
      <c r="F8573" s="8">
        <f>QS.TRADE.CREATE("trade.8571",C8573,E8573,A8573,"Receive")</f>
        <v/>
      </c>
      <c r="G8573" s="5"/>
      <c r="H8573" s="7" t="s">
        <v>8614</v>
      </c>
      <c r="I8573" s="9">
        <v>1857100</v>
      </c>
      <c r="J8573" s="10">
        <v>0.0371</v>
      </c>
    </row>
    <row r="8574" spans="1:10">
      <c r="A8574" s="7" t="s">
        <v>8608</v>
      </c>
      <c r="B8574" s="7" t="s">
        <v>10441</v>
      </c>
      <c r="C8574" s="8">
        <f>QS.CONTEXT.CREATE("market.8572",A8574,"USD","SOFR")</f>
        <v/>
      </c>
      <c r="D8574" s="8">
        <f>QS.CONTEXT.ADD.CURVE(C8574,"SOFR",$K$2:$K$7,$L$2:$L$7,,,"Actual360","LogLinear",TRUE)</f>
        <v/>
      </c>
      <c r="E8574" s="8">
        <f>QS.INSTRUMENT.SWAP("swap.8572",C8574,H8574,B8574,"USD","SOFR",I8574,J8574,0,"Actual360","Simple","Annual","Annual","Annual")</f>
        <v/>
      </c>
      <c r="F8574" s="8">
        <f>QS.TRADE.CREATE("trade.8572",C8574,E8574,A8574,"Receive")</f>
        <v/>
      </c>
      <c r="G8574" s="5"/>
      <c r="H8574" s="7" t="s">
        <v>8615</v>
      </c>
      <c r="I8574" s="9">
        <v>1857200</v>
      </c>
      <c r="J8574" s="10">
        <v>0.0372</v>
      </c>
    </row>
    <row r="8575" spans="1:10">
      <c r="A8575" s="7" t="s">
        <v>8609</v>
      </c>
      <c r="B8575" s="7" t="s">
        <v>10442</v>
      </c>
      <c r="C8575" s="8">
        <f>QS.CONTEXT.CREATE("market.8573",A8575,"USD","SOFR")</f>
        <v/>
      </c>
      <c r="D8575" s="8">
        <f>QS.CONTEXT.ADD.CURVE(C8575,"SOFR",$K$2:$K$7,$L$2:$L$7,,,"Actual360","LogLinear",TRUE)</f>
        <v/>
      </c>
      <c r="E8575" s="8">
        <f>QS.INSTRUMENT.SWAP("swap.8573",C8575,H8575,B8575,"USD","SOFR",I8575,J8575,0,"Actual360","Simple","Annual","Annual","Annual")</f>
        <v/>
      </c>
      <c r="F8575" s="8">
        <f>QS.TRADE.CREATE("trade.8573",C8575,E8575,A8575,"Receive")</f>
        <v/>
      </c>
      <c r="G8575" s="5"/>
      <c r="H8575" s="7" t="s">
        <v>8616</v>
      </c>
      <c r="I8575" s="9">
        <v>1857300</v>
      </c>
      <c r="J8575" s="10">
        <v>0.0373</v>
      </c>
    </row>
    <row r="8576" spans="1:10">
      <c r="A8576" s="7" t="s">
        <v>8610</v>
      </c>
      <c r="B8576" s="7" t="s">
        <v>10443</v>
      </c>
      <c r="C8576" s="8">
        <f>QS.CONTEXT.CREATE("market.8574",A8576,"USD","SOFR")</f>
        <v/>
      </c>
      <c r="D8576" s="8">
        <f>QS.CONTEXT.ADD.CURVE(C8576,"SOFR",$K$2:$K$7,$L$2:$L$7,,,"Actual360","LogLinear",TRUE)</f>
        <v/>
      </c>
      <c r="E8576" s="8">
        <f>QS.INSTRUMENT.SWAP("swap.8574",C8576,H8576,B8576,"USD","SOFR",I8576,J8576,0,"Actual360","Simple","Annual","Annual","Annual")</f>
        <v/>
      </c>
      <c r="F8576" s="8">
        <f>QS.TRADE.CREATE("trade.8574",C8576,E8576,A8576,"Receive")</f>
        <v/>
      </c>
      <c r="G8576" s="5"/>
      <c r="H8576" s="7" t="s">
        <v>8617</v>
      </c>
      <c r="I8576" s="9">
        <v>1857400</v>
      </c>
      <c r="J8576" s="10">
        <v>0.0374</v>
      </c>
    </row>
    <row r="8577" spans="1:10">
      <c r="A8577" s="7" t="s">
        <v>8611</v>
      </c>
      <c r="B8577" s="7" t="s">
        <v>10444</v>
      </c>
      <c r="C8577" s="8">
        <f>QS.CONTEXT.CREATE("market.8575",A8577,"USD","SOFR")</f>
        <v/>
      </c>
      <c r="D8577" s="8">
        <f>QS.CONTEXT.ADD.CURVE(C8577,"SOFR",$K$2:$K$7,$L$2:$L$7,,,"Actual360","LogLinear",TRUE)</f>
        <v/>
      </c>
      <c r="E8577" s="8">
        <f>QS.INSTRUMENT.SWAP("swap.8575",C8577,H8577,B8577,"USD","SOFR",I8577,J8577,0,"Actual360","Simple","Annual","Annual","Annual")</f>
        <v/>
      </c>
      <c r="F8577" s="8">
        <f>QS.TRADE.CREATE("trade.8575",C8577,E8577,A8577,"Receive")</f>
        <v/>
      </c>
      <c r="G8577" s="5"/>
      <c r="H8577" s="7" t="s">
        <v>8618</v>
      </c>
      <c r="I8577" s="9">
        <v>1857500</v>
      </c>
      <c r="J8577" s="10">
        <v>0.03750000000000001</v>
      </c>
    </row>
    <row r="8578" spans="1:10">
      <c r="A8578" s="7" t="s">
        <v>8612</v>
      </c>
      <c r="B8578" s="7" t="s">
        <v>10445</v>
      </c>
      <c r="C8578" s="8">
        <f>QS.CONTEXT.CREATE("market.8576",A8578,"USD","SOFR")</f>
        <v/>
      </c>
      <c r="D8578" s="8">
        <f>QS.CONTEXT.ADD.CURVE(C8578,"SOFR",$K$2:$K$7,$L$2:$L$7,,,"Actual360","LogLinear",TRUE)</f>
        <v/>
      </c>
      <c r="E8578" s="8">
        <f>QS.INSTRUMENT.SWAP("swap.8576",C8578,H8578,B8578,"USD","SOFR",I8578,J8578,0,"Actual360","Simple","Annual","Annual","Annual")</f>
        <v/>
      </c>
      <c r="F8578" s="8">
        <f>QS.TRADE.CREATE("trade.8576",C8578,E8578,A8578,"Receive")</f>
        <v/>
      </c>
      <c r="G8578" s="5"/>
      <c r="H8578" s="7" t="s">
        <v>8619</v>
      </c>
      <c r="I8578" s="9">
        <v>1857600</v>
      </c>
      <c r="J8578" s="10">
        <v>0.0376</v>
      </c>
    </row>
    <row r="8579" spans="1:10">
      <c r="A8579" s="7" t="s">
        <v>8613</v>
      </c>
      <c r="B8579" s="7" t="s">
        <v>10446</v>
      </c>
      <c r="C8579" s="8">
        <f>QS.CONTEXT.CREATE("market.8577",A8579,"USD","SOFR")</f>
        <v/>
      </c>
      <c r="D8579" s="8">
        <f>QS.CONTEXT.ADD.CURVE(C8579,"SOFR",$K$2:$K$7,$L$2:$L$7,,,"Actual360","LogLinear",TRUE)</f>
        <v/>
      </c>
      <c r="E8579" s="8">
        <f>QS.INSTRUMENT.SWAP("swap.8577",C8579,H8579,B8579,"USD","SOFR",I8579,J8579,0,"Actual360","Simple","Annual","Annual","Annual")</f>
        <v/>
      </c>
      <c r="F8579" s="8">
        <f>QS.TRADE.CREATE("trade.8577",C8579,E8579,A8579,"Receive")</f>
        <v/>
      </c>
      <c r="G8579" s="5"/>
      <c r="H8579" s="7" t="s">
        <v>8620</v>
      </c>
      <c r="I8579" s="9">
        <v>1857700</v>
      </c>
      <c r="J8579" s="10">
        <v>0.0377</v>
      </c>
    </row>
    <row r="8580" spans="1:10">
      <c r="A8580" s="7" t="s">
        <v>8614</v>
      </c>
      <c r="B8580" s="7" t="s">
        <v>10447</v>
      </c>
      <c r="C8580" s="8">
        <f>QS.CONTEXT.CREATE("market.8578",A8580,"USD","SOFR")</f>
        <v/>
      </c>
      <c r="D8580" s="8">
        <f>QS.CONTEXT.ADD.CURVE(C8580,"SOFR",$K$2:$K$7,$L$2:$L$7,,,"Actual360","LogLinear",TRUE)</f>
        <v/>
      </c>
      <c r="E8580" s="8">
        <f>QS.INSTRUMENT.SWAP("swap.8578",C8580,H8580,B8580,"USD","SOFR",I8580,J8580,0,"Actual360","Simple","Annual","Annual","Annual")</f>
        <v/>
      </c>
      <c r="F8580" s="8">
        <f>QS.TRADE.CREATE("trade.8578",C8580,E8580,A8580,"Receive")</f>
        <v/>
      </c>
      <c r="G8580" s="5"/>
      <c r="H8580" s="7" t="s">
        <v>8621</v>
      </c>
      <c r="I8580" s="9">
        <v>1857800</v>
      </c>
      <c r="J8580" s="10">
        <v>0.0378</v>
      </c>
    </row>
    <row r="8581" spans="1:10">
      <c r="A8581" s="7" t="s">
        <v>8615</v>
      </c>
      <c r="B8581" s="7" t="s">
        <v>10448</v>
      </c>
      <c r="C8581" s="8">
        <f>QS.CONTEXT.CREATE("market.8579",A8581,"USD","SOFR")</f>
        <v/>
      </c>
      <c r="D8581" s="8">
        <f>QS.CONTEXT.ADD.CURVE(C8581,"SOFR",$K$2:$K$7,$L$2:$L$7,,,"Actual360","LogLinear",TRUE)</f>
        <v/>
      </c>
      <c r="E8581" s="8">
        <f>QS.INSTRUMENT.SWAP("swap.8579",C8581,H8581,B8581,"USD","SOFR",I8581,J8581,0,"Actual360","Simple","Annual","Annual","Annual")</f>
        <v/>
      </c>
      <c r="F8581" s="8">
        <f>QS.TRADE.CREATE("trade.8579",C8581,E8581,A8581,"Receive")</f>
        <v/>
      </c>
      <c r="G8581" s="5"/>
      <c r="H8581" s="7" t="s">
        <v>8622</v>
      </c>
      <c r="I8581" s="9">
        <v>1857900</v>
      </c>
      <c r="J8581" s="10">
        <v>0.0379</v>
      </c>
    </row>
    <row r="8582" spans="1:10">
      <c r="A8582" s="7" t="s">
        <v>8616</v>
      </c>
      <c r="B8582" s="7" t="s">
        <v>10449</v>
      </c>
      <c r="C8582" s="8">
        <f>QS.CONTEXT.CREATE("market.8580",A8582,"USD","SOFR")</f>
        <v/>
      </c>
      <c r="D8582" s="8">
        <f>QS.CONTEXT.ADD.CURVE(C8582,"SOFR",$K$2:$K$7,$L$2:$L$7,,,"Actual360","LogLinear",TRUE)</f>
        <v/>
      </c>
      <c r="E8582" s="8">
        <f>QS.INSTRUMENT.SWAP("swap.8580",C8582,H8582,B8582,"USD","SOFR",I8582,J8582,0,"Actual360","Simple","Annual","Annual","Annual")</f>
        <v/>
      </c>
      <c r="F8582" s="8">
        <f>QS.TRADE.CREATE("trade.8580",C8582,E8582,A8582,"Receive")</f>
        <v/>
      </c>
      <c r="G8582" s="5"/>
      <c r="H8582" s="7" t="s">
        <v>8623</v>
      </c>
      <c r="I8582" s="9">
        <v>1858000</v>
      </c>
      <c r="J8582" s="10">
        <v>0.03800000000000001</v>
      </c>
    </row>
    <row r="8583" spans="1:10">
      <c r="A8583" s="7" t="s">
        <v>8617</v>
      </c>
      <c r="B8583" s="7" t="s">
        <v>10450</v>
      </c>
      <c r="C8583" s="8">
        <f>QS.CONTEXT.CREATE("market.8581",A8583,"USD","SOFR")</f>
        <v/>
      </c>
      <c r="D8583" s="8">
        <f>QS.CONTEXT.ADD.CURVE(C8583,"SOFR",$K$2:$K$7,$L$2:$L$7,,,"Actual360","LogLinear",TRUE)</f>
        <v/>
      </c>
      <c r="E8583" s="8">
        <f>QS.INSTRUMENT.SWAP("swap.8581",C8583,H8583,B8583,"USD","SOFR",I8583,J8583,0,"Actual360","Simple","Annual","Annual","Annual")</f>
        <v/>
      </c>
      <c r="F8583" s="8">
        <f>QS.TRADE.CREATE("trade.8581",C8583,E8583,A8583,"Receive")</f>
        <v/>
      </c>
      <c r="G8583" s="5"/>
      <c r="H8583" s="7" t="s">
        <v>8624</v>
      </c>
      <c r="I8583" s="9">
        <v>1858100</v>
      </c>
      <c r="J8583" s="10">
        <v>0.0381</v>
      </c>
    </row>
    <row r="8584" spans="1:10">
      <c r="A8584" s="7" t="s">
        <v>8618</v>
      </c>
      <c r="B8584" s="7" t="s">
        <v>10451</v>
      </c>
      <c r="C8584" s="8">
        <f>QS.CONTEXT.CREATE("market.8582",A8584,"USD","SOFR")</f>
        <v/>
      </c>
      <c r="D8584" s="8">
        <f>QS.CONTEXT.ADD.CURVE(C8584,"SOFR",$K$2:$K$7,$L$2:$L$7,,,"Actual360","LogLinear",TRUE)</f>
        <v/>
      </c>
      <c r="E8584" s="8">
        <f>QS.INSTRUMENT.SWAP("swap.8582",C8584,H8584,B8584,"USD","SOFR",I8584,J8584,0,"Actual360","Simple","Annual","Annual","Annual")</f>
        <v/>
      </c>
      <c r="F8584" s="8">
        <f>QS.TRADE.CREATE("trade.8582",C8584,E8584,A8584,"Receive")</f>
        <v/>
      </c>
      <c r="G8584" s="5"/>
      <c r="H8584" s="7" t="s">
        <v>8625</v>
      </c>
      <c r="I8584" s="9">
        <v>1858200</v>
      </c>
      <c r="J8584" s="10">
        <v>0.0382</v>
      </c>
    </row>
    <row r="8585" spans="1:10">
      <c r="A8585" s="7" t="s">
        <v>8619</v>
      </c>
      <c r="B8585" s="7" t="s">
        <v>10452</v>
      </c>
      <c r="C8585" s="8">
        <f>QS.CONTEXT.CREATE("market.8583",A8585,"USD","SOFR")</f>
        <v/>
      </c>
      <c r="D8585" s="8">
        <f>QS.CONTEXT.ADD.CURVE(C8585,"SOFR",$K$2:$K$7,$L$2:$L$7,,,"Actual360","LogLinear",TRUE)</f>
        <v/>
      </c>
      <c r="E8585" s="8">
        <f>QS.INSTRUMENT.SWAP("swap.8583",C8585,H8585,B8585,"USD","SOFR",I8585,J8585,0,"Actual360","Simple","Annual","Annual","Annual")</f>
        <v/>
      </c>
      <c r="F8585" s="8">
        <f>QS.TRADE.CREATE("trade.8583",C8585,E8585,A8585,"Receive")</f>
        <v/>
      </c>
      <c r="G8585" s="5"/>
      <c r="H8585" s="7" t="s">
        <v>8626</v>
      </c>
      <c r="I8585" s="9">
        <v>1858300</v>
      </c>
      <c r="J8585" s="10">
        <v>0.0383</v>
      </c>
    </row>
    <row r="8586" spans="1:10">
      <c r="A8586" s="7" t="s">
        <v>8620</v>
      </c>
      <c r="B8586" s="7" t="s">
        <v>10453</v>
      </c>
      <c r="C8586" s="8">
        <f>QS.CONTEXT.CREATE("market.8584",A8586,"USD","SOFR")</f>
        <v/>
      </c>
      <c r="D8586" s="8">
        <f>QS.CONTEXT.ADD.CURVE(C8586,"SOFR",$K$2:$K$7,$L$2:$L$7,,,"Actual360","LogLinear",TRUE)</f>
        <v/>
      </c>
      <c r="E8586" s="8">
        <f>QS.INSTRUMENT.SWAP("swap.8584",C8586,H8586,B8586,"USD","SOFR",I8586,J8586,0,"Actual360","Simple","Annual","Annual","Annual")</f>
        <v/>
      </c>
      <c r="F8586" s="8">
        <f>QS.TRADE.CREATE("trade.8584",C8586,E8586,A8586,"Receive")</f>
        <v/>
      </c>
      <c r="G8586" s="5"/>
      <c r="H8586" s="7" t="s">
        <v>8627</v>
      </c>
      <c r="I8586" s="9">
        <v>1858400</v>
      </c>
      <c r="J8586" s="10">
        <v>0.0384</v>
      </c>
    </row>
    <row r="8587" spans="1:10">
      <c r="A8587" s="7" t="s">
        <v>8621</v>
      </c>
      <c r="B8587" s="7" t="s">
        <v>10454</v>
      </c>
      <c r="C8587" s="8">
        <f>QS.CONTEXT.CREATE("market.8585",A8587,"USD","SOFR")</f>
        <v/>
      </c>
      <c r="D8587" s="8">
        <f>QS.CONTEXT.ADD.CURVE(C8587,"SOFR",$K$2:$K$7,$L$2:$L$7,,,"Actual360","LogLinear",TRUE)</f>
        <v/>
      </c>
      <c r="E8587" s="8">
        <f>QS.INSTRUMENT.SWAP("swap.8585",C8587,H8587,B8587,"USD","SOFR",I8587,J8587,0,"Actual360","Simple","Annual","Annual","Annual")</f>
        <v/>
      </c>
      <c r="F8587" s="8">
        <f>QS.TRADE.CREATE("trade.8585",C8587,E8587,A8587,"Receive")</f>
        <v/>
      </c>
      <c r="G8587" s="5"/>
      <c r="H8587" s="7" t="s">
        <v>8628</v>
      </c>
      <c r="I8587" s="9">
        <v>1858500</v>
      </c>
      <c r="J8587" s="10">
        <v>0.03850000000000001</v>
      </c>
    </row>
    <row r="8588" spans="1:10">
      <c r="A8588" s="7" t="s">
        <v>8622</v>
      </c>
      <c r="B8588" s="7" t="s">
        <v>10455</v>
      </c>
      <c r="C8588" s="8">
        <f>QS.CONTEXT.CREATE("market.8586",A8588,"USD","SOFR")</f>
        <v/>
      </c>
      <c r="D8588" s="8">
        <f>QS.CONTEXT.ADD.CURVE(C8588,"SOFR",$K$2:$K$7,$L$2:$L$7,,,"Actual360","LogLinear",TRUE)</f>
        <v/>
      </c>
      <c r="E8588" s="8">
        <f>QS.INSTRUMENT.SWAP("swap.8586",C8588,H8588,B8588,"USD","SOFR",I8588,J8588,0,"Actual360","Simple","Annual","Annual","Annual")</f>
        <v/>
      </c>
      <c r="F8588" s="8">
        <f>QS.TRADE.CREATE("trade.8586",C8588,E8588,A8588,"Receive")</f>
        <v/>
      </c>
      <c r="G8588" s="5"/>
      <c r="H8588" s="7" t="s">
        <v>8629</v>
      </c>
      <c r="I8588" s="9">
        <v>1858600</v>
      </c>
      <c r="J8588" s="10">
        <v>0.0386</v>
      </c>
    </row>
    <row r="8589" spans="1:10">
      <c r="A8589" s="7" t="s">
        <v>8623</v>
      </c>
      <c r="B8589" s="7" t="s">
        <v>10456</v>
      </c>
      <c r="C8589" s="8">
        <f>QS.CONTEXT.CREATE("market.8587",A8589,"USD","SOFR")</f>
        <v/>
      </c>
      <c r="D8589" s="8">
        <f>QS.CONTEXT.ADD.CURVE(C8589,"SOFR",$K$2:$K$7,$L$2:$L$7,,,"Actual360","LogLinear",TRUE)</f>
        <v/>
      </c>
      <c r="E8589" s="8">
        <f>QS.INSTRUMENT.SWAP("swap.8587",C8589,H8589,B8589,"USD","SOFR",I8589,J8589,0,"Actual360","Simple","Annual","Annual","Annual")</f>
        <v/>
      </c>
      <c r="F8589" s="8">
        <f>QS.TRADE.CREATE("trade.8587",C8589,E8589,A8589,"Receive")</f>
        <v/>
      </c>
      <c r="G8589" s="5"/>
      <c r="H8589" s="7" t="s">
        <v>8630</v>
      </c>
      <c r="I8589" s="9">
        <v>1858700</v>
      </c>
      <c r="J8589" s="10">
        <v>0.03870000000000001</v>
      </c>
    </row>
    <row r="8590" spans="1:10">
      <c r="A8590" s="7" t="s">
        <v>8624</v>
      </c>
      <c r="B8590" s="7" t="s">
        <v>10457</v>
      </c>
      <c r="C8590" s="8">
        <f>QS.CONTEXT.CREATE("market.8588",A8590,"USD","SOFR")</f>
        <v/>
      </c>
      <c r="D8590" s="8">
        <f>QS.CONTEXT.ADD.CURVE(C8590,"SOFR",$K$2:$K$7,$L$2:$L$7,,,"Actual360","LogLinear",TRUE)</f>
        <v/>
      </c>
      <c r="E8590" s="8">
        <f>QS.INSTRUMENT.SWAP("swap.8588",C8590,H8590,B8590,"USD","SOFR",I8590,J8590,0,"Actual360","Simple","Annual","Annual","Annual")</f>
        <v/>
      </c>
      <c r="F8590" s="8">
        <f>QS.TRADE.CREATE("trade.8588",C8590,E8590,A8590,"Receive")</f>
        <v/>
      </c>
      <c r="G8590" s="5"/>
      <c r="H8590" s="7" t="s">
        <v>8631</v>
      </c>
      <c r="I8590" s="9">
        <v>1858800</v>
      </c>
      <c r="J8590" s="10">
        <v>0.0388</v>
      </c>
    </row>
    <row r="8591" spans="1:10">
      <c r="A8591" s="7" t="s">
        <v>8625</v>
      </c>
      <c r="B8591" s="7" t="s">
        <v>10458</v>
      </c>
      <c r="C8591" s="8">
        <f>QS.CONTEXT.CREATE("market.8589",A8591,"USD","SOFR")</f>
        <v/>
      </c>
      <c r="D8591" s="8">
        <f>QS.CONTEXT.ADD.CURVE(C8591,"SOFR",$K$2:$K$7,$L$2:$L$7,,,"Actual360","LogLinear",TRUE)</f>
        <v/>
      </c>
      <c r="E8591" s="8">
        <f>QS.INSTRUMENT.SWAP("swap.8589",C8591,H8591,B8591,"USD","SOFR",I8591,J8591,0,"Actual360","Simple","Annual","Annual","Annual")</f>
        <v/>
      </c>
      <c r="F8591" s="8">
        <f>QS.TRADE.CREATE("trade.8589",C8591,E8591,A8591,"Receive")</f>
        <v/>
      </c>
      <c r="G8591" s="5"/>
      <c r="H8591" s="7" t="s">
        <v>8632</v>
      </c>
      <c r="I8591" s="9">
        <v>1858900</v>
      </c>
      <c r="J8591" s="10">
        <v>0.0389</v>
      </c>
    </row>
    <row r="8592" spans="1:10">
      <c r="A8592" s="7" t="s">
        <v>8626</v>
      </c>
      <c r="B8592" s="7" t="s">
        <v>10459</v>
      </c>
      <c r="C8592" s="8">
        <f>QS.CONTEXT.CREATE("market.8590",A8592,"USD","SOFR")</f>
        <v/>
      </c>
      <c r="D8592" s="8">
        <f>QS.CONTEXT.ADD.CURVE(C8592,"SOFR",$K$2:$K$7,$L$2:$L$7,,,"Actual360","LogLinear",TRUE)</f>
        <v/>
      </c>
      <c r="E8592" s="8">
        <f>QS.INSTRUMENT.SWAP("swap.8590",C8592,H8592,B8592,"USD","SOFR",I8592,J8592,0,"Actual360","Simple","Annual","Annual","Annual")</f>
        <v/>
      </c>
      <c r="F8592" s="8">
        <f>QS.TRADE.CREATE("trade.8590",C8592,E8592,A8592,"Receive")</f>
        <v/>
      </c>
      <c r="G8592" s="5"/>
      <c r="H8592" s="7" t="s">
        <v>8633</v>
      </c>
      <c r="I8592" s="9">
        <v>1859000</v>
      </c>
      <c r="J8592" s="10">
        <v>0.03900000000000001</v>
      </c>
    </row>
    <row r="8593" spans="1:10">
      <c r="A8593" s="7" t="s">
        <v>8627</v>
      </c>
      <c r="B8593" s="7" t="s">
        <v>10460</v>
      </c>
      <c r="C8593" s="8">
        <f>QS.CONTEXT.CREATE("market.8591",A8593,"USD","SOFR")</f>
        <v/>
      </c>
      <c r="D8593" s="8">
        <f>QS.CONTEXT.ADD.CURVE(C8593,"SOFR",$K$2:$K$7,$L$2:$L$7,,,"Actual360","LogLinear",TRUE)</f>
        <v/>
      </c>
      <c r="E8593" s="8">
        <f>QS.INSTRUMENT.SWAP("swap.8591",C8593,H8593,B8593,"USD","SOFR",I8593,J8593,0,"Actual360","Simple","Annual","Annual","Annual")</f>
        <v/>
      </c>
      <c r="F8593" s="8">
        <f>QS.TRADE.CREATE("trade.8591",C8593,E8593,A8593,"Receive")</f>
        <v/>
      </c>
      <c r="G8593" s="5"/>
      <c r="H8593" s="7" t="s">
        <v>8634</v>
      </c>
      <c r="I8593" s="9">
        <v>1859100</v>
      </c>
      <c r="J8593" s="10">
        <v>0.0391</v>
      </c>
    </row>
    <row r="8594" spans="1:10">
      <c r="A8594" s="7" t="s">
        <v>8628</v>
      </c>
      <c r="B8594" s="7" t="s">
        <v>10461</v>
      </c>
      <c r="C8594" s="8">
        <f>QS.CONTEXT.CREATE("market.8592",A8594,"USD","SOFR")</f>
        <v/>
      </c>
      <c r="D8594" s="8">
        <f>QS.CONTEXT.ADD.CURVE(C8594,"SOFR",$K$2:$K$7,$L$2:$L$7,,,"Actual360","LogLinear",TRUE)</f>
        <v/>
      </c>
      <c r="E8594" s="8">
        <f>QS.INSTRUMENT.SWAP("swap.8592",C8594,H8594,B8594,"USD","SOFR",I8594,J8594,0,"Actual360","Simple","Annual","Annual","Annual")</f>
        <v/>
      </c>
      <c r="F8594" s="8">
        <f>QS.TRADE.CREATE("trade.8592",C8594,E8594,A8594,"Receive")</f>
        <v/>
      </c>
      <c r="G8594" s="5"/>
      <c r="H8594" s="7" t="s">
        <v>8635</v>
      </c>
      <c r="I8594" s="9">
        <v>1859200</v>
      </c>
      <c r="J8594" s="10">
        <v>0.03920000000000001</v>
      </c>
    </row>
    <row r="8595" spans="1:10">
      <c r="A8595" s="7" t="s">
        <v>8629</v>
      </c>
      <c r="B8595" s="7" t="s">
        <v>10462</v>
      </c>
      <c r="C8595" s="8">
        <f>QS.CONTEXT.CREATE("market.8593",A8595,"USD","SOFR")</f>
        <v/>
      </c>
      <c r="D8595" s="8">
        <f>QS.CONTEXT.ADD.CURVE(C8595,"SOFR",$K$2:$K$7,$L$2:$L$7,,,"Actual360","LogLinear",TRUE)</f>
        <v/>
      </c>
      <c r="E8595" s="8">
        <f>QS.INSTRUMENT.SWAP("swap.8593",C8595,H8595,B8595,"USD","SOFR",I8595,J8595,0,"Actual360","Simple","Annual","Annual","Annual")</f>
        <v/>
      </c>
      <c r="F8595" s="8">
        <f>QS.TRADE.CREATE("trade.8593",C8595,E8595,A8595,"Receive")</f>
        <v/>
      </c>
      <c r="G8595" s="5"/>
      <c r="H8595" s="7" t="s">
        <v>8636</v>
      </c>
      <c r="I8595" s="9">
        <v>1859300</v>
      </c>
      <c r="J8595" s="10">
        <v>0.0393</v>
      </c>
    </row>
    <row r="8596" spans="1:10">
      <c r="A8596" s="7" t="s">
        <v>8630</v>
      </c>
      <c r="B8596" s="7" t="s">
        <v>10463</v>
      </c>
      <c r="C8596" s="8">
        <f>QS.CONTEXT.CREATE("market.8594",A8596,"USD","SOFR")</f>
        <v/>
      </c>
      <c r="D8596" s="8">
        <f>QS.CONTEXT.ADD.CURVE(C8596,"SOFR",$K$2:$K$7,$L$2:$L$7,,,"Actual360","LogLinear",TRUE)</f>
        <v/>
      </c>
      <c r="E8596" s="8">
        <f>QS.INSTRUMENT.SWAP("swap.8594",C8596,H8596,B8596,"USD","SOFR",I8596,J8596,0,"Actual360","Simple","Annual","Annual","Annual")</f>
        <v/>
      </c>
      <c r="F8596" s="8">
        <f>QS.TRADE.CREATE("trade.8594",C8596,E8596,A8596,"Receive")</f>
        <v/>
      </c>
      <c r="G8596" s="5"/>
      <c r="H8596" s="7" t="s">
        <v>8637</v>
      </c>
      <c r="I8596" s="9">
        <v>1859400</v>
      </c>
      <c r="J8596" s="10">
        <v>0.0394</v>
      </c>
    </row>
    <row r="8597" spans="1:10">
      <c r="A8597" s="7" t="s">
        <v>8631</v>
      </c>
      <c r="B8597" s="7" t="s">
        <v>10464</v>
      </c>
      <c r="C8597" s="8">
        <f>QS.CONTEXT.CREATE("market.8595",A8597,"USD","SOFR")</f>
        <v/>
      </c>
      <c r="D8597" s="8">
        <f>QS.CONTEXT.ADD.CURVE(C8597,"SOFR",$K$2:$K$7,$L$2:$L$7,,,"Actual360","LogLinear",TRUE)</f>
        <v/>
      </c>
      <c r="E8597" s="8">
        <f>QS.INSTRUMENT.SWAP("swap.8595",C8597,H8597,B8597,"USD","SOFR",I8597,J8597,0,"Actual360","Simple","Annual","Annual","Annual")</f>
        <v/>
      </c>
      <c r="F8597" s="8">
        <f>QS.TRADE.CREATE("trade.8595",C8597,E8597,A8597,"Receive")</f>
        <v/>
      </c>
      <c r="G8597" s="5"/>
      <c r="H8597" s="7" t="s">
        <v>8638</v>
      </c>
      <c r="I8597" s="9">
        <v>1859500</v>
      </c>
      <c r="J8597" s="10">
        <v>0.03950000000000001</v>
      </c>
    </row>
    <row r="8598" spans="1:10">
      <c r="A8598" s="7" t="s">
        <v>8632</v>
      </c>
      <c r="B8598" s="7" t="s">
        <v>10465</v>
      </c>
      <c r="C8598" s="8">
        <f>QS.CONTEXT.CREATE("market.8596",A8598,"USD","SOFR")</f>
        <v/>
      </c>
      <c r="D8598" s="8">
        <f>QS.CONTEXT.ADD.CURVE(C8598,"SOFR",$K$2:$K$7,$L$2:$L$7,,,"Actual360","LogLinear",TRUE)</f>
        <v/>
      </c>
      <c r="E8598" s="8">
        <f>QS.INSTRUMENT.SWAP("swap.8596",C8598,H8598,B8598,"USD","SOFR",I8598,J8598,0,"Actual360","Simple","Annual","Annual","Annual")</f>
        <v/>
      </c>
      <c r="F8598" s="8">
        <f>QS.TRADE.CREATE("trade.8596",C8598,E8598,A8598,"Receive")</f>
        <v/>
      </c>
      <c r="G8598" s="5"/>
      <c r="H8598" s="7" t="s">
        <v>8639</v>
      </c>
      <c r="I8598" s="9">
        <v>1859600</v>
      </c>
      <c r="J8598" s="10">
        <v>0.0396</v>
      </c>
    </row>
    <row r="8599" spans="1:10">
      <c r="A8599" s="7" t="s">
        <v>8633</v>
      </c>
      <c r="B8599" s="7" t="s">
        <v>10466</v>
      </c>
      <c r="C8599" s="8">
        <f>QS.CONTEXT.CREATE("market.8597",A8599,"USD","SOFR")</f>
        <v/>
      </c>
      <c r="D8599" s="8">
        <f>QS.CONTEXT.ADD.CURVE(C8599,"SOFR",$K$2:$K$7,$L$2:$L$7,,,"Actual360","LogLinear",TRUE)</f>
        <v/>
      </c>
      <c r="E8599" s="8">
        <f>QS.INSTRUMENT.SWAP("swap.8597",C8599,H8599,B8599,"USD","SOFR",I8599,J8599,0,"Actual360","Simple","Annual","Annual","Annual")</f>
        <v/>
      </c>
      <c r="F8599" s="8">
        <f>QS.TRADE.CREATE("trade.8597",C8599,E8599,A8599,"Receive")</f>
        <v/>
      </c>
      <c r="G8599" s="5"/>
      <c r="H8599" s="7" t="s">
        <v>8640</v>
      </c>
      <c r="I8599" s="9">
        <v>1859700</v>
      </c>
      <c r="J8599" s="10">
        <v>0.03970000000000001</v>
      </c>
    </row>
    <row r="8600" spans="1:10">
      <c r="A8600" s="7" t="s">
        <v>8634</v>
      </c>
      <c r="B8600" s="7" t="s">
        <v>10467</v>
      </c>
      <c r="C8600" s="8">
        <f>QS.CONTEXT.CREATE("market.8598",A8600,"USD","SOFR")</f>
        <v/>
      </c>
      <c r="D8600" s="8">
        <f>QS.CONTEXT.ADD.CURVE(C8600,"SOFR",$K$2:$K$7,$L$2:$L$7,,,"Actual360","LogLinear",TRUE)</f>
        <v/>
      </c>
      <c r="E8600" s="8">
        <f>QS.INSTRUMENT.SWAP("swap.8598",C8600,H8600,B8600,"USD","SOFR",I8600,J8600,0,"Actual360","Simple","Annual","Annual","Annual")</f>
        <v/>
      </c>
      <c r="F8600" s="8">
        <f>QS.TRADE.CREATE("trade.8598",C8600,E8600,A8600,"Receive")</f>
        <v/>
      </c>
      <c r="G8600" s="5"/>
      <c r="H8600" s="7" t="s">
        <v>8641</v>
      </c>
      <c r="I8600" s="9">
        <v>1859800</v>
      </c>
      <c r="J8600" s="10">
        <v>0.0398</v>
      </c>
    </row>
    <row r="8601" spans="1:10">
      <c r="A8601" s="7" t="s">
        <v>8635</v>
      </c>
      <c r="B8601" s="7" t="s">
        <v>10468</v>
      </c>
      <c r="C8601" s="8">
        <f>QS.CONTEXT.CREATE("market.8599",A8601,"USD","SOFR")</f>
        <v/>
      </c>
      <c r="D8601" s="8">
        <f>QS.CONTEXT.ADD.CURVE(C8601,"SOFR",$K$2:$K$7,$L$2:$L$7,,,"Actual360","LogLinear",TRUE)</f>
        <v/>
      </c>
      <c r="E8601" s="8">
        <f>QS.INSTRUMENT.SWAP("swap.8599",C8601,H8601,B8601,"USD","SOFR",I8601,J8601,0,"Actual360","Simple","Annual","Annual","Annual")</f>
        <v/>
      </c>
      <c r="F8601" s="8">
        <f>QS.TRADE.CREATE("trade.8599",C8601,E8601,A8601,"Receive")</f>
        <v/>
      </c>
      <c r="G8601" s="5"/>
      <c r="H8601" s="7" t="s">
        <v>8642</v>
      </c>
      <c r="I8601" s="9">
        <v>1859900</v>
      </c>
      <c r="J8601" s="10">
        <v>0.0399</v>
      </c>
    </row>
    <row r="8602" spans="1:10">
      <c r="A8602" s="7" t="s">
        <v>8636</v>
      </c>
      <c r="B8602" s="7" t="s">
        <v>10469</v>
      </c>
      <c r="C8602" s="8">
        <f>QS.CONTEXT.CREATE("market.8600",A8602,"USD","SOFR")</f>
        <v/>
      </c>
      <c r="D8602" s="8">
        <f>QS.CONTEXT.ADD.CURVE(C8602,"SOFR",$K$2:$K$7,$L$2:$L$7,,,"Actual360","LogLinear",TRUE)</f>
        <v/>
      </c>
      <c r="E8602" s="8">
        <f>QS.INSTRUMENT.SWAP("swap.8600",C8602,H8602,B8602,"USD","SOFR",I8602,J8602,0,"Actual360","Simple","Annual","Annual","Annual")</f>
        <v/>
      </c>
      <c r="F8602" s="8">
        <f>QS.TRADE.CREATE("trade.8600",C8602,E8602,A8602,"Receive")</f>
        <v/>
      </c>
      <c r="G8602" s="5"/>
      <c r="H8602" s="7" t="s">
        <v>8643</v>
      </c>
      <c r="I8602" s="9">
        <v>1860000</v>
      </c>
      <c r="J8602" s="10">
        <v>0.035</v>
      </c>
    </row>
    <row r="8603" spans="1:10">
      <c r="A8603" s="7" t="s">
        <v>8637</v>
      </c>
      <c r="B8603" s="7" t="s">
        <v>10470</v>
      </c>
      <c r="C8603" s="8">
        <f>QS.CONTEXT.CREATE("market.8601",A8603,"USD","SOFR")</f>
        <v/>
      </c>
      <c r="D8603" s="8">
        <f>QS.CONTEXT.ADD.CURVE(C8603,"SOFR",$K$2:$K$7,$L$2:$L$7,,,"Actual360","LogLinear",TRUE)</f>
        <v/>
      </c>
      <c r="E8603" s="8">
        <f>QS.INSTRUMENT.SWAP("swap.8601",C8603,H8603,B8603,"USD","SOFR",I8603,J8603,0,"Actual360","Simple","Annual","Annual","Annual")</f>
        <v/>
      </c>
      <c r="F8603" s="8">
        <f>QS.TRADE.CREATE("trade.8601",C8603,E8603,A8603,"Receive")</f>
        <v/>
      </c>
      <c r="G8603" s="5"/>
      <c r="H8603" s="7" t="s">
        <v>8644</v>
      </c>
      <c r="I8603" s="9">
        <v>1860100</v>
      </c>
      <c r="J8603" s="10">
        <v>0.03510000000000001</v>
      </c>
    </row>
    <row r="8604" spans="1:10">
      <c r="A8604" s="7" t="s">
        <v>8638</v>
      </c>
      <c r="B8604" s="7" t="s">
        <v>10471</v>
      </c>
      <c r="C8604" s="8">
        <f>QS.CONTEXT.CREATE("market.8602",A8604,"USD","SOFR")</f>
        <v/>
      </c>
      <c r="D8604" s="8">
        <f>QS.CONTEXT.ADD.CURVE(C8604,"SOFR",$K$2:$K$7,$L$2:$L$7,,,"Actual360","LogLinear",TRUE)</f>
        <v/>
      </c>
      <c r="E8604" s="8">
        <f>QS.INSTRUMENT.SWAP("swap.8602",C8604,H8604,B8604,"USD","SOFR",I8604,J8604,0,"Actual360","Simple","Annual","Annual","Annual")</f>
        <v/>
      </c>
      <c r="F8604" s="8">
        <f>QS.TRADE.CREATE("trade.8602",C8604,E8604,A8604,"Receive")</f>
        <v/>
      </c>
      <c r="G8604" s="5"/>
      <c r="H8604" s="7" t="s">
        <v>8645</v>
      </c>
      <c r="I8604" s="9">
        <v>1860200</v>
      </c>
      <c r="J8604" s="10">
        <v>0.0352</v>
      </c>
    </row>
    <row r="8605" spans="1:10">
      <c r="A8605" s="7" t="s">
        <v>8639</v>
      </c>
      <c r="B8605" s="7" t="s">
        <v>10472</v>
      </c>
      <c r="C8605" s="8">
        <f>QS.CONTEXT.CREATE("market.8603",A8605,"USD","SOFR")</f>
        <v/>
      </c>
      <c r="D8605" s="8">
        <f>QS.CONTEXT.ADD.CURVE(C8605,"SOFR",$K$2:$K$7,$L$2:$L$7,,,"Actual360","LogLinear",TRUE)</f>
        <v/>
      </c>
      <c r="E8605" s="8">
        <f>QS.INSTRUMENT.SWAP("swap.8603",C8605,H8605,B8605,"USD","SOFR",I8605,J8605,0,"Actual360","Simple","Annual","Annual","Annual")</f>
        <v/>
      </c>
      <c r="F8605" s="8">
        <f>QS.TRADE.CREATE("trade.8603",C8605,E8605,A8605,"Receive")</f>
        <v/>
      </c>
      <c r="G8605" s="5"/>
      <c r="H8605" s="7" t="s">
        <v>8646</v>
      </c>
      <c r="I8605" s="9">
        <v>1860300</v>
      </c>
      <c r="J8605" s="10">
        <v>0.0353</v>
      </c>
    </row>
    <row r="8606" spans="1:10">
      <c r="A8606" s="7" t="s">
        <v>8640</v>
      </c>
      <c r="B8606" s="7" t="s">
        <v>10473</v>
      </c>
      <c r="C8606" s="8">
        <f>QS.CONTEXT.CREATE("market.8604",A8606,"USD","SOFR")</f>
        <v/>
      </c>
      <c r="D8606" s="8">
        <f>QS.CONTEXT.ADD.CURVE(C8606,"SOFR",$K$2:$K$7,$L$2:$L$7,,,"Actual360","LogLinear",TRUE)</f>
        <v/>
      </c>
      <c r="E8606" s="8">
        <f>QS.INSTRUMENT.SWAP("swap.8604",C8606,H8606,B8606,"USD","SOFR",I8606,J8606,0,"Actual360","Simple","Annual","Annual","Annual")</f>
        <v/>
      </c>
      <c r="F8606" s="8">
        <f>QS.TRADE.CREATE("trade.8604",C8606,E8606,A8606,"Receive")</f>
        <v/>
      </c>
      <c r="G8606" s="5"/>
      <c r="H8606" s="7" t="s">
        <v>8647</v>
      </c>
      <c r="I8606" s="9">
        <v>1860400</v>
      </c>
      <c r="J8606" s="10">
        <v>0.0354</v>
      </c>
    </row>
    <row r="8607" spans="1:10">
      <c r="A8607" s="7" t="s">
        <v>8641</v>
      </c>
      <c r="B8607" s="7" t="s">
        <v>10474</v>
      </c>
      <c r="C8607" s="8">
        <f>QS.CONTEXT.CREATE("market.8605",A8607,"USD","SOFR")</f>
        <v/>
      </c>
      <c r="D8607" s="8">
        <f>QS.CONTEXT.ADD.CURVE(C8607,"SOFR",$K$2:$K$7,$L$2:$L$7,,,"Actual360","LogLinear",TRUE)</f>
        <v/>
      </c>
      <c r="E8607" s="8">
        <f>QS.INSTRUMENT.SWAP("swap.8605",C8607,H8607,B8607,"USD","SOFR",I8607,J8607,0,"Actual360","Simple","Annual","Annual","Annual")</f>
        <v/>
      </c>
      <c r="F8607" s="8">
        <f>QS.TRADE.CREATE("trade.8605",C8607,E8607,A8607,"Receive")</f>
        <v/>
      </c>
      <c r="G8607" s="5"/>
      <c r="H8607" s="7" t="s">
        <v>8648</v>
      </c>
      <c r="I8607" s="9">
        <v>1860500</v>
      </c>
      <c r="J8607" s="10">
        <v>0.0355</v>
      </c>
    </row>
    <row r="8608" spans="1:10">
      <c r="A8608" s="7" t="s">
        <v>8642</v>
      </c>
      <c r="B8608" s="7" t="s">
        <v>10475</v>
      </c>
      <c r="C8608" s="8">
        <f>QS.CONTEXT.CREATE("market.8606",A8608,"USD","SOFR")</f>
        <v/>
      </c>
      <c r="D8608" s="8">
        <f>QS.CONTEXT.ADD.CURVE(C8608,"SOFR",$K$2:$K$7,$L$2:$L$7,,,"Actual360","LogLinear",TRUE)</f>
        <v/>
      </c>
      <c r="E8608" s="8">
        <f>QS.INSTRUMENT.SWAP("swap.8606",C8608,H8608,B8608,"USD","SOFR",I8608,J8608,0,"Actual360","Simple","Annual","Annual","Annual")</f>
        <v/>
      </c>
      <c r="F8608" s="8">
        <f>QS.TRADE.CREATE("trade.8606",C8608,E8608,A8608,"Receive")</f>
        <v/>
      </c>
      <c r="G8608" s="5"/>
      <c r="H8608" s="7" t="s">
        <v>8649</v>
      </c>
      <c r="I8608" s="9">
        <v>1860600</v>
      </c>
      <c r="J8608" s="10">
        <v>0.03560000000000001</v>
      </c>
    </row>
    <row r="8609" spans="1:10">
      <c r="A8609" s="7" t="s">
        <v>8643</v>
      </c>
      <c r="B8609" s="7" t="s">
        <v>10476</v>
      </c>
      <c r="C8609" s="8">
        <f>QS.CONTEXT.CREATE("market.8607",A8609,"USD","SOFR")</f>
        <v/>
      </c>
      <c r="D8609" s="8">
        <f>QS.CONTEXT.ADD.CURVE(C8609,"SOFR",$K$2:$K$7,$L$2:$L$7,,,"Actual360","LogLinear",TRUE)</f>
        <v/>
      </c>
      <c r="E8609" s="8">
        <f>QS.INSTRUMENT.SWAP("swap.8607",C8609,H8609,B8609,"USD","SOFR",I8609,J8609,0,"Actual360","Simple","Annual","Annual","Annual")</f>
        <v/>
      </c>
      <c r="F8609" s="8">
        <f>QS.TRADE.CREATE("trade.8607",C8609,E8609,A8609,"Receive")</f>
        <v/>
      </c>
      <c r="G8609" s="5"/>
      <c r="H8609" s="7" t="s">
        <v>8650</v>
      </c>
      <c r="I8609" s="9">
        <v>1860700</v>
      </c>
      <c r="J8609" s="10">
        <v>0.0357</v>
      </c>
    </row>
    <row r="8610" spans="1:10">
      <c r="A8610" s="7" t="s">
        <v>8644</v>
      </c>
      <c r="B8610" s="7" t="s">
        <v>10477</v>
      </c>
      <c r="C8610" s="8">
        <f>QS.CONTEXT.CREATE("market.8608",A8610,"USD","SOFR")</f>
        <v/>
      </c>
      <c r="D8610" s="8">
        <f>QS.CONTEXT.ADD.CURVE(C8610,"SOFR",$K$2:$K$7,$L$2:$L$7,,,"Actual360","LogLinear",TRUE)</f>
        <v/>
      </c>
      <c r="E8610" s="8">
        <f>QS.INSTRUMENT.SWAP("swap.8608",C8610,H8610,B8610,"USD","SOFR",I8610,J8610,0,"Actual360","Simple","Annual","Annual","Annual")</f>
        <v/>
      </c>
      <c r="F8610" s="8">
        <f>QS.TRADE.CREATE("trade.8608",C8610,E8610,A8610,"Receive")</f>
        <v/>
      </c>
      <c r="G8610" s="5"/>
      <c r="H8610" s="7" t="s">
        <v>8651</v>
      </c>
      <c r="I8610" s="9">
        <v>1860800</v>
      </c>
      <c r="J8610" s="10">
        <v>0.03580000000000001</v>
      </c>
    </row>
    <row r="8611" spans="1:10">
      <c r="A8611" s="7" t="s">
        <v>8645</v>
      </c>
      <c r="B8611" s="7" t="s">
        <v>10478</v>
      </c>
      <c r="C8611" s="8">
        <f>QS.CONTEXT.CREATE("market.8609",A8611,"USD","SOFR")</f>
        <v/>
      </c>
      <c r="D8611" s="8">
        <f>QS.CONTEXT.ADD.CURVE(C8611,"SOFR",$K$2:$K$7,$L$2:$L$7,,,"Actual360","LogLinear",TRUE)</f>
        <v/>
      </c>
      <c r="E8611" s="8">
        <f>QS.INSTRUMENT.SWAP("swap.8609",C8611,H8611,B8611,"USD","SOFR",I8611,J8611,0,"Actual360","Simple","Annual","Annual","Annual")</f>
        <v/>
      </c>
      <c r="F8611" s="8">
        <f>QS.TRADE.CREATE("trade.8609",C8611,E8611,A8611,"Receive")</f>
        <v/>
      </c>
      <c r="G8611" s="5"/>
      <c r="H8611" s="7" t="s">
        <v>8652</v>
      </c>
      <c r="I8611" s="9">
        <v>1860900</v>
      </c>
      <c r="J8611" s="10">
        <v>0.0359</v>
      </c>
    </row>
    <row r="8612" spans="1:10">
      <c r="A8612" s="7" t="s">
        <v>8646</v>
      </c>
      <c r="B8612" s="7" t="s">
        <v>10479</v>
      </c>
      <c r="C8612" s="8">
        <f>QS.CONTEXT.CREATE("market.8610",A8612,"USD","SOFR")</f>
        <v/>
      </c>
      <c r="D8612" s="8">
        <f>QS.CONTEXT.ADD.CURVE(C8612,"SOFR",$K$2:$K$7,$L$2:$L$7,,,"Actual360","LogLinear",TRUE)</f>
        <v/>
      </c>
      <c r="E8612" s="8">
        <f>QS.INSTRUMENT.SWAP("swap.8610",C8612,H8612,B8612,"USD","SOFR",I8612,J8612,0,"Actual360","Simple","Annual","Annual","Annual")</f>
        <v/>
      </c>
      <c r="F8612" s="8">
        <f>QS.TRADE.CREATE("trade.8610",C8612,E8612,A8612,"Receive")</f>
        <v/>
      </c>
      <c r="G8612" s="5"/>
      <c r="H8612" s="7" t="s">
        <v>8653</v>
      </c>
      <c r="I8612" s="9">
        <v>1861000</v>
      </c>
      <c r="J8612" s="10">
        <v>0.036</v>
      </c>
    </row>
    <row r="8613" spans="1:10">
      <c r="A8613" s="7" t="s">
        <v>8647</v>
      </c>
      <c r="B8613" s="7" t="s">
        <v>10480</v>
      </c>
      <c r="C8613" s="8">
        <f>QS.CONTEXT.CREATE("market.8611",A8613,"USD","SOFR")</f>
        <v/>
      </c>
      <c r="D8613" s="8">
        <f>QS.CONTEXT.ADD.CURVE(C8613,"SOFR",$K$2:$K$7,$L$2:$L$7,,,"Actual360","LogLinear",TRUE)</f>
        <v/>
      </c>
      <c r="E8613" s="8">
        <f>QS.INSTRUMENT.SWAP("swap.8611",C8613,H8613,B8613,"USD","SOFR",I8613,J8613,0,"Actual360","Simple","Annual","Annual","Annual")</f>
        <v/>
      </c>
      <c r="F8613" s="8">
        <f>QS.TRADE.CREATE("trade.8611",C8613,E8613,A8613,"Receive")</f>
        <v/>
      </c>
      <c r="G8613" s="5"/>
      <c r="H8613" s="7" t="s">
        <v>8654</v>
      </c>
      <c r="I8613" s="9">
        <v>1861100</v>
      </c>
      <c r="J8613" s="10">
        <v>0.0361</v>
      </c>
    </row>
    <row r="8614" spans="1:10">
      <c r="A8614" s="7" t="s">
        <v>8648</v>
      </c>
      <c r="B8614" s="7" t="s">
        <v>10481</v>
      </c>
      <c r="C8614" s="8">
        <f>QS.CONTEXT.CREATE("market.8612",A8614,"USD","SOFR")</f>
        <v/>
      </c>
      <c r="D8614" s="8">
        <f>QS.CONTEXT.ADD.CURVE(C8614,"SOFR",$K$2:$K$7,$L$2:$L$7,,,"Actual360","LogLinear",TRUE)</f>
        <v/>
      </c>
      <c r="E8614" s="8">
        <f>QS.INSTRUMENT.SWAP("swap.8612",C8614,H8614,B8614,"USD","SOFR",I8614,J8614,0,"Actual360","Simple","Annual","Annual","Annual")</f>
        <v/>
      </c>
      <c r="F8614" s="8">
        <f>QS.TRADE.CREATE("trade.8612",C8614,E8614,A8614,"Receive")</f>
        <v/>
      </c>
      <c r="G8614" s="5"/>
      <c r="H8614" s="7" t="s">
        <v>8655</v>
      </c>
      <c r="I8614" s="9">
        <v>1861200</v>
      </c>
      <c r="J8614" s="10">
        <v>0.0362</v>
      </c>
    </row>
    <row r="8615" spans="1:10">
      <c r="A8615" s="7" t="s">
        <v>8649</v>
      </c>
      <c r="B8615" s="7" t="s">
        <v>10482</v>
      </c>
      <c r="C8615" s="8">
        <f>QS.CONTEXT.CREATE("market.8613",A8615,"USD","SOFR")</f>
        <v/>
      </c>
      <c r="D8615" s="8">
        <f>QS.CONTEXT.ADD.CURVE(C8615,"SOFR",$K$2:$K$7,$L$2:$L$7,,,"Actual360","LogLinear",TRUE)</f>
        <v/>
      </c>
      <c r="E8615" s="8">
        <f>QS.INSTRUMENT.SWAP("swap.8613",C8615,H8615,B8615,"USD","SOFR",I8615,J8615,0,"Actual360","Simple","Annual","Annual","Annual")</f>
        <v/>
      </c>
      <c r="F8615" s="8">
        <f>QS.TRADE.CREATE("trade.8613",C8615,E8615,A8615,"Receive")</f>
        <v/>
      </c>
      <c r="G8615" s="5"/>
      <c r="H8615" s="7" t="s">
        <v>8656</v>
      </c>
      <c r="I8615" s="9">
        <v>1861300</v>
      </c>
      <c r="J8615" s="10">
        <v>0.03630000000000001</v>
      </c>
    </row>
    <row r="8616" spans="1:10">
      <c r="A8616" s="7" t="s">
        <v>8650</v>
      </c>
      <c r="B8616" s="7" t="s">
        <v>10483</v>
      </c>
      <c r="C8616" s="8">
        <f>QS.CONTEXT.CREATE("market.8614",A8616,"USD","SOFR")</f>
        <v/>
      </c>
      <c r="D8616" s="8">
        <f>QS.CONTEXT.ADD.CURVE(C8616,"SOFR",$K$2:$K$7,$L$2:$L$7,,,"Actual360","LogLinear",TRUE)</f>
        <v/>
      </c>
      <c r="E8616" s="8">
        <f>QS.INSTRUMENT.SWAP("swap.8614",C8616,H8616,B8616,"USD","SOFR",I8616,J8616,0,"Actual360","Simple","Annual","Annual","Annual")</f>
        <v/>
      </c>
      <c r="F8616" s="8">
        <f>QS.TRADE.CREATE("trade.8614",C8616,E8616,A8616,"Receive")</f>
        <v/>
      </c>
      <c r="G8616" s="5"/>
      <c r="H8616" s="7" t="s">
        <v>8657</v>
      </c>
      <c r="I8616" s="9">
        <v>1861400</v>
      </c>
      <c r="J8616" s="10">
        <v>0.0364</v>
      </c>
    </row>
    <row r="8617" spans="1:10">
      <c r="A8617" s="7" t="s">
        <v>8651</v>
      </c>
      <c r="B8617" s="7" t="s">
        <v>10484</v>
      </c>
      <c r="C8617" s="8">
        <f>QS.CONTEXT.CREATE("market.8615",A8617,"USD","SOFR")</f>
        <v/>
      </c>
      <c r="D8617" s="8">
        <f>QS.CONTEXT.ADD.CURVE(C8617,"SOFR",$K$2:$K$7,$L$2:$L$7,,,"Actual360","LogLinear",TRUE)</f>
        <v/>
      </c>
      <c r="E8617" s="8">
        <f>QS.INSTRUMENT.SWAP("swap.8615",C8617,H8617,B8617,"USD","SOFR",I8617,J8617,0,"Actual360","Simple","Annual","Annual","Annual")</f>
        <v/>
      </c>
      <c r="F8617" s="8">
        <f>QS.TRADE.CREATE("trade.8615",C8617,E8617,A8617,"Receive")</f>
        <v/>
      </c>
      <c r="G8617" s="5"/>
      <c r="H8617" s="7" t="s">
        <v>8658</v>
      </c>
      <c r="I8617" s="9">
        <v>1861500</v>
      </c>
      <c r="J8617" s="10">
        <v>0.0365</v>
      </c>
    </row>
    <row r="8618" spans="1:10">
      <c r="A8618" s="7" t="s">
        <v>8652</v>
      </c>
      <c r="B8618" s="7" t="s">
        <v>10485</v>
      </c>
      <c r="C8618" s="8">
        <f>QS.CONTEXT.CREATE("market.8616",A8618,"USD","SOFR")</f>
        <v/>
      </c>
      <c r="D8618" s="8">
        <f>QS.CONTEXT.ADD.CURVE(C8618,"SOFR",$K$2:$K$7,$L$2:$L$7,,,"Actual360","LogLinear",TRUE)</f>
        <v/>
      </c>
      <c r="E8618" s="8">
        <f>QS.INSTRUMENT.SWAP("swap.8616",C8618,H8618,B8618,"USD","SOFR",I8618,J8618,0,"Actual360","Simple","Annual","Annual","Annual")</f>
        <v/>
      </c>
      <c r="F8618" s="8">
        <f>QS.TRADE.CREATE("trade.8616",C8618,E8618,A8618,"Receive")</f>
        <v/>
      </c>
      <c r="G8618" s="5"/>
      <c r="H8618" s="7" t="s">
        <v>8659</v>
      </c>
      <c r="I8618" s="9">
        <v>1861600</v>
      </c>
      <c r="J8618" s="10">
        <v>0.0366</v>
      </c>
    </row>
    <row r="8619" spans="1:10">
      <c r="A8619" s="7" t="s">
        <v>8653</v>
      </c>
      <c r="B8619" s="7" t="s">
        <v>10486</v>
      </c>
      <c r="C8619" s="8">
        <f>QS.CONTEXT.CREATE("market.8617",A8619,"USD","SOFR")</f>
        <v/>
      </c>
      <c r="D8619" s="8">
        <f>QS.CONTEXT.ADD.CURVE(C8619,"SOFR",$K$2:$K$7,$L$2:$L$7,,,"Actual360","LogLinear",TRUE)</f>
        <v/>
      </c>
      <c r="E8619" s="8">
        <f>QS.INSTRUMENT.SWAP("swap.8617",C8619,H8619,B8619,"USD","SOFR",I8619,J8619,0,"Actual360","Simple","Annual","Annual","Annual")</f>
        <v/>
      </c>
      <c r="F8619" s="8">
        <f>QS.TRADE.CREATE("trade.8617",C8619,E8619,A8619,"Receive")</f>
        <v/>
      </c>
      <c r="G8619" s="5"/>
      <c r="H8619" s="7" t="s">
        <v>8660</v>
      </c>
      <c r="I8619" s="9">
        <v>1861700</v>
      </c>
      <c r="J8619" s="10">
        <v>0.0367</v>
      </c>
    </row>
    <row r="8620" spans="1:10">
      <c r="A8620" s="7" t="s">
        <v>8654</v>
      </c>
      <c r="B8620" s="7" t="s">
        <v>10487</v>
      </c>
      <c r="C8620" s="8">
        <f>QS.CONTEXT.CREATE("market.8618",A8620,"USD","SOFR")</f>
        <v/>
      </c>
      <c r="D8620" s="8">
        <f>QS.CONTEXT.ADD.CURVE(C8620,"SOFR",$K$2:$K$7,$L$2:$L$7,,,"Actual360","LogLinear",TRUE)</f>
        <v/>
      </c>
      <c r="E8620" s="8">
        <f>QS.INSTRUMENT.SWAP("swap.8618",C8620,H8620,B8620,"USD","SOFR",I8620,J8620,0,"Actual360","Simple","Annual","Annual","Annual")</f>
        <v/>
      </c>
      <c r="F8620" s="8">
        <f>QS.TRADE.CREATE("trade.8618",C8620,E8620,A8620,"Receive")</f>
        <v/>
      </c>
      <c r="G8620" s="5"/>
      <c r="H8620" s="7" t="s">
        <v>8661</v>
      </c>
      <c r="I8620" s="9">
        <v>1861800</v>
      </c>
      <c r="J8620" s="10">
        <v>0.03680000000000001</v>
      </c>
    </row>
    <row r="8621" spans="1:10">
      <c r="A8621" s="7" t="s">
        <v>8655</v>
      </c>
      <c r="B8621" s="7" t="s">
        <v>10488</v>
      </c>
      <c r="C8621" s="8">
        <f>QS.CONTEXT.CREATE("market.8619",A8621,"USD","SOFR")</f>
        <v/>
      </c>
      <c r="D8621" s="8">
        <f>QS.CONTEXT.ADD.CURVE(C8621,"SOFR",$K$2:$K$7,$L$2:$L$7,,,"Actual360","LogLinear",TRUE)</f>
        <v/>
      </c>
      <c r="E8621" s="8">
        <f>QS.INSTRUMENT.SWAP("swap.8619",C8621,H8621,B8621,"USD","SOFR",I8621,J8621,0,"Actual360","Simple","Annual","Annual","Annual")</f>
        <v/>
      </c>
      <c r="F8621" s="8">
        <f>QS.TRADE.CREATE("trade.8619",C8621,E8621,A8621,"Receive")</f>
        <v/>
      </c>
      <c r="G8621" s="5"/>
      <c r="H8621" s="7" t="s">
        <v>8662</v>
      </c>
      <c r="I8621" s="9">
        <v>1861900</v>
      </c>
      <c r="J8621" s="10">
        <v>0.0369</v>
      </c>
    </row>
    <row r="8622" spans="1:10">
      <c r="A8622" s="7" t="s">
        <v>8656</v>
      </c>
      <c r="B8622" s="7" t="s">
        <v>10489</v>
      </c>
      <c r="C8622" s="8">
        <f>QS.CONTEXT.CREATE("market.8620",A8622,"USD","SOFR")</f>
        <v/>
      </c>
      <c r="D8622" s="8">
        <f>QS.CONTEXT.ADD.CURVE(C8622,"SOFR",$K$2:$K$7,$L$2:$L$7,,,"Actual360","LogLinear",TRUE)</f>
        <v/>
      </c>
      <c r="E8622" s="8">
        <f>QS.INSTRUMENT.SWAP("swap.8620",C8622,H8622,B8622,"USD","SOFR",I8622,J8622,0,"Actual360","Simple","Annual","Annual","Annual")</f>
        <v/>
      </c>
      <c r="F8622" s="8">
        <f>QS.TRADE.CREATE("trade.8620",C8622,E8622,A8622,"Receive")</f>
        <v/>
      </c>
      <c r="G8622" s="5"/>
      <c r="H8622" s="7" t="s">
        <v>8663</v>
      </c>
      <c r="I8622" s="9">
        <v>1862000</v>
      </c>
      <c r="J8622" s="10">
        <v>0.03700000000000001</v>
      </c>
    </row>
    <row r="8623" spans="1:10">
      <c r="A8623" s="7" t="s">
        <v>8657</v>
      </c>
      <c r="B8623" s="7" t="s">
        <v>10490</v>
      </c>
      <c r="C8623" s="8">
        <f>QS.CONTEXT.CREATE("market.8621",A8623,"USD","SOFR")</f>
        <v/>
      </c>
      <c r="D8623" s="8">
        <f>QS.CONTEXT.ADD.CURVE(C8623,"SOFR",$K$2:$K$7,$L$2:$L$7,,,"Actual360","LogLinear",TRUE)</f>
        <v/>
      </c>
      <c r="E8623" s="8">
        <f>QS.INSTRUMENT.SWAP("swap.8621",C8623,H8623,B8623,"USD","SOFR",I8623,J8623,0,"Actual360","Simple","Annual","Annual","Annual")</f>
        <v/>
      </c>
      <c r="F8623" s="8">
        <f>QS.TRADE.CREATE("trade.8621",C8623,E8623,A8623,"Receive")</f>
        <v/>
      </c>
      <c r="G8623" s="5"/>
      <c r="H8623" s="7" t="s">
        <v>8664</v>
      </c>
      <c r="I8623" s="9">
        <v>1862100</v>
      </c>
      <c r="J8623" s="10">
        <v>0.0371</v>
      </c>
    </row>
    <row r="8624" spans="1:10">
      <c r="A8624" s="7" t="s">
        <v>8658</v>
      </c>
      <c r="B8624" s="7" t="s">
        <v>10491</v>
      </c>
      <c r="C8624" s="8">
        <f>QS.CONTEXT.CREATE("market.8622",A8624,"USD","SOFR")</f>
        <v/>
      </c>
      <c r="D8624" s="8">
        <f>QS.CONTEXT.ADD.CURVE(C8624,"SOFR",$K$2:$K$7,$L$2:$L$7,,,"Actual360","LogLinear",TRUE)</f>
        <v/>
      </c>
      <c r="E8624" s="8">
        <f>QS.INSTRUMENT.SWAP("swap.8622",C8624,H8624,B8624,"USD","SOFR",I8624,J8624,0,"Actual360","Simple","Annual","Annual","Annual")</f>
        <v/>
      </c>
      <c r="F8624" s="8">
        <f>QS.TRADE.CREATE("trade.8622",C8624,E8624,A8624,"Receive")</f>
        <v/>
      </c>
      <c r="G8624" s="5"/>
      <c r="H8624" s="7" t="s">
        <v>8665</v>
      </c>
      <c r="I8624" s="9">
        <v>1862200</v>
      </c>
      <c r="J8624" s="10">
        <v>0.0372</v>
      </c>
    </row>
    <row r="8625" spans="1:10">
      <c r="A8625" s="7" t="s">
        <v>8659</v>
      </c>
      <c r="B8625" s="7" t="s">
        <v>10492</v>
      </c>
      <c r="C8625" s="8">
        <f>QS.CONTEXT.CREATE("market.8623",A8625,"USD","SOFR")</f>
        <v/>
      </c>
      <c r="D8625" s="8">
        <f>QS.CONTEXT.ADD.CURVE(C8625,"SOFR",$K$2:$K$7,$L$2:$L$7,,,"Actual360","LogLinear",TRUE)</f>
        <v/>
      </c>
      <c r="E8625" s="8">
        <f>QS.INSTRUMENT.SWAP("swap.8623",C8625,H8625,B8625,"USD","SOFR",I8625,J8625,0,"Actual360","Simple","Annual","Annual","Annual")</f>
        <v/>
      </c>
      <c r="F8625" s="8">
        <f>QS.TRADE.CREATE("trade.8623",C8625,E8625,A8625,"Receive")</f>
        <v/>
      </c>
      <c r="G8625" s="5"/>
      <c r="H8625" s="7" t="s">
        <v>8666</v>
      </c>
      <c r="I8625" s="9">
        <v>1862300</v>
      </c>
      <c r="J8625" s="10">
        <v>0.0373</v>
      </c>
    </row>
    <row r="8626" spans="1:10">
      <c r="A8626" s="7" t="s">
        <v>8660</v>
      </c>
      <c r="B8626" s="7" t="s">
        <v>10493</v>
      </c>
      <c r="C8626" s="8">
        <f>QS.CONTEXT.CREATE("market.8624",A8626,"USD","SOFR")</f>
        <v/>
      </c>
      <c r="D8626" s="8">
        <f>QS.CONTEXT.ADD.CURVE(C8626,"SOFR",$K$2:$K$7,$L$2:$L$7,,,"Actual360","LogLinear",TRUE)</f>
        <v/>
      </c>
      <c r="E8626" s="8">
        <f>QS.INSTRUMENT.SWAP("swap.8624",C8626,H8626,B8626,"USD","SOFR",I8626,J8626,0,"Actual360","Simple","Annual","Annual","Annual")</f>
        <v/>
      </c>
      <c r="F8626" s="8">
        <f>QS.TRADE.CREATE("trade.8624",C8626,E8626,A8626,"Receive")</f>
        <v/>
      </c>
      <c r="G8626" s="5"/>
      <c r="H8626" s="7" t="s">
        <v>8667</v>
      </c>
      <c r="I8626" s="9">
        <v>1862400</v>
      </c>
      <c r="J8626" s="10">
        <v>0.0374</v>
      </c>
    </row>
    <row r="8627" spans="1:10">
      <c r="A8627" s="7" t="s">
        <v>8661</v>
      </c>
      <c r="B8627" s="7" t="s">
        <v>10494</v>
      </c>
      <c r="C8627" s="8">
        <f>QS.CONTEXT.CREATE("market.8625",A8627,"USD","SOFR")</f>
        <v/>
      </c>
      <c r="D8627" s="8">
        <f>QS.CONTEXT.ADD.CURVE(C8627,"SOFR",$K$2:$K$7,$L$2:$L$7,,,"Actual360","LogLinear",TRUE)</f>
        <v/>
      </c>
      <c r="E8627" s="8">
        <f>QS.INSTRUMENT.SWAP("swap.8625",C8627,H8627,B8627,"USD","SOFR",I8627,J8627,0,"Actual360","Simple","Annual","Annual","Annual")</f>
        <v/>
      </c>
      <c r="F8627" s="8">
        <f>QS.TRADE.CREATE("trade.8625",C8627,E8627,A8627,"Receive")</f>
        <v/>
      </c>
      <c r="G8627" s="5"/>
      <c r="H8627" s="7" t="s">
        <v>8668</v>
      </c>
      <c r="I8627" s="9">
        <v>1862500</v>
      </c>
      <c r="J8627" s="10">
        <v>0.03750000000000001</v>
      </c>
    </row>
    <row r="8628" spans="1:10">
      <c r="A8628" s="7" t="s">
        <v>8662</v>
      </c>
      <c r="B8628" s="7" t="s">
        <v>10495</v>
      </c>
      <c r="C8628" s="8">
        <f>QS.CONTEXT.CREATE("market.8626",A8628,"USD","SOFR")</f>
        <v/>
      </c>
      <c r="D8628" s="8">
        <f>QS.CONTEXT.ADD.CURVE(C8628,"SOFR",$K$2:$K$7,$L$2:$L$7,,,"Actual360","LogLinear",TRUE)</f>
        <v/>
      </c>
      <c r="E8628" s="8">
        <f>QS.INSTRUMENT.SWAP("swap.8626",C8628,H8628,B8628,"USD","SOFR",I8628,J8628,0,"Actual360","Simple","Annual","Annual","Annual")</f>
        <v/>
      </c>
      <c r="F8628" s="8">
        <f>QS.TRADE.CREATE("trade.8626",C8628,E8628,A8628,"Receive")</f>
        <v/>
      </c>
      <c r="G8628" s="5"/>
      <c r="H8628" s="7" t="s">
        <v>8669</v>
      </c>
      <c r="I8628" s="9">
        <v>1862600</v>
      </c>
      <c r="J8628" s="10">
        <v>0.0376</v>
      </c>
    </row>
    <row r="8629" spans="1:10">
      <c r="A8629" s="7" t="s">
        <v>8663</v>
      </c>
      <c r="B8629" s="7" t="s">
        <v>10496</v>
      </c>
      <c r="C8629" s="8">
        <f>QS.CONTEXT.CREATE("market.8627",A8629,"USD","SOFR")</f>
        <v/>
      </c>
      <c r="D8629" s="8">
        <f>QS.CONTEXT.ADD.CURVE(C8629,"SOFR",$K$2:$K$7,$L$2:$L$7,,,"Actual360","LogLinear",TRUE)</f>
        <v/>
      </c>
      <c r="E8629" s="8">
        <f>QS.INSTRUMENT.SWAP("swap.8627",C8629,H8629,B8629,"USD","SOFR",I8629,J8629,0,"Actual360","Simple","Annual","Annual","Annual")</f>
        <v/>
      </c>
      <c r="F8629" s="8">
        <f>QS.TRADE.CREATE("trade.8627",C8629,E8629,A8629,"Receive")</f>
        <v/>
      </c>
      <c r="G8629" s="5"/>
      <c r="H8629" s="7" t="s">
        <v>8670</v>
      </c>
      <c r="I8629" s="9">
        <v>1862700</v>
      </c>
      <c r="J8629" s="10">
        <v>0.0377</v>
      </c>
    </row>
    <row r="8630" spans="1:10">
      <c r="A8630" s="7" t="s">
        <v>8664</v>
      </c>
      <c r="B8630" s="7" t="s">
        <v>10497</v>
      </c>
      <c r="C8630" s="8">
        <f>QS.CONTEXT.CREATE("market.8628",A8630,"USD","SOFR")</f>
        <v/>
      </c>
      <c r="D8630" s="8">
        <f>QS.CONTEXT.ADD.CURVE(C8630,"SOFR",$K$2:$K$7,$L$2:$L$7,,,"Actual360","LogLinear",TRUE)</f>
        <v/>
      </c>
      <c r="E8630" s="8">
        <f>QS.INSTRUMENT.SWAP("swap.8628",C8630,H8630,B8630,"USD","SOFR",I8630,J8630,0,"Actual360","Simple","Annual","Annual","Annual")</f>
        <v/>
      </c>
      <c r="F8630" s="8">
        <f>QS.TRADE.CREATE("trade.8628",C8630,E8630,A8630,"Receive")</f>
        <v/>
      </c>
      <c r="G8630" s="5"/>
      <c r="H8630" s="7" t="s">
        <v>8671</v>
      </c>
      <c r="I8630" s="9">
        <v>1862800</v>
      </c>
      <c r="J8630" s="10">
        <v>0.0378</v>
      </c>
    </row>
    <row r="8631" spans="1:10">
      <c r="A8631" s="7" t="s">
        <v>8665</v>
      </c>
      <c r="B8631" s="7" t="s">
        <v>10498</v>
      </c>
      <c r="C8631" s="8">
        <f>QS.CONTEXT.CREATE("market.8629",A8631,"USD","SOFR")</f>
        <v/>
      </c>
      <c r="D8631" s="8">
        <f>QS.CONTEXT.ADD.CURVE(C8631,"SOFR",$K$2:$K$7,$L$2:$L$7,,,"Actual360","LogLinear",TRUE)</f>
        <v/>
      </c>
      <c r="E8631" s="8">
        <f>QS.INSTRUMENT.SWAP("swap.8629",C8631,H8631,B8631,"USD","SOFR",I8631,J8631,0,"Actual360","Simple","Annual","Annual","Annual")</f>
        <v/>
      </c>
      <c r="F8631" s="8">
        <f>QS.TRADE.CREATE("trade.8629",C8631,E8631,A8631,"Receive")</f>
        <v/>
      </c>
      <c r="G8631" s="5"/>
      <c r="H8631" s="7" t="s">
        <v>8672</v>
      </c>
      <c r="I8631" s="9">
        <v>1862900</v>
      </c>
      <c r="J8631" s="10">
        <v>0.0379</v>
      </c>
    </row>
    <row r="8632" spans="1:10">
      <c r="A8632" s="7" t="s">
        <v>8666</v>
      </c>
      <c r="B8632" s="7" t="s">
        <v>10499</v>
      </c>
      <c r="C8632" s="8">
        <f>QS.CONTEXT.CREATE("market.8630",A8632,"USD","SOFR")</f>
        <v/>
      </c>
      <c r="D8632" s="8">
        <f>QS.CONTEXT.ADD.CURVE(C8632,"SOFR",$K$2:$K$7,$L$2:$L$7,,,"Actual360","LogLinear",TRUE)</f>
        <v/>
      </c>
      <c r="E8632" s="8">
        <f>QS.INSTRUMENT.SWAP("swap.8630",C8632,H8632,B8632,"USD","SOFR",I8632,J8632,0,"Actual360","Simple","Annual","Annual","Annual")</f>
        <v/>
      </c>
      <c r="F8632" s="8">
        <f>QS.TRADE.CREATE("trade.8630",C8632,E8632,A8632,"Receive")</f>
        <v/>
      </c>
      <c r="G8632" s="5"/>
      <c r="H8632" s="7" t="s">
        <v>8673</v>
      </c>
      <c r="I8632" s="9">
        <v>1863000</v>
      </c>
      <c r="J8632" s="10">
        <v>0.03800000000000001</v>
      </c>
    </row>
    <row r="8633" spans="1:10">
      <c r="A8633" s="7" t="s">
        <v>8667</v>
      </c>
      <c r="B8633" s="7" t="s">
        <v>10500</v>
      </c>
      <c r="C8633" s="8">
        <f>QS.CONTEXT.CREATE("market.8631",A8633,"USD","SOFR")</f>
        <v/>
      </c>
      <c r="D8633" s="8">
        <f>QS.CONTEXT.ADD.CURVE(C8633,"SOFR",$K$2:$K$7,$L$2:$L$7,,,"Actual360","LogLinear",TRUE)</f>
        <v/>
      </c>
      <c r="E8633" s="8">
        <f>QS.INSTRUMENT.SWAP("swap.8631",C8633,H8633,B8633,"USD","SOFR",I8633,J8633,0,"Actual360","Simple","Annual","Annual","Annual")</f>
        <v/>
      </c>
      <c r="F8633" s="8">
        <f>QS.TRADE.CREATE("trade.8631",C8633,E8633,A8633,"Receive")</f>
        <v/>
      </c>
      <c r="G8633" s="5"/>
      <c r="H8633" s="7" t="s">
        <v>8674</v>
      </c>
      <c r="I8633" s="9">
        <v>1863100</v>
      </c>
      <c r="J8633" s="10">
        <v>0.0381</v>
      </c>
    </row>
    <row r="8634" spans="1:10">
      <c r="A8634" s="7" t="s">
        <v>8668</v>
      </c>
      <c r="B8634" s="7" t="s">
        <v>10501</v>
      </c>
      <c r="C8634" s="8">
        <f>QS.CONTEXT.CREATE("market.8632",A8634,"USD","SOFR")</f>
        <v/>
      </c>
      <c r="D8634" s="8">
        <f>QS.CONTEXT.ADD.CURVE(C8634,"SOFR",$K$2:$K$7,$L$2:$L$7,,,"Actual360","LogLinear",TRUE)</f>
        <v/>
      </c>
      <c r="E8634" s="8">
        <f>QS.INSTRUMENT.SWAP("swap.8632",C8634,H8634,B8634,"USD","SOFR",I8634,J8634,0,"Actual360","Simple","Annual","Annual","Annual")</f>
        <v/>
      </c>
      <c r="F8634" s="8">
        <f>QS.TRADE.CREATE("trade.8632",C8634,E8634,A8634,"Receive")</f>
        <v/>
      </c>
      <c r="G8634" s="5"/>
      <c r="H8634" s="7" t="s">
        <v>8675</v>
      </c>
      <c r="I8634" s="9">
        <v>1863200</v>
      </c>
      <c r="J8634" s="10">
        <v>0.0382</v>
      </c>
    </row>
    <row r="8635" spans="1:10">
      <c r="A8635" s="7" t="s">
        <v>8669</v>
      </c>
      <c r="B8635" s="7" t="s">
        <v>10502</v>
      </c>
      <c r="C8635" s="8">
        <f>QS.CONTEXT.CREATE("market.8633",A8635,"USD","SOFR")</f>
        <v/>
      </c>
      <c r="D8635" s="8">
        <f>QS.CONTEXT.ADD.CURVE(C8635,"SOFR",$K$2:$K$7,$L$2:$L$7,,,"Actual360","LogLinear",TRUE)</f>
        <v/>
      </c>
      <c r="E8635" s="8">
        <f>QS.INSTRUMENT.SWAP("swap.8633",C8635,H8635,B8635,"USD","SOFR",I8635,J8635,0,"Actual360","Simple","Annual","Annual","Annual")</f>
        <v/>
      </c>
      <c r="F8635" s="8">
        <f>QS.TRADE.CREATE("trade.8633",C8635,E8635,A8635,"Receive")</f>
        <v/>
      </c>
      <c r="G8635" s="5"/>
      <c r="H8635" s="7" t="s">
        <v>8676</v>
      </c>
      <c r="I8635" s="9">
        <v>1863300</v>
      </c>
      <c r="J8635" s="10">
        <v>0.0383</v>
      </c>
    </row>
    <row r="8636" spans="1:10">
      <c r="A8636" s="7" t="s">
        <v>8670</v>
      </c>
      <c r="B8636" s="7" t="s">
        <v>10503</v>
      </c>
      <c r="C8636" s="8">
        <f>QS.CONTEXT.CREATE("market.8634",A8636,"USD","SOFR")</f>
        <v/>
      </c>
      <c r="D8636" s="8">
        <f>QS.CONTEXT.ADD.CURVE(C8636,"SOFR",$K$2:$K$7,$L$2:$L$7,,,"Actual360","LogLinear",TRUE)</f>
        <v/>
      </c>
      <c r="E8636" s="8">
        <f>QS.INSTRUMENT.SWAP("swap.8634",C8636,H8636,B8636,"USD","SOFR",I8636,J8636,0,"Actual360","Simple","Annual","Annual","Annual")</f>
        <v/>
      </c>
      <c r="F8636" s="8">
        <f>QS.TRADE.CREATE("trade.8634",C8636,E8636,A8636,"Receive")</f>
        <v/>
      </c>
      <c r="G8636" s="5"/>
      <c r="H8636" s="7" t="s">
        <v>8677</v>
      </c>
      <c r="I8636" s="9">
        <v>1863400</v>
      </c>
      <c r="J8636" s="10">
        <v>0.0384</v>
      </c>
    </row>
    <row r="8637" spans="1:10">
      <c r="A8637" s="7" t="s">
        <v>8671</v>
      </c>
      <c r="B8637" s="7" t="s">
        <v>10504</v>
      </c>
      <c r="C8637" s="8">
        <f>QS.CONTEXT.CREATE("market.8635",A8637,"USD","SOFR")</f>
        <v/>
      </c>
      <c r="D8637" s="8">
        <f>QS.CONTEXT.ADD.CURVE(C8637,"SOFR",$K$2:$K$7,$L$2:$L$7,,,"Actual360","LogLinear",TRUE)</f>
        <v/>
      </c>
      <c r="E8637" s="8">
        <f>QS.INSTRUMENT.SWAP("swap.8635",C8637,H8637,B8637,"USD","SOFR",I8637,J8637,0,"Actual360","Simple","Annual","Annual","Annual")</f>
        <v/>
      </c>
      <c r="F8637" s="8">
        <f>QS.TRADE.CREATE("trade.8635",C8637,E8637,A8637,"Receive")</f>
        <v/>
      </c>
      <c r="G8637" s="5"/>
      <c r="H8637" s="7" t="s">
        <v>8678</v>
      </c>
      <c r="I8637" s="9">
        <v>1863500</v>
      </c>
      <c r="J8637" s="10">
        <v>0.03850000000000001</v>
      </c>
    </row>
    <row r="8638" spans="1:10">
      <c r="A8638" s="7" t="s">
        <v>8672</v>
      </c>
      <c r="B8638" s="7" t="s">
        <v>10505</v>
      </c>
      <c r="C8638" s="8">
        <f>QS.CONTEXT.CREATE("market.8636",A8638,"USD","SOFR")</f>
        <v/>
      </c>
      <c r="D8638" s="8">
        <f>QS.CONTEXT.ADD.CURVE(C8638,"SOFR",$K$2:$K$7,$L$2:$L$7,,,"Actual360","LogLinear",TRUE)</f>
        <v/>
      </c>
      <c r="E8638" s="8">
        <f>QS.INSTRUMENT.SWAP("swap.8636",C8638,H8638,B8638,"USD","SOFR",I8638,J8638,0,"Actual360","Simple","Annual","Annual","Annual")</f>
        <v/>
      </c>
      <c r="F8638" s="8">
        <f>QS.TRADE.CREATE("trade.8636",C8638,E8638,A8638,"Receive")</f>
        <v/>
      </c>
      <c r="G8638" s="5"/>
      <c r="H8638" s="7" t="s">
        <v>8679</v>
      </c>
      <c r="I8638" s="9">
        <v>1863600</v>
      </c>
      <c r="J8638" s="10">
        <v>0.0386</v>
      </c>
    </row>
    <row r="8639" spans="1:10">
      <c r="A8639" s="7" t="s">
        <v>8673</v>
      </c>
      <c r="B8639" s="7" t="s">
        <v>10506</v>
      </c>
      <c r="C8639" s="8">
        <f>QS.CONTEXT.CREATE("market.8637",A8639,"USD","SOFR")</f>
        <v/>
      </c>
      <c r="D8639" s="8">
        <f>QS.CONTEXT.ADD.CURVE(C8639,"SOFR",$K$2:$K$7,$L$2:$L$7,,,"Actual360","LogLinear",TRUE)</f>
        <v/>
      </c>
      <c r="E8639" s="8">
        <f>QS.INSTRUMENT.SWAP("swap.8637",C8639,H8639,B8639,"USD","SOFR",I8639,J8639,0,"Actual360","Simple","Annual","Annual","Annual")</f>
        <v/>
      </c>
      <c r="F8639" s="8">
        <f>QS.TRADE.CREATE("trade.8637",C8639,E8639,A8639,"Receive")</f>
        <v/>
      </c>
      <c r="G8639" s="5"/>
      <c r="H8639" s="7" t="s">
        <v>8680</v>
      </c>
      <c r="I8639" s="9">
        <v>1863700</v>
      </c>
      <c r="J8639" s="10">
        <v>0.03870000000000001</v>
      </c>
    </row>
    <row r="8640" spans="1:10">
      <c r="A8640" s="7" t="s">
        <v>8674</v>
      </c>
      <c r="B8640" s="7" t="s">
        <v>10507</v>
      </c>
      <c r="C8640" s="8">
        <f>QS.CONTEXT.CREATE("market.8638",A8640,"USD","SOFR")</f>
        <v/>
      </c>
      <c r="D8640" s="8">
        <f>QS.CONTEXT.ADD.CURVE(C8640,"SOFR",$K$2:$K$7,$L$2:$L$7,,,"Actual360","LogLinear",TRUE)</f>
        <v/>
      </c>
      <c r="E8640" s="8">
        <f>QS.INSTRUMENT.SWAP("swap.8638",C8640,H8640,B8640,"USD","SOFR",I8640,J8640,0,"Actual360","Simple","Annual","Annual","Annual")</f>
        <v/>
      </c>
      <c r="F8640" s="8">
        <f>QS.TRADE.CREATE("trade.8638",C8640,E8640,A8640,"Receive")</f>
        <v/>
      </c>
      <c r="G8640" s="5"/>
      <c r="H8640" s="7" t="s">
        <v>8681</v>
      </c>
      <c r="I8640" s="9">
        <v>1863800</v>
      </c>
      <c r="J8640" s="10">
        <v>0.0388</v>
      </c>
    </row>
    <row r="8641" spans="1:10">
      <c r="A8641" s="7" t="s">
        <v>8675</v>
      </c>
      <c r="B8641" s="7" t="s">
        <v>10508</v>
      </c>
      <c r="C8641" s="8">
        <f>QS.CONTEXT.CREATE("market.8639",A8641,"USD","SOFR")</f>
        <v/>
      </c>
      <c r="D8641" s="8">
        <f>QS.CONTEXT.ADD.CURVE(C8641,"SOFR",$K$2:$K$7,$L$2:$L$7,,,"Actual360","LogLinear",TRUE)</f>
        <v/>
      </c>
      <c r="E8641" s="8">
        <f>QS.INSTRUMENT.SWAP("swap.8639",C8641,H8641,B8641,"USD","SOFR",I8641,J8641,0,"Actual360","Simple","Annual","Annual","Annual")</f>
        <v/>
      </c>
      <c r="F8641" s="8">
        <f>QS.TRADE.CREATE("trade.8639",C8641,E8641,A8641,"Receive")</f>
        <v/>
      </c>
      <c r="G8641" s="5"/>
      <c r="H8641" s="7" t="s">
        <v>8682</v>
      </c>
      <c r="I8641" s="9">
        <v>1863900</v>
      </c>
      <c r="J8641" s="10">
        <v>0.0389</v>
      </c>
    </row>
    <row r="8642" spans="1:10">
      <c r="A8642" s="7" t="s">
        <v>8676</v>
      </c>
      <c r="B8642" s="7" t="s">
        <v>10509</v>
      </c>
      <c r="C8642" s="8">
        <f>QS.CONTEXT.CREATE("market.8640",A8642,"USD","SOFR")</f>
        <v/>
      </c>
      <c r="D8642" s="8">
        <f>QS.CONTEXT.ADD.CURVE(C8642,"SOFR",$K$2:$K$7,$L$2:$L$7,,,"Actual360","LogLinear",TRUE)</f>
        <v/>
      </c>
      <c r="E8642" s="8">
        <f>QS.INSTRUMENT.SWAP("swap.8640",C8642,H8642,B8642,"USD","SOFR",I8642,J8642,0,"Actual360","Simple","Annual","Annual","Annual")</f>
        <v/>
      </c>
      <c r="F8642" s="8">
        <f>QS.TRADE.CREATE("trade.8640",C8642,E8642,A8642,"Receive")</f>
        <v/>
      </c>
      <c r="G8642" s="5"/>
      <c r="H8642" s="7" t="s">
        <v>8683</v>
      </c>
      <c r="I8642" s="9">
        <v>1864000</v>
      </c>
      <c r="J8642" s="10">
        <v>0.03900000000000001</v>
      </c>
    </row>
    <row r="8643" spans="1:10">
      <c r="A8643" s="7" t="s">
        <v>8677</v>
      </c>
      <c r="B8643" s="7" t="s">
        <v>10510</v>
      </c>
      <c r="C8643" s="8">
        <f>QS.CONTEXT.CREATE("market.8641",A8643,"USD","SOFR")</f>
        <v/>
      </c>
      <c r="D8643" s="8">
        <f>QS.CONTEXT.ADD.CURVE(C8643,"SOFR",$K$2:$K$7,$L$2:$L$7,,,"Actual360","LogLinear",TRUE)</f>
        <v/>
      </c>
      <c r="E8643" s="8">
        <f>QS.INSTRUMENT.SWAP("swap.8641",C8643,H8643,B8643,"USD","SOFR",I8643,J8643,0,"Actual360","Simple","Annual","Annual","Annual")</f>
        <v/>
      </c>
      <c r="F8643" s="8">
        <f>QS.TRADE.CREATE("trade.8641",C8643,E8643,A8643,"Receive")</f>
        <v/>
      </c>
      <c r="G8643" s="5"/>
      <c r="H8643" s="7" t="s">
        <v>8684</v>
      </c>
      <c r="I8643" s="9">
        <v>1864100</v>
      </c>
      <c r="J8643" s="10">
        <v>0.0391</v>
      </c>
    </row>
    <row r="8644" spans="1:10">
      <c r="A8644" s="7" t="s">
        <v>8678</v>
      </c>
      <c r="B8644" s="7" t="s">
        <v>10511</v>
      </c>
      <c r="C8644" s="8">
        <f>QS.CONTEXT.CREATE("market.8642",A8644,"USD","SOFR")</f>
        <v/>
      </c>
      <c r="D8644" s="8">
        <f>QS.CONTEXT.ADD.CURVE(C8644,"SOFR",$K$2:$K$7,$L$2:$L$7,,,"Actual360","LogLinear",TRUE)</f>
        <v/>
      </c>
      <c r="E8644" s="8">
        <f>QS.INSTRUMENT.SWAP("swap.8642",C8644,H8644,B8644,"USD","SOFR",I8644,J8644,0,"Actual360","Simple","Annual","Annual","Annual")</f>
        <v/>
      </c>
      <c r="F8644" s="8">
        <f>QS.TRADE.CREATE("trade.8642",C8644,E8644,A8644,"Receive")</f>
        <v/>
      </c>
      <c r="G8644" s="5"/>
      <c r="H8644" s="7" t="s">
        <v>8685</v>
      </c>
      <c r="I8644" s="9">
        <v>1864200</v>
      </c>
      <c r="J8644" s="10">
        <v>0.03920000000000001</v>
      </c>
    </row>
    <row r="8645" spans="1:10">
      <c r="A8645" s="7" t="s">
        <v>8679</v>
      </c>
      <c r="B8645" s="7" t="s">
        <v>10512</v>
      </c>
      <c r="C8645" s="8">
        <f>QS.CONTEXT.CREATE("market.8643",A8645,"USD","SOFR")</f>
        <v/>
      </c>
      <c r="D8645" s="8">
        <f>QS.CONTEXT.ADD.CURVE(C8645,"SOFR",$K$2:$K$7,$L$2:$L$7,,,"Actual360","LogLinear",TRUE)</f>
        <v/>
      </c>
      <c r="E8645" s="8">
        <f>QS.INSTRUMENT.SWAP("swap.8643",C8645,H8645,B8645,"USD","SOFR",I8645,J8645,0,"Actual360","Simple","Annual","Annual","Annual")</f>
        <v/>
      </c>
      <c r="F8645" s="8">
        <f>QS.TRADE.CREATE("trade.8643",C8645,E8645,A8645,"Receive")</f>
        <v/>
      </c>
      <c r="G8645" s="5"/>
      <c r="H8645" s="7" t="s">
        <v>8686</v>
      </c>
      <c r="I8645" s="9">
        <v>1864300</v>
      </c>
      <c r="J8645" s="10">
        <v>0.0393</v>
      </c>
    </row>
    <row r="8646" spans="1:10">
      <c r="A8646" s="7" t="s">
        <v>8680</v>
      </c>
      <c r="B8646" s="7" t="s">
        <v>10513</v>
      </c>
      <c r="C8646" s="8">
        <f>QS.CONTEXT.CREATE("market.8644",A8646,"USD","SOFR")</f>
        <v/>
      </c>
      <c r="D8646" s="8">
        <f>QS.CONTEXT.ADD.CURVE(C8646,"SOFR",$K$2:$K$7,$L$2:$L$7,,,"Actual360","LogLinear",TRUE)</f>
        <v/>
      </c>
      <c r="E8646" s="8">
        <f>QS.INSTRUMENT.SWAP("swap.8644",C8646,H8646,B8646,"USD","SOFR",I8646,J8646,0,"Actual360","Simple","Annual","Annual","Annual")</f>
        <v/>
      </c>
      <c r="F8646" s="8">
        <f>QS.TRADE.CREATE("trade.8644",C8646,E8646,A8646,"Receive")</f>
        <v/>
      </c>
      <c r="G8646" s="5"/>
      <c r="H8646" s="7" t="s">
        <v>8687</v>
      </c>
      <c r="I8646" s="9">
        <v>1864400</v>
      </c>
      <c r="J8646" s="10">
        <v>0.0394</v>
      </c>
    </row>
    <row r="8647" spans="1:10">
      <c r="A8647" s="7" t="s">
        <v>8681</v>
      </c>
      <c r="B8647" s="7" t="s">
        <v>10514</v>
      </c>
      <c r="C8647" s="8">
        <f>QS.CONTEXT.CREATE("market.8645",A8647,"USD","SOFR")</f>
        <v/>
      </c>
      <c r="D8647" s="8">
        <f>QS.CONTEXT.ADD.CURVE(C8647,"SOFR",$K$2:$K$7,$L$2:$L$7,,,"Actual360","LogLinear",TRUE)</f>
        <v/>
      </c>
      <c r="E8647" s="8">
        <f>QS.INSTRUMENT.SWAP("swap.8645",C8647,H8647,B8647,"USD","SOFR",I8647,J8647,0,"Actual360","Simple","Annual","Annual","Annual")</f>
        <v/>
      </c>
      <c r="F8647" s="8">
        <f>QS.TRADE.CREATE("trade.8645",C8647,E8647,A8647,"Receive")</f>
        <v/>
      </c>
      <c r="G8647" s="5"/>
      <c r="H8647" s="7" t="s">
        <v>8688</v>
      </c>
      <c r="I8647" s="9">
        <v>1864500</v>
      </c>
      <c r="J8647" s="10">
        <v>0.03950000000000001</v>
      </c>
    </row>
    <row r="8648" spans="1:10">
      <c r="A8648" s="7" t="s">
        <v>8682</v>
      </c>
      <c r="B8648" s="7" t="s">
        <v>10515</v>
      </c>
      <c r="C8648" s="8">
        <f>QS.CONTEXT.CREATE("market.8646",A8648,"USD","SOFR")</f>
        <v/>
      </c>
      <c r="D8648" s="8">
        <f>QS.CONTEXT.ADD.CURVE(C8648,"SOFR",$K$2:$K$7,$L$2:$L$7,,,"Actual360","LogLinear",TRUE)</f>
        <v/>
      </c>
      <c r="E8648" s="8">
        <f>QS.INSTRUMENT.SWAP("swap.8646",C8648,H8648,B8648,"USD","SOFR",I8648,J8648,0,"Actual360","Simple","Annual","Annual","Annual")</f>
        <v/>
      </c>
      <c r="F8648" s="8">
        <f>QS.TRADE.CREATE("trade.8646",C8648,E8648,A8648,"Receive")</f>
        <v/>
      </c>
      <c r="G8648" s="5"/>
      <c r="H8648" s="7" t="s">
        <v>8689</v>
      </c>
      <c r="I8648" s="9">
        <v>1864600</v>
      </c>
      <c r="J8648" s="10">
        <v>0.0396</v>
      </c>
    </row>
    <row r="8649" spans="1:10">
      <c r="A8649" s="7" t="s">
        <v>8683</v>
      </c>
      <c r="B8649" s="7" t="s">
        <v>10516</v>
      </c>
      <c r="C8649" s="8">
        <f>QS.CONTEXT.CREATE("market.8647",A8649,"USD","SOFR")</f>
        <v/>
      </c>
      <c r="D8649" s="8">
        <f>QS.CONTEXT.ADD.CURVE(C8649,"SOFR",$K$2:$K$7,$L$2:$L$7,,,"Actual360","LogLinear",TRUE)</f>
        <v/>
      </c>
      <c r="E8649" s="8">
        <f>QS.INSTRUMENT.SWAP("swap.8647",C8649,H8649,B8649,"USD","SOFR",I8649,J8649,0,"Actual360","Simple","Annual","Annual","Annual")</f>
        <v/>
      </c>
      <c r="F8649" s="8">
        <f>QS.TRADE.CREATE("trade.8647",C8649,E8649,A8649,"Receive")</f>
        <v/>
      </c>
      <c r="G8649" s="5"/>
      <c r="H8649" s="7" t="s">
        <v>8690</v>
      </c>
      <c r="I8649" s="9">
        <v>1864700</v>
      </c>
      <c r="J8649" s="10">
        <v>0.03970000000000001</v>
      </c>
    </row>
    <row r="8650" spans="1:10">
      <c r="A8650" s="7" t="s">
        <v>8684</v>
      </c>
      <c r="B8650" s="7" t="s">
        <v>10517</v>
      </c>
      <c r="C8650" s="8">
        <f>QS.CONTEXT.CREATE("market.8648",A8650,"USD","SOFR")</f>
        <v/>
      </c>
      <c r="D8650" s="8">
        <f>QS.CONTEXT.ADD.CURVE(C8650,"SOFR",$K$2:$K$7,$L$2:$L$7,,,"Actual360","LogLinear",TRUE)</f>
        <v/>
      </c>
      <c r="E8650" s="8">
        <f>QS.INSTRUMENT.SWAP("swap.8648",C8650,H8650,B8650,"USD","SOFR",I8650,J8650,0,"Actual360","Simple","Annual","Annual","Annual")</f>
        <v/>
      </c>
      <c r="F8650" s="8">
        <f>QS.TRADE.CREATE("trade.8648",C8650,E8650,A8650,"Receive")</f>
        <v/>
      </c>
      <c r="G8650" s="5"/>
      <c r="H8650" s="7" t="s">
        <v>8691</v>
      </c>
      <c r="I8650" s="9">
        <v>1864800</v>
      </c>
      <c r="J8650" s="10">
        <v>0.0398</v>
      </c>
    </row>
    <row r="8651" spans="1:10">
      <c r="A8651" s="7" t="s">
        <v>8685</v>
      </c>
      <c r="B8651" s="7" t="s">
        <v>10518</v>
      </c>
      <c r="C8651" s="8">
        <f>QS.CONTEXT.CREATE("market.8649",A8651,"USD","SOFR")</f>
        <v/>
      </c>
      <c r="D8651" s="8">
        <f>QS.CONTEXT.ADD.CURVE(C8651,"SOFR",$K$2:$K$7,$L$2:$L$7,,,"Actual360","LogLinear",TRUE)</f>
        <v/>
      </c>
      <c r="E8651" s="8">
        <f>QS.INSTRUMENT.SWAP("swap.8649",C8651,H8651,B8651,"USD","SOFR",I8651,J8651,0,"Actual360","Simple","Annual","Annual","Annual")</f>
        <v/>
      </c>
      <c r="F8651" s="8">
        <f>QS.TRADE.CREATE("trade.8649",C8651,E8651,A8651,"Receive")</f>
        <v/>
      </c>
      <c r="G8651" s="5"/>
      <c r="H8651" s="7" t="s">
        <v>8692</v>
      </c>
      <c r="I8651" s="9">
        <v>1864900</v>
      </c>
      <c r="J8651" s="10">
        <v>0.0399</v>
      </c>
    </row>
    <row r="8652" spans="1:10">
      <c r="A8652" s="7" t="s">
        <v>8686</v>
      </c>
      <c r="B8652" s="7" t="s">
        <v>10519</v>
      </c>
      <c r="C8652" s="8">
        <f>QS.CONTEXT.CREATE("market.8650",A8652,"USD","SOFR")</f>
        <v/>
      </c>
      <c r="D8652" s="8">
        <f>QS.CONTEXT.ADD.CURVE(C8652,"SOFR",$K$2:$K$7,$L$2:$L$7,,,"Actual360","LogLinear",TRUE)</f>
        <v/>
      </c>
      <c r="E8652" s="8">
        <f>QS.INSTRUMENT.SWAP("swap.8650",C8652,H8652,B8652,"USD","SOFR",I8652,J8652,0,"Actual360","Simple","Annual","Annual","Annual")</f>
        <v/>
      </c>
      <c r="F8652" s="8">
        <f>QS.TRADE.CREATE("trade.8650",C8652,E8652,A8652,"Receive")</f>
        <v/>
      </c>
      <c r="G8652" s="5"/>
      <c r="H8652" s="7" t="s">
        <v>8693</v>
      </c>
      <c r="I8652" s="9">
        <v>1865000</v>
      </c>
      <c r="J8652" s="10">
        <v>0.035</v>
      </c>
    </row>
    <row r="8653" spans="1:10">
      <c r="A8653" s="7" t="s">
        <v>8687</v>
      </c>
      <c r="B8653" s="7" t="s">
        <v>10520</v>
      </c>
      <c r="C8653" s="8">
        <f>QS.CONTEXT.CREATE("market.8651",A8653,"USD","SOFR")</f>
        <v/>
      </c>
      <c r="D8653" s="8">
        <f>QS.CONTEXT.ADD.CURVE(C8653,"SOFR",$K$2:$K$7,$L$2:$L$7,,,"Actual360","LogLinear",TRUE)</f>
        <v/>
      </c>
      <c r="E8653" s="8">
        <f>QS.INSTRUMENT.SWAP("swap.8651",C8653,H8653,B8653,"USD","SOFR",I8653,J8653,0,"Actual360","Simple","Annual","Annual","Annual")</f>
        <v/>
      </c>
      <c r="F8653" s="8">
        <f>QS.TRADE.CREATE("trade.8651",C8653,E8653,A8653,"Receive")</f>
        <v/>
      </c>
      <c r="G8653" s="5"/>
      <c r="H8653" s="7" t="s">
        <v>8694</v>
      </c>
      <c r="I8653" s="9">
        <v>1865100</v>
      </c>
      <c r="J8653" s="10">
        <v>0.03510000000000001</v>
      </c>
    </row>
    <row r="8654" spans="1:10">
      <c r="A8654" s="7" t="s">
        <v>8688</v>
      </c>
      <c r="B8654" s="7" t="s">
        <v>10521</v>
      </c>
      <c r="C8654" s="8">
        <f>QS.CONTEXT.CREATE("market.8652",A8654,"USD","SOFR")</f>
        <v/>
      </c>
      <c r="D8654" s="8">
        <f>QS.CONTEXT.ADD.CURVE(C8654,"SOFR",$K$2:$K$7,$L$2:$L$7,,,"Actual360","LogLinear",TRUE)</f>
        <v/>
      </c>
      <c r="E8654" s="8">
        <f>QS.INSTRUMENT.SWAP("swap.8652",C8654,H8654,B8654,"USD","SOFR",I8654,J8654,0,"Actual360","Simple","Annual","Annual","Annual")</f>
        <v/>
      </c>
      <c r="F8654" s="8">
        <f>QS.TRADE.CREATE("trade.8652",C8654,E8654,A8654,"Receive")</f>
        <v/>
      </c>
      <c r="G8654" s="5"/>
      <c r="H8654" s="7" t="s">
        <v>8695</v>
      </c>
      <c r="I8654" s="9">
        <v>1865200</v>
      </c>
      <c r="J8654" s="10">
        <v>0.0352</v>
      </c>
    </row>
    <row r="8655" spans="1:10">
      <c r="A8655" s="7" t="s">
        <v>8689</v>
      </c>
      <c r="B8655" s="7" t="s">
        <v>10522</v>
      </c>
      <c r="C8655" s="8">
        <f>QS.CONTEXT.CREATE("market.8653",A8655,"USD","SOFR")</f>
        <v/>
      </c>
      <c r="D8655" s="8">
        <f>QS.CONTEXT.ADD.CURVE(C8655,"SOFR",$K$2:$K$7,$L$2:$L$7,,,"Actual360","LogLinear",TRUE)</f>
        <v/>
      </c>
      <c r="E8655" s="8">
        <f>QS.INSTRUMENT.SWAP("swap.8653",C8655,H8655,B8655,"USD","SOFR",I8655,J8655,0,"Actual360","Simple","Annual","Annual","Annual")</f>
        <v/>
      </c>
      <c r="F8655" s="8">
        <f>QS.TRADE.CREATE("trade.8653",C8655,E8655,A8655,"Receive")</f>
        <v/>
      </c>
      <c r="G8655" s="5"/>
      <c r="H8655" s="7" t="s">
        <v>8696</v>
      </c>
      <c r="I8655" s="9">
        <v>1865300</v>
      </c>
      <c r="J8655" s="10">
        <v>0.0353</v>
      </c>
    </row>
    <row r="8656" spans="1:10">
      <c r="A8656" s="7" t="s">
        <v>8690</v>
      </c>
      <c r="B8656" s="7" t="s">
        <v>10523</v>
      </c>
      <c r="C8656" s="8">
        <f>QS.CONTEXT.CREATE("market.8654",A8656,"USD","SOFR")</f>
        <v/>
      </c>
      <c r="D8656" s="8">
        <f>QS.CONTEXT.ADD.CURVE(C8656,"SOFR",$K$2:$K$7,$L$2:$L$7,,,"Actual360","LogLinear",TRUE)</f>
        <v/>
      </c>
      <c r="E8656" s="8">
        <f>QS.INSTRUMENT.SWAP("swap.8654",C8656,H8656,B8656,"USD","SOFR",I8656,J8656,0,"Actual360","Simple","Annual","Annual","Annual")</f>
        <v/>
      </c>
      <c r="F8656" s="8">
        <f>QS.TRADE.CREATE("trade.8654",C8656,E8656,A8656,"Receive")</f>
        <v/>
      </c>
      <c r="G8656" s="5"/>
      <c r="H8656" s="7" t="s">
        <v>8697</v>
      </c>
      <c r="I8656" s="9">
        <v>1865400</v>
      </c>
      <c r="J8656" s="10">
        <v>0.0354</v>
      </c>
    </row>
    <row r="8657" spans="1:10">
      <c r="A8657" s="7" t="s">
        <v>8691</v>
      </c>
      <c r="B8657" s="7" t="s">
        <v>10524</v>
      </c>
      <c r="C8657" s="8">
        <f>QS.CONTEXT.CREATE("market.8655",A8657,"USD","SOFR")</f>
        <v/>
      </c>
      <c r="D8657" s="8">
        <f>QS.CONTEXT.ADD.CURVE(C8657,"SOFR",$K$2:$K$7,$L$2:$L$7,,,"Actual360","LogLinear",TRUE)</f>
        <v/>
      </c>
      <c r="E8657" s="8">
        <f>QS.INSTRUMENT.SWAP("swap.8655",C8657,H8657,B8657,"USD","SOFR",I8657,J8657,0,"Actual360","Simple","Annual","Annual","Annual")</f>
        <v/>
      </c>
      <c r="F8657" s="8">
        <f>QS.TRADE.CREATE("trade.8655",C8657,E8657,A8657,"Receive")</f>
        <v/>
      </c>
      <c r="G8657" s="5"/>
      <c r="H8657" s="7" t="s">
        <v>8698</v>
      </c>
      <c r="I8657" s="9">
        <v>1865500</v>
      </c>
      <c r="J8657" s="10">
        <v>0.0355</v>
      </c>
    </row>
    <row r="8658" spans="1:10">
      <c r="A8658" s="7" t="s">
        <v>8692</v>
      </c>
      <c r="B8658" s="7" t="s">
        <v>10525</v>
      </c>
      <c r="C8658" s="8">
        <f>QS.CONTEXT.CREATE("market.8656",A8658,"USD","SOFR")</f>
        <v/>
      </c>
      <c r="D8658" s="8">
        <f>QS.CONTEXT.ADD.CURVE(C8658,"SOFR",$K$2:$K$7,$L$2:$L$7,,,"Actual360","LogLinear",TRUE)</f>
        <v/>
      </c>
      <c r="E8658" s="8">
        <f>QS.INSTRUMENT.SWAP("swap.8656",C8658,H8658,B8658,"USD","SOFR",I8658,J8658,0,"Actual360","Simple","Annual","Annual","Annual")</f>
        <v/>
      </c>
      <c r="F8658" s="8">
        <f>QS.TRADE.CREATE("trade.8656",C8658,E8658,A8658,"Receive")</f>
        <v/>
      </c>
      <c r="G8658" s="5"/>
      <c r="H8658" s="7" t="s">
        <v>8699</v>
      </c>
      <c r="I8658" s="9">
        <v>1865600</v>
      </c>
      <c r="J8658" s="10">
        <v>0.03560000000000001</v>
      </c>
    </row>
    <row r="8659" spans="1:10">
      <c r="A8659" s="7" t="s">
        <v>8693</v>
      </c>
      <c r="B8659" s="7" t="s">
        <v>10526</v>
      </c>
      <c r="C8659" s="8">
        <f>QS.CONTEXT.CREATE("market.8657",A8659,"USD","SOFR")</f>
        <v/>
      </c>
      <c r="D8659" s="8">
        <f>QS.CONTEXT.ADD.CURVE(C8659,"SOFR",$K$2:$K$7,$L$2:$L$7,,,"Actual360","LogLinear",TRUE)</f>
        <v/>
      </c>
      <c r="E8659" s="8">
        <f>QS.INSTRUMENT.SWAP("swap.8657",C8659,H8659,B8659,"USD","SOFR",I8659,J8659,0,"Actual360","Simple","Annual","Annual","Annual")</f>
        <v/>
      </c>
      <c r="F8659" s="8">
        <f>QS.TRADE.CREATE("trade.8657",C8659,E8659,A8659,"Receive")</f>
        <v/>
      </c>
      <c r="G8659" s="5"/>
      <c r="H8659" s="7" t="s">
        <v>8700</v>
      </c>
      <c r="I8659" s="9">
        <v>1865700</v>
      </c>
      <c r="J8659" s="10">
        <v>0.0357</v>
      </c>
    </row>
    <row r="8660" spans="1:10">
      <c r="A8660" s="7" t="s">
        <v>8694</v>
      </c>
      <c r="B8660" s="7" t="s">
        <v>10527</v>
      </c>
      <c r="C8660" s="8">
        <f>QS.CONTEXT.CREATE("market.8658",A8660,"USD","SOFR")</f>
        <v/>
      </c>
      <c r="D8660" s="8">
        <f>QS.CONTEXT.ADD.CURVE(C8660,"SOFR",$K$2:$K$7,$L$2:$L$7,,,"Actual360","LogLinear",TRUE)</f>
        <v/>
      </c>
      <c r="E8660" s="8">
        <f>QS.INSTRUMENT.SWAP("swap.8658",C8660,H8660,B8660,"USD","SOFR",I8660,J8660,0,"Actual360","Simple","Annual","Annual","Annual")</f>
        <v/>
      </c>
      <c r="F8660" s="8">
        <f>QS.TRADE.CREATE("trade.8658",C8660,E8660,A8660,"Receive")</f>
        <v/>
      </c>
      <c r="G8660" s="5"/>
      <c r="H8660" s="7" t="s">
        <v>8701</v>
      </c>
      <c r="I8660" s="9">
        <v>1865800</v>
      </c>
      <c r="J8660" s="10">
        <v>0.03580000000000001</v>
      </c>
    </row>
    <row r="8661" spans="1:10">
      <c r="A8661" s="7" t="s">
        <v>8695</v>
      </c>
      <c r="B8661" s="7" t="s">
        <v>10528</v>
      </c>
      <c r="C8661" s="8">
        <f>QS.CONTEXT.CREATE("market.8659",A8661,"USD","SOFR")</f>
        <v/>
      </c>
      <c r="D8661" s="8">
        <f>QS.CONTEXT.ADD.CURVE(C8661,"SOFR",$K$2:$K$7,$L$2:$L$7,,,"Actual360","LogLinear",TRUE)</f>
        <v/>
      </c>
      <c r="E8661" s="8">
        <f>QS.INSTRUMENT.SWAP("swap.8659",C8661,H8661,B8661,"USD","SOFR",I8661,J8661,0,"Actual360","Simple","Annual","Annual","Annual")</f>
        <v/>
      </c>
      <c r="F8661" s="8">
        <f>QS.TRADE.CREATE("trade.8659",C8661,E8661,A8661,"Receive")</f>
        <v/>
      </c>
      <c r="G8661" s="5"/>
      <c r="H8661" s="7" t="s">
        <v>8702</v>
      </c>
      <c r="I8661" s="9">
        <v>1865900</v>
      </c>
      <c r="J8661" s="10">
        <v>0.0359</v>
      </c>
    </row>
    <row r="8662" spans="1:10">
      <c r="A8662" s="7" t="s">
        <v>8696</v>
      </c>
      <c r="B8662" s="7" t="s">
        <v>10529</v>
      </c>
      <c r="C8662" s="8">
        <f>QS.CONTEXT.CREATE("market.8660",A8662,"USD","SOFR")</f>
        <v/>
      </c>
      <c r="D8662" s="8">
        <f>QS.CONTEXT.ADD.CURVE(C8662,"SOFR",$K$2:$K$7,$L$2:$L$7,,,"Actual360","LogLinear",TRUE)</f>
        <v/>
      </c>
      <c r="E8662" s="8">
        <f>QS.INSTRUMENT.SWAP("swap.8660",C8662,H8662,B8662,"USD","SOFR",I8662,J8662,0,"Actual360","Simple","Annual","Annual","Annual")</f>
        <v/>
      </c>
      <c r="F8662" s="8">
        <f>QS.TRADE.CREATE("trade.8660",C8662,E8662,A8662,"Receive")</f>
        <v/>
      </c>
      <c r="G8662" s="5"/>
      <c r="H8662" s="7" t="s">
        <v>8703</v>
      </c>
      <c r="I8662" s="9">
        <v>1866000</v>
      </c>
      <c r="J8662" s="10">
        <v>0.036</v>
      </c>
    </row>
    <row r="8663" spans="1:10">
      <c r="A8663" s="7" t="s">
        <v>8697</v>
      </c>
      <c r="B8663" s="7" t="s">
        <v>10530</v>
      </c>
      <c r="C8663" s="8">
        <f>QS.CONTEXT.CREATE("market.8661",A8663,"USD","SOFR")</f>
        <v/>
      </c>
      <c r="D8663" s="8">
        <f>QS.CONTEXT.ADD.CURVE(C8663,"SOFR",$K$2:$K$7,$L$2:$L$7,,,"Actual360","LogLinear",TRUE)</f>
        <v/>
      </c>
      <c r="E8663" s="8">
        <f>QS.INSTRUMENT.SWAP("swap.8661",C8663,H8663,B8663,"USD","SOFR",I8663,J8663,0,"Actual360","Simple","Annual","Annual","Annual")</f>
        <v/>
      </c>
      <c r="F8663" s="8">
        <f>QS.TRADE.CREATE("trade.8661",C8663,E8663,A8663,"Receive")</f>
        <v/>
      </c>
      <c r="G8663" s="5"/>
      <c r="H8663" s="7" t="s">
        <v>8704</v>
      </c>
      <c r="I8663" s="9">
        <v>1866100</v>
      </c>
      <c r="J8663" s="10">
        <v>0.0361</v>
      </c>
    </row>
    <row r="8664" spans="1:10">
      <c r="A8664" s="7" t="s">
        <v>8698</v>
      </c>
      <c r="B8664" s="7" t="s">
        <v>10531</v>
      </c>
      <c r="C8664" s="8">
        <f>QS.CONTEXT.CREATE("market.8662",A8664,"USD","SOFR")</f>
        <v/>
      </c>
      <c r="D8664" s="8">
        <f>QS.CONTEXT.ADD.CURVE(C8664,"SOFR",$K$2:$K$7,$L$2:$L$7,,,"Actual360","LogLinear",TRUE)</f>
        <v/>
      </c>
      <c r="E8664" s="8">
        <f>QS.INSTRUMENT.SWAP("swap.8662",C8664,H8664,B8664,"USD","SOFR",I8664,J8664,0,"Actual360","Simple","Annual","Annual","Annual")</f>
        <v/>
      </c>
      <c r="F8664" s="8">
        <f>QS.TRADE.CREATE("trade.8662",C8664,E8664,A8664,"Receive")</f>
        <v/>
      </c>
      <c r="G8664" s="5"/>
      <c r="H8664" s="7" t="s">
        <v>8705</v>
      </c>
      <c r="I8664" s="9">
        <v>1866200</v>
      </c>
      <c r="J8664" s="10">
        <v>0.0362</v>
      </c>
    </row>
    <row r="8665" spans="1:10">
      <c r="A8665" s="7" t="s">
        <v>8699</v>
      </c>
      <c r="B8665" s="7" t="s">
        <v>10532</v>
      </c>
      <c r="C8665" s="8">
        <f>QS.CONTEXT.CREATE("market.8663",A8665,"USD","SOFR")</f>
        <v/>
      </c>
      <c r="D8665" s="8">
        <f>QS.CONTEXT.ADD.CURVE(C8665,"SOFR",$K$2:$K$7,$L$2:$L$7,,,"Actual360","LogLinear",TRUE)</f>
        <v/>
      </c>
      <c r="E8665" s="8">
        <f>QS.INSTRUMENT.SWAP("swap.8663",C8665,H8665,B8665,"USD","SOFR",I8665,J8665,0,"Actual360","Simple","Annual","Annual","Annual")</f>
        <v/>
      </c>
      <c r="F8665" s="8">
        <f>QS.TRADE.CREATE("trade.8663",C8665,E8665,A8665,"Receive")</f>
        <v/>
      </c>
      <c r="G8665" s="5"/>
      <c r="H8665" s="7" t="s">
        <v>8706</v>
      </c>
      <c r="I8665" s="9">
        <v>1866300</v>
      </c>
      <c r="J8665" s="10">
        <v>0.03630000000000001</v>
      </c>
    </row>
    <row r="8666" spans="1:10">
      <c r="A8666" s="7" t="s">
        <v>8700</v>
      </c>
      <c r="B8666" s="7" t="s">
        <v>10533</v>
      </c>
      <c r="C8666" s="8">
        <f>QS.CONTEXT.CREATE("market.8664",A8666,"USD","SOFR")</f>
        <v/>
      </c>
      <c r="D8666" s="8">
        <f>QS.CONTEXT.ADD.CURVE(C8666,"SOFR",$K$2:$K$7,$L$2:$L$7,,,"Actual360","LogLinear",TRUE)</f>
        <v/>
      </c>
      <c r="E8666" s="8">
        <f>QS.INSTRUMENT.SWAP("swap.8664",C8666,H8666,B8666,"USD","SOFR",I8666,J8666,0,"Actual360","Simple","Annual","Annual","Annual")</f>
        <v/>
      </c>
      <c r="F8666" s="8">
        <f>QS.TRADE.CREATE("trade.8664",C8666,E8666,A8666,"Receive")</f>
        <v/>
      </c>
      <c r="G8666" s="5"/>
      <c r="H8666" s="7" t="s">
        <v>8707</v>
      </c>
      <c r="I8666" s="9">
        <v>1866400</v>
      </c>
      <c r="J8666" s="10">
        <v>0.0364</v>
      </c>
    </row>
    <row r="8667" spans="1:10">
      <c r="A8667" s="7" t="s">
        <v>8701</v>
      </c>
      <c r="B8667" s="7" t="s">
        <v>10534</v>
      </c>
      <c r="C8667" s="8">
        <f>QS.CONTEXT.CREATE("market.8665",A8667,"USD","SOFR")</f>
        <v/>
      </c>
      <c r="D8667" s="8">
        <f>QS.CONTEXT.ADD.CURVE(C8667,"SOFR",$K$2:$K$7,$L$2:$L$7,,,"Actual360","LogLinear",TRUE)</f>
        <v/>
      </c>
      <c r="E8667" s="8">
        <f>QS.INSTRUMENT.SWAP("swap.8665",C8667,H8667,B8667,"USD","SOFR",I8667,J8667,0,"Actual360","Simple","Annual","Annual","Annual")</f>
        <v/>
      </c>
      <c r="F8667" s="8">
        <f>QS.TRADE.CREATE("trade.8665",C8667,E8667,A8667,"Receive")</f>
        <v/>
      </c>
      <c r="G8667" s="5"/>
      <c r="H8667" s="7" t="s">
        <v>8708</v>
      </c>
      <c r="I8667" s="9">
        <v>1866500</v>
      </c>
      <c r="J8667" s="10">
        <v>0.0365</v>
      </c>
    </row>
    <row r="8668" spans="1:10">
      <c r="A8668" s="7" t="s">
        <v>8702</v>
      </c>
      <c r="B8668" s="7" t="s">
        <v>10535</v>
      </c>
      <c r="C8668" s="8">
        <f>QS.CONTEXT.CREATE("market.8666",A8668,"USD","SOFR")</f>
        <v/>
      </c>
      <c r="D8668" s="8">
        <f>QS.CONTEXT.ADD.CURVE(C8668,"SOFR",$K$2:$K$7,$L$2:$L$7,,,"Actual360","LogLinear",TRUE)</f>
        <v/>
      </c>
      <c r="E8668" s="8">
        <f>QS.INSTRUMENT.SWAP("swap.8666",C8668,H8668,B8668,"USD","SOFR",I8668,J8668,0,"Actual360","Simple","Annual","Annual","Annual")</f>
        <v/>
      </c>
      <c r="F8668" s="8">
        <f>QS.TRADE.CREATE("trade.8666",C8668,E8668,A8668,"Receive")</f>
        <v/>
      </c>
      <c r="G8668" s="5"/>
      <c r="H8668" s="7" t="s">
        <v>8709</v>
      </c>
      <c r="I8668" s="9">
        <v>1866600</v>
      </c>
      <c r="J8668" s="10">
        <v>0.0366</v>
      </c>
    </row>
    <row r="8669" spans="1:10">
      <c r="A8669" s="7" t="s">
        <v>8703</v>
      </c>
      <c r="B8669" s="7" t="s">
        <v>10536</v>
      </c>
      <c r="C8669" s="8">
        <f>QS.CONTEXT.CREATE("market.8667",A8669,"USD","SOFR")</f>
        <v/>
      </c>
      <c r="D8669" s="8">
        <f>QS.CONTEXT.ADD.CURVE(C8669,"SOFR",$K$2:$K$7,$L$2:$L$7,,,"Actual360","LogLinear",TRUE)</f>
        <v/>
      </c>
      <c r="E8669" s="8">
        <f>QS.INSTRUMENT.SWAP("swap.8667",C8669,H8669,B8669,"USD","SOFR",I8669,J8669,0,"Actual360","Simple","Annual","Annual","Annual")</f>
        <v/>
      </c>
      <c r="F8669" s="8">
        <f>QS.TRADE.CREATE("trade.8667",C8669,E8669,A8669,"Receive")</f>
        <v/>
      </c>
      <c r="G8669" s="5"/>
      <c r="H8669" s="7" t="s">
        <v>8710</v>
      </c>
      <c r="I8669" s="9">
        <v>1866700</v>
      </c>
      <c r="J8669" s="10">
        <v>0.0367</v>
      </c>
    </row>
    <row r="8670" spans="1:10">
      <c r="A8670" s="7" t="s">
        <v>8704</v>
      </c>
      <c r="B8670" s="7" t="s">
        <v>10537</v>
      </c>
      <c r="C8670" s="8">
        <f>QS.CONTEXT.CREATE("market.8668",A8670,"USD","SOFR")</f>
        <v/>
      </c>
      <c r="D8670" s="8">
        <f>QS.CONTEXT.ADD.CURVE(C8670,"SOFR",$K$2:$K$7,$L$2:$L$7,,,"Actual360","LogLinear",TRUE)</f>
        <v/>
      </c>
      <c r="E8670" s="8">
        <f>QS.INSTRUMENT.SWAP("swap.8668",C8670,H8670,B8670,"USD","SOFR",I8670,J8670,0,"Actual360","Simple","Annual","Annual","Annual")</f>
        <v/>
      </c>
      <c r="F8670" s="8">
        <f>QS.TRADE.CREATE("trade.8668",C8670,E8670,A8670,"Receive")</f>
        <v/>
      </c>
      <c r="G8670" s="5"/>
      <c r="H8670" s="7" t="s">
        <v>8711</v>
      </c>
      <c r="I8670" s="9">
        <v>1866800</v>
      </c>
      <c r="J8670" s="10">
        <v>0.03680000000000001</v>
      </c>
    </row>
    <row r="8671" spans="1:10">
      <c r="A8671" s="7" t="s">
        <v>8705</v>
      </c>
      <c r="B8671" s="7" t="s">
        <v>10538</v>
      </c>
      <c r="C8671" s="8">
        <f>QS.CONTEXT.CREATE("market.8669",A8671,"USD","SOFR")</f>
        <v/>
      </c>
      <c r="D8671" s="8">
        <f>QS.CONTEXT.ADD.CURVE(C8671,"SOFR",$K$2:$K$7,$L$2:$L$7,,,"Actual360","LogLinear",TRUE)</f>
        <v/>
      </c>
      <c r="E8671" s="8">
        <f>QS.INSTRUMENT.SWAP("swap.8669",C8671,H8671,B8671,"USD","SOFR",I8671,J8671,0,"Actual360","Simple","Annual","Annual","Annual")</f>
        <v/>
      </c>
      <c r="F8671" s="8">
        <f>QS.TRADE.CREATE("trade.8669",C8671,E8671,A8671,"Receive")</f>
        <v/>
      </c>
      <c r="G8671" s="5"/>
      <c r="H8671" s="7" t="s">
        <v>8712</v>
      </c>
      <c r="I8671" s="9">
        <v>1866900</v>
      </c>
      <c r="J8671" s="10">
        <v>0.0369</v>
      </c>
    </row>
    <row r="8672" spans="1:10">
      <c r="A8672" s="7" t="s">
        <v>8706</v>
      </c>
      <c r="B8672" s="7" t="s">
        <v>10539</v>
      </c>
      <c r="C8672" s="8">
        <f>QS.CONTEXT.CREATE("market.8670",A8672,"USD","SOFR")</f>
        <v/>
      </c>
      <c r="D8672" s="8">
        <f>QS.CONTEXT.ADD.CURVE(C8672,"SOFR",$K$2:$K$7,$L$2:$L$7,,,"Actual360","LogLinear",TRUE)</f>
        <v/>
      </c>
      <c r="E8672" s="8">
        <f>QS.INSTRUMENT.SWAP("swap.8670",C8672,H8672,B8672,"USD","SOFR",I8672,J8672,0,"Actual360","Simple","Annual","Annual","Annual")</f>
        <v/>
      </c>
      <c r="F8672" s="8">
        <f>QS.TRADE.CREATE("trade.8670",C8672,E8672,A8672,"Receive")</f>
        <v/>
      </c>
      <c r="G8672" s="5"/>
      <c r="H8672" s="7" t="s">
        <v>8713</v>
      </c>
      <c r="I8672" s="9">
        <v>1867000</v>
      </c>
      <c r="J8672" s="10">
        <v>0.03700000000000001</v>
      </c>
    </row>
    <row r="8673" spans="1:10">
      <c r="A8673" s="7" t="s">
        <v>8707</v>
      </c>
      <c r="B8673" s="7" t="s">
        <v>10540</v>
      </c>
      <c r="C8673" s="8">
        <f>QS.CONTEXT.CREATE("market.8671",A8673,"USD","SOFR")</f>
        <v/>
      </c>
      <c r="D8673" s="8">
        <f>QS.CONTEXT.ADD.CURVE(C8673,"SOFR",$K$2:$K$7,$L$2:$L$7,,,"Actual360","LogLinear",TRUE)</f>
        <v/>
      </c>
      <c r="E8673" s="8">
        <f>QS.INSTRUMENT.SWAP("swap.8671",C8673,H8673,B8673,"USD","SOFR",I8673,J8673,0,"Actual360","Simple","Annual","Annual","Annual")</f>
        <v/>
      </c>
      <c r="F8673" s="8">
        <f>QS.TRADE.CREATE("trade.8671",C8673,E8673,A8673,"Receive")</f>
        <v/>
      </c>
      <c r="G8673" s="5"/>
      <c r="H8673" s="7" t="s">
        <v>8714</v>
      </c>
      <c r="I8673" s="9">
        <v>1867100</v>
      </c>
      <c r="J8673" s="10">
        <v>0.0371</v>
      </c>
    </row>
    <row r="8674" spans="1:10">
      <c r="A8674" s="7" t="s">
        <v>8708</v>
      </c>
      <c r="B8674" s="7" t="s">
        <v>10541</v>
      </c>
      <c r="C8674" s="8">
        <f>QS.CONTEXT.CREATE("market.8672",A8674,"USD","SOFR")</f>
        <v/>
      </c>
      <c r="D8674" s="8">
        <f>QS.CONTEXT.ADD.CURVE(C8674,"SOFR",$K$2:$K$7,$L$2:$L$7,,,"Actual360","LogLinear",TRUE)</f>
        <v/>
      </c>
      <c r="E8674" s="8">
        <f>QS.INSTRUMENT.SWAP("swap.8672",C8674,H8674,B8674,"USD","SOFR",I8674,J8674,0,"Actual360","Simple","Annual","Annual","Annual")</f>
        <v/>
      </c>
      <c r="F8674" s="8">
        <f>QS.TRADE.CREATE("trade.8672",C8674,E8674,A8674,"Receive")</f>
        <v/>
      </c>
      <c r="G8674" s="5"/>
      <c r="H8674" s="7" t="s">
        <v>8715</v>
      </c>
      <c r="I8674" s="9">
        <v>1867200</v>
      </c>
      <c r="J8674" s="10">
        <v>0.0372</v>
      </c>
    </row>
    <row r="8675" spans="1:10">
      <c r="A8675" s="7" t="s">
        <v>8709</v>
      </c>
      <c r="B8675" s="7" t="s">
        <v>10542</v>
      </c>
      <c r="C8675" s="8">
        <f>QS.CONTEXT.CREATE("market.8673",A8675,"USD","SOFR")</f>
        <v/>
      </c>
      <c r="D8675" s="8">
        <f>QS.CONTEXT.ADD.CURVE(C8675,"SOFR",$K$2:$K$7,$L$2:$L$7,,,"Actual360","LogLinear",TRUE)</f>
        <v/>
      </c>
      <c r="E8675" s="8">
        <f>QS.INSTRUMENT.SWAP("swap.8673",C8675,H8675,B8675,"USD","SOFR",I8675,J8675,0,"Actual360","Simple","Annual","Annual","Annual")</f>
        <v/>
      </c>
      <c r="F8675" s="8">
        <f>QS.TRADE.CREATE("trade.8673",C8675,E8675,A8675,"Receive")</f>
        <v/>
      </c>
      <c r="G8675" s="5"/>
      <c r="H8675" s="7" t="s">
        <v>8716</v>
      </c>
      <c r="I8675" s="9">
        <v>1867300</v>
      </c>
      <c r="J8675" s="10">
        <v>0.0373</v>
      </c>
    </row>
    <row r="8676" spans="1:10">
      <c r="A8676" s="7" t="s">
        <v>8710</v>
      </c>
      <c r="B8676" s="7" t="s">
        <v>10543</v>
      </c>
      <c r="C8676" s="8">
        <f>QS.CONTEXT.CREATE("market.8674",A8676,"USD","SOFR")</f>
        <v/>
      </c>
      <c r="D8676" s="8">
        <f>QS.CONTEXT.ADD.CURVE(C8676,"SOFR",$K$2:$K$7,$L$2:$L$7,,,"Actual360","LogLinear",TRUE)</f>
        <v/>
      </c>
      <c r="E8676" s="8">
        <f>QS.INSTRUMENT.SWAP("swap.8674",C8676,H8676,B8676,"USD","SOFR",I8676,J8676,0,"Actual360","Simple","Annual","Annual","Annual")</f>
        <v/>
      </c>
      <c r="F8676" s="8">
        <f>QS.TRADE.CREATE("trade.8674",C8676,E8676,A8676,"Receive")</f>
        <v/>
      </c>
      <c r="G8676" s="5"/>
      <c r="H8676" s="7" t="s">
        <v>8717</v>
      </c>
      <c r="I8676" s="9">
        <v>1867400</v>
      </c>
      <c r="J8676" s="10">
        <v>0.0374</v>
      </c>
    </row>
    <row r="8677" spans="1:10">
      <c r="A8677" s="7" t="s">
        <v>8711</v>
      </c>
      <c r="B8677" s="7" t="s">
        <v>10544</v>
      </c>
      <c r="C8677" s="8">
        <f>QS.CONTEXT.CREATE("market.8675",A8677,"USD","SOFR")</f>
        <v/>
      </c>
      <c r="D8677" s="8">
        <f>QS.CONTEXT.ADD.CURVE(C8677,"SOFR",$K$2:$K$7,$L$2:$L$7,,,"Actual360","LogLinear",TRUE)</f>
        <v/>
      </c>
      <c r="E8677" s="8">
        <f>QS.INSTRUMENT.SWAP("swap.8675",C8677,H8677,B8677,"USD","SOFR",I8677,J8677,0,"Actual360","Simple","Annual","Annual","Annual")</f>
        <v/>
      </c>
      <c r="F8677" s="8">
        <f>QS.TRADE.CREATE("trade.8675",C8677,E8677,A8677,"Receive")</f>
        <v/>
      </c>
      <c r="G8677" s="5"/>
      <c r="H8677" s="7" t="s">
        <v>8718</v>
      </c>
      <c r="I8677" s="9">
        <v>1867500</v>
      </c>
      <c r="J8677" s="10">
        <v>0.03750000000000001</v>
      </c>
    </row>
    <row r="8678" spans="1:10">
      <c r="A8678" s="7" t="s">
        <v>8712</v>
      </c>
      <c r="B8678" s="7" t="s">
        <v>10545</v>
      </c>
      <c r="C8678" s="8">
        <f>QS.CONTEXT.CREATE("market.8676",A8678,"USD","SOFR")</f>
        <v/>
      </c>
      <c r="D8678" s="8">
        <f>QS.CONTEXT.ADD.CURVE(C8678,"SOFR",$K$2:$K$7,$L$2:$L$7,,,"Actual360","LogLinear",TRUE)</f>
        <v/>
      </c>
      <c r="E8678" s="8">
        <f>QS.INSTRUMENT.SWAP("swap.8676",C8678,H8678,B8678,"USD","SOFR",I8678,J8678,0,"Actual360","Simple","Annual","Annual","Annual")</f>
        <v/>
      </c>
      <c r="F8678" s="8">
        <f>QS.TRADE.CREATE("trade.8676",C8678,E8678,A8678,"Receive")</f>
        <v/>
      </c>
      <c r="G8678" s="5"/>
      <c r="H8678" s="7" t="s">
        <v>8719</v>
      </c>
      <c r="I8678" s="9">
        <v>1867600</v>
      </c>
      <c r="J8678" s="10">
        <v>0.0376</v>
      </c>
    </row>
    <row r="8679" spans="1:10">
      <c r="A8679" s="7" t="s">
        <v>8713</v>
      </c>
      <c r="B8679" s="7" t="s">
        <v>10546</v>
      </c>
      <c r="C8679" s="8">
        <f>QS.CONTEXT.CREATE("market.8677",A8679,"USD","SOFR")</f>
        <v/>
      </c>
      <c r="D8679" s="8">
        <f>QS.CONTEXT.ADD.CURVE(C8679,"SOFR",$K$2:$K$7,$L$2:$L$7,,,"Actual360","LogLinear",TRUE)</f>
        <v/>
      </c>
      <c r="E8679" s="8">
        <f>QS.INSTRUMENT.SWAP("swap.8677",C8679,H8679,B8679,"USD","SOFR",I8679,J8679,0,"Actual360","Simple","Annual","Annual","Annual")</f>
        <v/>
      </c>
      <c r="F8679" s="8">
        <f>QS.TRADE.CREATE("trade.8677",C8679,E8679,A8679,"Receive")</f>
        <v/>
      </c>
      <c r="G8679" s="5"/>
      <c r="H8679" s="7" t="s">
        <v>8720</v>
      </c>
      <c r="I8679" s="9">
        <v>1867700</v>
      </c>
      <c r="J8679" s="10">
        <v>0.0377</v>
      </c>
    </row>
    <row r="8680" spans="1:10">
      <c r="A8680" s="7" t="s">
        <v>8714</v>
      </c>
      <c r="B8680" s="7" t="s">
        <v>10547</v>
      </c>
      <c r="C8680" s="8">
        <f>QS.CONTEXT.CREATE("market.8678",A8680,"USD","SOFR")</f>
        <v/>
      </c>
      <c r="D8680" s="8">
        <f>QS.CONTEXT.ADD.CURVE(C8680,"SOFR",$K$2:$K$7,$L$2:$L$7,,,"Actual360","LogLinear",TRUE)</f>
        <v/>
      </c>
      <c r="E8680" s="8">
        <f>QS.INSTRUMENT.SWAP("swap.8678",C8680,H8680,B8680,"USD","SOFR",I8680,J8680,0,"Actual360","Simple","Annual","Annual","Annual")</f>
        <v/>
      </c>
      <c r="F8680" s="8">
        <f>QS.TRADE.CREATE("trade.8678",C8680,E8680,A8680,"Receive")</f>
        <v/>
      </c>
      <c r="G8680" s="5"/>
      <c r="H8680" s="7" t="s">
        <v>8721</v>
      </c>
      <c r="I8680" s="9">
        <v>1867800</v>
      </c>
      <c r="J8680" s="10">
        <v>0.0378</v>
      </c>
    </row>
    <row r="8681" spans="1:10">
      <c r="A8681" s="7" t="s">
        <v>8715</v>
      </c>
      <c r="B8681" s="7" t="s">
        <v>10548</v>
      </c>
      <c r="C8681" s="8">
        <f>QS.CONTEXT.CREATE("market.8679",A8681,"USD","SOFR")</f>
        <v/>
      </c>
      <c r="D8681" s="8">
        <f>QS.CONTEXT.ADD.CURVE(C8681,"SOFR",$K$2:$K$7,$L$2:$L$7,,,"Actual360","LogLinear",TRUE)</f>
        <v/>
      </c>
      <c r="E8681" s="8">
        <f>QS.INSTRUMENT.SWAP("swap.8679",C8681,H8681,B8681,"USD","SOFR",I8681,J8681,0,"Actual360","Simple","Annual","Annual","Annual")</f>
        <v/>
      </c>
      <c r="F8681" s="8">
        <f>QS.TRADE.CREATE("trade.8679",C8681,E8681,A8681,"Receive")</f>
        <v/>
      </c>
      <c r="G8681" s="5"/>
      <c r="H8681" s="7" t="s">
        <v>8722</v>
      </c>
      <c r="I8681" s="9">
        <v>1867900</v>
      </c>
      <c r="J8681" s="10">
        <v>0.0379</v>
      </c>
    </row>
    <row r="8682" spans="1:10">
      <c r="A8682" s="7" t="s">
        <v>8716</v>
      </c>
      <c r="B8682" s="7" t="s">
        <v>10549</v>
      </c>
      <c r="C8682" s="8">
        <f>QS.CONTEXT.CREATE("market.8680",A8682,"USD","SOFR")</f>
        <v/>
      </c>
      <c r="D8682" s="8">
        <f>QS.CONTEXT.ADD.CURVE(C8682,"SOFR",$K$2:$K$7,$L$2:$L$7,,,"Actual360","LogLinear",TRUE)</f>
        <v/>
      </c>
      <c r="E8682" s="8">
        <f>QS.INSTRUMENT.SWAP("swap.8680",C8682,H8682,B8682,"USD","SOFR",I8682,J8682,0,"Actual360","Simple","Annual","Annual","Annual")</f>
        <v/>
      </c>
      <c r="F8682" s="8">
        <f>QS.TRADE.CREATE("trade.8680",C8682,E8682,A8682,"Receive")</f>
        <v/>
      </c>
      <c r="G8682" s="5"/>
      <c r="H8682" s="7" t="s">
        <v>8723</v>
      </c>
      <c r="I8682" s="9">
        <v>1868000</v>
      </c>
      <c r="J8682" s="10">
        <v>0.03800000000000001</v>
      </c>
    </row>
    <row r="8683" spans="1:10">
      <c r="A8683" s="7" t="s">
        <v>8717</v>
      </c>
      <c r="B8683" s="7" t="s">
        <v>10550</v>
      </c>
      <c r="C8683" s="8">
        <f>QS.CONTEXT.CREATE("market.8681",A8683,"USD","SOFR")</f>
        <v/>
      </c>
      <c r="D8683" s="8">
        <f>QS.CONTEXT.ADD.CURVE(C8683,"SOFR",$K$2:$K$7,$L$2:$L$7,,,"Actual360","LogLinear",TRUE)</f>
        <v/>
      </c>
      <c r="E8683" s="8">
        <f>QS.INSTRUMENT.SWAP("swap.8681",C8683,H8683,B8683,"USD","SOFR",I8683,J8683,0,"Actual360","Simple","Annual","Annual","Annual")</f>
        <v/>
      </c>
      <c r="F8683" s="8">
        <f>QS.TRADE.CREATE("trade.8681",C8683,E8683,A8683,"Receive")</f>
        <v/>
      </c>
      <c r="G8683" s="5"/>
      <c r="H8683" s="7" t="s">
        <v>8724</v>
      </c>
      <c r="I8683" s="9">
        <v>1868100</v>
      </c>
      <c r="J8683" s="10">
        <v>0.0381</v>
      </c>
    </row>
    <row r="8684" spans="1:10">
      <c r="A8684" s="7" t="s">
        <v>8718</v>
      </c>
      <c r="B8684" s="7" t="s">
        <v>10551</v>
      </c>
      <c r="C8684" s="8">
        <f>QS.CONTEXT.CREATE("market.8682",A8684,"USD","SOFR")</f>
        <v/>
      </c>
      <c r="D8684" s="8">
        <f>QS.CONTEXT.ADD.CURVE(C8684,"SOFR",$K$2:$K$7,$L$2:$L$7,,,"Actual360","LogLinear",TRUE)</f>
        <v/>
      </c>
      <c r="E8684" s="8">
        <f>QS.INSTRUMENT.SWAP("swap.8682",C8684,H8684,B8684,"USD","SOFR",I8684,J8684,0,"Actual360","Simple","Annual","Annual","Annual")</f>
        <v/>
      </c>
      <c r="F8684" s="8">
        <f>QS.TRADE.CREATE("trade.8682",C8684,E8684,A8684,"Receive")</f>
        <v/>
      </c>
      <c r="G8684" s="5"/>
      <c r="H8684" s="7" t="s">
        <v>8725</v>
      </c>
      <c r="I8684" s="9">
        <v>1868200</v>
      </c>
      <c r="J8684" s="10">
        <v>0.0382</v>
      </c>
    </row>
    <row r="8685" spans="1:10">
      <c r="A8685" s="7" t="s">
        <v>8719</v>
      </c>
      <c r="B8685" s="7" t="s">
        <v>10552</v>
      </c>
      <c r="C8685" s="8">
        <f>QS.CONTEXT.CREATE("market.8683",A8685,"USD","SOFR")</f>
        <v/>
      </c>
      <c r="D8685" s="8">
        <f>QS.CONTEXT.ADD.CURVE(C8685,"SOFR",$K$2:$K$7,$L$2:$L$7,,,"Actual360","LogLinear",TRUE)</f>
        <v/>
      </c>
      <c r="E8685" s="8">
        <f>QS.INSTRUMENT.SWAP("swap.8683",C8685,H8685,B8685,"USD","SOFR",I8685,J8685,0,"Actual360","Simple","Annual","Annual","Annual")</f>
        <v/>
      </c>
      <c r="F8685" s="8">
        <f>QS.TRADE.CREATE("trade.8683",C8685,E8685,A8685,"Receive")</f>
        <v/>
      </c>
      <c r="G8685" s="5"/>
      <c r="H8685" s="7" t="s">
        <v>8726</v>
      </c>
      <c r="I8685" s="9">
        <v>1868300</v>
      </c>
      <c r="J8685" s="10">
        <v>0.0383</v>
      </c>
    </row>
    <row r="8686" spans="1:10">
      <c r="A8686" s="7" t="s">
        <v>8720</v>
      </c>
      <c r="B8686" s="7" t="s">
        <v>10553</v>
      </c>
      <c r="C8686" s="8">
        <f>QS.CONTEXT.CREATE("market.8684",A8686,"USD","SOFR")</f>
        <v/>
      </c>
      <c r="D8686" s="8">
        <f>QS.CONTEXT.ADD.CURVE(C8686,"SOFR",$K$2:$K$7,$L$2:$L$7,,,"Actual360","LogLinear",TRUE)</f>
        <v/>
      </c>
      <c r="E8686" s="8">
        <f>QS.INSTRUMENT.SWAP("swap.8684",C8686,H8686,B8686,"USD","SOFR",I8686,J8686,0,"Actual360","Simple","Annual","Annual","Annual")</f>
        <v/>
      </c>
      <c r="F8686" s="8">
        <f>QS.TRADE.CREATE("trade.8684",C8686,E8686,A8686,"Receive")</f>
        <v/>
      </c>
      <c r="G8686" s="5"/>
      <c r="H8686" s="7" t="s">
        <v>8727</v>
      </c>
      <c r="I8686" s="9">
        <v>1868400</v>
      </c>
      <c r="J8686" s="10">
        <v>0.0384</v>
      </c>
    </row>
    <row r="8687" spans="1:10">
      <c r="A8687" s="7" t="s">
        <v>8721</v>
      </c>
      <c r="B8687" s="7" t="s">
        <v>10554</v>
      </c>
      <c r="C8687" s="8">
        <f>QS.CONTEXT.CREATE("market.8685",A8687,"USD","SOFR")</f>
        <v/>
      </c>
      <c r="D8687" s="8">
        <f>QS.CONTEXT.ADD.CURVE(C8687,"SOFR",$K$2:$K$7,$L$2:$L$7,,,"Actual360","LogLinear",TRUE)</f>
        <v/>
      </c>
      <c r="E8687" s="8">
        <f>QS.INSTRUMENT.SWAP("swap.8685",C8687,H8687,B8687,"USD","SOFR",I8687,J8687,0,"Actual360","Simple","Annual","Annual","Annual")</f>
        <v/>
      </c>
      <c r="F8687" s="8">
        <f>QS.TRADE.CREATE("trade.8685",C8687,E8687,A8687,"Receive")</f>
        <v/>
      </c>
      <c r="G8687" s="5"/>
      <c r="H8687" s="7" t="s">
        <v>8728</v>
      </c>
      <c r="I8687" s="9">
        <v>1868500</v>
      </c>
      <c r="J8687" s="10">
        <v>0.03850000000000001</v>
      </c>
    </row>
    <row r="8688" spans="1:10">
      <c r="A8688" s="7" t="s">
        <v>8722</v>
      </c>
      <c r="B8688" s="7" t="s">
        <v>10555</v>
      </c>
      <c r="C8688" s="8">
        <f>QS.CONTEXT.CREATE("market.8686",A8688,"USD","SOFR")</f>
        <v/>
      </c>
      <c r="D8688" s="8">
        <f>QS.CONTEXT.ADD.CURVE(C8688,"SOFR",$K$2:$K$7,$L$2:$L$7,,,"Actual360","LogLinear",TRUE)</f>
        <v/>
      </c>
      <c r="E8688" s="8">
        <f>QS.INSTRUMENT.SWAP("swap.8686",C8688,H8688,B8688,"USD","SOFR",I8688,J8688,0,"Actual360","Simple","Annual","Annual","Annual")</f>
        <v/>
      </c>
      <c r="F8688" s="8">
        <f>QS.TRADE.CREATE("trade.8686",C8688,E8688,A8688,"Receive")</f>
        <v/>
      </c>
      <c r="G8688" s="5"/>
      <c r="H8688" s="7" t="s">
        <v>8729</v>
      </c>
      <c r="I8688" s="9">
        <v>1868600</v>
      </c>
      <c r="J8688" s="10">
        <v>0.0386</v>
      </c>
    </row>
    <row r="8689" spans="1:10">
      <c r="A8689" s="7" t="s">
        <v>8723</v>
      </c>
      <c r="B8689" s="7" t="s">
        <v>10556</v>
      </c>
      <c r="C8689" s="8">
        <f>QS.CONTEXT.CREATE("market.8687",A8689,"USD","SOFR")</f>
        <v/>
      </c>
      <c r="D8689" s="8">
        <f>QS.CONTEXT.ADD.CURVE(C8689,"SOFR",$K$2:$K$7,$L$2:$L$7,,,"Actual360","LogLinear",TRUE)</f>
        <v/>
      </c>
      <c r="E8689" s="8">
        <f>QS.INSTRUMENT.SWAP("swap.8687",C8689,H8689,B8689,"USD","SOFR",I8689,J8689,0,"Actual360","Simple","Annual","Annual","Annual")</f>
        <v/>
      </c>
      <c r="F8689" s="8">
        <f>QS.TRADE.CREATE("trade.8687",C8689,E8689,A8689,"Receive")</f>
        <v/>
      </c>
      <c r="G8689" s="5"/>
      <c r="H8689" s="7" t="s">
        <v>8730</v>
      </c>
      <c r="I8689" s="9">
        <v>1868700</v>
      </c>
      <c r="J8689" s="10">
        <v>0.03870000000000001</v>
      </c>
    </row>
    <row r="8690" spans="1:10">
      <c r="A8690" s="7" t="s">
        <v>8724</v>
      </c>
      <c r="B8690" s="7" t="s">
        <v>10557</v>
      </c>
      <c r="C8690" s="8">
        <f>QS.CONTEXT.CREATE("market.8688",A8690,"USD","SOFR")</f>
        <v/>
      </c>
      <c r="D8690" s="8">
        <f>QS.CONTEXT.ADD.CURVE(C8690,"SOFR",$K$2:$K$7,$L$2:$L$7,,,"Actual360","LogLinear",TRUE)</f>
        <v/>
      </c>
      <c r="E8690" s="8">
        <f>QS.INSTRUMENT.SWAP("swap.8688",C8690,H8690,B8690,"USD","SOFR",I8690,J8690,0,"Actual360","Simple","Annual","Annual","Annual")</f>
        <v/>
      </c>
      <c r="F8690" s="8">
        <f>QS.TRADE.CREATE("trade.8688",C8690,E8690,A8690,"Receive")</f>
        <v/>
      </c>
      <c r="G8690" s="5"/>
      <c r="H8690" s="7" t="s">
        <v>8731</v>
      </c>
      <c r="I8690" s="9">
        <v>1868800</v>
      </c>
      <c r="J8690" s="10">
        <v>0.0388</v>
      </c>
    </row>
    <row r="8691" spans="1:10">
      <c r="A8691" s="7" t="s">
        <v>8725</v>
      </c>
      <c r="B8691" s="7" t="s">
        <v>10558</v>
      </c>
      <c r="C8691" s="8">
        <f>QS.CONTEXT.CREATE("market.8689",A8691,"USD","SOFR")</f>
        <v/>
      </c>
      <c r="D8691" s="8">
        <f>QS.CONTEXT.ADD.CURVE(C8691,"SOFR",$K$2:$K$7,$L$2:$L$7,,,"Actual360","LogLinear",TRUE)</f>
        <v/>
      </c>
      <c r="E8691" s="8">
        <f>QS.INSTRUMENT.SWAP("swap.8689",C8691,H8691,B8691,"USD","SOFR",I8691,J8691,0,"Actual360","Simple","Annual","Annual","Annual")</f>
        <v/>
      </c>
      <c r="F8691" s="8">
        <f>QS.TRADE.CREATE("trade.8689",C8691,E8691,A8691,"Receive")</f>
        <v/>
      </c>
      <c r="G8691" s="5"/>
      <c r="H8691" s="7" t="s">
        <v>8732</v>
      </c>
      <c r="I8691" s="9">
        <v>1868900</v>
      </c>
      <c r="J8691" s="10">
        <v>0.0389</v>
      </c>
    </row>
    <row r="8692" spans="1:10">
      <c r="A8692" s="7" t="s">
        <v>8726</v>
      </c>
      <c r="B8692" s="7" t="s">
        <v>10559</v>
      </c>
      <c r="C8692" s="8">
        <f>QS.CONTEXT.CREATE("market.8690",A8692,"USD","SOFR")</f>
        <v/>
      </c>
      <c r="D8692" s="8">
        <f>QS.CONTEXT.ADD.CURVE(C8692,"SOFR",$K$2:$K$7,$L$2:$L$7,,,"Actual360","LogLinear",TRUE)</f>
        <v/>
      </c>
      <c r="E8692" s="8">
        <f>QS.INSTRUMENT.SWAP("swap.8690",C8692,H8692,B8692,"USD","SOFR",I8692,J8692,0,"Actual360","Simple","Annual","Annual","Annual")</f>
        <v/>
      </c>
      <c r="F8692" s="8">
        <f>QS.TRADE.CREATE("trade.8690",C8692,E8692,A8692,"Receive")</f>
        <v/>
      </c>
      <c r="G8692" s="5"/>
      <c r="H8692" s="7" t="s">
        <v>8733</v>
      </c>
      <c r="I8692" s="9">
        <v>1869000</v>
      </c>
      <c r="J8692" s="10">
        <v>0.03900000000000001</v>
      </c>
    </row>
    <row r="8693" spans="1:10">
      <c r="A8693" s="7" t="s">
        <v>8727</v>
      </c>
      <c r="B8693" s="7" t="s">
        <v>10560</v>
      </c>
      <c r="C8693" s="8">
        <f>QS.CONTEXT.CREATE("market.8691",A8693,"USD","SOFR")</f>
        <v/>
      </c>
      <c r="D8693" s="8">
        <f>QS.CONTEXT.ADD.CURVE(C8693,"SOFR",$K$2:$K$7,$L$2:$L$7,,,"Actual360","LogLinear",TRUE)</f>
        <v/>
      </c>
      <c r="E8693" s="8">
        <f>QS.INSTRUMENT.SWAP("swap.8691",C8693,H8693,B8693,"USD","SOFR",I8693,J8693,0,"Actual360","Simple","Annual","Annual","Annual")</f>
        <v/>
      </c>
      <c r="F8693" s="8">
        <f>QS.TRADE.CREATE("trade.8691",C8693,E8693,A8693,"Receive")</f>
        <v/>
      </c>
      <c r="G8693" s="5"/>
      <c r="H8693" s="7" t="s">
        <v>8734</v>
      </c>
      <c r="I8693" s="9">
        <v>1869100</v>
      </c>
      <c r="J8693" s="10">
        <v>0.0391</v>
      </c>
    </row>
    <row r="8694" spans="1:10">
      <c r="A8694" s="7" t="s">
        <v>8728</v>
      </c>
      <c r="B8694" s="7" t="s">
        <v>10561</v>
      </c>
      <c r="C8694" s="8">
        <f>QS.CONTEXT.CREATE("market.8692",A8694,"USD","SOFR")</f>
        <v/>
      </c>
      <c r="D8694" s="8">
        <f>QS.CONTEXT.ADD.CURVE(C8694,"SOFR",$K$2:$K$7,$L$2:$L$7,,,"Actual360","LogLinear",TRUE)</f>
        <v/>
      </c>
      <c r="E8694" s="8">
        <f>QS.INSTRUMENT.SWAP("swap.8692",C8694,H8694,B8694,"USD","SOFR",I8694,J8694,0,"Actual360","Simple","Annual","Annual","Annual")</f>
        <v/>
      </c>
      <c r="F8694" s="8">
        <f>QS.TRADE.CREATE("trade.8692",C8694,E8694,A8694,"Receive")</f>
        <v/>
      </c>
      <c r="G8694" s="5"/>
      <c r="H8694" s="7" t="s">
        <v>8735</v>
      </c>
      <c r="I8694" s="9">
        <v>1869200</v>
      </c>
      <c r="J8694" s="10">
        <v>0.03920000000000001</v>
      </c>
    </row>
    <row r="8695" spans="1:10">
      <c r="A8695" s="7" t="s">
        <v>8729</v>
      </c>
      <c r="B8695" s="7" t="s">
        <v>10562</v>
      </c>
      <c r="C8695" s="8">
        <f>QS.CONTEXT.CREATE("market.8693",A8695,"USD","SOFR")</f>
        <v/>
      </c>
      <c r="D8695" s="8">
        <f>QS.CONTEXT.ADD.CURVE(C8695,"SOFR",$K$2:$K$7,$L$2:$L$7,,,"Actual360","LogLinear",TRUE)</f>
        <v/>
      </c>
      <c r="E8695" s="8">
        <f>QS.INSTRUMENT.SWAP("swap.8693",C8695,H8695,B8695,"USD","SOFR",I8695,J8695,0,"Actual360","Simple","Annual","Annual","Annual")</f>
        <v/>
      </c>
      <c r="F8695" s="8">
        <f>QS.TRADE.CREATE("trade.8693",C8695,E8695,A8695,"Receive")</f>
        <v/>
      </c>
      <c r="G8695" s="5"/>
      <c r="H8695" s="7" t="s">
        <v>8736</v>
      </c>
      <c r="I8695" s="9">
        <v>1869300</v>
      </c>
      <c r="J8695" s="10">
        <v>0.0393</v>
      </c>
    </row>
    <row r="8696" spans="1:10">
      <c r="A8696" s="7" t="s">
        <v>8730</v>
      </c>
      <c r="B8696" s="7" t="s">
        <v>10563</v>
      </c>
      <c r="C8696" s="8">
        <f>QS.CONTEXT.CREATE("market.8694",A8696,"USD","SOFR")</f>
        <v/>
      </c>
      <c r="D8696" s="8">
        <f>QS.CONTEXT.ADD.CURVE(C8696,"SOFR",$K$2:$K$7,$L$2:$L$7,,,"Actual360","LogLinear",TRUE)</f>
        <v/>
      </c>
      <c r="E8696" s="8">
        <f>QS.INSTRUMENT.SWAP("swap.8694",C8696,H8696,B8696,"USD","SOFR",I8696,J8696,0,"Actual360","Simple","Annual","Annual","Annual")</f>
        <v/>
      </c>
      <c r="F8696" s="8">
        <f>QS.TRADE.CREATE("trade.8694",C8696,E8696,A8696,"Receive")</f>
        <v/>
      </c>
      <c r="G8696" s="5"/>
      <c r="H8696" s="7" t="s">
        <v>8737</v>
      </c>
      <c r="I8696" s="9">
        <v>1869400</v>
      </c>
      <c r="J8696" s="10">
        <v>0.0394</v>
      </c>
    </row>
    <row r="8697" spans="1:10">
      <c r="A8697" s="7" t="s">
        <v>8731</v>
      </c>
      <c r="B8697" s="7" t="s">
        <v>10564</v>
      </c>
      <c r="C8697" s="8">
        <f>QS.CONTEXT.CREATE("market.8695",A8697,"USD","SOFR")</f>
        <v/>
      </c>
      <c r="D8697" s="8">
        <f>QS.CONTEXT.ADD.CURVE(C8697,"SOFR",$K$2:$K$7,$L$2:$L$7,,,"Actual360","LogLinear",TRUE)</f>
        <v/>
      </c>
      <c r="E8697" s="8">
        <f>QS.INSTRUMENT.SWAP("swap.8695",C8697,H8697,B8697,"USD","SOFR",I8697,J8697,0,"Actual360","Simple","Annual","Annual","Annual")</f>
        <v/>
      </c>
      <c r="F8697" s="8">
        <f>QS.TRADE.CREATE("trade.8695",C8697,E8697,A8697,"Receive")</f>
        <v/>
      </c>
      <c r="G8697" s="5"/>
      <c r="H8697" s="7" t="s">
        <v>8738</v>
      </c>
      <c r="I8697" s="9">
        <v>1869500</v>
      </c>
      <c r="J8697" s="10">
        <v>0.03950000000000001</v>
      </c>
    </row>
    <row r="8698" spans="1:10">
      <c r="A8698" s="7" t="s">
        <v>8732</v>
      </c>
      <c r="B8698" s="7" t="s">
        <v>10565</v>
      </c>
      <c r="C8698" s="8">
        <f>QS.CONTEXT.CREATE("market.8696",A8698,"USD","SOFR")</f>
        <v/>
      </c>
      <c r="D8698" s="8">
        <f>QS.CONTEXT.ADD.CURVE(C8698,"SOFR",$K$2:$K$7,$L$2:$L$7,,,"Actual360","LogLinear",TRUE)</f>
        <v/>
      </c>
      <c r="E8698" s="8">
        <f>QS.INSTRUMENT.SWAP("swap.8696",C8698,H8698,B8698,"USD","SOFR",I8698,J8698,0,"Actual360","Simple","Annual","Annual","Annual")</f>
        <v/>
      </c>
      <c r="F8698" s="8">
        <f>QS.TRADE.CREATE("trade.8696",C8698,E8698,A8698,"Receive")</f>
        <v/>
      </c>
      <c r="G8698" s="5"/>
      <c r="H8698" s="7" t="s">
        <v>8739</v>
      </c>
      <c r="I8698" s="9">
        <v>1869600</v>
      </c>
      <c r="J8698" s="10">
        <v>0.0396</v>
      </c>
    </row>
    <row r="8699" spans="1:10">
      <c r="A8699" s="7" t="s">
        <v>8733</v>
      </c>
      <c r="B8699" s="7" t="s">
        <v>10566</v>
      </c>
      <c r="C8699" s="8">
        <f>QS.CONTEXT.CREATE("market.8697",A8699,"USD","SOFR")</f>
        <v/>
      </c>
      <c r="D8699" s="8">
        <f>QS.CONTEXT.ADD.CURVE(C8699,"SOFR",$K$2:$K$7,$L$2:$L$7,,,"Actual360","LogLinear",TRUE)</f>
        <v/>
      </c>
      <c r="E8699" s="8">
        <f>QS.INSTRUMENT.SWAP("swap.8697",C8699,H8699,B8699,"USD","SOFR",I8699,J8699,0,"Actual360","Simple","Annual","Annual","Annual")</f>
        <v/>
      </c>
      <c r="F8699" s="8">
        <f>QS.TRADE.CREATE("trade.8697",C8699,E8699,A8699,"Receive")</f>
        <v/>
      </c>
      <c r="G8699" s="5"/>
      <c r="H8699" s="7" t="s">
        <v>8740</v>
      </c>
      <c r="I8699" s="9">
        <v>1869700</v>
      </c>
      <c r="J8699" s="10">
        <v>0.03970000000000001</v>
      </c>
    </row>
    <row r="8700" spans="1:10">
      <c r="A8700" s="7" t="s">
        <v>8734</v>
      </c>
      <c r="B8700" s="7" t="s">
        <v>10567</v>
      </c>
      <c r="C8700" s="8">
        <f>QS.CONTEXT.CREATE("market.8698",A8700,"USD","SOFR")</f>
        <v/>
      </c>
      <c r="D8700" s="8">
        <f>QS.CONTEXT.ADD.CURVE(C8700,"SOFR",$K$2:$K$7,$L$2:$L$7,,,"Actual360","LogLinear",TRUE)</f>
        <v/>
      </c>
      <c r="E8700" s="8">
        <f>QS.INSTRUMENT.SWAP("swap.8698",C8700,H8700,B8700,"USD","SOFR",I8700,J8700,0,"Actual360","Simple","Annual","Annual","Annual")</f>
        <v/>
      </c>
      <c r="F8700" s="8">
        <f>QS.TRADE.CREATE("trade.8698",C8700,E8700,A8700,"Receive")</f>
        <v/>
      </c>
      <c r="G8700" s="5"/>
      <c r="H8700" s="7" t="s">
        <v>8741</v>
      </c>
      <c r="I8700" s="9">
        <v>1869800</v>
      </c>
      <c r="J8700" s="10">
        <v>0.0398</v>
      </c>
    </row>
    <row r="8701" spans="1:10">
      <c r="A8701" s="7" t="s">
        <v>8735</v>
      </c>
      <c r="B8701" s="7" t="s">
        <v>10568</v>
      </c>
      <c r="C8701" s="8">
        <f>QS.CONTEXT.CREATE("market.8699",A8701,"USD","SOFR")</f>
        <v/>
      </c>
      <c r="D8701" s="8">
        <f>QS.CONTEXT.ADD.CURVE(C8701,"SOFR",$K$2:$K$7,$L$2:$L$7,,,"Actual360","LogLinear",TRUE)</f>
        <v/>
      </c>
      <c r="E8701" s="8">
        <f>QS.INSTRUMENT.SWAP("swap.8699",C8701,H8701,B8701,"USD","SOFR",I8701,J8701,0,"Actual360","Simple","Annual","Annual","Annual")</f>
        <v/>
      </c>
      <c r="F8701" s="8">
        <f>QS.TRADE.CREATE("trade.8699",C8701,E8701,A8701,"Receive")</f>
        <v/>
      </c>
      <c r="G8701" s="5"/>
      <c r="H8701" s="7" t="s">
        <v>8742</v>
      </c>
      <c r="I8701" s="9">
        <v>1869900</v>
      </c>
      <c r="J8701" s="10">
        <v>0.0399</v>
      </c>
    </row>
    <row r="8702" spans="1:10">
      <c r="A8702" s="7" t="s">
        <v>8736</v>
      </c>
      <c r="B8702" s="7" t="s">
        <v>10569</v>
      </c>
      <c r="C8702" s="8">
        <f>QS.CONTEXT.CREATE("market.8700",A8702,"USD","SOFR")</f>
        <v/>
      </c>
      <c r="D8702" s="8">
        <f>QS.CONTEXT.ADD.CURVE(C8702,"SOFR",$K$2:$K$7,$L$2:$L$7,,,"Actual360","LogLinear",TRUE)</f>
        <v/>
      </c>
      <c r="E8702" s="8">
        <f>QS.INSTRUMENT.SWAP("swap.8700",C8702,H8702,B8702,"USD","SOFR",I8702,J8702,0,"Actual360","Simple","Annual","Annual","Annual")</f>
        <v/>
      </c>
      <c r="F8702" s="8">
        <f>QS.TRADE.CREATE("trade.8700",C8702,E8702,A8702,"Receive")</f>
        <v/>
      </c>
      <c r="G8702" s="5"/>
      <c r="H8702" s="7" t="s">
        <v>8743</v>
      </c>
      <c r="I8702" s="9">
        <v>1870000</v>
      </c>
      <c r="J8702" s="10">
        <v>0.035</v>
      </c>
    </row>
    <row r="8703" spans="1:10">
      <c r="A8703" s="7" t="s">
        <v>8737</v>
      </c>
      <c r="B8703" s="7" t="s">
        <v>10570</v>
      </c>
      <c r="C8703" s="8">
        <f>QS.CONTEXT.CREATE("market.8701",A8703,"USD","SOFR")</f>
        <v/>
      </c>
      <c r="D8703" s="8">
        <f>QS.CONTEXT.ADD.CURVE(C8703,"SOFR",$K$2:$K$7,$L$2:$L$7,,,"Actual360","LogLinear",TRUE)</f>
        <v/>
      </c>
      <c r="E8703" s="8">
        <f>QS.INSTRUMENT.SWAP("swap.8701",C8703,H8703,B8703,"USD","SOFR",I8703,J8703,0,"Actual360","Simple","Annual","Annual","Annual")</f>
        <v/>
      </c>
      <c r="F8703" s="8">
        <f>QS.TRADE.CREATE("trade.8701",C8703,E8703,A8703,"Receive")</f>
        <v/>
      </c>
      <c r="G8703" s="5"/>
      <c r="H8703" s="7" t="s">
        <v>8744</v>
      </c>
      <c r="I8703" s="9">
        <v>1870100</v>
      </c>
      <c r="J8703" s="10">
        <v>0.03510000000000001</v>
      </c>
    </row>
    <row r="8704" spans="1:10">
      <c r="A8704" s="7" t="s">
        <v>8738</v>
      </c>
      <c r="B8704" s="7" t="s">
        <v>10571</v>
      </c>
      <c r="C8704" s="8">
        <f>QS.CONTEXT.CREATE("market.8702",A8704,"USD","SOFR")</f>
        <v/>
      </c>
      <c r="D8704" s="8">
        <f>QS.CONTEXT.ADD.CURVE(C8704,"SOFR",$K$2:$K$7,$L$2:$L$7,,,"Actual360","LogLinear",TRUE)</f>
        <v/>
      </c>
      <c r="E8704" s="8">
        <f>QS.INSTRUMENT.SWAP("swap.8702",C8704,H8704,B8704,"USD","SOFR",I8704,J8704,0,"Actual360","Simple","Annual","Annual","Annual")</f>
        <v/>
      </c>
      <c r="F8704" s="8">
        <f>QS.TRADE.CREATE("trade.8702",C8704,E8704,A8704,"Receive")</f>
        <v/>
      </c>
      <c r="G8704" s="5"/>
      <c r="H8704" s="7" t="s">
        <v>8745</v>
      </c>
      <c r="I8704" s="9">
        <v>1870200</v>
      </c>
      <c r="J8704" s="10">
        <v>0.0352</v>
      </c>
    </row>
    <row r="8705" spans="1:10">
      <c r="A8705" s="7" t="s">
        <v>8739</v>
      </c>
      <c r="B8705" s="7" t="s">
        <v>10572</v>
      </c>
      <c r="C8705" s="8">
        <f>QS.CONTEXT.CREATE("market.8703",A8705,"USD","SOFR")</f>
        <v/>
      </c>
      <c r="D8705" s="8">
        <f>QS.CONTEXT.ADD.CURVE(C8705,"SOFR",$K$2:$K$7,$L$2:$L$7,,,"Actual360","LogLinear",TRUE)</f>
        <v/>
      </c>
      <c r="E8705" s="8">
        <f>QS.INSTRUMENT.SWAP("swap.8703",C8705,H8705,B8705,"USD","SOFR",I8705,J8705,0,"Actual360","Simple","Annual","Annual","Annual")</f>
        <v/>
      </c>
      <c r="F8705" s="8">
        <f>QS.TRADE.CREATE("trade.8703",C8705,E8705,A8705,"Receive")</f>
        <v/>
      </c>
      <c r="G8705" s="5"/>
      <c r="H8705" s="7" t="s">
        <v>8746</v>
      </c>
      <c r="I8705" s="9">
        <v>1870300</v>
      </c>
      <c r="J8705" s="10">
        <v>0.0353</v>
      </c>
    </row>
    <row r="8706" spans="1:10">
      <c r="A8706" s="7" t="s">
        <v>8740</v>
      </c>
      <c r="B8706" s="7" t="s">
        <v>10573</v>
      </c>
      <c r="C8706" s="8">
        <f>QS.CONTEXT.CREATE("market.8704",A8706,"USD","SOFR")</f>
        <v/>
      </c>
      <c r="D8706" s="8">
        <f>QS.CONTEXT.ADD.CURVE(C8706,"SOFR",$K$2:$K$7,$L$2:$L$7,,,"Actual360","LogLinear",TRUE)</f>
        <v/>
      </c>
      <c r="E8706" s="8">
        <f>QS.INSTRUMENT.SWAP("swap.8704",C8706,H8706,B8706,"USD","SOFR",I8706,J8706,0,"Actual360","Simple","Annual","Annual","Annual")</f>
        <v/>
      </c>
      <c r="F8706" s="8">
        <f>QS.TRADE.CREATE("trade.8704",C8706,E8706,A8706,"Receive")</f>
        <v/>
      </c>
      <c r="G8706" s="5"/>
      <c r="H8706" s="7" t="s">
        <v>8747</v>
      </c>
      <c r="I8706" s="9">
        <v>1870400</v>
      </c>
      <c r="J8706" s="10">
        <v>0.0354</v>
      </c>
    </row>
    <row r="8707" spans="1:10">
      <c r="A8707" s="7" t="s">
        <v>8741</v>
      </c>
      <c r="B8707" s="7" t="s">
        <v>10574</v>
      </c>
      <c r="C8707" s="8">
        <f>QS.CONTEXT.CREATE("market.8705",A8707,"USD","SOFR")</f>
        <v/>
      </c>
      <c r="D8707" s="8">
        <f>QS.CONTEXT.ADD.CURVE(C8707,"SOFR",$K$2:$K$7,$L$2:$L$7,,,"Actual360","LogLinear",TRUE)</f>
        <v/>
      </c>
      <c r="E8707" s="8">
        <f>QS.INSTRUMENT.SWAP("swap.8705",C8707,H8707,B8707,"USD","SOFR",I8707,J8707,0,"Actual360","Simple","Annual","Annual","Annual")</f>
        <v/>
      </c>
      <c r="F8707" s="8">
        <f>QS.TRADE.CREATE("trade.8705",C8707,E8707,A8707,"Receive")</f>
        <v/>
      </c>
      <c r="G8707" s="5"/>
      <c r="H8707" s="7" t="s">
        <v>8748</v>
      </c>
      <c r="I8707" s="9">
        <v>1870500</v>
      </c>
      <c r="J8707" s="10">
        <v>0.0355</v>
      </c>
    </row>
    <row r="8708" spans="1:10">
      <c r="A8708" s="7" t="s">
        <v>8742</v>
      </c>
      <c r="B8708" s="7" t="s">
        <v>10575</v>
      </c>
      <c r="C8708" s="8">
        <f>QS.CONTEXT.CREATE("market.8706",A8708,"USD","SOFR")</f>
        <v/>
      </c>
      <c r="D8708" s="8">
        <f>QS.CONTEXT.ADD.CURVE(C8708,"SOFR",$K$2:$K$7,$L$2:$L$7,,,"Actual360","LogLinear",TRUE)</f>
        <v/>
      </c>
      <c r="E8708" s="8">
        <f>QS.INSTRUMENT.SWAP("swap.8706",C8708,H8708,B8708,"USD","SOFR",I8708,J8708,0,"Actual360","Simple","Annual","Annual","Annual")</f>
        <v/>
      </c>
      <c r="F8708" s="8">
        <f>QS.TRADE.CREATE("trade.8706",C8708,E8708,A8708,"Receive")</f>
        <v/>
      </c>
      <c r="G8708" s="5"/>
      <c r="H8708" s="7" t="s">
        <v>8749</v>
      </c>
      <c r="I8708" s="9">
        <v>1870600</v>
      </c>
      <c r="J8708" s="10">
        <v>0.03560000000000001</v>
      </c>
    </row>
    <row r="8709" spans="1:10">
      <c r="A8709" s="7" t="s">
        <v>8743</v>
      </c>
      <c r="B8709" s="7" t="s">
        <v>10576</v>
      </c>
      <c r="C8709" s="8">
        <f>QS.CONTEXT.CREATE("market.8707",A8709,"USD","SOFR")</f>
        <v/>
      </c>
      <c r="D8709" s="8">
        <f>QS.CONTEXT.ADD.CURVE(C8709,"SOFR",$K$2:$K$7,$L$2:$L$7,,,"Actual360","LogLinear",TRUE)</f>
        <v/>
      </c>
      <c r="E8709" s="8">
        <f>QS.INSTRUMENT.SWAP("swap.8707",C8709,H8709,B8709,"USD","SOFR",I8709,J8709,0,"Actual360","Simple","Annual","Annual","Annual")</f>
        <v/>
      </c>
      <c r="F8709" s="8">
        <f>QS.TRADE.CREATE("trade.8707",C8709,E8709,A8709,"Receive")</f>
        <v/>
      </c>
      <c r="G8709" s="5"/>
      <c r="H8709" s="7" t="s">
        <v>8750</v>
      </c>
      <c r="I8709" s="9">
        <v>1870700</v>
      </c>
      <c r="J8709" s="10">
        <v>0.0357</v>
      </c>
    </row>
    <row r="8710" spans="1:10">
      <c r="A8710" s="7" t="s">
        <v>8744</v>
      </c>
      <c r="B8710" s="7" t="s">
        <v>10577</v>
      </c>
      <c r="C8710" s="8">
        <f>QS.CONTEXT.CREATE("market.8708",A8710,"USD","SOFR")</f>
        <v/>
      </c>
      <c r="D8710" s="8">
        <f>QS.CONTEXT.ADD.CURVE(C8710,"SOFR",$K$2:$K$7,$L$2:$L$7,,,"Actual360","LogLinear",TRUE)</f>
        <v/>
      </c>
      <c r="E8710" s="8">
        <f>QS.INSTRUMENT.SWAP("swap.8708",C8710,H8710,B8710,"USD","SOFR",I8710,J8710,0,"Actual360","Simple","Annual","Annual","Annual")</f>
        <v/>
      </c>
      <c r="F8710" s="8">
        <f>QS.TRADE.CREATE("trade.8708",C8710,E8710,A8710,"Receive")</f>
        <v/>
      </c>
      <c r="G8710" s="5"/>
      <c r="H8710" s="7" t="s">
        <v>8751</v>
      </c>
      <c r="I8710" s="9">
        <v>1870800</v>
      </c>
      <c r="J8710" s="10">
        <v>0.03580000000000001</v>
      </c>
    </row>
    <row r="8711" spans="1:10">
      <c r="A8711" s="7" t="s">
        <v>8745</v>
      </c>
      <c r="B8711" s="7" t="s">
        <v>10578</v>
      </c>
      <c r="C8711" s="8">
        <f>QS.CONTEXT.CREATE("market.8709",A8711,"USD","SOFR")</f>
        <v/>
      </c>
      <c r="D8711" s="8">
        <f>QS.CONTEXT.ADD.CURVE(C8711,"SOFR",$K$2:$K$7,$L$2:$L$7,,,"Actual360","LogLinear",TRUE)</f>
        <v/>
      </c>
      <c r="E8711" s="8">
        <f>QS.INSTRUMENT.SWAP("swap.8709",C8711,H8711,B8711,"USD","SOFR",I8711,J8711,0,"Actual360","Simple","Annual","Annual","Annual")</f>
        <v/>
      </c>
      <c r="F8711" s="8">
        <f>QS.TRADE.CREATE("trade.8709",C8711,E8711,A8711,"Receive")</f>
        <v/>
      </c>
      <c r="G8711" s="5"/>
      <c r="H8711" s="7" t="s">
        <v>8752</v>
      </c>
      <c r="I8711" s="9">
        <v>1870900</v>
      </c>
      <c r="J8711" s="10">
        <v>0.0359</v>
      </c>
    </row>
    <row r="8712" spans="1:10">
      <c r="A8712" s="7" t="s">
        <v>8746</v>
      </c>
      <c r="B8712" s="7" t="s">
        <v>10579</v>
      </c>
      <c r="C8712" s="8">
        <f>QS.CONTEXT.CREATE("market.8710",A8712,"USD","SOFR")</f>
        <v/>
      </c>
      <c r="D8712" s="8">
        <f>QS.CONTEXT.ADD.CURVE(C8712,"SOFR",$K$2:$K$7,$L$2:$L$7,,,"Actual360","LogLinear",TRUE)</f>
        <v/>
      </c>
      <c r="E8712" s="8">
        <f>QS.INSTRUMENT.SWAP("swap.8710",C8712,H8712,B8712,"USD","SOFR",I8712,J8712,0,"Actual360","Simple","Annual","Annual","Annual")</f>
        <v/>
      </c>
      <c r="F8712" s="8">
        <f>QS.TRADE.CREATE("trade.8710",C8712,E8712,A8712,"Receive")</f>
        <v/>
      </c>
      <c r="G8712" s="5"/>
      <c r="H8712" s="7" t="s">
        <v>8753</v>
      </c>
      <c r="I8712" s="9">
        <v>1871000</v>
      </c>
      <c r="J8712" s="10">
        <v>0.036</v>
      </c>
    </row>
    <row r="8713" spans="1:10">
      <c r="A8713" s="7" t="s">
        <v>8747</v>
      </c>
      <c r="B8713" s="7" t="s">
        <v>10580</v>
      </c>
      <c r="C8713" s="8">
        <f>QS.CONTEXT.CREATE("market.8711",A8713,"USD","SOFR")</f>
        <v/>
      </c>
      <c r="D8713" s="8">
        <f>QS.CONTEXT.ADD.CURVE(C8713,"SOFR",$K$2:$K$7,$L$2:$L$7,,,"Actual360","LogLinear",TRUE)</f>
        <v/>
      </c>
      <c r="E8713" s="8">
        <f>QS.INSTRUMENT.SWAP("swap.8711",C8713,H8713,B8713,"USD","SOFR",I8713,J8713,0,"Actual360","Simple","Annual","Annual","Annual")</f>
        <v/>
      </c>
      <c r="F8713" s="8">
        <f>QS.TRADE.CREATE("trade.8711",C8713,E8713,A8713,"Receive")</f>
        <v/>
      </c>
      <c r="G8713" s="5"/>
      <c r="H8713" s="7" t="s">
        <v>8754</v>
      </c>
      <c r="I8713" s="9">
        <v>1871100</v>
      </c>
      <c r="J8713" s="10">
        <v>0.0361</v>
      </c>
    </row>
    <row r="8714" spans="1:10">
      <c r="A8714" s="7" t="s">
        <v>8748</v>
      </c>
      <c r="B8714" s="7" t="s">
        <v>10581</v>
      </c>
      <c r="C8714" s="8">
        <f>QS.CONTEXT.CREATE("market.8712",A8714,"USD","SOFR")</f>
        <v/>
      </c>
      <c r="D8714" s="8">
        <f>QS.CONTEXT.ADD.CURVE(C8714,"SOFR",$K$2:$K$7,$L$2:$L$7,,,"Actual360","LogLinear",TRUE)</f>
        <v/>
      </c>
      <c r="E8714" s="8">
        <f>QS.INSTRUMENT.SWAP("swap.8712",C8714,H8714,B8714,"USD","SOFR",I8714,J8714,0,"Actual360","Simple","Annual","Annual","Annual")</f>
        <v/>
      </c>
      <c r="F8714" s="8">
        <f>QS.TRADE.CREATE("trade.8712",C8714,E8714,A8714,"Receive")</f>
        <v/>
      </c>
      <c r="G8714" s="5"/>
      <c r="H8714" s="7" t="s">
        <v>8755</v>
      </c>
      <c r="I8714" s="9">
        <v>1871200</v>
      </c>
      <c r="J8714" s="10">
        <v>0.0362</v>
      </c>
    </row>
    <row r="8715" spans="1:10">
      <c r="A8715" s="7" t="s">
        <v>8749</v>
      </c>
      <c r="B8715" s="7" t="s">
        <v>10582</v>
      </c>
      <c r="C8715" s="8">
        <f>QS.CONTEXT.CREATE("market.8713",A8715,"USD","SOFR")</f>
        <v/>
      </c>
      <c r="D8715" s="8">
        <f>QS.CONTEXT.ADD.CURVE(C8715,"SOFR",$K$2:$K$7,$L$2:$L$7,,,"Actual360","LogLinear",TRUE)</f>
        <v/>
      </c>
      <c r="E8715" s="8">
        <f>QS.INSTRUMENT.SWAP("swap.8713",C8715,H8715,B8715,"USD","SOFR",I8715,J8715,0,"Actual360","Simple","Annual","Annual","Annual")</f>
        <v/>
      </c>
      <c r="F8715" s="8">
        <f>QS.TRADE.CREATE("trade.8713",C8715,E8715,A8715,"Receive")</f>
        <v/>
      </c>
      <c r="G8715" s="5"/>
      <c r="H8715" s="7" t="s">
        <v>8756</v>
      </c>
      <c r="I8715" s="9">
        <v>1871300</v>
      </c>
      <c r="J8715" s="10">
        <v>0.03630000000000001</v>
      </c>
    </row>
    <row r="8716" spans="1:10">
      <c r="A8716" s="7" t="s">
        <v>8750</v>
      </c>
      <c r="B8716" s="7" t="s">
        <v>10583</v>
      </c>
      <c r="C8716" s="8">
        <f>QS.CONTEXT.CREATE("market.8714",A8716,"USD","SOFR")</f>
        <v/>
      </c>
      <c r="D8716" s="8">
        <f>QS.CONTEXT.ADD.CURVE(C8716,"SOFR",$K$2:$K$7,$L$2:$L$7,,,"Actual360","LogLinear",TRUE)</f>
        <v/>
      </c>
      <c r="E8716" s="8">
        <f>QS.INSTRUMENT.SWAP("swap.8714",C8716,H8716,B8716,"USD","SOFR",I8716,J8716,0,"Actual360","Simple","Annual","Annual","Annual")</f>
        <v/>
      </c>
      <c r="F8716" s="8">
        <f>QS.TRADE.CREATE("trade.8714",C8716,E8716,A8716,"Receive")</f>
        <v/>
      </c>
      <c r="G8716" s="5"/>
      <c r="H8716" s="7" t="s">
        <v>8757</v>
      </c>
      <c r="I8716" s="9">
        <v>1871400</v>
      </c>
      <c r="J8716" s="10">
        <v>0.0364</v>
      </c>
    </row>
    <row r="8717" spans="1:10">
      <c r="A8717" s="7" t="s">
        <v>8751</v>
      </c>
      <c r="B8717" s="7" t="s">
        <v>10584</v>
      </c>
      <c r="C8717" s="8">
        <f>QS.CONTEXT.CREATE("market.8715",A8717,"USD","SOFR")</f>
        <v/>
      </c>
      <c r="D8717" s="8">
        <f>QS.CONTEXT.ADD.CURVE(C8717,"SOFR",$K$2:$K$7,$L$2:$L$7,,,"Actual360","LogLinear",TRUE)</f>
        <v/>
      </c>
      <c r="E8717" s="8">
        <f>QS.INSTRUMENT.SWAP("swap.8715",C8717,H8717,B8717,"USD","SOFR",I8717,J8717,0,"Actual360","Simple","Annual","Annual","Annual")</f>
        <v/>
      </c>
      <c r="F8717" s="8">
        <f>QS.TRADE.CREATE("trade.8715",C8717,E8717,A8717,"Receive")</f>
        <v/>
      </c>
      <c r="G8717" s="5"/>
      <c r="H8717" s="7" t="s">
        <v>8758</v>
      </c>
      <c r="I8717" s="9">
        <v>1871500</v>
      </c>
      <c r="J8717" s="10">
        <v>0.0365</v>
      </c>
    </row>
    <row r="8718" spans="1:10">
      <c r="A8718" s="7" t="s">
        <v>8752</v>
      </c>
      <c r="B8718" s="7" t="s">
        <v>10585</v>
      </c>
      <c r="C8718" s="8">
        <f>QS.CONTEXT.CREATE("market.8716",A8718,"USD","SOFR")</f>
        <v/>
      </c>
      <c r="D8718" s="8">
        <f>QS.CONTEXT.ADD.CURVE(C8718,"SOFR",$K$2:$K$7,$L$2:$L$7,,,"Actual360","LogLinear",TRUE)</f>
        <v/>
      </c>
      <c r="E8718" s="8">
        <f>QS.INSTRUMENT.SWAP("swap.8716",C8718,H8718,B8718,"USD","SOFR",I8718,J8718,0,"Actual360","Simple","Annual","Annual","Annual")</f>
        <v/>
      </c>
      <c r="F8718" s="8">
        <f>QS.TRADE.CREATE("trade.8716",C8718,E8718,A8718,"Receive")</f>
        <v/>
      </c>
      <c r="G8718" s="5"/>
      <c r="H8718" s="7" t="s">
        <v>8759</v>
      </c>
      <c r="I8718" s="9">
        <v>1871600</v>
      </c>
      <c r="J8718" s="10">
        <v>0.0366</v>
      </c>
    </row>
    <row r="8719" spans="1:10">
      <c r="A8719" s="7" t="s">
        <v>8753</v>
      </c>
      <c r="B8719" s="7" t="s">
        <v>10586</v>
      </c>
      <c r="C8719" s="8">
        <f>QS.CONTEXT.CREATE("market.8717",A8719,"USD","SOFR")</f>
        <v/>
      </c>
      <c r="D8719" s="8">
        <f>QS.CONTEXT.ADD.CURVE(C8719,"SOFR",$K$2:$K$7,$L$2:$L$7,,,"Actual360","LogLinear",TRUE)</f>
        <v/>
      </c>
      <c r="E8719" s="8">
        <f>QS.INSTRUMENT.SWAP("swap.8717",C8719,H8719,B8719,"USD","SOFR",I8719,J8719,0,"Actual360","Simple","Annual","Annual","Annual")</f>
        <v/>
      </c>
      <c r="F8719" s="8">
        <f>QS.TRADE.CREATE("trade.8717",C8719,E8719,A8719,"Receive")</f>
        <v/>
      </c>
      <c r="G8719" s="5"/>
      <c r="H8719" s="7" t="s">
        <v>8760</v>
      </c>
      <c r="I8719" s="9">
        <v>1871700</v>
      </c>
      <c r="J8719" s="10">
        <v>0.0367</v>
      </c>
    </row>
    <row r="8720" spans="1:10">
      <c r="A8720" s="7" t="s">
        <v>8754</v>
      </c>
      <c r="B8720" s="7" t="s">
        <v>10587</v>
      </c>
      <c r="C8720" s="8">
        <f>QS.CONTEXT.CREATE("market.8718",A8720,"USD","SOFR")</f>
        <v/>
      </c>
      <c r="D8720" s="8">
        <f>QS.CONTEXT.ADD.CURVE(C8720,"SOFR",$K$2:$K$7,$L$2:$L$7,,,"Actual360","LogLinear",TRUE)</f>
        <v/>
      </c>
      <c r="E8720" s="8">
        <f>QS.INSTRUMENT.SWAP("swap.8718",C8720,H8720,B8720,"USD","SOFR",I8720,J8720,0,"Actual360","Simple","Annual","Annual","Annual")</f>
        <v/>
      </c>
      <c r="F8720" s="8">
        <f>QS.TRADE.CREATE("trade.8718",C8720,E8720,A8720,"Receive")</f>
        <v/>
      </c>
      <c r="G8720" s="5"/>
      <c r="H8720" s="7" t="s">
        <v>8761</v>
      </c>
      <c r="I8720" s="9">
        <v>1871800</v>
      </c>
      <c r="J8720" s="10">
        <v>0.03680000000000001</v>
      </c>
    </row>
    <row r="8721" spans="1:10">
      <c r="A8721" s="7" t="s">
        <v>8755</v>
      </c>
      <c r="B8721" s="7" t="s">
        <v>10588</v>
      </c>
      <c r="C8721" s="8">
        <f>QS.CONTEXT.CREATE("market.8719",A8721,"USD","SOFR")</f>
        <v/>
      </c>
      <c r="D8721" s="8">
        <f>QS.CONTEXT.ADD.CURVE(C8721,"SOFR",$K$2:$K$7,$L$2:$L$7,,,"Actual360","LogLinear",TRUE)</f>
        <v/>
      </c>
      <c r="E8721" s="8">
        <f>QS.INSTRUMENT.SWAP("swap.8719",C8721,H8721,B8721,"USD","SOFR",I8721,J8721,0,"Actual360","Simple","Annual","Annual","Annual")</f>
        <v/>
      </c>
      <c r="F8721" s="8">
        <f>QS.TRADE.CREATE("trade.8719",C8721,E8721,A8721,"Receive")</f>
        <v/>
      </c>
      <c r="G8721" s="5"/>
      <c r="H8721" s="7" t="s">
        <v>8762</v>
      </c>
      <c r="I8721" s="9">
        <v>1871900</v>
      </c>
      <c r="J8721" s="10">
        <v>0.0369</v>
      </c>
    </row>
    <row r="8722" spans="1:10">
      <c r="A8722" s="7" t="s">
        <v>8756</v>
      </c>
      <c r="B8722" s="7" t="s">
        <v>10589</v>
      </c>
      <c r="C8722" s="8">
        <f>QS.CONTEXT.CREATE("market.8720",A8722,"USD","SOFR")</f>
        <v/>
      </c>
      <c r="D8722" s="8">
        <f>QS.CONTEXT.ADD.CURVE(C8722,"SOFR",$K$2:$K$7,$L$2:$L$7,,,"Actual360","LogLinear",TRUE)</f>
        <v/>
      </c>
      <c r="E8722" s="8">
        <f>QS.INSTRUMENT.SWAP("swap.8720",C8722,H8722,B8722,"USD","SOFR",I8722,J8722,0,"Actual360","Simple","Annual","Annual","Annual")</f>
        <v/>
      </c>
      <c r="F8722" s="8">
        <f>QS.TRADE.CREATE("trade.8720",C8722,E8722,A8722,"Receive")</f>
        <v/>
      </c>
      <c r="G8722" s="5"/>
      <c r="H8722" s="7" t="s">
        <v>8763</v>
      </c>
      <c r="I8722" s="9">
        <v>1872000</v>
      </c>
      <c r="J8722" s="10">
        <v>0.03700000000000001</v>
      </c>
    </row>
    <row r="8723" spans="1:10">
      <c r="A8723" s="7" t="s">
        <v>8757</v>
      </c>
      <c r="B8723" s="7" t="s">
        <v>10590</v>
      </c>
      <c r="C8723" s="8">
        <f>QS.CONTEXT.CREATE("market.8721",A8723,"USD","SOFR")</f>
        <v/>
      </c>
      <c r="D8723" s="8">
        <f>QS.CONTEXT.ADD.CURVE(C8723,"SOFR",$K$2:$K$7,$L$2:$L$7,,,"Actual360","LogLinear",TRUE)</f>
        <v/>
      </c>
      <c r="E8723" s="8">
        <f>QS.INSTRUMENT.SWAP("swap.8721",C8723,H8723,B8723,"USD","SOFR",I8723,J8723,0,"Actual360","Simple","Annual","Annual","Annual")</f>
        <v/>
      </c>
      <c r="F8723" s="8">
        <f>QS.TRADE.CREATE("trade.8721",C8723,E8723,A8723,"Receive")</f>
        <v/>
      </c>
      <c r="G8723" s="5"/>
      <c r="H8723" s="7" t="s">
        <v>8764</v>
      </c>
      <c r="I8723" s="9">
        <v>1872100</v>
      </c>
      <c r="J8723" s="10">
        <v>0.0371</v>
      </c>
    </row>
    <row r="8724" spans="1:10">
      <c r="A8724" s="7" t="s">
        <v>8758</v>
      </c>
      <c r="B8724" s="7" t="s">
        <v>10591</v>
      </c>
      <c r="C8724" s="8">
        <f>QS.CONTEXT.CREATE("market.8722",A8724,"USD","SOFR")</f>
        <v/>
      </c>
      <c r="D8724" s="8">
        <f>QS.CONTEXT.ADD.CURVE(C8724,"SOFR",$K$2:$K$7,$L$2:$L$7,,,"Actual360","LogLinear",TRUE)</f>
        <v/>
      </c>
      <c r="E8724" s="8">
        <f>QS.INSTRUMENT.SWAP("swap.8722",C8724,H8724,B8724,"USD","SOFR",I8724,J8724,0,"Actual360","Simple","Annual","Annual","Annual")</f>
        <v/>
      </c>
      <c r="F8724" s="8">
        <f>QS.TRADE.CREATE("trade.8722",C8724,E8724,A8724,"Receive")</f>
        <v/>
      </c>
      <c r="G8724" s="5"/>
      <c r="H8724" s="7" t="s">
        <v>8765</v>
      </c>
      <c r="I8724" s="9">
        <v>1872200</v>
      </c>
      <c r="J8724" s="10">
        <v>0.0372</v>
      </c>
    </row>
    <row r="8725" spans="1:10">
      <c r="A8725" s="7" t="s">
        <v>8759</v>
      </c>
      <c r="B8725" s="7" t="s">
        <v>10592</v>
      </c>
      <c r="C8725" s="8">
        <f>QS.CONTEXT.CREATE("market.8723",A8725,"USD","SOFR")</f>
        <v/>
      </c>
      <c r="D8725" s="8">
        <f>QS.CONTEXT.ADD.CURVE(C8725,"SOFR",$K$2:$K$7,$L$2:$L$7,,,"Actual360","LogLinear",TRUE)</f>
        <v/>
      </c>
      <c r="E8725" s="8">
        <f>QS.INSTRUMENT.SWAP("swap.8723",C8725,H8725,B8725,"USD","SOFR",I8725,J8725,0,"Actual360","Simple","Annual","Annual","Annual")</f>
        <v/>
      </c>
      <c r="F8725" s="8">
        <f>QS.TRADE.CREATE("trade.8723",C8725,E8725,A8725,"Receive")</f>
        <v/>
      </c>
      <c r="G8725" s="5"/>
      <c r="H8725" s="7" t="s">
        <v>8766</v>
      </c>
      <c r="I8725" s="9">
        <v>1872300</v>
      </c>
      <c r="J8725" s="10">
        <v>0.0373</v>
      </c>
    </row>
    <row r="8726" spans="1:10">
      <c r="A8726" s="7" t="s">
        <v>8760</v>
      </c>
      <c r="B8726" s="7" t="s">
        <v>10593</v>
      </c>
      <c r="C8726" s="8">
        <f>QS.CONTEXT.CREATE("market.8724",A8726,"USD","SOFR")</f>
        <v/>
      </c>
      <c r="D8726" s="8">
        <f>QS.CONTEXT.ADD.CURVE(C8726,"SOFR",$K$2:$K$7,$L$2:$L$7,,,"Actual360","LogLinear",TRUE)</f>
        <v/>
      </c>
      <c r="E8726" s="8">
        <f>QS.INSTRUMENT.SWAP("swap.8724",C8726,H8726,B8726,"USD","SOFR",I8726,J8726,0,"Actual360","Simple","Annual","Annual","Annual")</f>
        <v/>
      </c>
      <c r="F8726" s="8">
        <f>QS.TRADE.CREATE("trade.8724",C8726,E8726,A8726,"Receive")</f>
        <v/>
      </c>
      <c r="G8726" s="5"/>
      <c r="H8726" s="7" t="s">
        <v>8767</v>
      </c>
      <c r="I8726" s="9">
        <v>1872400</v>
      </c>
      <c r="J8726" s="10">
        <v>0.0374</v>
      </c>
    </row>
    <row r="8727" spans="1:10">
      <c r="A8727" s="7" t="s">
        <v>8761</v>
      </c>
      <c r="B8727" s="7" t="s">
        <v>10594</v>
      </c>
      <c r="C8727" s="8">
        <f>QS.CONTEXT.CREATE("market.8725",A8727,"USD","SOFR")</f>
        <v/>
      </c>
      <c r="D8727" s="8">
        <f>QS.CONTEXT.ADD.CURVE(C8727,"SOFR",$K$2:$K$7,$L$2:$L$7,,,"Actual360","LogLinear",TRUE)</f>
        <v/>
      </c>
      <c r="E8727" s="8">
        <f>QS.INSTRUMENT.SWAP("swap.8725",C8727,H8727,B8727,"USD","SOFR",I8727,J8727,0,"Actual360","Simple","Annual","Annual","Annual")</f>
        <v/>
      </c>
      <c r="F8727" s="8">
        <f>QS.TRADE.CREATE("trade.8725",C8727,E8727,A8727,"Receive")</f>
        <v/>
      </c>
      <c r="G8727" s="5"/>
      <c r="H8727" s="7" t="s">
        <v>8768</v>
      </c>
      <c r="I8727" s="9">
        <v>1872500</v>
      </c>
      <c r="J8727" s="10">
        <v>0.03750000000000001</v>
      </c>
    </row>
    <row r="8728" spans="1:10">
      <c r="A8728" s="7" t="s">
        <v>8762</v>
      </c>
      <c r="B8728" s="7" t="s">
        <v>10595</v>
      </c>
      <c r="C8728" s="8">
        <f>QS.CONTEXT.CREATE("market.8726",A8728,"USD","SOFR")</f>
        <v/>
      </c>
      <c r="D8728" s="8">
        <f>QS.CONTEXT.ADD.CURVE(C8728,"SOFR",$K$2:$K$7,$L$2:$L$7,,,"Actual360","LogLinear",TRUE)</f>
        <v/>
      </c>
      <c r="E8728" s="8">
        <f>QS.INSTRUMENT.SWAP("swap.8726",C8728,H8728,B8728,"USD","SOFR",I8728,J8728,0,"Actual360","Simple","Annual","Annual","Annual")</f>
        <v/>
      </c>
      <c r="F8728" s="8">
        <f>QS.TRADE.CREATE("trade.8726",C8728,E8728,A8728,"Receive")</f>
        <v/>
      </c>
      <c r="G8728" s="5"/>
      <c r="H8728" s="7" t="s">
        <v>8769</v>
      </c>
      <c r="I8728" s="9">
        <v>1872600</v>
      </c>
      <c r="J8728" s="10">
        <v>0.0376</v>
      </c>
    </row>
    <row r="8729" spans="1:10">
      <c r="A8729" s="7" t="s">
        <v>8763</v>
      </c>
      <c r="B8729" s="7" t="s">
        <v>10596</v>
      </c>
      <c r="C8729" s="8">
        <f>QS.CONTEXT.CREATE("market.8727",A8729,"USD","SOFR")</f>
        <v/>
      </c>
      <c r="D8729" s="8">
        <f>QS.CONTEXT.ADD.CURVE(C8729,"SOFR",$K$2:$K$7,$L$2:$L$7,,,"Actual360","LogLinear",TRUE)</f>
        <v/>
      </c>
      <c r="E8729" s="8">
        <f>QS.INSTRUMENT.SWAP("swap.8727",C8729,H8729,B8729,"USD","SOFR",I8729,J8729,0,"Actual360","Simple","Annual","Annual","Annual")</f>
        <v/>
      </c>
      <c r="F8729" s="8">
        <f>QS.TRADE.CREATE("trade.8727",C8729,E8729,A8729,"Receive")</f>
        <v/>
      </c>
      <c r="G8729" s="5"/>
      <c r="H8729" s="7" t="s">
        <v>8770</v>
      </c>
      <c r="I8729" s="9">
        <v>1872700</v>
      </c>
      <c r="J8729" s="10">
        <v>0.0377</v>
      </c>
    </row>
    <row r="8730" spans="1:10">
      <c r="A8730" s="7" t="s">
        <v>8764</v>
      </c>
      <c r="B8730" s="7" t="s">
        <v>10597</v>
      </c>
      <c r="C8730" s="8">
        <f>QS.CONTEXT.CREATE("market.8728",A8730,"USD","SOFR")</f>
        <v/>
      </c>
      <c r="D8730" s="8">
        <f>QS.CONTEXT.ADD.CURVE(C8730,"SOFR",$K$2:$K$7,$L$2:$L$7,,,"Actual360","LogLinear",TRUE)</f>
        <v/>
      </c>
      <c r="E8730" s="8">
        <f>QS.INSTRUMENT.SWAP("swap.8728",C8730,H8730,B8730,"USD","SOFR",I8730,J8730,0,"Actual360","Simple","Annual","Annual","Annual")</f>
        <v/>
      </c>
      <c r="F8730" s="8">
        <f>QS.TRADE.CREATE("trade.8728",C8730,E8730,A8730,"Receive")</f>
        <v/>
      </c>
      <c r="G8730" s="5"/>
      <c r="H8730" s="7" t="s">
        <v>8771</v>
      </c>
      <c r="I8730" s="9">
        <v>1872800</v>
      </c>
      <c r="J8730" s="10">
        <v>0.0378</v>
      </c>
    </row>
    <row r="8731" spans="1:10">
      <c r="A8731" s="7" t="s">
        <v>8765</v>
      </c>
      <c r="B8731" s="7" t="s">
        <v>10598</v>
      </c>
      <c r="C8731" s="8">
        <f>QS.CONTEXT.CREATE("market.8729",A8731,"USD","SOFR")</f>
        <v/>
      </c>
      <c r="D8731" s="8">
        <f>QS.CONTEXT.ADD.CURVE(C8731,"SOFR",$K$2:$K$7,$L$2:$L$7,,,"Actual360","LogLinear",TRUE)</f>
        <v/>
      </c>
      <c r="E8731" s="8">
        <f>QS.INSTRUMENT.SWAP("swap.8729",C8731,H8731,B8731,"USD","SOFR",I8731,J8731,0,"Actual360","Simple","Annual","Annual","Annual")</f>
        <v/>
      </c>
      <c r="F8731" s="8">
        <f>QS.TRADE.CREATE("trade.8729",C8731,E8731,A8731,"Receive")</f>
        <v/>
      </c>
      <c r="G8731" s="5"/>
      <c r="H8731" s="7" t="s">
        <v>8772</v>
      </c>
      <c r="I8731" s="9">
        <v>1872900</v>
      </c>
      <c r="J8731" s="10">
        <v>0.0379</v>
      </c>
    </row>
    <row r="8732" spans="1:10">
      <c r="A8732" s="7" t="s">
        <v>8766</v>
      </c>
      <c r="B8732" s="7" t="s">
        <v>10599</v>
      </c>
      <c r="C8732" s="8">
        <f>QS.CONTEXT.CREATE("market.8730",A8732,"USD","SOFR")</f>
        <v/>
      </c>
      <c r="D8732" s="8">
        <f>QS.CONTEXT.ADD.CURVE(C8732,"SOFR",$K$2:$K$7,$L$2:$L$7,,,"Actual360","LogLinear",TRUE)</f>
        <v/>
      </c>
      <c r="E8732" s="8">
        <f>QS.INSTRUMENT.SWAP("swap.8730",C8732,H8732,B8732,"USD","SOFR",I8732,J8732,0,"Actual360","Simple","Annual","Annual","Annual")</f>
        <v/>
      </c>
      <c r="F8732" s="8">
        <f>QS.TRADE.CREATE("trade.8730",C8732,E8732,A8732,"Receive")</f>
        <v/>
      </c>
      <c r="G8732" s="5"/>
      <c r="H8732" s="7" t="s">
        <v>8773</v>
      </c>
      <c r="I8732" s="9">
        <v>1873000</v>
      </c>
      <c r="J8732" s="10">
        <v>0.03800000000000001</v>
      </c>
    </row>
    <row r="8733" spans="1:10">
      <c r="A8733" s="7" t="s">
        <v>8767</v>
      </c>
      <c r="B8733" s="7" t="s">
        <v>10600</v>
      </c>
      <c r="C8733" s="8">
        <f>QS.CONTEXT.CREATE("market.8731",A8733,"USD","SOFR")</f>
        <v/>
      </c>
      <c r="D8733" s="8">
        <f>QS.CONTEXT.ADD.CURVE(C8733,"SOFR",$K$2:$K$7,$L$2:$L$7,,,"Actual360","LogLinear",TRUE)</f>
        <v/>
      </c>
      <c r="E8733" s="8">
        <f>QS.INSTRUMENT.SWAP("swap.8731",C8733,H8733,B8733,"USD","SOFR",I8733,J8733,0,"Actual360","Simple","Annual","Annual","Annual")</f>
        <v/>
      </c>
      <c r="F8733" s="8">
        <f>QS.TRADE.CREATE("trade.8731",C8733,E8733,A8733,"Receive")</f>
        <v/>
      </c>
      <c r="G8733" s="5"/>
      <c r="H8733" s="7" t="s">
        <v>8774</v>
      </c>
      <c r="I8733" s="9">
        <v>1873100</v>
      </c>
      <c r="J8733" s="10">
        <v>0.0381</v>
      </c>
    </row>
    <row r="8734" spans="1:10">
      <c r="A8734" s="7" t="s">
        <v>8768</v>
      </c>
      <c r="B8734" s="7" t="s">
        <v>10601</v>
      </c>
      <c r="C8734" s="8">
        <f>QS.CONTEXT.CREATE("market.8732",A8734,"USD","SOFR")</f>
        <v/>
      </c>
      <c r="D8734" s="8">
        <f>QS.CONTEXT.ADD.CURVE(C8734,"SOFR",$K$2:$K$7,$L$2:$L$7,,,"Actual360","LogLinear",TRUE)</f>
        <v/>
      </c>
      <c r="E8734" s="8">
        <f>QS.INSTRUMENT.SWAP("swap.8732",C8734,H8734,B8734,"USD","SOFR",I8734,J8734,0,"Actual360","Simple","Annual","Annual","Annual")</f>
        <v/>
      </c>
      <c r="F8734" s="8">
        <f>QS.TRADE.CREATE("trade.8732",C8734,E8734,A8734,"Receive")</f>
        <v/>
      </c>
      <c r="G8734" s="5"/>
      <c r="H8734" s="7" t="s">
        <v>8775</v>
      </c>
      <c r="I8734" s="9">
        <v>1873200</v>
      </c>
      <c r="J8734" s="10">
        <v>0.0382</v>
      </c>
    </row>
    <row r="8735" spans="1:10">
      <c r="A8735" s="7" t="s">
        <v>8769</v>
      </c>
      <c r="B8735" s="7" t="s">
        <v>10602</v>
      </c>
      <c r="C8735" s="8">
        <f>QS.CONTEXT.CREATE("market.8733",A8735,"USD","SOFR")</f>
        <v/>
      </c>
      <c r="D8735" s="8">
        <f>QS.CONTEXT.ADD.CURVE(C8735,"SOFR",$K$2:$K$7,$L$2:$L$7,,,"Actual360","LogLinear",TRUE)</f>
        <v/>
      </c>
      <c r="E8735" s="8">
        <f>QS.INSTRUMENT.SWAP("swap.8733",C8735,H8735,B8735,"USD","SOFR",I8735,J8735,0,"Actual360","Simple","Annual","Annual","Annual")</f>
        <v/>
      </c>
      <c r="F8735" s="8">
        <f>QS.TRADE.CREATE("trade.8733",C8735,E8735,A8735,"Receive")</f>
        <v/>
      </c>
      <c r="G8735" s="5"/>
      <c r="H8735" s="7" t="s">
        <v>8776</v>
      </c>
      <c r="I8735" s="9">
        <v>1873300</v>
      </c>
      <c r="J8735" s="10">
        <v>0.0383</v>
      </c>
    </row>
    <row r="8736" spans="1:10">
      <c r="A8736" s="7" t="s">
        <v>8770</v>
      </c>
      <c r="B8736" s="7" t="s">
        <v>10603</v>
      </c>
      <c r="C8736" s="8">
        <f>QS.CONTEXT.CREATE("market.8734",A8736,"USD","SOFR")</f>
        <v/>
      </c>
      <c r="D8736" s="8">
        <f>QS.CONTEXT.ADD.CURVE(C8736,"SOFR",$K$2:$K$7,$L$2:$L$7,,,"Actual360","LogLinear",TRUE)</f>
        <v/>
      </c>
      <c r="E8736" s="8">
        <f>QS.INSTRUMENT.SWAP("swap.8734",C8736,H8736,B8736,"USD","SOFR",I8736,J8736,0,"Actual360","Simple","Annual","Annual","Annual")</f>
        <v/>
      </c>
      <c r="F8736" s="8">
        <f>QS.TRADE.CREATE("trade.8734",C8736,E8736,A8736,"Receive")</f>
        <v/>
      </c>
      <c r="G8736" s="5"/>
      <c r="H8736" s="7" t="s">
        <v>8777</v>
      </c>
      <c r="I8736" s="9">
        <v>1873400</v>
      </c>
      <c r="J8736" s="10">
        <v>0.0384</v>
      </c>
    </row>
    <row r="8737" spans="1:10">
      <c r="A8737" s="7" t="s">
        <v>8771</v>
      </c>
      <c r="B8737" s="7" t="s">
        <v>10604</v>
      </c>
      <c r="C8737" s="8">
        <f>QS.CONTEXT.CREATE("market.8735",A8737,"USD","SOFR")</f>
        <v/>
      </c>
      <c r="D8737" s="8">
        <f>QS.CONTEXT.ADD.CURVE(C8737,"SOFR",$K$2:$K$7,$L$2:$L$7,,,"Actual360","LogLinear",TRUE)</f>
        <v/>
      </c>
      <c r="E8737" s="8">
        <f>QS.INSTRUMENT.SWAP("swap.8735",C8737,H8737,B8737,"USD","SOFR",I8737,J8737,0,"Actual360","Simple","Annual","Annual","Annual")</f>
        <v/>
      </c>
      <c r="F8737" s="8">
        <f>QS.TRADE.CREATE("trade.8735",C8737,E8737,A8737,"Receive")</f>
        <v/>
      </c>
      <c r="G8737" s="5"/>
      <c r="H8737" s="7" t="s">
        <v>8778</v>
      </c>
      <c r="I8737" s="9">
        <v>1873500</v>
      </c>
      <c r="J8737" s="10">
        <v>0.03850000000000001</v>
      </c>
    </row>
    <row r="8738" spans="1:10">
      <c r="A8738" s="7" t="s">
        <v>8772</v>
      </c>
      <c r="B8738" s="7" t="s">
        <v>10605</v>
      </c>
      <c r="C8738" s="8">
        <f>QS.CONTEXT.CREATE("market.8736",A8738,"USD","SOFR")</f>
        <v/>
      </c>
      <c r="D8738" s="8">
        <f>QS.CONTEXT.ADD.CURVE(C8738,"SOFR",$K$2:$K$7,$L$2:$L$7,,,"Actual360","LogLinear",TRUE)</f>
        <v/>
      </c>
      <c r="E8738" s="8">
        <f>QS.INSTRUMENT.SWAP("swap.8736",C8738,H8738,B8738,"USD","SOFR",I8738,J8738,0,"Actual360","Simple","Annual","Annual","Annual")</f>
        <v/>
      </c>
      <c r="F8738" s="8">
        <f>QS.TRADE.CREATE("trade.8736",C8738,E8738,A8738,"Receive")</f>
        <v/>
      </c>
      <c r="G8738" s="5"/>
      <c r="H8738" s="7" t="s">
        <v>8779</v>
      </c>
      <c r="I8738" s="9">
        <v>1873600</v>
      </c>
      <c r="J8738" s="10">
        <v>0.0386</v>
      </c>
    </row>
    <row r="8739" spans="1:10">
      <c r="A8739" s="7" t="s">
        <v>8773</v>
      </c>
      <c r="B8739" s="7" t="s">
        <v>10606</v>
      </c>
      <c r="C8739" s="8">
        <f>QS.CONTEXT.CREATE("market.8737",A8739,"USD","SOFR")</f>
        <v/>
      </c>
      <c r="D8739" s="8">
        <f>QS.CONTEXT.ADD.CURVE(C8739,"SOFR",$K$2:$K$7,$L$2:$L$7,,,"Actual360","LogLinear",TRUE)</f>
        <v/>
      </c>
      <c r="E8739" s="8">
        <f>QS.INSTRUMENT.SWAP("swap.8737",C8739,H8739,B8739,"USD","SOFR",I8739,J8739,0,"Actual360","Simple","Annual","Annual","Annual")</f>
        <v/>
      </c>
      <c r="F8739" s="8">
        <f>QS.TRADE.CREATE("trade.8737",C8739,E8739,A8739,"Receive")</f>
        <v/>
      </c>
      <c r="G8739" s="5"/>
      <c r="H8739" s="7" t="s">
        <v>8780</v>
      </c>
      <c r="I8739" s="9">
        <v>1873700</v>
      </c>
      <c r="J8739" s="10">
        <v>0.03870000000000001</v>
      </c>
    </row>
    <row r="8740" spans="1:10">
      <c r="A8740" s="7" t="s">
        <v>8774</v>
      </c>
      <c r="B8740" s="7" t="s">
        <v>10607</v>
      </c>
      <c r="C8740" s="8">
        <f>QS.CONTEXT.CREATE("market.8738",A8740,"USD","SOFR")</f>
        <v/>
      </c>
      <c r="D8740" s="8">
        <f>QS.CONTEXT.ADD.CURVE(C8740,"SOFR",$K$2:$K$7,$L$2:$L$7,,,"Actual360","LogLinear",TRUE)</f>
        <v/>
      </c>
      <c r="E8740" s="8">
        <f>QS.INSTRUMENT.SWAP("swap.8738",C8740,H8740,B8740,"USD","SOFR",I8740,J8740,0,"Actual360","Simple","Annual","Annual","Annual")</f>
        <v/>
      </c>
      <c r="F8740" s="8">
        <f>QS.TRADE.CREATE("trade.8738",C8740,E8740,A8740,"Receive")</f>
        <v/>
      </c>
      <c r="G8740" s="5"/>
      <c r="H8740" s="7" t="s">
        <v>8781</v>
      </c>
      <c r="I8740" s="9">
        <v>1873800</v>
      </c>
      <c r="J8740" s="10">
        <v>0.0388</v>
      </c>
    </row>
    <row r="8741" spans="1:10">
      <c r="A8741" s="7" t="s">
        <v>8775</v>
      </c>
      <c r="B8741" s="7" t="s">
        <v>10608</v>
      </c>
      <c r="C8741" s="8">
        <f>QS.CONTEXT.CREATE("market.8739",A8741,"USD","SOFR")</f>
        <v/>
      </c>
      <c r="D8741" s="8">
        <f>QS.CONTEXT.ADD.CURVE(C8741,"SOFR",$K$2:$K$7,$L$2:$L$7,,,"Actual360","LogLinear",TRUE)</f>
        <v/>
      </c>
      <c r="E8741" s="8">
        <f>QS.INSTRUMENT.SWAP("swap.8739",C8741,H8741,B8741,"USD","SOFR",I8741,J8741,0,"Actual360","Simple","Annual","Annual","Annual")</f>
        <v/>
      </c>
      <c r="F8741" s="8">
        <f>QS.TRADE.CREATE("trade.8739",C8741,E8741,A8741,"Receive")</f>
        <v/>
      </c>
      <c r="G8741" s="5"/>
      <c r="H8741" s="7" t="s">
        <v>8782</v>
      </c>
      <c r="I8741" s="9">
        <v>1873900</v>
      </c>
      <c r="J8741" s="10">
        <v>0.0389</v>
      </c>
    </row>
    <row r="8742" spans="1:10">
      <c r="A8742" s="7" t="s">
        <v>8776</v>
      </c>
      <c r="B8742" s="7" t="s">
        <v>10609</v>
      </c>
      <c r="C8742" s="8">
        <f>QS.CONTEXT.CREATE("market.8740",A8742,"USD","SOFR")</f>
        <v/>
      </c>
      <c r="D8742" s="8">
        <f>QS.CONTEXT.ADD.CURVE(C8742,"SOFR",$K$2:$K$7,$L$2:$L$7,,,"Actual360","LogLinear",TRUE)</f>
        <v/>
      </c>
      <c r="E8742" s="8">
        <f>QS.INSTRUMENT.SWAP("swap.8740",C8742,H8742,B8742,"USD","SOFR",I8742,J8742,0,"Actual360","Simple","Annual","Annual","Annual")</f>
        <v/>
      </c>
      <c r="F8742" s="8">
        <f>QS.TRADE.CREATE("trade.8740",C8742,E8742,A8742,"Receive")</f>
        <v/>
      </c>
      <c r="G8742" s="5"/>
      <c r="H8742" s="7" t="s">
        <v>8783</v>
      </c>
      <c r="I8742" s="9">
        <v>1874000</v>
      </c>
      <c r="J8742" s="10">
        <v>0.03900000000000001</v>
      </c>
    </row>
    <row r="8743" spans="1:10">
      <c r="A8743" s="7" t="s">
        <v>8777</v>
      </c>
      <c r="B8743" s="7" t="s">
        <v>10610</v>
      </c>
      <c r="C8743" s="8">
        <f>QS.CONTEXT.CREATE("market.8741",A8743,"USD","SOFR")</f>
        <v/>
      </c>
      <c r="D8743" s="8">
        <f>QS.CONTEXT.ADD.CURVE(C8743,"SOFR",$K$2:$K$7,$L$2:$L$7,,,"Actual360","LogLinear",TRUE)</f>
        <v/>
      </c>
      <c r="E8743" s="8">
        <f>QS.INSTRUMENT.SWAP("swap.8741",C8743,H8743,B8743,"USD","SOFR",I8743,J8743,0,"Actual360","Simple","Annual","Annual","Annual")</f>
        <v/>
      </c>
      <c r="F8743" s="8">
        <f>QS.TRADE.CREATE("trade.8741",C8743,E8743,A8743,"Receive")</f>
        <v/>
      </c>
      <c r="G8743" s="5"/>
      <c r="H8743" s="7" t="s">
        <v>8784</v>
      </c>
      <c r="I8743" s="9">
        <v>1874100</v>
      </c>
      <c r="J8743" s="10">
        <v>0.0391</v>
      </c>
    </row>
    <row r="8744" spans="1:10">
      <c r="A8744" s="7" t="s">
        <v>8778</v>
      </c>
      <c r="B8744" s="7" t="s">
        <v>10611</v>
      </c>
      <c r="C8744" s="8">
        <f>QS.CONTEXT.CREATE("market.8742",A8744,"USD","SOFR")</f>
        <v/>
      </c>
      <c r="D8744" s="8">
        <f>QS.CONTEXT.ADD.CURVE(C8744,"SOFR",$K$2:$K$7,$L$2:$L$7,,,"Actual360","LogLinear",TRUE)</f>
        <v/>
      </c>
      <c r="E8744" s="8">
        <f>QS.INSTRUMENT.SWAP("swap.8742",C8744,H8744,B8744,"USD","SOFR",I8744,J8744,0,"Actual360","Simple","Annual","Annual","Annual")</f>
        <v/>
      </c>
      <c r="F8744" s="8">
        <f>QS.TRADE.CREATE("trade.8742",C8744,E8744,A8744,"Receive")</f>
        <v/>
      </c>
      <c r="G8744" s="5"/>
      <c r="H8744" s="7" t="s">
        <v>8785</v>
      </c>
      <c r="I8744" s="9">
        <v>1874200</v>
      </c>
      <c r="J8744" s="10">
        <v>0.03920000000000001</v>
      </c>
    </row>
    <row r="8745" spans="1:10">
      <c r="A8745" s="7" t="s">
        <v>8779</v>
      </c>
      <c r="B8745" s="7" t="s">
        <v>10612</v>
      </c>
      <c r="C8745" s="8">
        <f>QS.CONTEXT.CREATE("market.8743",A8745,"USD","SOFR")</f>
        <v/>
      </c>
      <c r="D8745" s="8">
        <f>QS.CONTEXT.ADD.CURVE(C8745,"SOFR",$K$2:$K$7,$L$2:$L$7,,,"Actual360","LogLinear",TRUE)</f>
        <v/>
      </c>
      <c r="E8745" s="8">
        <f>QS.INSTRUMENT.SWAP("swap.8743",C8745,H8745,B8745,"USD","SOFR",I8745,J8745,0,"Actual360","Simple","Annual","Annual","Annual")</f>
        <v/>
      </c>
      <c r="F8745" s="8">
        <f>QS.TRADE.CREATE("trade.8743",C8745,E8745,A8745,"Receive")</f>
        <v/>
      </c>
      <c r="G8745" s="5"/>
      <c r="H8745" s="7" t="s">
        <v>8786</v>
      </c>
      <c r="I8745" s="9">
        <v>1874300</v>
      </c>
      <c r="J8745" s="10">
        <v>0.0393</v>
      </c>
    </row>
    <row r="8746" spans="1:10">
      <c r="A8746" s="7" t="s">
        <v>8780</v>
      </c>
      <c r="B8746" s="7" t="s">
        <v>10613</v>
      </c>
      <c r="C8746" s="8">
        <f>QS.CONTEXT.CREATE("market.8744",A8746,"USD","SOFR")</f>
        <v/>
      </c>
      <c r="D8746" s="8">
        <f>QS.CONTEXT.ADD.CURVE(C8746,"SOFR",$K$2:$K$7,$L$2:$L$7,,,"Actual360","LogLinear",TRUE)</f>
        <v/>
      </c>
      <c r="E8746" s="8">
        <f>QS.INSTRUMENT.SWAP("swap.8744",C8746,H8746,B8746,"USD","SOFR",I8746,J8746,0,"Actual360","Simple","Annual","Annual","Annual")</f>
        <v/>
      </c>
      <c r="F8746" s="8">
        <f>QS.TRADE.CREATE("trade.8744",C8746,E8746,A8746,"Receive")</f>
        <v/>
      </c>
      <c r="G8746" s="5"/>
      <c r="H8746" s="7" t="s">
        <v>8787</v>
      </c>
      <c r="I8746" s="9">
        <v>1874400</v>
      </c>
      <c r="J8746" s="10">
        <v>0.0394</v>
      </c>
    </row>
    <row r="8747" spans="1:10">
      <c r="A8747" s="7" t="s">
        <v>8781</v>
      </c>
      <c r="B8747" s="7" t="s">
        <v>10614</v>
      </c>
      <c r="C8747" s="8">
        <f>QS.CONTEXT.CREATE("market.8745",A8747,"USD","SOFR")</f>
        <v/>
      </c>
      <c r="D8747" s="8">
        <f>QS.CONTEXT.ADD.CURVE(C8747,"SOFR",$K$2:$K$7,$L$2:$L$7,,,"Actual360","LogLinear",TRUE)</f>
        <v/>
      </c>
      <c r="E8747" s="8">
        <f>QS.INSTRUMENT.SWAP("swap.8745",C8747,H8747,B8747,"USD","SOFR",I8747,J8747,0,"Actual360","Simple","Annual","Annual","Annual")</f>
        <v/>
      </c>
      <c r="F8747" s="8">
        <f>QS.TRADE.CREATE("trade.8745",C8747,E8747,A8747,"Receive")</f>
        <v/>
      </c>
      <c r="G8747" s="5"/>
      <c r="H8747" s="7" t="s">
        <v>8788</v>
      </c>
      <c r="I8747" s="9">
        <v>1874500</v>
      </c>
      <c r="J8747" s="10">
        <v>0.03950000000000001</v>
      </c>
    </row>
    <row r="8748" spans="1:10">
      <c r="A8748" s="7" t="s">
        <v>8782</v>
      </c>
      <c r="B8748" s="7" t="s">
        <v>10615</v>
      </c>
      <c r="C8748" s="8">
        <f>QS.CONTEXT.CREATE("market.8746",A8748,"USD","SOFR")</f>
        <v/>
      </c>
      <c r="D8748" s="8">
        <f>QS.CONTEXT.ADD.CURVE(C8748,"SOFR",$K$2:$K$7,$L$2:$L$7,,,"Actual360","LogLinear",TRUE)</f>
        <v/>
      </c>
      <c r="E8748" s="8">
        <f>QS.INSTRUMENT.SWAP("swap.8746",C8748,H8748,B8748,"USD","SOFR",I8748,J8748,0,"Actual360","Simple","Annual","Annual","Annual")</f>
        <v/>
      </c>
      <c r="F8748" s="8">
        <f>QS.TRADE.CREATE("trade.8746",C8748,E8748,A8748,"Receive")</f>
        <v/>
      </c>
      <c r="G8748" s="5"/>
      <c r="H8748" s="7" t="s">
        <v>8789</v>
      </c>
      <c r="I8748" s="9">
        <v>1874600</v>
      </c>
      <c r="J8748" s="10">
        <v>0.0396</v>
      </c>
    </row>
    <row r="8749" spans="1:10">
      <c r="A8749" s="7" t="s">
        <v>8783</v>
      </c>
      <c r="B8749" s="7" t="s">
        <v>10616</v>
      </c>
      <c r="C8749" s="8">
        <f>QS.CONTEXT.CREATE("market.8747",A8749,"USD","SOFR")</f>
        <v/>
      </c>
      <c r="D8749" s="8">
        <f>QS.CONTEXT.ADD.CURVE(C8749,"SOFR",$K$2:$K$7,$L$2:$L$7,,,"Actual360","LogLinear",TRUE)</f>
        <v/>
      </c>
      <c r="E8749" s="8">
        <f>QS.INSTRUMENT.SWAP("swap.8747",C8749,H8749,B8749,"USD","SOFR",I8749,J8749,0,"Actual360","Simple","Annual","Annual","Annual")</f>
        <v/>
      </c>
      <c r="F8749" s="8">
        <f>QS.TRADE.CREATE("trade.8747",C8749,E8749,A8749,"Receive")</f>
        <v/>
      </c>
      <c r="G8749" s="5"/>
      <c r="H8749" s="7" t="s">
        <v>8790</v>
      </c>
      <c r="I8749" s="9">
        <v>1874700</v>
      </c>
      <c r="J8749" s="10">
        <v>0.03970000000000001</v>
      </c>
    </row>
    <row r="8750" spans="1:10">
      <c r="A8750" s="7" t="s">
        <v>8784</v>
      </c>
      <c r="B8750" s="7" t="s">
        <v>10617</v>
      </c>
      <c r="C8750" s="8">
        <f>QS.CONTEXT.CREATE("market.8748",A8750,"USD","SOFR")</f>
        <v/>
      </c>
      <c r="D8750" s="8">
        <f>QS.CONTEXT.ADD.CURVE(C8750,"SOFR",$K$2:$K$7,$L$2:$L$7,,,"Actual360","LogLinear",TRUE)</f>
        <v/>
      </c>
      <c r="E8750" s="8">
        <f>QS.INSTRUMENT.SWAP("swap.8748",C8750,H8750,B8750,"USD","SOFR",I8750,J8750,0,"Actual360","Simple","Annual","Annual","Annual")</f>
        <v/>
      </c>
      <c r="F8750" s="8">
        <f>QS.TRADE.CREATE("trade.8748",C8750,E8750,A8750,"Receive")</f>
        <v/>
      </c>
      <c r="G8750" s="5"/>
      <c r="H8750" s="7" t="s">
        <v>8791</v>
      </c>
      <c r="I8750" s="9">
        <v>1874800</v>
      </c>
      <c r="J8750" s="10">
        <v>0.0398</v>
      </c>
    </row>
    <row r="8751" spans="1:10">
      <c r="A8751" s="7" t="s">
        <v>8785</v>
      </c>
      <c r="B8751" s="7" t="s">
        <v>10618</v>
      </c>
      <c r="C8751" s="8">
        <f>QS.CONTEXT.CREATE("market.8749",A8751,"USD","SOFR")</f>
        <v/>
      </c>
      <c r="D8751" s="8">
        <f>QS.CONTEXT.ADD.CURVE(C8751,"SOFR",$K$2:$K$7,$L$2:$L$7,,,"Actual360","LogLinear",TRUE)</f>
        <v/>
      </c>
      <c r="E8751" s="8">
        <f>QS.INSTRUMENT.SWAP("swap.8749",C8751,H8751,B8751,"USD","SOFR",I8751,J8751,0,"Actual360","Simple","Annual","Annual","Annual")</f>
        <v/>
      </c>
      <c r="F8751" s="8">
        <f>QS.TRADE.CREATE("trade.8749",C8751,E8751,A8751,"Receive")</f>
        <v/>
      </c>
      <c r="G8751" s="5"/>
      <c r="H8751" s="7" t="s">
        <v>8792</v>
      </c>
      <c r="I8751" s="9">
        <v>1874900</v>
      </c>
      <c r="J8751" s="10">
        <v>0.0399</v>
      </c>
    </row>
    <row r="8752" spans="1:10">
      <c r="A8752" s="7" t="s">
        <v>8786</v>
      </c>
      <c r="B8752" s="7" t="s">
        <v>10619</v>
      </c>
      <c r="C8752" s="8">
        <f>QS.CONTEXT.CREATE("market.8750",A8752,"USD","SOFR")</f>
        <v/>
      </c>
      <c r="D8752" s="8">
        <f>QS.CONTEXT.ADD.CURVE(C8752,"SOFR",$K$2:$K$7,$L$2:$L$7,,,"Actual360","LogLinear",TRUE)</f>
        <v/>
      </c>
      <c r="E8752" s="8">
        <f>QS.INSTRUMENT.SWAP("swap.8750",C8752,H8752,B8752,"USD","SOFR",I8752,J8752,0,"Actual360","Simple","Annual","Annual","Annual")</f>
        <v/>
      </c>
      <c r="F8752" s="8">
        <f>QS.TRADE.CREATE("trade.8750",C8752,E8752,A8752,"Receive")</f>
        <v/>
      </c>
      <c r="G8752" s="5"/>
      <c r="H8752" s="7" t="s">
        <v>8793</v>
      </c>
      <c r="I8752" s="9">
        <v>1875000</v>
      </c>
      <c r="J8752" s="10">
        <v>0.035</v>
      </c>
    </row>
    <row r="8753" spans="1:10">
      <c r="A8753" s="7" t="s">
        <v>8787</v>
      </c>
      <c r="B8753" s="7" t="s">
        <v>10620</v>
      </c>
      <c r="C8753" s="8">
        <f>QS.CONTEXT.CREATE("market.8751",A8753,"USD","SOFR")</f>
        <v/>
      </c>
      <c r="D8753" s="8">
        <f>QS.CONTEXT.ADD.CURVE(C8753,"SOFR",$K$2:$K$7,$L$2:$L$7,,,"Actual360","LogLinear",TRUE)</f>
        <v/>
      </c>
      <c r="E8753" s="8">
        <f>QS.INSTRUMENT.SWAP("swap.8751",C8753,H8753,B8753,"USD","SOFR",I8753,J8753,0,"Actual360","Simple","Annual","Annual","Annual")</f>
        <v/>
      </c>
      <c r="F8753" s="8">
        <f>QS.TRADE.CREATE("trade.8751",C8753,E8753,A8753,"Receive")</f>
        <v/>
      </c>
      <c r="G8753" s="5"/>
      <c r="H8753" s="7" t="s">
        <v>8794</v>
      </c>
      <c r="I8753" s="9">
        <v>1875100</v>
      </c>
      <c r="J8753" s="10">
        <v>0.03510000000000001</v>
      </c>
    </row>
    <row r="8754" spans="1:10">
      <c r="A8754" s="7" t="s">
        <v>8788</v>
      </c>
      <c r="B8754" s="7" t="s">
        <v>10621</v>
      </c>
      <c r="C8754" s="8">
        <f>QS.CONTEXT.CREATE("market.8752",A8754,"USD","SOFR")</f>
        <v/>
      </c>
      <c r="D8754" s="8">
        <f>QS.CONTEXT.ADD.CURVE(C8754,"SOFR",$K$2:$K$7,$L$2:$L$7,,,"Actual360","LogLinear",TRUE)</f>
        <v/>
      </c>
      <c r="E8754" s="8">
        <f>QS.INSTRUMENT.SWAP("swap.8752",C8754,H8754,B8754,"USD","SOFR",I8754,J8754,0,"Actual360","Simple","Annual","Annual","Annual")</f>
        <v/>
      </c>
      <c r="F8754" s="8">
        <f>QS.TRADE.CREATE("trade.8752",C8754,E8754,A8754,"Receive")</f>
        <v/>
      </c>
      <c r="G8754" s="5"/>
      <c r="H8754" s="7" t="s">
        <v>8795</v>
      </c>
      <c r="I8754" s="9">
        <v>1875200</v>
      </c>
      <c r="J8754" s="10">
        <v>0.0352</v>
      </c>
    </row>
    <row r="8755" spans="1:10">
      <c r="A8755" s="7" t="s">
        <v>8789</v>
      </c>
      <c r="B8755" s="7" t="s">
        <v>10622</v>
      </c>
      <c r="C8755" s="8">
        <f>QS.CONTEXT.CREATE("market.8753",A8755,"USD","SOFR")</f>
        <v/>
      </c>
      <c r="D8755" s="8">
        <f>QS.CONTEXT.ADD.CURVE(C8755,"SOFR",$K$2:$K$7,$L$2:$L$7,,,"Actual360","LogLinear",TRUE)</f>
        <v/>
      </c>
      <c r="E8755" s="8">
        <f>QS.INSTRUMENT.SWAP("swap.8753",C8755,H8755,B8755,"USD","SOFR",I8755,J8755,0,"Actual360","Simple","Annual","Annual","Annual")</f>
        <v/>
      </c>
      <c r="F8755" s="8">
        <f>QS.TRADE.CREATE("trade.8753",C8755,E8755,A8755,"Receive")</f>
        <v/>
      </c>
      <c r="G8755" s="5"/>
      <c r="H8755" s="7" t="s">
        <v>8796</v>
      </c>
      <c r="I8755" s="9">
        <v>1875300</v>
      </c>
      <c r="J8755" s="10">
        <v>0.0353</v>
      </c>
    </row>
    <row r="8756" spans="1:10">
      <c r="A8756" s="7" t="s">
        <v>8790</v>
      </c>
      <c r="B8756" s="7" t="s">
        <v>10623</v>
      </c>
      <c r="C8756" s="8">
        <f>QS.CONTEXT.CREATE("market.8754",A8756,"USD","SOFR")</f>
        <v/>
      </c>
      <c r="D8756" s="8">
        <f>QS.CONTEXT.ADD.CURVE(C8756,"SOFR",$K$2:$K$7,$L$2:$L$7,,,"Actual360","LogLinear",TRUE)</f>
        <v/>
      </c>
      <c r="E8756" s="8">
        <f>QS.INSTRUMENT.SWAP("swap.8754",C8756,H8756,B8756,"USD","SOFR",I8756,J8756,0,"Actual360","Simple","Annual","Annual","Annual")</f>
        <v/>
      </c>
      <c r="F8756" s="8">
        <f>QS.TRADE.CREATE("trade.8754",C8756,E8756,A8756,"Receive")</f>
        <v/>
      </c>
      <c r="G8756" s="5"/>
      <c r="H8756" s="7" t="s">
        <v>8797</v>
      </c>
      <c r="I8756" s="9">
        <v>1875400</v>
      </c>
      <c r="J8756" s="10">
        <v>0.0354</v>
      </c>
    </row>
    <row r="8757" spans="1:10">
      <c r="A8757" s="7" t="s">
        <v>8791</v>
      </c>
      <c r="B8757" s="7" t="s">
        <v>10624</v>
      </c>
      <c r="C8757" s="8">
        <f>QS.CONTEXT.CREATE("market.8755",A8757,"USD","SOFR")</f>
        <v/>
      </c>
      <c r="D8757" s="8">
        <f>QS.CONTEXT.ADD.CURVE(C8757,"SOFR",$K$2:$K$7,$L$2:$L$7,,,"Actual360","LogLinear",TRUE)</f>
        <v/>
      </c>
      <c r="E8757" s="8">
        <f>QS.INSTRUMENT.SWAP("swap.8755",C8757,H8757,B8757,"USD","SOFR",I8757,J8757,0,"Actual360","Simple","Annual","Annual","Annual")</f>
        <v/>
      </c>
      <c r="F8757" s="8">
        <f>QS.TRADE.CREATE("trade.8755",C8757,E8757,A8757,"Receive")</f>
        <v/>
      </c>
      <c r="G8757" s="5"/>
      <c r="H8757" s="7" t="s">
        <v>8798</v>
      </c>
      <c r="I8757" s="9">
        <v>1875500</v>
      </c>
      <c r="J8757" s="10">
        <v>0.0355</v>
      </c>
    </row>
    <row r="8758" spans="1:10">
      <c r="A8758" s="7" t="s">
        <v>8792</v>
      </c>
      <c r="B8758" s="7" t="s">
        <v>10625</v>
      </c>
      <c r="C8758" s="8">
        <f>QS.CONTEXT.CREATE("market.8756",A8758,"USD","SOFR")</f>
        <v/>
      </c>
      <c r="D8758" s="8">
        <f>QS.CONTEXT.ADD.CURVE(C8758,"SOFR",$K$2:$K$7,$L$2:$L$7,,,"Actual360","LogLinear",TRUE)</f>
        <v/>
      </c>
      <c r="E8758" s="8">
        <f>QS.INSTRUMENT.SWAP("swap.8756",C8758,H8758,B8758,"USD","SOFR",I8758,J8758,0,"Actual360","Simple","Annual","Annual","Annual")</f>
        <v/>
      </c>
      <c r="F8758" s="8">
        <f>QS.TRADE.CREATE("trade.8756",C8758,E8758,A8758,"Receive")</f>
        <v/>
      </c>
      <c r="G8758" s="5"/>
      <c r="H8758" s="7" t="s">
        <v>8799</v>
      </c>
      <c r="I8758" s="9">
        <v>1875600</v>
      </c>
      <c r="J8758" s="10">
        <v>0.03560000000000001</v>
      </c>
    </row>
    <row r="8759" spans="1:10">
      <c r="A8759" s="7" t="s">
        <v>8793</v>
      </c>
      <c r="B8759" s="7" t="s">
        <v>10626</v>
      </c>
      <c r="C8759" s="8">
        <f>QS.CONTEXT.CREATE("market.8757",A8759,"USD","SOFR")</f>
        <v/>
      </c>
      <c r="D8759" s="8">
        <f>QS.CONTEXT.ADD.CURVE(C8759,"SOFR",$K$2:$K$7,$L$2:$L$7,,,"Actual360","LogLinear",TRUE)</f>
        <v/>
      </c>
      <c r="E8759" s="8">
        <f>QS.INSTRUMENT.SWAP("swap.8757",C8759,H8759,B8759,"USD","SOFR",I8759,J8759,0,"Actual360","Simple","Annual","Annual","Annual")</f>
        <v/>
      </c>
      <c r="F8759" s="8">
        <f>QS.TRADE.CREATE("trade.8757",C8759,E8759,A8759,"Receive")</f>
        <v/>
      </c>
      <c r="G8759" s="5"/>
      <c r="H8759" s="7" t="s">
        <v>8800</v>
      </c>
      <c r="I8759" s="9">
        <v>1875700</v>
      </c>
      <c r="J8759" s="10">
        <v>0.0357</v>
      </c>
    </row>
    <row r="8760" spans="1:10">
      <c r="A8760" s="7" t="s">
        <v>8794</v>
      </c>
      <c r="B8760" s="7" t="s">
        <v>10627</v>
      </c>
      <c r="C8760" s="8">
        <f>QS.CONTEXT.CREATE("market.8758",A8760,"USD","SOFR")</f>
        <v/>
      </c>
      <c r="D8760" s="8">
        <f>QS.CONTEXT.ADD.CURVE(C8760,"SOFR",$K$2:$K$7,$L$2:$L$7,,,"Actual360","LogLinear",TRUE)</f>
        <v/>
      </c>
      <c r="E8760" s="8">
        <f>QS.INSTRUMENT.SWAP("swap.8758",C8760,H8760,B8760,"USD","SOFR",I8760,J8760,0,"Actual360","Simple","Annual","Annual","Annual")</f>
        <v/>
      </c>
      <c r="F8760" s="8">
        <f>QS.TRADE.CREATE("trade.8758",C8760,E8760,A8760,"Receive")</f>
        <v/>
      </c>
      <c r="G8760" s="5"/>
      <c r="H8760" s="7" t="s">
        <v>8801</v>
      </c>
      <c r="I8760" s="9">
        <v>1875800</v>
      </c>
      <c r="J8760" s="10">
        <v>0.03580000000000001</v>
      </c>
    </row>
    <row r="8761" spans="1:10">
      <c r="A8761" s="7" t="s">
        <v>8795</v>
      </c>
      <c r="B8761" s="7" t="s">
        <v>10628</v>
      </c>
      <c r="C8761" s="8">
        <f>QS.CONTEXT.CREATE("market.8759",A8761,"USD","SOFR")</f>
        <v/>
      </c>
      <c r="D8761" s="8">
        <f>QS.CONTEXT.ADD.CURVE(C8761,"SOFR",$K$2:$K$7,$L$2:$L$7,,,"Actual360","LogLinear",TRUE)</f>
        <v/>
      </c>
      <c r="E8761" s="8">
        <f>QS.INSTRUMENT.SWAP("swap.8759",C8761,H8761,B8761,"USD","SOFR",I8761,J8761,0,"Actual360","Simple","Annual","Annual","Annual")</f>
        <v/>
      </c>
      <c r="F8761" s="8">
        <f>QS.TRADE.CREATE("trade.8759",C8761,E8761,A8761,"Receive")</f>
        <v/>
      </c>
      <c r="G8761" s="5"/>
      <c r="H8761" s="7" t="s">
        <v>8802</v>
      </c>
      <c r="I8761" s="9">
        <v>1875900</v>
      </c>
      <c r="J8761" s="10">
        <v>0.0359</v>
      </c>
    </row>
    <row r="8762" spans="1:10">
      <c r="A8762" s="7" t="s">
        <v>8796</v>
      </c>
      <c r="B8762" s="7" t="s">
        <v>10629</v>
      </c>
      <c r="C8762" s="8">
        <f>QS.CONTEXT.CREATE("market.8760",A8762,"USD","SOFR")</f>
        <v/>
      </c>
      <c r="D8762" s="8">
        <f>QS.CONTEXT.ADD.CURVE(C8762,"SOFR",$K$2:$K$7,$L$2:$L$7,,,"Actual360","LogLinear",TRUE)</f>
        <v/>
      </c>
      <c r="E8762" s="8">
        <f>QS.INSTRUMENT.SWAP("swap.8760",C8762,H8762,B8762,"USD","SOFR",I8762,J8762,0,"Actual360","Simple","Annual","Annual","Annual")</f>
        <v/>
      </c>
      <c r="F8762" s="8">
        <f>QS.TRADE.CREATE("trade.8760",C8762,E8762,A8762,"Receive")</f>
        <v/>
      </c>
      <c r="G8762" s="5"/>
      <c r="H8762" s="7" t="s">
        <v>8803</v>
      </c>
      <c r="I8762" s="9">
        <v>1876000</v>
      </c>
      <c r="J8762" s="10">
        <v>0.036</v>
      </c>
    </row>
    <row r="8763" spans="1:10">
      <c r="A8763" s="7" t="s">
        <v>8797</v>
      </c>
      <c r="B8763" s="7" t="s">
        <v>10630</v>
      </c>
      <c r="C8763" s="8">
        <f>QS.CONTEXT.CREATE("market.8761",A8763,"USD","SOFR")</f>
        <v/>
      </c>
      <c r="D8763" s="8">
        <f>QS.CONTEXT.ADD.CURVE(C8763,"SOFR",$K$2:$K$7,$L$2:$L$7,,,"Actual360","LogLinear",TRUE)</f>
        <v/>
      </c>
      <c r="E8763" s="8">
        <f>QS.INSTRUMENT.SWAP("swap.8761",C8763,H8763,B8763,"USD","SOFR",I8763,J8763,0,"Actual360","Simple","Annual","Annual","Annual")</f>
        <v/>
      </c>
      <c r="F8763" s="8">
        <f>QS.TRADE.CREATE("trade.8761",C8763,E8763,A8763,"Receive")</f>
        <v/>
      </c>
      <c r="G8763" s="5"/>
      <c r="H8763" s="7" t="s">
        <v>8804</v>
      </c>
      <c r="I8763" s="9">
        <v>1876100</v>
      </c>
      <c r="J8763" s="10">
        <v>0.0361</v>
      </c>
    </row>
    <row r="8764" spans="1:10">
      <c r="A8764" s="7" t="s">
        <v>8798</v>
      </c>
      <c r="B8764" s="7" t="s">
        <v>10631</v>
      </c>
      <c r="C8764" s="8">
        <f>QS.CONTEXT.CREATE("market.8762",A8764,"USD","SOFR")</f>
        <v/>
      </c>
      <c r="D8764" s="8">
        <f>QS.CONTEXT.ADD.CURVE(C8764,"SOFR",$K$2:$K$7,$L$2:$L$7,,,"Actual360","LogLinear",TRUE)</f>
        <v/>
      </c>
      <c r="E8764" s="8">
        <f>QS.INSTRUMENT.SWAP("swap.8762",C8764,H8764,B8764,"USD","SOFR",I8764,J8764,0,"Actual360","Simple","Annual","Annual","Annual")</f>
        <v/>
      </c>
      <c r="F8764" s="8">
        <f>QS.TRADE.CREATE("trade.8762",C8764,E8764,A8764,"Receive")</f>
        <v/>
      </c>
      <c r="G8764" s="5"/>
      <c r="H8764" s="7" t="s">
        <v>8805</v>
      </c>
      <c r="I8764" s="9">
        <v>1876200</v>
      </c>
      <c r="J8764" s="10">
        <v>0.0362</v>
      </c>
    </row>
    <row r="8765" spans="1:10">
      <c r="A8765" s="7" t="s">
        <v>8799</v>
      </c>
      <c r="B8765" s="7" t="s">
        <v>10632</v>
      </c>
      <c r="C8765" s="8">
        <f>QS.CONTEXT.CREATE("market.8763",A8765,"USD","SOFR")</f>
        <v/>
      </c>
      <c r="D8765" s="8">
        <f>QS.CONTEXT.ADD.CURVE(C8765,"SOFR",$K$2:$K$7,$L$2:$L$7,,,"Actual360","LogLinear",TRUE)</f>
        <v/>
      </c>
      <c r="E8765" s="8">
        <f>QS.INSTRUMENT.SWAP("swap.8763",C8765,H8765,B8765,"USD","SOFR",I8765,J8765,0,"Actual360","Simple","Annual","Annual","Annual")</f>
        <v/>
      </c>
      <c r="F8765" s="8">
        <f>QS.TRADE.CREATE("trade.8763",C8765,E8765,A8765,"Receive")</f>
        <v/>
      </c>
      <c r="G8765" s="5"/>
      <c r="H8765" s="7" t="s">
        <v>8806</v>
      </c>
      <c r="I8765" s="9">
        <v>1876300</v>
      </c>
      <c r="J8765" s="10">
        <v>0.03630000000000001</v>
      </c>
    </row>
    <row r="8766" spans="1:10">
      <c r="A8766" s="7" t="s">
        <v>8800</v>
      </c>
      <c r="B8766" s="7" t="s">
        <v>10633</v>
      </c>
      <c r="C8766" s="8">
        <f>QS.CONTEXT.CREATE("market.8764",A8766,"USD","SOFR")</f>
        <v/>
      </c>
      <c r="D8766" s="8">
        <f>QS.CONTEXT.ADD.CURVE(C8766,"SOFR",$K$2:$K$7,$L$2:$L$7,,,"Actual360","LogLinear",TRUE)</f>
        <v/>
      </c>
      <c r="E8766" s="8">
        <f>QS.INSTRUMENT.SWAP("swap.8764",C8766,H8766,B8766,"USD","SOFR",I8766,J8766,0,"Actual360","Simple","Annual","Annual","Annual")</f>
        <v/>
      </c>
      <c r="F8766" s="8">
        <f>QS.TRADE.CREATE("trade.8764",C8766,E8766,A8766,"Receive")</f>
        <v/>
      </c>
      <c r="G8766" s="5"/>
      <c r="H8766" s="7" t="s">
        <v>8807</v>
      </c>
      <c r="I8766" s="9">
        <v>1876400</v>
      </c>
      <c r="J8766" s="10">
        <v>0.0364</v>
      </c>
    </row>
    <row r="8767" spans="1:10">
      <c r="A8767" s="7" t="s">
        <v>8801</v>
      </c>
      <c r="B8767" s="7" t="s">
        <v>10634</v>
      </c>
      <c r="C8767" s="8">
        <f>QS.CONTEXT.CREATE("market.8765",A8767,"USD","SOFR")</f>
        <v/>
      </c>
      <c r="D8767" s="8">
        <f>QS.CONTEXT.ADD.CURVE(C8767,"SOFR",$K$2:$K$7,$L$2:$L$7,,,"Actual360","LogLinear",TRUE)</f>
        <v/>
      </c>
      <c r="E8767" s="8">
        <f>QS.INSTRUMENT.SWAP("swap.8765",C8767,H8767,B8767,"USD","SOFR",I8767,J8767,0,"Actual360","Simple","Annual","Annual","Annual")</f>
        <v/>
      </c>
      <c r="F8767" s="8">
        <f>QS.TRADE.CREATE("trade.8765",C8767,E8767,A8767,"Receive")</f>
        <v/>
      </c>
      <c r="G8767" s="5"/>
      <c r="H8767" s="7" t="s">
        <v>8808</v>
      </c>
      <c r="I8767" s="9">
        <v>1876500</v>
      </c>
      <c r="J8767" s="10">
        <v>0.0365</v>
      </c>
    </row>
    <row r="8768" spans="1:10">
      <c r="A8768" s="7" t="s">
        <v>8802</v>
      </c>
      <c r="B8768" s="7" t="s">
        <v>10635</v>
      </c>
      <c r="C8768" s="8">
        <f>QS.CONTEXT.CREATE("market.8766",A8768,"USD","SOFR")</f>
        <v/>
      </c>
      <c r="D8768" s="8">
        <f>QS.CONTEXT.ADD.CURVE(C8768,"SOFR",$K$2:$K$7,$L$2:$L$7,,,"Actual360","LogLinear",TRUE)</f>
        <v/>
      </c>
      <c r="E8768" s="8">
        <f>QS.INSTRUMENT.SWAP("swap.8766",C8768,H8768,B8768,"USD","SOFR",I8768,J8768,0,"Actual360","Simple","Annual","Annual","Annual")</f>
        <v/>
      </c>
      <c r="F8768" s="8">
        <f>QS.TRADE.CREATE("trade.8766",C8768,E8768,A8768,"Receive")</f>
        <v/>
      </c>
      <c r="G8768" s="5"/>
      <c r="H8768" s="7" t="s">
        <v>8809</v>
      </c>
      <c r="I8768" s="9">
        <v>1876600</v>
      </c>
      <c r="J8768" s="10">
        <v>0.0366</v>
      </c>
    </row>
    <row r="8769" spans="1:10">
      <c r="A8769" s="7" t="s">
        <v>8803</v>
      </c>
      <c r="B8769" s="7" t="s">
        <v>10636</v>
      </c>
      <c r="C8769" s="8">
        <f>QS.CONTEXT.CREATE("market.8767",A8769,"USD","SOFR")</f>
        <v/>
      </c>
      <c r="D8769" s="8">
        <f>QS.CONTEXT.ADD.CURVE(C8769,"SOFR",$K$2:$K$7,$L$2:$L$7,,,"Actual360","LogLinear",TRUE)</f>
        <v/>
      </c>
      <c r="E8769" s="8">
        <f>QS.INSTRUMENT.SWAP("swap.8767",C8769,H8769,B8769,"USD","SOFR",I8769,J8769,0,"Actual360","Simple","Annual","Annual","Annual")</f>
        <v/>
      </c>
      <c r="F8769" s="8">
        <f>QS.TRADE.CREATE("trade.8767",C8769,E8769,A8769,"Receive")</f>
        <v/>
      </c>
      <c r="G8769" s="5"/>
      <c r="H8769" s="7" t="s">
        <v>8810</v>
      </c>
      <c r="I8769" s="9">
        <v>1876700</v>
      </c>
      <c r="J8769" s="10">
        <v>0.0367</v>
      </c>
    </row>
    <row r="8770" spans="1:10">
      <c r="A8770" s="7" t="s">
        <v>8804</v>
      </c>
      <c r="B8770" s="7" t="s">
        <v>10637</v>
      </c>
      <c r="C8770" s="8">
        <f>QS.CONTEXT.CREATE("market.8768",A8770,"USD","SOFR")</f>
        <v/>
      </c>
      <c r="D8770" s="8">
        <f>QS.CONTEXT.ADD.CURVE(C8770,"SOFR",$K$2:$K$7,$L$2:$L$7,,,"Actual360","LogLinear",TRUE)</f>
        <v/>
      </c>
      <c r="E8770" s="8">
        <f>QS.INSTRUMENT.SWAP("swap.8768",C8770,H8770,B8770,"USD","SOFR",I8770,J8770,0,"Actual360","Simple","Annual","Annual","Annual")</f>
        <v/>
      </c>
      <c r="F8770" s="8">
        <f>QS.TRADE.CREATE("trade.8768",C8770,E8770,A8770,"Receive")</f>
        <v/>
      </c>
      <c r="G8770" s="5"/>
      <c r="H8770" s="7" t="s">
        <v>8811</v>
      </c>
      <c r="I8770" s="9">
        <v>1876800</v>
      </c>
      <c r="J8770" s="10">
        <v>0.03680000000000001</v>
      </c>
    </row>
    <row r="8771" spans="1:10">
      <c r="A8771" s="7" t="s">
        <v>8805</v>
      </c>
      <c r="B8771" s="7" t="s">
        <v>10638</v>
      </c>
      <c r="C8771" s="8">
        <f>QS.CONTEXT.CREATE("market.8769",A8771,"USD","SOFR")</f>
        <v/>
      </c>
      <c r="D8771" s="8">
        <f>QS.CONTEXT.ADD.CURVE(C8771,"SOFR",$K$2:$K$7,$L$2:$L$7,,,"Actual360","LogLinear",TRUE)</f>
        <v/>
      </c>
      <c r="E8771" s="8">
        <f>QS.INSTRUMENT.SWAP("swap.8769",C8771,H8771,B8771,"USD","SOFR",I8771,J8771,0,"Actual360","Simple","Annual","Annual","Annual")</f>
        <v/>
      </c>
      <c r="F8771" s="8">
        <f>QS.TRADE.CREATE("trade.8769",C8771,E8771,A8771,"Receive")</f>
        <v/>
      </c>
      <c r="G8771" s="5"/>
      <c r="H8771" s="7" t="s">
        <v>8812</v>
      </c>
      <c r="I8771" s="9">
        <v>1876900</v>
      </c>
      <c r="J8771" s="10">
        <v>0.0369</v>
      </c>
    </row>
    <row r="8772" spans="1:10">
      <c r="A8772" s="7" t="s">
        <v>8806</v>
      </c>
      <c r="B8772" s="7" t="s">
        <v>10639</v>
      </c>
      <c r="C8772" s="8">
        <f>QS.CONTEXT.CREATE("market.8770",A8772,"USD","SOFR")</f>
        <v/>
      </c>
      <c r="D8772" s="8">
        <f>QS.CONTEXT.ADD.CURVE(C8772,"SOFR",$K$2:$K$7,$L$2:$L$7,,,"Actual360","LogLinear",TRUE)</f>
        <v/>
      </c>
      <c r="E8772" s="8">
        <f>QS.INSTRUMENT.SWAP("swap.8770",C8772,H8772,B8772,"USD","SOFR",I8772,J8772,0,"Actual360","Simple","Annual","Annual","Annual")</f>
        <v/>
      </c>
      <c r="F8772" s="8">
        <f>QS.TRADE.CREATE("trade.8770",C8772,E8772,A8772,"Receive")</f>
        <v/>
      </c>
      <c r="G8772" s="5"/>
      <c r="H8772" s="7" t="s">
        <v>8813</v>
      </c>
      <c r="I8772" s="9">
        <v>1877000</v>
      </c>
      <c r="J8772" s="10">
        <v>0.03700000000000001</v>
      </c>
    </row>
    <row r="8773" spans="1:10">
      <c r="A8773" s="7" t="s">
        <v>8807</v>
      </c>
      <c r="B8773" s="7" t="s">
        <v>10640</v>
      </c>
      <c r="C8773" s="8">
        <f>QS.CONTEXT.CREATE("market.8771",A8773,"USD","SOFR")</f>
        <v/>
      </c>
      <c r="D8773" s="8">
        <f>QS.CONTEXT.ADD.CURVE(C8773,"SOFR",$K$2:$K$7,$L$2:$L$7,,,"Actual360","LogLinear",TRUE)</f>
        <v/>
      </c>
      <c r="E8773" s="8">
        <f>QS.INSTRUMENT.SWAP("swap.8771",C8773,H8773,B8773,"USD","SOFR",I8773,J8773,0,"Actual360","Simple","Annual","Annual","Annual")</f>
        <v/>
      </c>
      <c r="F8773" s="8">
        <f>QS.TRADE.CREATE("trade.8771",C8773,E8773,A8773,"Receive")</f>
        <v/>
      </c>
      <c r="G8773" s="5"/>
      <c r="H8773" s="7" t="s">
        <v>8814</v>
      </c>
      <c r="I8773" s="9">
        <v>1877100</v>
      </c>
      <c r="J8773" s="10">
        <v>0.0371</v>
      </c>
    </row>
    <row r="8774" spans="1:10">
      <c r="A8774" s="7" t="s">
        <v>8808</v>
      </c>
      <c r="B8774" s="7" t="s">
        <v>10641</v>
      </c>
      <c r="C8774" s="8">
        <f>QS.CONTEXT.CREATE("market.8772",A8774,"USD","SOFR")</f>
        <v/>
      </c>
      <c r="D8774" s="8">
        <f>QS.CONTEXT.ADD.CURVE(C8774,"SOFR",$K$2:$K$7,$L$2:$L$7,,,"Actual360","LogLinear",TRUE)</f>
        <v/>
      </c>
      <c r="E8774" s="8">
        <f>QS.INSTRUMENT.SWAP("swap.8772",C8774,H8774,B8774,"USD","SOFR",I8774,J8774,0,"Actual360","Simple","Annual","Annual","Annual")</f>
        <v/>
      </c>
      <c r="F8774" s="8">
        <f>QS.TRADE.CREATE("trade.8772",C8774,E8774,A8774,"Receive")</f>
        <v/>
      </c>
      <c r="G8774" s="5"/>
      <c r="H8774" s="7" t="s">
        <v>8815</v>
      </c>
      <c r="I8774" s="9">
        <v>1877200</v>
      </c>
      <c r="J8774" s="10">
        <v>0.0372</v>
      </c>
    </row>
    <row r="8775" spans="1:10">
      <c r="A8775" s="7" t="s">
        <v>8809</v>
      </c>
      <c r="B8775" s="7" t="s">
        <v>10642</v>
      </c>
      <c r="C8775" s="8">
        <f>QS.CONTEXT.CREATE("market.8773",A8775,"USD","SOFR")</f>
        <v/>
      </c>
      <c r="D8775" s="8">
        <f>QS.CONTEXT.ADD.CURVE(C8775,"SOFR",$K$2:$K$7,$L$2:$L$7,,,"Actual360","LogLinear",TRUE)</f>
        <v/>
      </c>
      <c r="E8775" s="8">
        <f>QS.INSTRUMENT.SWAP("swap.8773",C8775,H8775,B8775,"USD","SOFR",I8775,J8775,0,"Actual360","Simple","Annual","Annual","Annual")</f>
        <v/>
      </c>
      <c r="F8775" s="8">
        <f>QS.TRADE.CREATE("trade.8773",C8775,E8775,A8775,"Receive")</f>
        <v/>
      </c>
      <c r="G8775" s="5"/>
      <c r="H8775" s="7" t="s">
        <v>8816</v>
      </c>
      <c r="I8775" s="9">
        <v>1877300</v>
      </c>
      <c r="J8775" s="10">
        <v>0.0373</v>
      </c>
    </row>
    <row r="8776" spans="1:10">
      <c r="A8776" s="7" t="s">
        <v>8810</v>
      </c>
      <c r="B8776" s="7" t="s">
        <v>10643</v>
      </c>
      <c r="C8776" s="8">
        <f>QS.CONTEXT.CREATE("market.8774",A8776,"USD","SOFR")</f>
        <v/>
      </c>
      <c r="D8776" s="8">
        <f>QS.CONTEXT.ADD.CURVE(C8776,"SOFR",$K$2:$K$7,$L$2:$L$7,,,"Actual360","LogLinear",TRUE)</f>
        <v/>
      </c>
      <c r="E8776" s="8">
        <f>QS.INSTRUMENT.SWAP("swap.8774",C8776,H8776,B8776,"USD","SOFR",I8776,J8776,0,"Actual360","Simple","Annual","Annual","Annual")</f>
        <v/>
      </c>
      <c r="F8776" s="8">
        <f>QS.TRADE.CREATE("trade.8774",C8776,E8776,A8776,"Receive")</f>
        <v/>
      </c>
      <c r="G8776" s="5"/>
      <c r="H8776" s="7" t="s">
        <v>8817</v>
      </c>
      <c r="I8776" s="9">
        <v>1877400</v>
      </c>
      <c r="J8776" s="10">
        <v>0.0374</v>
      </c>
    </row>
    <row r="8777" spans="1:10">
      <c r="A8777" s="7" t="s">
        <v>8811</v>
      </c>
      <c r="B8777" s="7" t="s">
        <v>10644</v>
      </c>
      <c r="C8777" s="8">
        <f>QS.CONTEXT.CREATE("market.8775",A8777,"USD","SOFR")</f>
        <v/>
      </c>
      <c r="D8777" s="8">
        <f>QS.CONTEXT.ADD.CURVE(C8777,"SOFR",$K$2:$K$7,$L$2:$L$7,,,"Actual360","LogLinear",TRUE)</f>
        <v/>
      </c>
      <c r="E8777" s="8">
        <f>QS.INSTRUMENT.SWAP("swap.8775",C8777,H8777,B8777,"USD","SOFR",I8777,J8777,0,"Actual360","Simple","Annual","Annual","Annual")</f>
        <v/>
      </c>
      <c r="F8777" s="8">
        <f>QS.TRADE.CREATE("trade.8775",C8777,E8777,A8777,"Receive")</f>
        <v/>
      </c>
      <c r="G8777" s="5"/>
      <c r="H8777" s="7" t="s">
        <v>8818</v>
      </c>
      <c r="I8777" s="9">
        <v>1877500</v>
      </c>
      <c r="J8777" s="10">
        <v>0.03750000000000001</v>
      </c>
    </row>
    <row r="8778" spans="1:10">
      <c r="A8778" s="7" t="s">
        <v>8812</v>
      </c>
      <c r="B8778" s="7" t="s">
        <v>10645</v>
      </c>
      <c r="C8778" s="8">
        <f>QS.CONTEXT.CREATE("market.8776",A8778,"USD","SOFR")</f>
        <v/>
      </c>
      <c r="D8778" s="8">
        <f>QS.CONTEXT.ADD.CURVE(C8778,"SOFR",$K$2:$K$7,$L$2:$L$7,,,"Actual360","LogLinear",TRUE)</f>
        <v/>
      </c>
      <c r="E8778" s="8">
        <f>QS.INSTRUMENT.SWAP("swap.8776",C8778,H8778,B8778,"USD","SOFR",I8778,J8778,0,"Actual360","Simple","Annual","Annual","Annual")</f>
        <v/>
      </c>
      <c r="F8778" s="8">
        <f>QS.TRADE.CREATE("trade.8776",C8778,E8778,A8778,"Receive")</f>
        <v/>
      </c>
      <c r="G8778" s="5"/>
      <c r="H8778" s="7" t="s">
        <v>8819</v>
      </c>
      <c r="I8778" s="9">
        <v>1877600</v>
      </c>
      <c r="J8778" s="10">
        <v>0.0376</v>
      </c>
    </row>
    <row r="8779" spans="1:10">
      <c r="A8779" s="7" t="s">
        <v>8813</v>
      </c>
      <c r="B8779" s="7" t="s">
        <v>10646</v>
      </c>
      <c r="C8779" s="8">
        <f>QS.CONTEXT.CREATE("market.8777",A8779,"USD","SOFR")</f>
        <v/>
      </c>
      <c r="D8779" s="8">
        <f>QS.CONTEXT.ADD.CURVE(C8779,"SOFR",$K$2:$K$7,$L$2:$L$7,,,"Actual360","LogLinear",TRUE)</f>
        <v/>
      </c>
      <c r="E8779" s="8">
        <f>QS.INSTRUMENT.SWAP("swap.8777",C8779,H8779,B8779,"USD","SOFR",I8779,J8779,0,"Actual360","Simple","Annual","Annual","Annual")</f>
        <v/>
      </c>
      <c r="F8779" s="8">
        <f>QS.TRADE.CREATE("trade.8777",C8779,E8779,A8779,"Receive")</f>
        <v/>
      </c>
      <c r="G8779" s="5"/>
      <c r="H8779" s="7" t="s">
        <v>8820</v>
      </c>
      <c r="I8779" s="9">
        <v>1877700</v>
      </c>
      <c r="J8779" s="10">
        <v>0.0377</v>
      </c>
    </row>
    <row r="8780" spans="1:10">
      <c r="A8780" s="7" t="s">
        <v>8814</v>
      </c>
      <c r="B8780" s="7" t="s">
        <v>10647</v>
      </c>
      <c r="C8780" s="8">
        <f>QS.CONTEXT.CREATE("market.8778",A8780,"USD","SOFR")</f>
        <v/>
      </c>
      <c r="D8780" s="8">
        <f>QS.CONTEXT.ADD.CURVE(C8780,"SOFR",$K$2:$K$7,$L$2:$L$7,,,"Actual360","LogLinear",TRUE)</f>
        <v/>
      </c>
      <c r="E8780" s="8">
        <f>QS.INSTRUMENT.SWAP("swap.8778",C8780,H8780,B8780,"USD","SOFR",I8780,J8780,0,"Actual360","Simple","Annual","Annual","Annual")</f>
        <v/>
      </c>
      <c r="F8780" s="8">
        <f>QS.TRADE.CREATE("trade.8778",C8780,E8780,A8780,"Receive")</f>
        <v/>
      </c>
      <c r="G8780" s="5"/>
      <c r="H8780" s="7" t="s">
        <v>8821</v>
      </c>
      <c r="I8780" s="9">
        <v>1877800</v>
      </c>
      <c r="J8780" s="10">
        <v>0.0378</v>
      </c>
    </row>
    <row r="8781" spans="1:10">
      <c r="A8781" s="7" t="s">
        <v>8815</v>
      </c>
      <c r="B8781" s="7" t="s">
        <v>10648</v>
      </c>
      <c r="C8781" s="8">
        <f>QS.CONTEXT.CREATE("market.8779",A8781,"USD","SOFR")</f>
        <v/>
      </c>
      <c r="D8781" s="8">
        <f>QS.CONTEXT.ADD.CURVE(C8781,"SOFR",$K$2:$K$7,$L$2:$L$7,,,"Actual360","LogLinear",TRUE)</f>
        <v/>
      </c>
      <c r="E8781" s="8">
        <f>QS.INSTRUMENT.SWAP("swap.8779",C8781,H8781,B8781,"USD","SOFR",I8781,J8781,0,"Actual360","Simple","Annual","Annual","Annual")</f>
        <v/>
      </c>
      <c r="F8781" s="8">
        <f>QS.TRADE.CREATE("trade.8779",C8781,E8781,A8781,"Receive")</f>
        <v/>
      </c>
      <c r="G8781" s="5"/>
      <c r="H8781" s="7" t="s">
        <v>8822</v>
      </c>
      <c r="I8781" s="9">
        <v>1877900</v>
      </c>
      <c r="J8781" s="10">
        <v>0.0379</v>
      </c>
    </row>
    <row r="8782" spans="1:10">
      <c r="A8782" s="7" t="s">
        <v>8816</v>
      </c>
      <c r="B8782" s="7" t="s">
        <v>10649</v>
      </c>
      <c r="C8782" s="8">
        <f>QS.CONTEXT.CREATE("market.8780",A8782,"USD","SOFR")</f>
        <v/>
      </c>
      <c r="D8782" s="8">
        <f>QS.CONTEXT.ADD.CURVE(C8782,"SOFR",$K$2:$K$7,$L$2:$L$7,,,"Actual360","LogLinear",TRUE)</f>
        <v/>
      </c>
      <c r="E8782" s="8">
        <f>QS.INSTRUMENT.SWAP("swap.8780",C8782,H8782,B8782,"USD","SOFR",I8782,J8782,0,"Actual360","Simple","Annual","Annual","Annual")</f>
        <v/>
      </c>
      <c r="F8782" s="8">
        <f>QS.TRADE.CREATE("trade.8780",C8782,E8782,A8782,"Receive")</f>
        <v/>
      </c>
      <c r="G8782" s="5"/>
      <c r="H8782" s="7" t="s">
        <v>8823</v>
      </c>
      <c r="I8782" s="9">
        <v>1878000</v>
      </c>
      <c r="J8782" s="10">
        <v>0.03800000000000001</v>
      </c>
    </row>
    <row r="8783" spans="1:10">
      <c r="A8783" s="7" t="s">
        <v>8817</v>
      </c>
      <c r="B8783" s="7" t="s">
        <v>10650</v>
      </c>
      <c r="C8783" s="8">
        <f>QS.CONTEXT.CREATE("market.8781",A8783,"USD","SOFR")</f>
        <v/>
      </c>
      <c r="D8783" s="8">
        <f>QS.CONTEXT.ADD.CURVE(C8783,"SOFR",$K$2:$K$7,$L$2:$L$7,,,"Actual360","LogLinear",TRUE)</f>
        <v/>
      </c>
      <c r="E8783" s="8">
        <f>QS.INSTRUMENT.SWAP("swap.8781",C8783,H8783,B8783,"USD","SOFR",I8783,J8783,0,"Actual360","Simple","Annual","Annual","Annual")</f>
        <v/>
      </c>
      <c r="F8783" s="8">
        <f>QS.TRADE.CREATE("trade.8781",C8783,E8783,A8783,"Receive")</f>
        <v/>
      </c>
      <c r="G8783" s="5"/>
      <c r="H8783" s="7" t="s">
        <v>8824</v>
      </c>
      <c r="I8783" s="9">
        <v>1878100</v>
      </c>
      <c r="J8783" s="10">
        <v>0.0381</v>
      </c>
    </row>
    <row r="8784" spans="1:10">
      <c r="A8784" s="7" t="s">
        <v>8818</v>
      </c>
      <c r="B8784" s="7" t="s">
        <v>10651</v>
      </c>
      <c r="C8784" s="8">
        <f>QS.CONTEXT.CREATE("market.8782",A8784,"USD","SOFR")</f>
        <v/>
      </c>
      <c r="D8784" s="8">
        <f>QS.CONTEXT.ADD.CURVE(C8784,"SOFR",$K$2:$K$7,$L$2:$L$7,,,"Actual360","LogLinear",TRUE)</f>
        <v/>
      </c>
      <c r="E8784" s="8">
        <f>QS.INSTRUMENT.SWAP("swap.8782",C8784,H8784,B8784,"USD","SOFR",I8784,J8784,0,"Actual360","Simple","Annual","Annual","Annual")</f>
        <v/>
      </c>
      <c r="F8784" s="8">
        <f>QS.TRADE.CREATE("trade.8782",C8784,E8784,A8784,"Receive")</f>
        <v/>
      </c>
      <c r="G8784" s="5"/>
      <c r="H8784" s="7" t="s">
        <v>8825</v>
      </c>
      <c r="I8784" s="9">
        <v>1878200</v>
      </c>
      <c r="J8784" s="10">
        <v>0.0382</v>
      </c>
    </row>
    <row r="8785" spans="1:10">
      <c r="A8785" s="7" t="s">
        <v>8819</v>
      </c>
      <c r="B8785" s="7" t="s">
        <v>10652</v>
      </c>
      <c r="C8785" s="8">
        <f>QS.CONTEXT.CREATE("market.8783",A8785,"USD","SOFR")</f>
        <v/>
      </c>
      <c r="D8785" s="8">
        <f>QS.CONTEXT.ADD.CURVE(C8785,"SOFR",$K$2:$K$7,$L$2:$L$7,,,"Actual360","LogLinear",TRUE)</f>
        <v/>
      </c>
      <c r="E8785" s="8">
        <f>QS.INSTRUMENT.SWAP("swap.8783",C8785,H8785,B8785,"USD","SOFR",I8785,J8785,0,"Actual360","Simple","Annual","Annual","Annual")</f>
        <v/>
      </c>
      <c r="F8785" s="8">
        <f>QS.TRADE.CREATE("trade.8783",C8785,E8785,A8785,"Receive")</f>
        <v/>
      </c>
      <c r="G8785" s="5"/>
      <c r="H8785" s="7" t="s">
        <v>8826</v>
      </c>
      <c r="I8785" s="9">
        <v>1878300</v>
      </c>
      <c r="J8785" s="10">
        <v>0.0383</v>
      </c>
    </row>
    <row r="8786" spans="1:10">
      <c r="A8786" s="7" t="s">
        <v>8820</v>
      </c>
      <c r="B8786" s="7" t="s">
        <v>10653</v>
      </c>
      <c r="C8786" s="8">
        <f>QS.CONTEXT.CREATE("market.8784",A8786,"USD","SOFR")</f>
        <v/>
      </c>
      <c r="D8786" s="8">
        <f>QS.CONTEXT.ADD.CURVE(C8786,"SOFR",$K$2:$K$7,$L$2:$L$7,,,"Actual360","LogLinear",TRUE)</f>
        <v/>
      </c>
      <c r="E8786" s="8">
        <f>QS.INSTRUMENT.SWAP("swap.8784",C8786,H8786,B8786,"USD","SOFR",I8786,J8786,0,"Actual360","Simple","Annual","Annual","Annual")</f>
        <v/>
      </c>
      <c r="F8786" s="8">
        <f>QS.TRADE.CREATE("trade.8784",C8786,E8786,A8786,"Receive")</f>
        <v/>
      </c>
      <c r="G8786" s="5"/>
      <c r="H8786" s="7" t="s">
        <v>8827</v>
      </c>
      <c r="I8786" s="9">
        <v>1878400</v>
      </c>
      <c r="J8786" s="10">
        <v>0.0384</v>
      </c>
    </row>
    <row r="8787" spans="1:10">
      <c r="A8787" s="7" t="s">
        <v>8821</v>
      </c>
      <c r="B8787" s="7" t="s">
        <v>10654</v>
      </c>
      <c r="C8787" s="8">
        <f>QS.CONTEXT.CREATE("market.8785",A8787,"USD","SOFR")</f>
        <v/>
      </c>
      <c r="D8787" s="8">
        <f>QS.CONTEXT.ADD.CURVE(C8787,"SOFR",$K$2:$K$7,$L$2:$L$7,,,"Actual360","LogLinear",TRUE)</f>
        <v/>
      </c>
      <c r="E8787" s="8">
        <f>QS.INSTRUMENT.SWAP("swap.8785",C8787,H8787,B8787,"USD","SOFR",I8787,J8787,0,"Actual360","Simple","Annual","Annual","Annual")</f>
        <v/>
      </c>
      <c r="F8787" s="8">
        <f>QS.TRADE.CREATE("trade.8785",C8787,E8787,A8787,"Receive")</f>
        <v/>
      </c>
      <c r="G8787" s="5"/>
      <c r="H8787" s="7" t="s">
        <v>8828</v>
      </c>
      <c r="I8787" s="9">
        <v>1878500</v>
      </c>
      <c r="J8787" s="10">
        <v>0.03850000000000001</v>
      </c>
    </row>
    <row r="8788" spans="1:10">
      <c r="A8788" s="7" t="s">
        <v>8822</v>
      </c>
      <c r="B8788" s="7" t="s">
        <v>10655</v>
      </c>
      <c r="C8788" s="8">
        <f>QS.CONTEXT.CREATE("market.8786",A8788,"USD","SOFR")</f>
        <v/>
      </c>
      <c r="D8788" s="8">
        <f>QS.CONTEXT.ADD.CURVE(C8788,"SOFR",$K$2:$K$7,$L$2:$L$7,,,"Actual360","LogLinear",TRUE)</f>
        <v/>
      </c>
      <c r="E8788" s="8">
        <f>QS.INSTRUMENT.SWAP("swap.8786",C8788,H8788,B8788,"USD","SOFR",I8788,J8788,0,"Actual360","Simple","Annual","Annual","Annual")</f>
        <v/>
      </c>
      <c r="F8788" s="8">
        <f>QS.TRADE.CREATE("trade.8786",C8788,E8788,A8788,"Receive")</f>
        <v/>
      </c>
      <c r="G8788" s="5"/>
      <c r="H8788" s="7" t="s">
        <v>8829</v>
      </c>
      <c r="I8788" s="9">
        <v>1878600</v>
      </c>
      <c r="J8788" s="10">
        <v>0.0386</v>
      </c>
    </row>
    <row r="8789" spans="1:10">
      <c r="A8789" s="7" t="s">
        <v>8823</v>
      </c>
      <c r="B8789" s="7" t="s">
        <v>10656</v>
      </c>
      <c r="C8789" s="8">
        <f>QS.CONTEXT.CREATE("market.8787",A8789,"USD","SOFR")</f>
        <v/>
      </c>
      <c r="D8789" s="8">
        <f>QS.CONTEXT.ADD.CURVE(C8789,"SOFR",$K$2:$K$7,$L$2:$L$7,,,"Actual360","LogLinear",TRUE)</f>
        <v/>
      </c>
      <c r="E8789" s="8">
        <f>QS.INSTRUMENT.SWAP("swap.8787",C8789,H8789,B8789,"USD","SOFR",I8789,J8789,0,"Actual360","Simple","Annual","Annual","Annual")</f>
        <v/>
      </c>
      <c r="F8789" s="8">
        <f>QS.TRADE.CREATE("trade.8787",C8789,E8789,A8789,"Receive")</f>
        <v/>
      </c>
      <c r="G8789" s="5"/>
      <c r="H8789" s="7" t="s">
        <v>8830</v>
      </c>
      <c r="I8789" s="9">
        <v>1878700</v>
      </c>
      <c r="J8789" s="10">
        <v>0.03870000000000001</v>
      </c>
    </row>
    <row r="8790" spans="1:10">
      <c r="A8790" s="7" t="s">
        <v>8824</v>
      </c>
      <c r="B8790" s="7" t="s">
        <v>10657</v>
      </c>
      <c r="C8790" s="8">
        <f>QS.CONTEXT.CREATE("market.8788",A8790,"USD","SOFR")</f>
        <v/>
      </c>
      <c r="D8790" s="8">
        <f>QS.CONTEXT.ADD.CURVE(C8790,"SOFR",$K$2:$K$7,$L$2:$L$7,,,"Actual360","LogLinear",TRUE)</f>
        <v/>
      </c>
      <c r="E8790" s="8">
        <f>QS.INSTRUMENT.SWAP("swap.8788",C8790,H8790,B8790,"USD","SOFR",I8790,J8790,0,"Actual360","Simple","Annual","Annual","Annual")</f>
        <v/>
      </c>
      <c r="F8790" s="8">
        <f>QS.TRADE.CREATE("trade.8788",C8790,E8790,A8790,"Receive")</f>
        <v/>
      </c>
      <c r="G8790" s="5"/>
      <c r="H8790" s="7" t="s">
        <v>8831</v>
      </c>
      <c r="I8790" s="9">
        <v>1878800</v>
      </c>
      <c r="J8790" s="10">
        <v>0.0388</v>
      </c>
    </row>
    <row r="8791" spans="1:10">
      <c r="A8791" s="7" t="s">
        <v>8825</v>
      </c>
      <c r="B8791" s="7" t="s">
        <v>10658</v>
      </c>
      <c r="C8791" s="8">
        <f>QS.CONTEXT.CREATE("market.8789",A8791,"USD","SOFR")</f>
        <v/>
      </c>
      <c r="D8791" s="8">
        <f>QS.CONTEXT.ADD.CURVE(C8791,"SOFR",$K$2:$K$7,$L$2:$L$7,,,"Actual360","LogLinear",TRUE)</f>
        <v/>
      </c>
      <c r="E8791" s="8">
        <f>QS.INSTRUMENT.SWAP("swap.8789",C8791,H8791,B8791,"USD","SOFR",I8791,J8791,0,"Actual360","Simple","Annual","Annual","Annual")</f>
        <v/>
      </c>
      <c r="F8791" s="8">
        <f>QS.TRADE.CREATE("trade.8789",C8791,E8791,A8791,"Receive")</f>
        <v/>
      </c>
      <c r="G8791" s="5"/>
      <c r="H8791" s="7" t="s">
        <v>8832</v>
      </c>
      <c r="I8791" s="9">
        <v>1878900</v>
      </c>
      <c r="J8791" s="10">
        <v>0.0389</v>
      </c>
    </row>
    <row r="8792" spans="1:10">
      <c r="A8792" s="7" t="s">
        <v>8826</v>
      </c>
      <c r="B8792" s="7" t="s">
        <v>10659</v>
      </c>
      <c r="C8792" s="8">
        <f>QS.CONTEXT.CREATE("market.8790",A8792,"USD","SOFR")</f>
        <v/>
      </c>
      <c r="D8792" s="8">
        <f>QS.CONTEXT.ADD.CURVE(C8792,"SOFR",$K$2:$K$7,$L$2:$L$7,,,"Actual360","LogLinear",TRUE)</f>
        <v/>
      </c>
      <c r="E8792" s="8">
        <f>QS.INSTRUMENT.SWAP("swap.8790",C8792,H8792,B8792,"USD","SOFR",I8792,J8792,0,"Actual360","Simple","Annual","Annual","Annual")</f>
        <v/>
      </c>
      <c r="F8792" s="8">
        <f>QS.TRADE.CREATE("trade.8790",C8792,E8792,A8792,"Receive")</f>
        <v/>
      </c>
      <c r="G8792" s="5"/>
      <c r="H8792" s="7" t="s">
        <v>8833</v>
      </c>
      <c r="I8792" s="9">
        <v>1879000</v>
      </c>
      <c r="J8792" s="10">
        <v>0.03900000000000001</v>
      </c>
    </row>
    <row r="8793" spans="1:10">
      <c r="A8793" s="7" t="s">
        <v>8827</v>
      </c>
      <c r="B8793" s="7" t="s">
        <v>10660</v>
      </c>
      <c r="C8793" s="8">
        <f>QS.CONTEXT.CREATE("market.8791",A8793,"USD","SOFR")</f>
        <v/>
      </c>
      <c r="D8793" s="8">
        <f>QS.CONTEXT.ADD.CURVE(C8793,"SOFR",$K$2:$K$7,$L$2:$L$7,,,"Actual360","LogLinear",TRUE)</f>
        <v/>
      </c>
      <c r="E8793" s="8">
        <f>QS.INSTRUMENT.SWAP("swap.8791",C8793,H8793,B8793,"USD","SOFR",I8793,J8793,0,"Actual360","Simple","Annual","Annual","Annual")</f>
        <v/>
      </c>
      <c r="F8793" s="8">
        <f>QS.TRADE.CREATE("trade.8791",C8793,E8793,A8793,"Receive")</f>
        <v/>
      </c>
      <c r="G8793" s="5"/>
      <c r="H8793" s="7" t="s">
        <v>8834</v>
      </c>
      <c r="I8793" s="9">
        <v>1879100</v>
      </c>
      <c r="J8793" s="10">
        <v>0.0391</v>
      </c>
    </row>
    <row r="8794" spans="1:10">
      <c r="A8794" s="7" t="s">
        <v>8828</v>
      </c>
      <c r="B8794" s="7" t="s">
        <v>10661</v>
      </c>
      <c r="C8794" s="8">
        <f>QS.CONTEXT.CREATE("market.8792",A8794,"USD","SOFR")</f>
        <v/>
      </c>
      <c r="D8794" s="8">
        <f>QS.CONTEXT.ADD.CURVE(C8794,"SOFR",$K$2:$K$7,$L$2:$L$7,,,"Actual360","LogLinear",TRUE)</f>
        <v/>
      </c>
      <c r="E8794" s="8">
        <f>QS.INSTRUMENT.SWAP("swap.8792",C8794,H8794,B8794,"USD","SOFR",I8794,J8794,0,"Actual360","Simple","Annual","Annual","Annual")</f>
        <v/>
      </c>
      <c r="F8794" s="8">
        <f>QS.TRADE.CREATE("trade.8792",C8794,E8794,A8794,"Receive")</f>
        <v/>
      </c>
      <c r="G8794" s="5"/>
      <c r="H8794" s="7" t="s">
        <v>8835</v>
      </c>
      <c r="I8794" s="9">
        <v>1879200</v>
      </c>
      <c r="J8794" s="10">
        <v>0.03920000000000001</v>
      </c>
    </row>
    <row r="8795" spans="1:10">
      <c r="A8795" s="7" t="s">
        <v>8829</v>
      </c>
      <c r="B8795" s="7" t="s">
        <v>10662</v>
      </c>
      <c r="C8795" s="8">
        <f>QS.CONTEXT.CREATE("market.8793",A8795,"USD","SOFR")</f>
        <v/>
      </c>
      <c r="D8795" s="8">
        <f>QS.CONTEXT.ADD.CURVE(C8795,"SOFR",$K$2:$K$7,$L$2:$L$7,,,"Actual360","LogLinear",TRUE)</f>
        <v/>
      </c>
      <c r="E8795" s="8">
        <f>QS.INSTRUMENT.SWAP("swap.8793",C8795,H8795,B8795,"USD","SOFR",I8795,J8795,0,"Actual360","Simple","Annual","Annual","Annual")</f>
        <v/>
      </c>
      <c r="F8795" s="8">
        <f>QS.TRADE.CREATE("trade.8793",C8795,E8795,A8795,"Receive")</f>
        <v/>
      </c>
      <c r="G8795" s="5"/>
      <c r="H8795" s="7" t="s">
        <v>8836</v>
      </c>
      <c r="I8795" s="9">
        <v>1879300</v>
      </c>
      <c r="J8795" s="10">
        <v>0.0393</v>
      </c>
    </row>
    <row r="8796" spans="1:10">
      <c r="A8796" s="7" t="s">
        <v>8830</v>
      </c>
      <c r="B8796" s="7" t="s">
        <v>10663</v>
      </c>
      <c r="C8796" s="8">
        <f>QS.CONTEXT.CREATE("market.8794",A8796,"USD","SOFR")</f>
        <v/>
      </c>
      <c r="D8796" s="8">
        <f>QS.CONTEXT.ADD.CURVE(C8796,"SOFR",$K$2:$K$7,$L$2:$L$7,,,"Actual360","LogLinear",TRUE)</f>
        <v/>
      </c>
      <c r="E8796" s="8">
        <f>QS.INSTRUMENT.SWAP("swap.8794",C8796,H8796,B8796,"USD","SOFR",I8796,J8796,0,"Actual360","Simple","Annual","Annual","Annual")</f>
        <v/>
      </c>
      <c r="F8796" s="8">
        <f>QS.TRADE.CREATE("trade.8794",C8796,E8796,A8796,"Receive")</f>
        <v/>
      </c>
      <c r="G8796" s="5"/>
      <c r="H8796" s="7" t="s">
        <v>8837</v>
      </c>
      <c r="I8796" s="9">
        <v>1879400</v>
      </c>
      <c r="J8796" s="10">
        <v>0.0394</v>
      </c>
    </row>
    <row r="8797" spans="1:10">
      <c r="A8797" s="7" t="s">
        <v>8831</v>
      </c>
      <c r="B8797" s="7" t="s">
        <v>10664</v>
      </c>
      <c r="C8797" s="8">
        <f>QS.CONTEXT.CREATE("market.8795",A8797,"USD","SOFR")</f>
        <v/>
      </c>
      <c r="D8797" s="8">
        <f>QS.CONTEXT.ADD.CURVE(C8797,"SOFR",$K$2:$K$7,$L$2:$L$7,,,"Actual360","LogLinear",TRUE)</f>
        <v/>
      </c>
      <c r="E8797" s="8">
        <f>QS.INSTRUMENT.SWAP("swap.8795",C8797,H8797,B8797,"USD","SOFR",I8797,J8797,0,"Actual360","Simple","Annual","Annual","Annual")</f>
        <v/>
      </c>
      <c r="F8797" s="8">
        <f>QS.TRADE.CREATE("trade.8795",C8797,E8797,A8797,"Receive")</f>
        <v/>
      </c>
      <c r="G8797" s="5"/>
      <c r="H8797" s="7" t="s">
        <v>8838</v>
      </c>
      <c r="I8797" s="9">
        <v>1879500</v>
      </c>
      <c r="J8797" s="10">
        <v>0.03950000000000001</v>
      </c>
    </row>
    <row r="8798" spans="1:10">
      <c r="A8798" s="7" t="s">
        <v>8832</v>
      </c>
      <c r="B8798" s="7" t="s">
        <v>10665</v>
      </c>
      <c r="C8798" s="8">
        <f>QS.CONTEXT.CREATE("market.8796",A8798,"USD","SOFR")</f>
        <v/>
      </c>
      <c r="D8798" s="8">
        <f>QS.CONTEXT.ADD.CURVE(C8798,"SOFR",$K$2:$K$7,$L$2:$L$7,,,"Actual360","LogLinear",TRUE)</f>
        <v/>
      </c>
      <c r="E8798" s="8">
        <f>QS.INSTRUMENT.SWAP("swap.8796",C8798,H8798,B8798,"USD","SOFR",I8798,J8798,0,"Actual360","Simple","Annual","Annual","Annual")</f>
        <v/>
      </c>
      <c r="F8798" s="8">
        <f>QS.TRADE.CREATE("trade.8796",C8798,E8798,A8798,"Receive")</f>
        <v/>
      </c>
      <c r="G8798" s="5"/>
      <c r="H8798" s="7" t="s">
        <v>8839</v>
      </c>
      <c r="I8798" s="9">
        <v>1879600</v>
      </c>
      <c r="J8798" s="10">
        <v>0.0396</v>
      </c>
    </row>
    <row r="8799" spans="1:10">
      <c r="A8799" s="7" t="s">
        <v>8833</v>
      </c>
      <c r="B8799" s="7" t="s">
        <v>10666</v>
      </c>
      <c r="C8799" s="8">
        <f>QS.CONTEXT.CREATE("market.8797",A8799,"USD","SOFR")</f>
        <v/>
      </c>
      <c r="D8799" s="8">
        <f>QS.CONTEXT.ADD.CURVE(C8799,"SOFR",$K$2:$K$7,$L$2:$L$7,,,"Actual360","LogLinear",TRUE)</f>
        <v/>
      </c>
      <c r="E8799" s="8">
        <f>QS.INSTRUMENT.SWAP("swap.8797",C8799,H8799,B8799,"USD","SOFR",I8799,J8799,0,"Actual360","Simple","Annual","Annual","Annual")</f>
        <v/>
      </c>
      <c r="F8799" s="8">
        <f>QS.TRADE.CREATE("trade.8797",C8799,E8799,A8799,"Receive")</f>
        <v/>
      </c>
      <c r="G8799" s="5"/>
      <c r="H8799" s="7" t="s">
        <v>8840</v>
      </c>
      <c r="I8799" s="9">
        <v>1879700</v>
      </c>
      <c r="J8799" s="10">
        <v>0.03970000000000001</v>
      </c>
    </row>
    <row r="8800" spans="1:10">
      <c r="A8800" s="7" t="s">
        <v>8834</v>
      </c>
      <c r="B8800" s="7" t="s">
        <v>10667</v>
      </c>
      <c r="C8800" s="8">
        <f>QS.CONTEXT.CREATE("market.8798",A8800,"USD","SOFR")</f>
        <v/>
      </c>
      <c r="D8800" s="8">
        <f>QS.CONTEXT.ADD.CURVE(C8800,"SOFR",$K$2:$K$7,$L$2:$L$7,,,"Actual360","LogLinear",TRUE)</f>
        <v/>
      </c>
      <c r="E8800" s="8">
        <f>QS.INSTRUMENT.SWAP("swap.8798",C8800,H8800,B8800,"USD","SOFR",I8800,J8800,0,"Actual360","Simple","Annual","Annual","Annual")</f>
        <v/>
      </c>
      <c r="F8800" s="8">
        <f>QS.TRADE.CREATE("trade.8798",C8800,E8800,A8800,"Receive")</f>
        <v/>
      </c>
      <c r="G8800" s="5"/>
      <c r="H8800" s="7" t="s">
        <v>8841</v>
      </c>
      <c r="I8800" s="9">
        <v>1879800</v>
      </c>
      <c r="J8800" s="10">
        <v>0.0398</v>
      </c>
    </row>
    <row r="8801" spans="1:10">
      <c r="A8801" s="7" t="s">
        <v>8835</v>
      </c>
      <c r="B8801" s="7" t="s">
        <v>10668</v>
      </c>
      <c r="C8801" s="8">
        <f>QS.CONTEXT.CREATE("market.8799",A8801,"USD","SOFR")</f>
        <v/>
      </c>
      <c r="D8801" s="8">
        <f>QS.CONTEXT.ADD.CURVE(C8801,"SOFR",$K$2:$K$7,$L$2:$L$7,,,"Actual360","LogLinear",TRUE)</f>
        <v/>
      </c>
      <c r="E8801" s="8">
        <f>QS.INSTRUMENT.SWAP("swap.8799",C8801,H8801,B8801,"USD","SOFR",I8801,J8801,0,"Actual360","Simple","Annual","Annual","Annual")</f>
        <v/>
      </c>
      <c r="F8801" s="8">
        <f>QS.TRADE.CREATE("trade.8799",C8801,E8801,A8801,"Receive")</f>
        <v/>
      </c>
      <c r="G8801" s="5"/>
      <c r="H8801" s="7" t="s">
        <v>8842</v>
      </c>
      <c r="I8801" s="9">
        <v>1879900</v>
      </c>
      <c r="J8801" s="10">
        <v>0.0399</v>
      </c>
    </row>
    <row r="8802" spans="1:10">
      <c r="A8802" s="7" t="s">
        <v>8836</v>
      </c>
      <c r="B8802" s="7" t="s">
        <v>10669</v>
      </c>
      <c r="C8802" s="8">
        <f>QS.CONTEXT.CREATE("market.8800",A8802,"USD","SOFR")</f>
        <v/>
      </c>
      <c r="D8802" s="8">
        <f>QS.CONTEXT.ADD.CURVE(C8802,"SOFR",$K$2:$K$7,$L$2:$L$7,,,"Actual360","LogLinear",TRUE)</f>
        <v/>
      </c>
      <c r="E8802" s="8">
        <f>QS.INSTRUMENT.SWAP("swap.8800",C8802,H8802,B8802,"USD","SOFR",I8802,J8802,0,"Actual360","Simple","Annual","Annual","Annual")</f>
        <v/>
      </c>
      <c r="F8802" s="8">
        <f>QS.TRADE.CREATE("trade.8800",C8802,E8802,A8802,"Receive")</f>
        <v/>
      </c>
      <c r="G8802" s="5"/>
      <c r="H8802" s="7" t="s">
        <v>8843</v>
      </c>
      <c r="I8802" s="9">
        <v>1880000</v>
      </c>
      <c r="J8802" s="10">
        <v>0.035</v>
      </c>
    </row>
    <row r="8803" spans="1:10">
      <c r="A8803" s="7" t="s">
        <v>8837</v>
      </c>
      <c r="B8803" s="7" t="s">
        <v>10670</v>
      </c>
      <c r="C8803" s="8">
        <f>QS.CONTEXT.CREATE("market.8801",A8803,"USD","SOFR")</f>
        <v/>
      </c>
      <c r="D8803" s="8">
        <f>QS.CONTEXT.ADD.CURVE(C8803,"SOFR",$K$2:$K$7,$L$2:$L$7,,,"Actual360","LogLinear",TRUE)</f>
        <v/>
      </c>
      <c r="E8803" s="8">
        <f>QS.INSTRUMENT.SWAP("swap.8801",C8803,H8803,B8803,"USD","SOFR",I8803,J8803,0,"Actual360","Simple","Annual","Annual","Annual")</f>
        <v/>
      </c>
      <c r="F8803" s="8">
        <f>QS.TRADE.CREATE("trade.8801",C8803,E8803,A8803,"Receive")</f>
        <v/>
      </c>
      <c r="G8803" s="5"/>
      <c r="H8803" s="7" t="s">
        <v>8844</v>
      </c>
      <c r="I8803" s="9">
        <v>1880100</v>
      </c>
      <c r="J8803" s="10">
        <v>0.03510000000000001</v>
      </c>
    </row>
    <row r="8804" spans="1:10">
      <c r="A8804" s="7" t="s">
        <v>8838</v>
      </c>
      <c r="B8804" s="7" t="s">
        <v>10671</v>
      </c>
      <c r="C8804" s="8">
        <f>QS.CONTEXT.CREATE("market.8802",A8804,"USD","SOFR")</f>
        <v/>
      </c>
      <c r="D8804" s="8">
        <f>QS.CONTEXT.ADD.CURVE(C8804,"SOFR",$K$2:$K$7,$L$2:$L$7,,,"Actual360","LogLinear",TRUE)</f>
        <v/>
      </c>
      <c r="E8804" s="8">
        <f>QS.INSTRUMENT.SWAP("swap.8802",C8804,H8804,B8804,"USD","SOFR",I8804,J8804,0,"Actual360","Simple","Annual","Annual","Annual")</f>
        <v/>
      </c>
      <c r="F8804" s="8">
        <f>QS.TRADE.CREATE("trade.8802",C8804,E8804,A8804,"Receive")</f>
        <v/>
      </c>
      <c r="G8804" s="5"/>
      <c r="H8804" s="7" t="s">
        <v>8845</v>
      </c>
      <c r="I8804" s="9">
        <v>1880200</v>
      </c>
      <c r="J8804" s="10">
        <v>0.0352</v>
      </c>
    </row>
    <row r="8805" spans="1:10">
      <c r="A8805" s="7" t="s">
        <v>8839</v>
      </c>
      <c r="B8805" s="7" t="s">
        <v>10672</v>
      </c>
      <c r="C8805" s="8">
        <f>QS.CONTEXT.CREATE("market.8803",A8805,"USD","SOFR")</f>
        <v/>
      </c>
      <c r="D8805" s="8">
        <f>QS.CONTEXT.ADD.CURVE(C8805,"SOFR",$K$2:$K$7,$L$2:$L$7,,,"Actual360","LogLinear",TRUE)</f>
        <v/>
      </c>
      <c r="E8805" s="8">
        <f>QS.INSTRUMENT.SWAP("swap.8803",C8805,H8805,B8805,"USD","SOFR",I8805,J8805,0,"Actual360","Simple","Annual","Annual","Annual")</f>
        <v/>
      </c>
      <c r="F8805" s="8">
        <f>QS.TRADE.CREATE("trade.8803",C8805,E8805,A8805,"Receive")</f>
        <v/>
      </c>
      <c r="G8805" s="5"/>
      <c r="H8805" s="7" t="s">
        <v>8846</v>
      </c>
      <c r="I8805" s="9">
        <v>1880300</v>
      </c>
      <c r="J8805" s="10">
        <v>0.0353</v>
      </c>
    </row>
    <row r="8806" spans="1:10">
      <c r="A8806" s="7" t="s">
        <v>8840</v>
      </c>
      <c r="B8806" s="7" t="s">
        <v>10673</v>
      </c>
      <c r="C8806" s="8">
        <f>QS.CONTEXT.CREATE("market.8804",A8806,"USD","SOFR")</f>
        <v/>
      </c>
      <c r="D8806" s="8">
        <f>QS.CONTEXT.ADD.CURVE(C8806,"SOFR",$K$2:$K$7,$L$2:$L$7,,,"Actual360","LogLinear",TRUE)</f>
        <v/>
      </c>
      <c r="E8806" s="8">
        <f>QS.INSTRUMENT.SWAP("swap.8804",C8806,H8806,B8806,"USD","SOFR",I8806,J8806,0,"Actual360","Simple","Annual","Annual","Annual")</f>
        <v/>
      </c>
      <c r="F8806" s="8">
        <f>QS.TRADE.CREATE("trade.8804",C8806,E8806,A8806,"Receive")</f>
        <v/>
      </c>
      <c r="G8806" s="5"/>
      <c r="H8806" s="7" t="s">
        <v>8847</v>
      </c>
      <c r="I8806" s="9">
        <v>1880400</v>
      </c>
      <c r="J8806" s="10">
        <v>0.0354</v>
      </c>
    </row>
    <row r="8807" spans="1:10">
      <c r="A8807" s="7" t="s">
        <v>8841</v>
      </c>
      <c r="B8807" s="7" t="s">
        <v>10674</v>
      </c>
      <c r="C8807" s="8">
        <f>QS.CONTEXT.CREATE("market.8805",A8807,"USD","SOFR")</f>
        <v/>
      </c>
      <c r="D8807" s="8">
        <f>QS.CONTEXT.ADD.CURVE(C8807,"SOFR",$K$2:$K$7,$L$2:$L$7,,,"Actual360","LogLinear",TRUE)</f>
        <v/>
      </c>
      <c r="E8807" s="8">
        <f>QS.INSTRUMENT.SWAP("swap.8805",C8807,H8807,B8807,"USD","SOFR",I8807,J8807,0,"Actual360","Simple","Annual","Annual","Annual")</f>
        <v/>
      </c>
      <c r="F8807" s="8">
        <f>QS.TRADE.CREATE("trade.8805",C8807,E8807,A8807,"Receive")</f>
        <v/>
      </c>
      <c r="G8807" s="5"/>
      <c r="H8807" s="7" t="s">
        <v>8848</v>
      </c>
      <c r="I8807" s="9">
        <v>1880500</v>
      </c>
      <c r="J8807" s="10">
        <v>0.0355</v>
      </c>
    </row>
    <row r="8808" spans="1:10">
      <c r="A8808" s="7" t="s">
        <v>8842</v>
      </c>
      <c r="B8808" s="7" t="s">
        <v>10675</v>
      </c>
      <c r="C8808" s="8">
        <f>QS.CONTEXT.CREATE("market.8806",A8808,"USD","SOFR")</f>
        <v/>
      </c>
      <c r="D8808" s="8">
        <f>QS.CONTEXT.ADD.CURVE(C8808,"SOFR",$K$2:$K$7,$L$2:$L$7,,,"Actual360","LogLinear",TRUE)</f>
        <v/>
      </c>
      <c r="E8808" s="8">
        <f>QS.INSTRUMENT.SWAP("swap.8806",C8808,H8808,B8808,"USD","SOFR",I8808,J8808,0,"Actual360","Simple","Annual","Annual","Annual")</f>
        <v/>
      </c>
      <c r="F8808" s="8">
        <f>QS.TRADE.CREATE("trade.8806",C8808,E8808,A8808,"Receive")</f>
        <v/>
      </c>
      <c r="G8808" s="5"/>
      <c r="H8808" s="7" t="s">
        <v>8849</v>
      </c>
      <c r="I8808" s="9">
        <v>1880600</v>
      </c>
      <c r="J8808" s="10">
        <v>0.03560000000000001</v>
      </c>
    </row>
    <row r="8809" spans="1:10">
      <c r="A8809" s="7" t="s">
        <v>8843</v>
      </c>
      <c r="B8809" s="7" t="s">
        <v>10676</v>
      </c>
      <c r="C8809" s="8">
        <f>QS.CONTEXT.CREATE("market.8807",A8809,"USD","SOFR")</f>
        <v/>
      </c>
      <c r="D8809" s="8">
        <f>QS.CONTEXT.ADD.CURVE(C8809,"SOFR",$K$2:$K$7,$L$2:$L$7,,,"Actual360","LogLinear",TRUE)</f>
        <v/>
      </c>
      <c r="E8809" s="8">
        <f>QS.INSTRUMENT.SWAP("swap.8807",C8809,H8809,B8809,"USD","SOFR",I8809,J8809,0,"Actual360","Simple","Annual","Annual","Annual")</f>
        <v/>
      </c>
      <c r="F8809" s="8">
        <f>QS.TRADE.CREATE("trade.8807",C8809,E8809,A8809,"Receive")</f>
        <v/>
      </c>
      <c r="G8809" s="5"/>
      <c r="H8809" s="7" t="s">
        <v>8850</v>
      </c>
      <c r="I8809" s="9">
        <v>1880700</v>
      </c>
      <c r="J8809" s="10">
        <v>0.0357</v>
      </c>
    </row>
    <row r="8810" spans="1:10">
      <c r="A8810" s="7" t="s">
        <v>8844</v>
      </c>
      <c r="B8810" s="7" t="s">
        <v>10677</v>
      </c>
      <c r="C8810" s="8">
        <f>QS.CONTEXT.CREATE("market.8808",A8810,"USD","SOFR")</f>
        <v/>
      </c>
      <c r="D8810" s="8">
        <f>QS.CONTEXT.ADD.CURVE(C8810,"SOFR",$K$2:$K$7,$L$2:$L$7,,,"Actual360","LogLinear",TRUE)</f>
        <v/>
      </c>
      <c r="E8810" s="8">
        <f>QS.INSTRUMENT.SWAP("swap.8808",C8810,H8810,B8810,"USD","SOFR",I8810,J8810,0,"Actual360","Simple","Annual","Annual","Annual")</f>
        <v/>
      </c>
      <c r="F8810" s="8">
        <f>QS.TRADE.CREATE("trade.8808",C8810,E8810,A8810,"Receive")</f>
        <v/>
      </c>
      <c r="G8810" s="5"/>
      <c r="H8810" s="7" t="s">
        <v>8851</v>
      </c>
      <c r="I8810" s="9">
        <v>1880800</v>
      </c>
      <c r="J8810" s="10">
        <v>0.03580000000000001</v>
      </c>
    </row>
    <row r="8811" spans="1:10">
      <c r="A8811" s="7" t="s">
        <v>8845</v>
      </c>
      <c r="B8811" s="7" t="s">
        <v>10678</v>
      </c>
      <c r="C8811" s="8">
        <f>QS.CONTEXT.CREATE("market.8809",A8811,"USD","SOFR")</f>
        <v/>
      </c>
      <c r="D8811" s="8">
        <f>QS.CONTEXT.ADD.CURVE(C8811,"SOFR",$K$2:$K$7,$L$2:$L$7,,,"Actual360","LogLinear",TRUE)</f>
        <v/>
      </c>
      <c r="E8811" s="8">
        <f>QS.INSTRUMENT.SWAP("swap.8809",C8811,H8811,B8811,"USD","SOFR",I8811,J8811,0,"Actual360","Simple","Annual","Annual","Annual")</f>
        <v/>
      </c>
      <c r="F8811" s="8">
        <f>QS.TRADE.CREATE("trade.8809",C8811,E8811,A8811,"Receive")</f>
        <v/>
      </c>
      <c r="G8811" s="5"/>
      <c r="H8811" s="7" t="s">
        <v>8852</v>
      </c>
      <c r="I8811" s="9">
        <v>1880900</v>
      </c>
      <c r="J8811" s="10">
        <v>0.0359</v>
      </c>
    </row>
    <row r="8812" spans="1:10">
      <c r="A8812" s="7" t="s">
        <v>8846</v>
      </c>
      <c r="B8812" s="7" t="s">
        <v>10679</v>
      </c>
      <c r="C8812" s="8">
        <f>QS.CONTEXT.CREATE("market.8810",A8812,"USD","SOFR")</f>
        <v/>
      </c>
      <c r="D8812" s="8">
        <f>QS.CONTEXT.ADD.CURVE(C8812,"SOFR",$K$2:$K$7,$L$2:$L$7,,,"Actual360","LogLinear",TRUE)</f>
        <v/>
      </c>
      <c r="E8812" s="8">
        <f>QS.INSTRUMENT.SWAP("swap.8810",C8812,H8812,B8812,"USD","SOFR",I8812,J8812,0,"Actual360","Simple","Annual","Annual","Annual")</f>
        <v/>
      </c>
      <c r="F8812" s="8">
        <f>QS.TRADE.CREATE("trade.8810",C8812,E8812,A8812,"Receive")</f>
        <v/>
      </c>
      <c r="G8812" s="5"/>
      <c r="H8812" s="7" t="s">
        <v>8853</v>
      </c>
      <c r="I8812" s="9">
        <v>1881000</v>
      </c>
      <c r="J8812" s="10">
        <v>0.036</v>
      </c>
    </row>
    <row r="8813" spans="1:10">
      <c r="A8813" s="7" t="s">
        <v>8847</v>
      </c>
      <c r="B8813" s="7" t="s">
        <v>10680</v>
      </c>
      <c r="C8813" s="8">
        <f>QS.CONTEXT.CREATE("market.8811",A8813,"USD","SOFR")</f>
        <v/>
      </c>
      <c r="D8813" s="8">
        <f>QS.CONTEXT.ADD.CURVE(C8813,"SOFR",$K$2:$K$7,$L$2:$L$7,,,"Actual360","LogLinear",TRUE)</f>
        <v/>
      </c>
      <c r="E8813" s="8">
        <f>QS.INSTRUMENT.SWAP("swap.8811",C8813,H8813,B8813,"USD","SOFR",I8813,J8813,0,"Actual360","Simple","Annual","Annual","Annual")</f>
        <v/>
      </c>
      <c r="F8813" s="8">
        <f>QS.TRADE.CREATE("trade.8811",C8813,E8813,A8813,"Receive")</f>
        <v/>
      </c>
      <c r="G8813" s="5"/>
      <c r="H8813" s="7" t="s">
        <v>8854</v>
      </c>
      <c r="I8813" s="9">
        <v>1881100</v>
      </c>
      <c r="J8813" s="10">
        <v>0.0361</v>
      </c>
    </row>
    <row r="8814" spans="1:10">
      <c r="A8814" s="7" t="s">
        <v>8848</v>
      </c>
      <c r="B8814" s="7" t="s">
        <v>10681</v>
      </c>
      <c r="C8814" s="8">
        <f>QS.CONTEXT.CREATE("market.8812",A8814,"USD","SOFR")</f>
        <v/>
      </c>
      <c r="D8814" s="8">
        <f>QS.CONTEXT.ADD.CURVE(C8814,"SOFR",$K$2:$K$7,$L$2:$L$7,,,"Actual360","LogLinear",TRUE)</f>
        <v/>
      </c>
      <c r="E8814" s="8">
        <f>QS.INSTRUMENT.SWAP("swap.8812",C8814,H8814,B8814,"USD","SOFR",I8814,J8814,0,"Actual360","Simple","Annual","Annual","Annual")</f>
        <v/>
      </c>
      <c r="F8814" s="8">
        <f>QS.TRADE.CREATE("trade.8812",C8814,E8814,A8814,"Receive")</f>
        <v/>
      </c>
      <c r="G8814" s="5"/>
      <c r="H8814" s="7" t="s">
        <v>8855</v>
      </c>
      <c r="I8814" s="9">
        <v>1881200</v>
      </c>
      <c r="J8814" s="10">
        <v>0.0362</v>
      </c>
    </row>
    <row r="8815" spans="1:10">
      <c r="A8815" s="7" t="s">
        <v>8849</v>
      </c>
      <c r="B8815" s="7" t="s">
        <v>10682</v>
      </c>
      <c r="C8815" s="8">
        <f>QS.CONTEXT.CREATE("market.8813",A8815,"USD","SOFR")</f>
        <v/>
      </c>
      <c r="D8815" s="8">
        <f>QS.CONTEXT.ADD.CURVE(C8815,"SOFR",$K$2:$K$7,$L$2:$L$7,,,"Actual360","LogLinear",TRUE)</f>
        <v/>
      </c>
      <c r="E8815" s="8">
        <f>QS.INSTRUMENT.SWAP("swap.8813",C8815,H8815,B8815,"USD","SOFR",I8815,J8815,0,"Actual360","Simple","Annual","Annual","Annual")</f>
        <v/>
      </c>
      <c r="F8815" s="8">
        <f>QS.TRADE.CREATE("trade.8813",C8815,E8815,A8815,"Receive")</f>
        <v/>
      </c>
      <c r="G8815" s="5"/>
      <c r="H8815" s="7" t="s">
        <v>8856</v>
      </c>
      <c r="I8815" s="9">
        <v>1881300</v>
      </c>
      <c r="J8815" s="10">
        <v>0.03630000000000001</v>
      </c>
    </row>
    <row r="8816" spans="1:10">
      <c r="A8816" s="7" t="s">
        <v>8850</v>
      </c>
      <c r="B8816" s="7" t="s">
        <v>10683</v>
      </c>
      <c r="C8816" s="8">
        <f>QS.CONTEXT.CREATE("market.8814",A8816,"USD","SOFR")</f>
        <v/>
      </c>
      <c r="D8816" s="8">
        <f>QS.CONTEXT.ADD.CURVE(C8816,"SOFR",$K$2:$K$7,$L$2:$L$7,,,"Actual360","LogLinear",TRUE)</f>
        <v/>
      </c>
      <c r="E8816" s="8">
        <f>QS.INSTRUMENT.SWAP("swap.8814",C8816,H8816,B8816,"USD","SOFR",I8816,J8816,0,"Actual360","Simple","Annual","Annual","Annual")</f>
        <v/>
      </c>
      <c r="F8816" s="8">
        <f>QS.TRADE.CREATE("trade.8814",C8816,E8816,A8816,"Receive")</f>
        <v/>
      </c>
      <c r="G8816" s="5"/>
      <c r="H8816" s="7" t="s">
        <v>8857</v>
      </c>
      <c r="I8816" s="9">
        <v>1881400</v>
      </c>
      <c r="J8816" s="10">
        <v>0.0364</v>
      </c>
    </row>
    <row r="8817" spans="1:10">
      <c r="A8817" s="7" t="s">
        <v>8851</v>
      </c>
      <c r="B8817" s="7" t="s">
        <v>10684</v>
      </c>
      <c r="C8817" s="8">
        <f>QS.CONTEXT.CREATE("market.8815",A8817,"USD","SOFR")</f>
        <v/>
      </c>
      <c r="D8817" s="8">
        <f>QS.CONTEXT.ADD.CURVE(C8817,"SOFR",$K$2:$K$7,$L$2:$L$7,,,"Actual360","LogLinear",TRUE)</f>
        <v/>
      </c>
      <c r="E8817" s="8">
        <f>QS.INSTRUMENT.SWAP("swap.8815",C8817,H8817,B8817,"USD","SOFR",I8817,J8817,0,"Actual360","Simple","Annual","Annual","Annual")</f>
        <v/>
      </c>
      <c r="F8817" s="8">
        <f>QS.TRADE.CREATE("trade.8815",C8817,E8817,A8817,"Receive")</f>
        <v/>
      </c>
      <c r="G8817" s="5"/>
      <c r="H8817" s="7" t="s">
        <v>8858</v>
      </c>
      <c r="I8817" s="9">
        <v>1881500</v>
      </c>
      <c r="J8817" s="10">
        <v>0.0365</v>
      </c>
    </row>
    <row r="8818" spans="1:10">
      <c r="A8818" s="7" t="s">
        <v>8852</v>
      </c>
      <c r="B8818" s="7" t="s">
        <v>10685</v>
      </c>
      <c r="C8818" s="8">
        <f>QS.CONTEXT.CREATE("market.8816",A8818,"USD","SOFR")</f>
        <v/>
      </c>
      <c r="D8818" s="8">
        <f>QS.CONTEXT.ADD.CURVE(C8818,"SOFR",$K$2:$K$7,$L$2:$L$7,,,"Actual360","LogLinear",TRUE)</f>
        <v/>
      </c>
      <c r="E8818" s="8">
        <f>QS.INSTRUMENT.SWAP("swap.8816",C8818,H8818,B8818,"USD","SOFR",I8818,J8818,0,"Actual360","Simple","Annual","Annual","Annual")</f>
        <v/>
      </c>
      <c r="F8818" s="8">
        <f>QS.TRADE.CREATE("trade.8816",C8818,E8818,A8818,"Receive")</f>
        <v/>
      </c>
      <c r="G8818" s="5"/>
      <c r="H8818" s="7" t="s">
        <v>8859</v>
      </c>
      <c r="I8818" s="9">
        <v>1881600</v>
      </c>
      <c r="J8818" s="10">
        <v>0.0366</v>
      </c>
    </row>
    <row r="8819" spans="1:10">
      <c r="A8819" s="7" t="s">
        <v>8853</v>
      </c>
      <c r="B8819" s="7" t="s">
        <v>10686</v>
      </c>
      <c r="C8819" s="8">
        <f>QS.CONTEXT.CREATE("market.8817",A8819,"USD","SOFR")</f>
        <v/>
      </c>
      <c r="D8819" s="8">
        <f>QS.CONTEXT.ADD.CURVE(C8819,"SOFR",$K$2:$K$7,$L$2:$L$7,,,"Actual360","LogLinear",TRUE)</f>
        <v/>
      </c>
      <c r="E8819" s="8">
        <f>QS.INSTRUMENT.SWAP("swap.8817",C8819,H8819,B8819,"USD","SOFR",I8819,J8819,0,"Actual360","Simple","Annual","Annual","Annual")</f>
        <v/>
      </c>
      <c r="F8819" s="8">
        <f>QS.TRADE.CREATE("trade.8817",C8819,E8819,A8819,"Receive")</f>
        <v/>
      </c>
      <c r="G8819" s="5"/>
      <c r="H8819" s="7" t="s">
        <v>8860</v>
      </c>
      <c r="I8819" s="9">
        <v>1881700</v>
      </c>
      <c r="J8819" s="10">
        <v>0.0367</v>
      </c>
    </row>
    <row r="8820" spans="1:10">
      <c r="A8820" s="7" t="s">
        <v>8854</v>
      </c>
      <c r="B8820" s="7" t="s">
        <v>10687</v>
      </c>
      <c r="C8820" s="8">
        <f>QS.CONTEXT.CREATE("market.8818",A8820,"USD","SOFR")</f>
        <v/>
      </c>
      <c r="D8820" s="8">
        <f>QS.CONTEXT.ADD.CURVE(C8820,"SOFR",$K$2:$K$7,$L$2:$L$7,,,"Actual360","LogLinear",TRUE)</f>
        <v/>
      </c>
      <c r="E8820" s="8">
        <f>QS.INSTRUMENT.SWAP("swap.8818",C8820,H8820,B8820,"USD","SOFR",I8820,J8820,0,"Actual360","Simple","Annual","Annual","Annual")</f>
        <v/>
      </c>
      <c r="F8820" s="8">
        <f>QS.TRADE.CREATE("trade.8818",C8820,E8820,A8820,"Receive")</f>
        <v/>
      </c>
      <c r="G8820" s="5"/>
      <c r="H8820" s="7" t="s">
        <v>8861</v>
      </c>
      <c r="I8820" s="9">
        <v>1881800</v>
      </c>
      <c r="J8820" s="10">
        <v>0.03680000000000001</v>
      </c>
    </row>
    <row r="8821" spans="1:10">
      <c r="A8821" s="7" t="s">
        <v>8855</v>
      </c>
      <c r="B8821" s="7" t="s">
        <v>10688</v>
      </c>
      <c r="C8821" s="8">
        <f>QS.CONTEXT.CREATE("market.8819",A8821,"USD","SOFR")</f>
        <v/>
      </c>
      <c r="D8821" s="8">
        <f>QS.CONTEXT.ADD.CURVE(C8821,"SOFR",$K$2:$K$7,$L$2:$L$7,,,"Actual360","LogLinear",TRUE)</f>
        <v/>
      </c>
      <c r="E8821" s="8">
        <f>QS.INSTRUMENT.SWAP("swap.8819",C8821,H8821,B8821,"USD","SOFR",I8821,J8821,0,"Actual360","Simple","Annual","Annual","Annual")</f>
        <v/>
      </c>
      <c r="F8821" s="8">
        <f>QS.TRADE.CREATE("trade.8819",C8821,E8821,A8821,"Receive")</f>
        <v/>
      </c>
      <c r="G8821" s="5"/>
      <c r="H8821" s="7" t="s">
        <v>8862</v>
      </c>
      <c r="I8821" s="9">
        <v>1881900</v>
      </c>
      <c r="J8821" s="10">
        <v>0.0369</v>
      </c>
    </row>
    <row r="8822" spans="1:10">
      <c r="A8822" s="7" t="s">
        <v>8856</v>
      </c>
      <c r="B8822" s="7" t="s">
        <v>10689</v>
      </c>
      <c r="C8822" s="8">
        <f>QS.CONTEXT.CREATE("market.8820",A8822,"USD","SOFR")</f>
        <v/>
      </c>
      <c r="D8822" s="8">
        <f>QS.CONTEXT.ADD.CURVE(C8822,"SOFR",$K$2:$K$7,$L$2:$L$7,,,"Actual360","LogLinear",TRUE)</f>
        <v/>
      </c>
      <c r="E8822" s="8">
        <f>QS.INSTRUMENT.SWAP("swap.8820",C8822,H8822,B8822,"USD","SOFR",I8822,J8822,0,"Actual360","Simple","Annual","Annual","Annual")</f>
        <v/>
      </c>
      <c r="F8822" s="8">
        <f>QS.TRADE.CREATE("trade.8820",C8822,E8822,A8822,"Receive")</f>
        <v/>
      </c>
      <c r="G8822" s="5"/>
      <c r="H8822" s="7" t="s">
        <v>8863</v>
      </c>
      <c r="I8822" s="9">
        <v>1882000</v>
      </c>
      <c r="J8822" s="10">
        <v>0.03700000000000001</v>
      </c>
    </row>
    <row r="8823" spans="1:10">
      <c r="A8823" s="7" t="s">
        <v>8857</v>
      </c>
      <c r="B8823" s="7" t="s">
        <v>10690</v>
      </c>
      <c r="C8823" s="8">
        <f>QS.CONTEXT.CREATE("market.8821",A8823,"USD","SOFR")</f>
        <v/>
      </c>
      <c r="D8823" s="8">
        <f>QS.CONTEXT.ADD.CURVE(C8823,"SOFR",$K$2:$K$7,$L$2:$L$7,,,"Actual360","LogLinear",TRUE)</f>
        <v/>
      </c>
      <c r="E8823" s="8">
        <f>QS.INSTRUMENT.SWAP("swap.8821",C8823,H8823,B8823,"USD","SOFR",I8823,J8823,0,"Actual360","Simple","Annual","Annual","Annual")</f>
        <v/>
      </c>
      <c r="F8823" s="8">
        <f>QS.TRADE.CREATE("trade.8821",C8823,E8823,A8823,"Receive")</f>
        <v/>
      </c>
      <c r="G8823" s="5"/>
      <c r="H8823" s="7" t="s">
        <v>8864</v>
      </c>
      <c r="I8823" s="9">
        <v>1882100</v>
      </c>
      <c r="J8823" s="10">
        <v>0.0371</v>
      </c>
    </row>
    <row r="8824" spans="1:10">
      <c r="A8824" s="7" t="s">
        <v>8858</v>
      </c>
      <c r="B8824" s="7" t="s">
        <v>10691</v>
      </c>
      <c r="C8824" s="8">
        <f>QS.CONTEXT.CREATE("market.8822",A8824,"USD","SOFR")</f>
        <v/>
      </c>
      <c r="D8824" s="8">
        <f>QS.CONTEXT.ADD.CURVE(C8824,"SOFR",$K$2:$K$7,$L$2:$L$7,,,"Actual360","LogLinear",TRUE)</f>
        <v/>
      </c>
      <c r="E8824" s="8">
        <f>QS.INSTRUMENT.SWAP("swap.8822",C8824,H8824,B8824,"USD","SOFR",I8824,J8824,0,"Actual360","Simple","Annual","Annual","Annual")</f>
        <v/>
      </c>
      <c r="F8824" s="8">
        <f>QS.TRADE.CREATE("trade.8822",C8824,E8824,A8824,"Receive")</f>
        <v/>
      </c>
      <c r="G8824" s="5"/>
      <c r="H8824" s="7" t="s">
        <v>8865</v>
      </c>
      <c r="I8824" s="9">
        <v>1882200</v>
      </c>
      <c r="J8824" s="10">
        <v>0.0372</v>
      </c>
    </row>
    <row r="8825" spans="1:10">
      <c r="A8825" s="7" t="s">
        <v>8859</v>
      </c>
      <c r="B8825" s="7" t="s">
        <v>10692</v>
      </c>
      <c r="C8825" s="8">
        <f>QS.CONTEXT.CREATE("market.8823",A8825,"USD","SOFR")</f>
        <v/>
      </c>
      <c r="D8825" s="8">
        <f>QS.CONTEXT.ADD.CURVE(C8825,"SOFR",$K$2:$K$7,$L$2:$L$7,,,"Actual360","LogLinear",TRUE)</f>
        <v/>
      </c>
      <c r="E8825" s="8">
        <f>QS.INSTRUMENT.SWAP("swap.8823",C8825,H8825,B8825,"USD","SOFR",I8825,J8825,0,"Actual360","Simple","Annual","Annual","Annual")</f>
        <v/>
      </c>
      <c r="F8825" s="8">
        <f>QS.TRADE.CREATE("trade.8823",C8825,E8825,A8825,"Receive")</f>
        <v/>
      </c>
      <c r="G8825" s="5"/>
      <c r="H8825" s="7" t="s">
        <v>8866</v>
      </c>
      <c r="I8825" s="9">
        <v>1882300</v>
      </c>
      <c r="J8825" s="10">
        <v>0.0373</v>
      </c>
    </row>
    <row r="8826" spans="1:10">
      <c r="A8826" s="7" t="s">
        <v>8860</v>
      </c>
      <c r="B8826" s="7" t="s">
        <v>10693</v>
      </c>
      <c r="C8826" s="8">
        <f>QS.CONTEXT.CREATE("market.8824",A8826,"USD","SOFR")</f>
        <v/>
      </c>
      <c r="D8826" s="8">
        <f>QS.CONTEXT.ADD.CURVE(C8826,"SOFR",$K$2:$K$7,$L$2:$L$7,,,"Actual360","LogLinear",TRUE)</f>
        <v/>
      </c>
      <c r="E8826" s="8">
        <f>QS.INSTRUMENT.SWAP("swap.8824",C8826,H8826,B8826,"USD","SOFR",I8826,J8826,0,"Actual360","Simple","Annual","Annual","Annual")</f>
        <v/>
      </c>
      <c r="F8826" s="8">
        <f>QS.TRADE.CREATE("trade.8824",C8826,E8826,A8826,"Receive")</f>
        <v/>
      </c>
      <c r="G8826" s="5"/>
      <c r="H8826" s="7" t="s">
        <v>8867</v>
      </c>
      <c r="I8826" s="9">
        <v>1882400</v>
      </c>
      <c r="J8826" s="10">
        <v>0.0374</v>
      </c>
    </row>
    <row r="8827" spans="1:10">
      <c r="A8827" s="7" t="s">
        <v>8861</v>
      </c>
      <c r="B8827" s="7" t="s">
        <v>10694</v>
      </c>
      <c r="C8827" s="8">
        <f>QS.CONTEXT.CREATE("market.8825",A8827,"USD","SOFR")</f>
        <v/>
      </c>
      <c r="D8827" s="8">
        <f>QS.CONTEXT.ADD.CURVE(C8827,"SOFR",$K$2:$K$7,$L$2:$L$7,,,"Actual360","LogLinear",TRUE)</f>
        <v/>
      </c>
      <c r="E8827" s="8">
        <f>QS.INSTRUMENT.SWAP("swap.8825",C8827,H8827,B8827,"USD","SOFR",I8827,J8827,0,"Actual360","Simple","Annual","Annual","Annual")</f>
        <v/>
      </c>
      <c r="F8827" s="8">
        <f>QS.TRADE.CREATE("trade.8825",C8827,E8827,A8827,"Receive")</f>
        <v/>
      </c>
      <c r="G8827" s="5"/>
      <c r="H8827" s="7" t="s">
        <v>8868</v>
      </c>
      <c r="I8827" s="9">
        <v>1882500</v>
      </c>
      <c r="J8827" s="10">
        <v>0.03750000000000001</v>
      </c>
    </row>
    <row r="8828" spans="1:10">
      <c r="A8828" s="7" t="s">
        <v>8862</v>
      </c>
      <c r="B8828" s="7" t="s">
        <v>10695</v>
      </c>
      <c r="C8828" s="8">
        <f>QS.CONTEXT.CREATE("market.8826",A8828,"USD","SOFR")</f>
        <v/>
      </c>
      <c r="D8828" s="8">
        <f>QS.CONTEXT.ADD.CURVE(C8828,"SOFR",$K$2:$K$7,$L$2:$L$7,,,"Actual360","LogLinear",TRUE)</f>
        <v/>
      </c>
      <c r="E8828" s="8">
        <f>QS.INSTRUMENT.SWAP("swap.8826",C8828,H8828,B8828,"USD","SOFR",I8828,J8828,0,"Actual360","Simple","Annual","Annual","Annual")</f>
        <v/>
      </c>
      <c r="F8828" s="8">
        <f>QS.TRADE.CREATE("trade.8826",C8828,E8828,A8828,"Receive")</f>
        <v/>
      </c>
      <c r="G8828" s="5"/>
      <c r="H8828" s="7" t="s">
        <v>8869</v>
      </c>
      <c r="I8828" s="9">
        <v>1882600</v>
      </c>
      <c r="J8828" s="10">
        <v>0.0376</v>
      </c>
    </row>
    <row r="8829" spans="1:10">
      <c r="A8829" s="7" t="s">
        <v>8863</v>
      </c>
      <c r="B8829" s="7" t="s">
        <v>10696</v>
      </c>
      <c r="C8829" s="8">
        <f>QS.CONTEXT.CREATE("market.8827",A8829,"USD","SOFR")</f>
        <v/>
      </c>
      <c r="D8829" s="8">
        <f>QS.CONTEXT.ADD.CURVE(C8829,"SOFR",$K$2:$K$7,$L$2:$L$7,,,"Actual360","LogLinear",TRUE)</f>
        <v/>
      </c>
      <c r="E8829" s="8">
        <f>QS.INSTRUMENT.SWAP("swap.8827",C8829,H8829,B8829,"USD","SOFR",I8829,J8829,0,"Actual360","Simple","Annual","Annual","Annual")</f>
        <v/>
      </c>
      <c r="F8829" s="8">
        <f>QS.TRADE.CREATE("trade.8827",C8829,E8829,A8829,"Receive")</f>
        <v/>
      </c>
      <c r="G8829" s="5"/>
      <c r="H8829" s="7" t="s">
        <v>8870</v>
      </c>
      <c r="I8829" s="9">
        <v>1882700</v>
      </c>
      <c r="J8829" s="10">
        <v>0.0377</v>
      </c>
    </row>
    <row r="8830" spans="1:10">
      <c r="A8830" s="7" t="s">
        <v>8864</v>
      </c>
      <c r="B8830" s="7" t="s">
        <v>10697</v>
      </c>
      <c r="C8830" s="8">
        <f>QS.CONTEXT.CREATE("market.8828",A8830,"USD","SOFR")</f>
        <v/>
      </c>
      <c r="D8830" s="8">
        <f>QS.CONTEXT.ADD.CURVE(C8830,"SOFR",$K$2:$K$7,$L$2:$L$7,,,"Actual360","LogLinear",TRUE)</f>
        <v/>
      </c>
      <c r="E8830" s="8">
        <f>QS.INSTRUMENT.SWAP("swap.8828",C8830,H8830,B8830,"USD","SOFR",I8830,J8830,0,"Actual360","Simple","Annual","Annual","Annual")</f>
        <v/>
      </c>
      <c r="F8830" s="8">
        <f>QS.TRADE.CREATE("trade.8828",C8830,E8830,A8830,"Receive")</f>
        <v/>
      </c>
      <c r="G8830" s="5"/>
      <c r="H8830" s="7" t="s">
        <v>8871</v>
      </c>
      <c r="I8830" s="9">
        <v>1882800</v>
      </c>
      <c r="J8830" s="10">
        <v>0.0378</v>
      </c>
    </row>
    <row r="8831" spans="1:10">
      <c r="A8831" s="7" t="s">
        <v>8865</v>
      </c>
      <c r="B8831" s="7" t="s">
        <v>10698</v>
      </c>
      <c r="C8831" s="8">
        <f>QS.CONTEXT.CREATE("market.8829",A8831,"USD","SOFR")</f>
        <v/>
      </c>
      <c r="D8831" s="8">
        <f>QS.CONTEXT.ADD.CURVE(C8831,"SOFR",$K$2:$K$7,$L$2:$L$7,,,"Actual360","LogLinear",TRUE)</f>
        <v/>
      </c>
      <c r="E8831" s="8">
        <f>QS.INSTRUMENT.SWAP("swap.8829",C8831,H8831,B8831,"USD","SOFR",I8831,J8831,0,"Actual360","Simple","Annual","Annual","Annual")</f>
        <v/>
      </c>
      <c r="F8831" s="8">
        <f>QS.TRADE.CREATE("trade.8829",C8831,E8831,A8831,"Receive")</f>
        <v/>
      </c>
      <c r="G8831" s="5"/>
      <c r="H8831" s="7" t="s">
        <v>8872</v>
      </c>
      <c r="I8831" s="9">
        <v>1882900</v>
      </c>
      <c r="J8831" s="10">
        <v>0.0379</v>
      </c>
    </row>
    <row r="8832" spans="1:10">
      <c r="A8832" s="7" t="s">
        <v>8866</v>
      </c>
      <c r="B8832" s="7" t="s">
        <v>10699</v>
      </c>
      <c r="C8832" s="8">
        <f>QS.CONTEXT.CREATE("market.8830",A8832,"USD","SOFR")</f>
        <v/>
      </c>
      <c r="D8832" s="8">
        <f>QS.CONTEXT.ADD.CURVE(C8832,"SOFR",$K$2:$K$7,$L$2:$L$7,,,"Actual360","LogLinear",TRUE)</f>
        <v/>
      </c>
      <c r="E8832" s="8">
        <f>QS.INSTRUMENT.SWAP("swap.8830",C8832,H8832,B8832,"USD","SOFR",I8832,J8832,0,"Actual360","Simple","Annual","Annual","Annual")</f>
        <v/>
      </c>
      <c r="F8832" s="8">
        <f>QS.TRADE.CREATE("trade.8830",C8832,E8832,A8832,"Receive")</f>
        <v/>
      </c>
      <c r="G8832" s="5"/>
      <c r="H8832" s="7" t="s">
        <v>8873</v>
      </c>
      <c r="I8832" s="9">
        <v>1883000</v>
      </c>
      <c r="J8832" s="10">
        <v>0.03800000000000001</v>
      </c>
    </row>
    <row r="8833" spans="1:10">
      <c r="A8833" s="7" t="s">
        <v>8867</v>
      </c>
      <c r="B8833" s="7" t="s">
        <v>10700</v>
      </c>
      <c r="C8833" s="8">
        <f>QS.CONTEXT.CREATE("market.8831",A8833,"USD","SOFR")</f>
        <v/>
      </c>
      <c r="D8833" s="8">
        <f>QS.CONTEXT.ADD.CURVE(C8833,"SOFR",$K$2:$K$7,$L$2:$L$7,,,"Actual360","LogLinear",TRUE)</f>
        <v/>
      </c>
      <c r="E8833" s="8">
        <f>QS.INSTRUMENT.SWAP("swap.8831",C8833,H8833,B8833,"USD","SOFR",I8833,J8833,0,"Actual360","Simple","Annual","Annual","Annual")</f>
        <v/>
      </c>
      <c r="F8833" s="8">
        <f>QS.TRADE.CREATE("trade.8831",C8833,E8833,A8833,"Receive")</f>
        <v/>
      </c>
      <c r="G8833" s="5"/>
      <c r="H8833" s="7" t="s">
        <v>8874</v>
      </c>
      <c r="I8833" s="9">
        <v>1883100</v>
      </c>
      <c r="J8833" s="10">
        <v>0.0381</v>
      </c>
    </row>
    <row r="8834" spans="1:10">
      <c r="A8834" s="7" t="s">
        <v>8868</v>
      </c>
      <c r="B8834" s="7" t="s">
        <v>10701</v>
      </c>
      <c r="C8834" s="8">
        <f>QS.CONTEXT.CREATE("market.8832",A8834,"USD","SOFR")</f>
        <v/>
      </c>
      <c r="D8834" s="8">
        <f>QS.CONTEXT.ADD.CURVE(C8834,"SOFR",$K$2:$K$7,$L$2:$L$7,,,"Actual360","LogLinear",TRUE)</f>
        <v/>
      </c>
      <c r="E8834" s="8">
        <f>QS.INSTRUMENT.SWAP("swap.8832",C8834,H8834,B8834,"USD","SOFR",I8834,J8834,0,"Actual360","Simple","Annual","Annual","Annual")</f>
        <v/>
      </c>
      <c r="F8834" s="8">
        <f>QS.TRADE.CREATE("trade.8832",C8834,E8834,A8834,"Receive")</f>
        <v/>
      </c>
      <c r="G8834" s="5"/>
      <c r="H8834" s="7" t="s">
        <v>8875</v>
      </c>
      <c r="I8834" s="9">
        <v>1883200</v>
      </c>
      <c r="J8834" s="10">
        <v>0.0382</v>
      </c>
    </row>
    <row r="8835" spans="1:10">
      <c r="A8835" s="7" t="s">
        <v>8869</v>
      </c>
      <c r="B8835" s="7" t="s">
        <v>10702</v>
      </c>
      <c r="C8835" s="8">
        <f>QS.CONTEXT.CREATE("market.8833",A8835,"USD","SOFR")</f>
        <v/>
      </c>
      <c r="D8835" s="8">
        <f>QS.CONTEXT.ADD.CURVE(C8835,"SOFR",$K$2:$K$7,$L$2:$L$7,,,"Actual360","LogLinear",TRUE)</f>
        <v/>
      </c>
      <c r="E8835" s="8">
        <f>QS.INSTRUMENT.SWAP("swap.8833",C8835,H8835,B8835,"USD","SOFR",I8835,J8835,0,"Actual360","Simple","Annual","Annual","Annual")</f>
        <v/>
      </c>
      <c r="F8835" s="8">
        <f>QS.TRADE.CREATE("trade.8833",C8835,E8835,A8835,"Receive")</f>
        <v/>
      </c>
      <c r="G8835" s="5"/>
      <c r="H8835" s="7" t="s">
        <v>8876</v>
      </c>
      <c r="I8835" s="9">
        <v>1883300</v>
      </c>
      <c r="J8835" s="10">
        <v>0.0383</v>
      </c>
    </row>
    <row r="8836" spans="1:10">
      <c r="A8836" s="7" t="s">
        <v>8870</v>
      </c>
      <c r="B8836" s="7" t="s">
        <v>10703</v>
      </c>
      <c r="C8836" s="8">
        <f>QS.CONTEXT.CREATE("market.8834",A8836,"USD","SOFR")</f>
        <v/>
      </c>
      <c r="D8836" s="8">
        <f>QS.CONTEXT.ADD.CURVE(C8836,"SOFR",$K$2:$K$7,$L$2:$L$7,,,"Actual360","LogLinear",TRUE)</f>
        <v/>
      </c>
      <c r="E8836" s="8">
        <f>QS.INSTRUMENT.SWAP("swap.8834",C8836,H8836,B8836,"USD","SOFR",I8836,J8836,0,"Actual360","Simple","Annual","Annual","Annual")</f>
        <v/>
      </c>
      <c r="F8836" s="8">
        <f>QS.TRADE.CREATE("trade.8834",C8836,E8836,A8836,"Receive")</f>
        <v/>
      </c>
      <c r="G8836" s="5"/>
      <c r="H8836" s="7" t="s">
        <v>8877</v>
      </c>
      <c r="I8836" s="9">
        <v>1883400</v>
      </c>
      <c r="J8836" s="10">
        <v>0.0384</v>
      </c>
    </row>
    <row r="8837" spans="1:10">
      <c r="A8837" s="7" t="s">
        <v>8871</v>
      </c>
      <c r="B8837" s="7" t="s">
        <v>10704</v>
      </c>
      <c r="C8837" s="8">
        <f>QS.CONTEXT.CREATE("market.8835",A8837,"USD","SOFR")</f>
        <v/>
      </c>
      <c r="D8837" s="8">
        <f>QS.CONTEXT.ADD.CURVE(C8837,"SOFR",$K$2:$K$7,$L$2:$L$7,,,"Actual360","LogLinear",TRUE)</f>
        <v/>
      </c>
      <c r="E8837" s="8">
        <f>QS.INSTRUMENT.SWAP("swap.8835",C8837,H8837,B8837,"USD","SOFR",I8837,J8837,0,"Actual360","Simple","Annual","Annual","Annual")</f>
        <v/>
      </c>
      <c r="F8837" s="8">
        <f>QS.TRADE.CREATE("trade.8835",C8837,E8837,A8837,"Receive")</f>
        <v/>
      </c>
      <c r="G8837" s="5"/>
      <c r="H8837" s="7" t="s">
        <v>8878</v>
      </c>
      <c r="I8837" s="9">
        <v>1883500</v>
      </c>
      <c r="J8837" s="10">
        <v>0.03850000000000001</v>
      </c>
    </row>
    <row r="8838" spans="1:10">
      <c r="A8838" s="7" t="s">
        <v>8872</v>
      </c>
      <c r="B8838" s="7" t="s">
        <v>10705</v>
      </c>
      <c r="C8838" s="8">
        <f>QS.CONTEXT.CREATE("market.8836",A8838,"USD","SOFR")</f>
        <v/>
      </c>
      <c r="D8838" s="8">
        <f>QS.CONTEXT.ADD.CURVE(C8838,"SOFR",$K$2:$K$7,$L$2:$L$7,,,"Actual360","LogLinear",TRUE)</f>
        <v/>
      </c>
      <c r="E8838" s="8">
        <f>QS.INSTRUMENT.SWAP("swap.8836",C8838,H8838,B8838,"USD","SOFR",I8838,J8838,0,"Actual360","Simple","Annual","Annual","Annual")</f>
        <v/>
      </c>
      <c r="F8838" s="8">
        <f>QS.TRADE.CREATE("trade.8836",C8838,E8838,A8838,"Receive")</f>
        <v/>
      </c>
      <c r="G8838" s="5"/>
      <c r="H8838" s="7" t="s">
        <v>8879</v>
      </c>
      <c r="I8838" s="9">
        <v>1883600</v>
      </c>
      <c r="J8838" s="10">
        <v>0.0386</v>
      </c>
    </row>
    <row r="8839" spans="1:10">
      <c r="A8839" s="7" t="s">
        <v>8873</v>
      </c>
      <c r="B8839" s="7" t="s">
        <v>10706</v>
      </c>
      <c r="C8839" s="8">
        <f>QS.CONTEXT.CREATE("market.8837",A8839,"USD","SOFR")</f>
        <v/>
      </c>
      <c r="D8839" s="8">
        <f>QS.CONTEXT.ADD.CURVE(C8839,"SOFR",$K$2:$K$7,$L$2:$L$7,,,"Actual360","LogLinear",TRUE)</f>
        <v/>
      </c>
      <c r="E8839" s="8">
        <f>QS.INSTRUMENT.SWAP("swap.8837",C8839,H8839,B8839,"USD","SOFR",I8839,J8839,0,"Actual360","Simple","Annual","Annual","Annual")</f>
        <v/>
      </c>
      <c r="F8839" s="8">
        <f>QS.TRADE.CREATE("trade.8837",C8839,E8839,A8839,"Receive")</f>
        <v/>
      </c>
      <c r="G8839" s="5"/>
      <c r="H8839" s="7" t="s">
        <v>8880</v>
      </c>
      <c r="I8839" s="9">
        <v>1883700</v>
      </c>
      <c r="J8839" s="10">
        <v>0.03870000000000001</v>
      </c>
    </row>
    <row r="8840" spans="1:10">
      <c r="A8840" s="7" t="s">
        <v>8874</v>
      </c>
      <c r="B8840" s="7" t="s">
        <v>10707</v>
      </c>
      <c r="C8840" s="8">
        <f>QS.CONTEXT.CREATE("market.8838",A8840,"USD","SOFR")</f>
        <v/>
      </c>
      <c r="D8840" s="8">
        <f>QS.CONTEXT.ADD.CURVE(C8840,"SOFR",$K$2:$K$7,$L$2:$L$7,,,"Actual360","LogLinear",TRUE)</f>
        <v/>
      </c>
      <c r="E8840" s="8">
        <f>QS.INSTRUMENT.SWAP("swap.8838",C8840,H8840,B8840,"USD","SOFR",I8840,J8840,0,"Actual360","Simple","Annual","Annual","Annual")</f>
        <v/>
      </c>
      <c r="F8840" s="8">
        <f>QS.TRADE.CREATE("trade.8838",C8840,E8840,A8840,"Receive")</f>
        <v/>
      </c>
      <c r="G8840" s="5"/>
      <c r="H8840" s="7" t="s">
        <v>8881</v>
      </c>
      <c r="I8840" s="9">
        <v>1883800</v>
      </c>
      <c r="J8840" s="10">
        <v>0.0388</v>
      </c>
    </row>
    <row r="8841" spans="1:10">
      <c r="A8841" s="7" t="s">
        <v>8875</v>
      </c>
      <c r="B8841" s="7" t="s">
        <v>10708</v>
      </c>
      <c r="C8841" s="8">
        <f>QS.CONTEXT.CREATE("market.8839",A8841,"USD","SOFR")</f>
        <v/>
      </c>
      <c r="D8841" s="8">
        <f>QS.CONTEXT.ADD.CURVE(C8841,"SOFR",$K$2:$K$7,$L$2:$L$7,,,"Actual360","LogLinear",TRUE)</f>
        <v/>
      </c>
      <c r="E8841" s="8">
        <f>QS.INSTRUMENT.SWAP("swap.8839",C8841,H8841,B8841,"USD","SOFR",I8841,J8841,0,"Actual360","Simple","Annual","Annual","Annual")</f>
        <v/>
      </c>
      <c r="F8841" s="8">
        <f>QS.TRADE.CREATE("trade.8839",C8841,E8841,A8841,"Receive")</f>
        <v/>
      </c>
      <c r="G8841" s="5"/>
      <c r="H8841" s="7" t="s">
        <v>8882</v>
      </c>
      <c r="I8841" s="9">
        <v>1883900</v>
      </c>
      <c r="J8841" s="10">
        <v>0.0389</v>
      </c>
    </row>
    <row r="8842" spans="1:10">
      <c r="A8842" s="7" t="s">
        <v>8876</v>
      </c>
      <c r="B8842" s="7" t="s">
        <v>10709</v>
      </c>
      <c r="C8842" s="8">
        <f>QS.CONTEXT.CREATE("market.8840",A8842,"USD","SOFR")</f>
        <v/>
      </c>
      <c r="D8842" s="8">
        <f>QS.CONTEXT.ADD.CURVE(C8842,"SOFR",$K$2:$K$7,$L$2:$L$7,,,"Actual360","LogLinear",TRUE)</f>
        <v/>
      </c>
      <c r="E8842" s="8">
        <f>QS.INSTRUMENT.SWAP("swap.8840",C8842,H8842,B8842,"USD","SOFR",I8842,J8842,0,"Actual360","Simple","Annual","Annual","Annual")</f>
        <v/>
      </c>
      <c r="F8842" s="8">
        <f>QS.TRADE.CREATE("trade.8840",C8842,E8842,A8842,"Receive")</f>
        <v/>
      </c>
      <c r="G8842" s="5"/>
      <c r="H8842" s="7" t="s">
        <v>8883</v>
      </c>
      <c r="I8842" s="9">
        <v>1884000</v>
      </c>
      <c r="J8842" s="10">
        <v>0.03900000000000001</v>
      </c>
    </row>
    <row r="8843" spans="1:10">
      <c r="A8843" s="7" t="s">
        <v>8877</v>
      </c>
      <c r="B8843" s="7" t="s">
        <v>10710</v>
      </c>
      <c r="C8843" s="8">
        <f>QS.CONTEXT.CREATE("market.8841",A8843,"USD","SOFR")</f>
        <v/>
      </c>
      <c r="D8843" s="8">
        <f>QS.CONTEXT.ADD.CURVE(C8843,"SOFR",$K$2:$K$7,$L$2:$L$7,,,"Actual360","LogLinear",TRUE)</f>
        <v/>
      </c>
      <c r="E8843" s="8">
        <f>QS.INSTRUMENT.SWAP("swap.8841",C8843,H8843,B8843,"USD","SOFR",I8843,J8843,0,"Actual360","Simple","Annual","Annual","Annual")</f>
        <v/>
      </c>
      <c r="F8843" s="8">
        <f>QS.TRADE.CREATE("trade.8841",C8843,E8843,A8843,"Receive")</f>
        <v/>
      </c>
      <c r="G8843" s="5"/>
      <c r="H8843" s="7" t="s">
        <v>8884</v>
      </c>
      <c r="I8843" s="9">
        <v>1884100</v>
      </c>
      <c r="J8843" s="10">
        <v>0.0391</v>
      </c>
    </row>
    <row r="8844" spans="1:10">
      <c r="A8844" s="7" t="s">
        <v>8878</v>
      </c>
      <c r="B8844" s="7" t="s">
        <v>10711</v>
      </c>
      <c r="C8844" s="8">
        <f>QS.CONTEXT.CREATE("market.8842",A8844,"USD","SOFR")</f>
        <v/>
      </c>
      <c r="D8844" s="8">
        <f>QS.CONTEXT.ADD.CURVE(C8844,"SOFR",$K$2:$K$7,$L$2:$L$7,,,"Actual360","LogLinear",TRUE)</f>
        <v/>
      </c>
      <c r="E8844" s="8">
        <f>QS.INSTRUMENT.SWAP("swap.8842",C8844,H8844,B8844,"USD","SOFR",I8844,J8844,0,"Actual360","Simple","Annual","Annual","Annual")</f>
        <v/>
      </c>
      <c r="F8844" s="8">
        <f>QS.TRADE.CREATE("trade.8842",C8844,E8844,A8844,"Receive")</f>
        <v/>
      </c>
      <c r="G8844" s="5"/>
      <c r="H8844" s="7" t="s">
        <v>8885</v>
      </c>
      <c r="I8844" s="9">
        <v>1884200</v>
      </c>
      <c r="J8844" s="10">
        <v>0.03920000000000001</v>
      </c>
    </row>
    <row r="8845" spans="1:10">
      <c r="A8845" s="7" t="s">
        <v>8879</v>
      </c>
      <c r="B8845" s="7" t="s">
        <v>10712</v>
      </c>
      <c r="C8845" s="8">
        <f>QS.CONTEXT.CREATE("market.8843",A8845,"USD","SOFR")</f>
        <v/>
      </c>
      <c r="D8845" s="8">
        <f>QS.CONTEXT.ADD.CURVE(C8845,"SOFR",$K$2:$K$7,$L$2:$L$7,,,"Actual360","LogLinear",TRUE)</f>
        <v/>
      </c>
      <c r="E8845" s="8">
        <f>QS.INSTRUMENT.SWAP("swap.8843",C8845,H8845,B8845,"USD","SOFR",I8845,J8845,0,"Actual360","Simple","Annual","Annual","Annual")</f>
        <v/>
      </c>
      <c r="F8845" s="8">
        <f>QS.TRADE.CREATE("trade.8843",C8845,E8845,A8845,"Receive")</f>
        <v/>
      </c>
      <c r="G8845" s="5"/>
      <c r="H8845" s="7" t="s">
        <v>8886</v>
      </c>
      <c r="I8845" s="9">
        <v>1884300</v>
      </c>
      <c r="J8845" s="10">
        <v>0.0393</v>
      </c>
    </row>
    <row r="8846" spans="1:10">
      <c r="A8846" s="7" t="s">
        <v>8880</v>
      </c>
      <c r="B8846" s="7" t="s">
        <v>10713</v>
      </c>
      <c r="C8846" s="8">
        <f>QS.CONTEXT.CREATE("market.8844",A8846,"USD","SOFR")</f>
        <v/>
      </c>
      <c r="D8846" s="8">
        <f>QS.CONTEXT.ADD.CURVE(C8846,"SOFR",$K$2:$K$7,$L$2:$L$7,,,"Actual360","LogLinear",TRUE)</f>
        <v/>
      </c>
      <c r="E8846" s="8">
        <f>QS.INSTRUMENT.SWAP("swap.8844",C8846,H8846,B8846,"USD","SOFR",I8846,J8846,0,"Actual360","Simple","Annual","Annual","Annual")</f>
        <v/>
      </c>
      <c r="F8846" s="8">
        <f>QS.TRADE.CREATE("trade.8844",C8846,E8846,A8846,"Receive")</f>
        <v/>
      </c>
      <c r="G8846" s="5"/>
      <c r="H8846" s="7" t="s">
        <v>8887</v>
      </c>
      <c r="I8846" s="9">
        <v>1884400</v>
      </c>
      <c r="J8846" s="10">
        <v>0.0394</v>
      </c>
    </row>
    <row r="8847" spans="1:10">
      <c r="A8847" s="7" t="s">
        <v>8881</v>
      </c>
      <c r="B8847" s="7" t="s">
        <v>10714</v>
      </c>
      <c r="C8847" s="8">
        <f>QS.CONTEXT.CREATE("market.8845",A8847,"USD","SOFR")</f>
        <v/>
      </c>
      <c r="D8847" s="8">
        <f>QS.CONTEXT.ADD.CURVE(C8847,"SOFR",$K$2:$K$7,$L$2:$L$7,,,"Actual360","LogLinear",TRUE)</f>
        <v/>
      </c>
      <c r="E8847" s="8">
        <f>QS.INSTRUMENT.SWAP("swap.8845",C8847,H8847,B8847,"USD","SOFR",I8847,J8847,0,"Actual360","Simple","Annual","Annual","Annual")</f>
        <v/>
      </c>
      <c r="F8847" s="8">
        <f>QS.TRADE.CREATE("trade.8845",C8847,E8847,A8847,"Receive")</f>
        <v/>
      </c>
      <c r="G8847" s="5"/>
      <c r="H8847" s="7" t="s">
        <v>8888</v>
      </c>
      <c r="I8847" s="9">
        <v>1884500</v>
      </c>
      <c r="J8847" s="10">
        <v>0.03950000000000001</v>
      </c>
    </row>
    <row r="8848" spans="1:10">
      <c r="A8848" s="7" t="s">
        <v>8882</v>
      </c>
      <c r="B8848" s="7" t="s">
        <v>10715</v>
      </c>
      <c r="C8848" s="8">
        <f>QS.CONTEXT.CREATE("market.8846",A8848,"USD","SOFR")</f>
        <v/>
      </c>
      <c r="D8848" s="8">
        <f>QS.CONTEXT.ADD.CURVE(C8848,"SOFR",$K$2:$K$7,$L$2:$L$7,,,"Actual360","LogLinear",TRUE)</f>
        <v/>
      </c>
      <c r="E8848" s="8">
        <f>QS.INSTRUMENT.SWAP("swap.8846",C8848,H8848,B8848,"USD","SOFR",I8848,J8848,0,"Actual360","Simple","Annual","Annual","Annual")</f>
        <v/>
      </c>
      <c r="F8848" s="8">
        <f>QS.TRADE.CREATE("trade.8846",C8848,E8848,A8848,"Receive")</f>
        <v/>
      </c>
      <c r="G8848" s="5"/>
      <c r="H8848" s="7" t="s">
        <v>8889</v>
      </c>
      <c r="I8848" s="9">
        <v>1884600</v>
      </c>
      <c r="J8848" s="10">
        <v>0.0396</v>
      </c>
    </row>
    <row r="8849" spans="1:10">
      <c r="A8849" s="7" t="s">
        <v>8883</v>
      </c>
      <c r="B8849" s="7" t="s">
        <v>10716</v>
      </c>
      <c r="C8849" s="8">
        <f>QS.CONTEXT.CREATE("market.8847",A8849,"USD","SOFR")</f>
        <v/>
      </c>
      <c r="D8849" s="8">
        <f>QS.CONTEXT.ADD.CURVE(C8849,"SOFR",$K$2:$K$7,$L$2:$L$7,,,"Actual360","LogLinear",TRUE)</f>
        <v/>
      </c>
      <c r="E8849" s="8">
        <f>QS.INSTRUMENT.SWAP("swap.8847",C8849,H8849,B8849,"USD","SOFR",I8849,J8849,0,"Actual360","Simple","Annual","Annual","Annual")</f>
        <v/>
      </c>
      <c r="F8849" s="8">
        <f>QS.TRADE.CREATE("trade.8847",C8849,E8849,A8849,"Receive")</f>
        <v/>
      </c>
      <c r="G8849" s="5"/>
      <c r="H8849" s="7" t="s">
        <v>8890</v>
      </c>
      <c r="I8849" s="9">
        <v>1884700</v>
      </c>
      <c r="J8849" s="10">
        <v>0.03970000000000001</v>
      </c>
    </row>
    <row r="8850" spans="1:10">
      <c r="A8850" s="7" t="s">
        <v>8884</v>
      </c>
      <c r="B8850" s="7" t="s">
        <v>10717</v>
      </c>
      <c r="C8850" s="8">
        <f>QS.CONTEXT.CREATE("market.8848",A8850,"USD","SOFR")</f>
        <v/>
      </c>
      <c r="D8850" s="8">
        <f>QS.CONTEXT.ADD.CURVE(C8850,"SOFR",$K$2:$K$7,$L$2:$L$7,,,"Actual360","LogLinear",TRUE)</f>
        <v/>
      </c>
      <c r="E8850" s="8">
        <f>QS.INSTRUMENT.SWAP("swap.8848",C8850,H8850,B8850,"USD","SOFR",I8850,J8850,0,"Actual360","Simple","Annual","Annual","Annual")</f>
        <v/>
      </c>
      <c r="F8850" s="8">
        <f>QS.TRADE.CREATE("trade.8848",C8850,E8850,A8850,"Receive")</f>
        <v/>
      </c>
      <c r="G8850" s="5"/>
      <c r="H8850" s="7" t="s">
        <v>8891</v>
      </c>
      <c r="I8850" s="9">
        <v>1884800</v>
      </c>
      <c r="J8850" s="10">
        <v>0.0398</v>
      </c>
    </row>
    <row r="8851" spans="1:10">
      <c r="A8851" s="7" t="s">
        <v>8885</v>
      </c>
      <c r="B8851" s="7" t="s">
        <v>10718</v>
      </c>
      <c r="C8851" s="8">
        <f>QS.CONTEXT.CREATE("market.8849",A8851,"USD","SOFR")</f>
        <v/>
      </c>
      <c r="D8851" s="8">
        <f>QS.CONTEXT.ADD.CURVE(C8851,"SOFR",$K$2:$K$7,$L$2:$L$7,,,"Actual360","LogLinear",TRUE)</f>
        <v/>
      </c>
      <c r="E8851" s="8">
        <f>QS.INSTRUMENT.SWAP("swap.8849",C8851,H8851,B8851,"USD","SOFR",I8851,J8851,0,"Actual360","Simple","Annual","Annual","Annual")</f>
        <v/>
      </c>
      <c r="F8851" s="8">
        <f>QS.TRADE.CREATE("trade.8849",C8851,E8851,A8851,"Receive")</f>
        <v/>
      </c>
      <c r="G8851" s="5"/>
      <c r="H8851" s="7" t="s">
        <v>8892</v>
      </c>
      <c r="I8851" s="9">
        <v>1884900</v>
      </c>
      <c r="J8851" s="10">
        <v>0.0399</v>
      </c>
    </row>
    <row r="8852" spans="1:10">
      <c r="A8852" s="7" t="s">
        <v>8886</v>
      </c>
      <c r="B8852" s="7" t="s">
        <v>10719</v>
      </c>
      <c r="C8852" s="8">
        <f>QS.CONTEXT.CREATE("market.8850",A8852,"USD","SOFR")</f>
        <v/>
      </c>
      <c r="D8852" s="8">
        <f>QS.CONTEXT.ADD.CURVE(C8852,"SOFR",$K$2:$K$7,$L$2:$L$7,,,"Actual360","LogLinear",TRUE)</f>
        <v/>
      </c>
      <c r="E8852" s="8">
        <f>QS.INSTRUMENT.SWAP("swap.8850",C8852,H8852,B8852,"USD","SOFR",I8852,J8852,0,"Actual360","Simple","Annual","Annual","Annual")</f>
        <v/>
      </c>
      <c r="F8852" s="8">
        <f>QS.TRADE.CREATE("trade.8850",C8852,E8852,A8852,"Receive")</f>
        <v/>
      </c>
      <c r="G8852" s="5"/>
      <c r="H8852" s="7" t="s">
        <v>8893</v>
      </c>
      <c r="I8852" s="9">
        <v>1885000</v>
      </c>
      <c r="J8852" s="10">
        <v>0.035</v>
      </c>
    </row>
    <row r="8853" spans="1:10">
      <c r="A8853" s="7" t="s">
        <v>8887</v>
      </c>
      <c r="B8853" s="7" t="s">
        <v>10720</v>
      </c>
      <c r="C8853" s="8">
        <f>QS.CONTEXT.CREATE("market.8851",A8853,"USD","SOFR")</f>
        <v/>
      </c>
      <c r="D8853" s="8">
        <f>QS.CONTEXT.ADD.CURVE(C8853,"SOFR",$K$2:$K$7,$L$2:$L$7,,,"Actual360","LogLinear",TRUE)</f>
        <v/>
      </c>
      <c r="E8853" s="8">
        <f>QS.INSTRUMENT.SWAP("swap.8851",C8853,H8853,B8853,"USD","SOFR",I8853,J8853,0,"Actual360","Simple","Annual","Annual","Annual")</f>
        <v/>
      </c>
      <c r="F8853" s="8">
        <f>QS.TRADE.CREATE("trade.8851",C8853,E8853,A8853,"Receive")</f>
        <v/>
      </c>
      <c r="G8853" s="5"/>
      <c r="H8853" s="7" t="s">
        <v>8894</v>
      </c>
      <c r="I8853" s="9">
        <v>1885100</v>
      </c>
      <c r="J8853" s="10">
        <v>0.03510000000000001</v>
      </c>
    </row>
    <row r="8854" spans="1:10">
      <c r="A8854" s="7" t="s">
        <v>8888</v>
      </c>
      <c r="B8854" s="7" t="s">
        <v>10721</v>
      </c>
      <c r="C8854" s="8">
        <f>QS.CONTEXT.CREATE("market.8852",A8854,"USD","SOFR")</f>
        <v/>
      </c>
      <c r="D8854" s="8">
        <f>QS.CONTEXT.ADD.CURVE(C8854,"SOFR",$K$2:$K$7,$L$2:$L$7,,,"Actual360","LogLinear",TRUE)</f>
        <v/>
      </c>
      <c r="E8854" s="8">
        <f>QS.INSTRUMENT.SWAP("swap.8852",C8854,H8854,B8854,"USD","SOFR",I8854,J8854,0,"Actual360","Simple","Annual","Annual","Annual")</f>
        <v/>
      </c>
      <c r="F8854" s="8">
        <f>QS.TRADE.CREATE("trade.8852",C8854,E8854,A8854,"Receive")</f>
        <v/>
      </c>
      <c r="G8854" s="5"/>
      <c r="H8854" s="7" t="s">
        <v>8895</v>
      </c>
      <c r="I8854" s="9">
        <v>1885200</v>
      </c>
      <c r="J8854" s="10">
        <v>0.0352</v>
      </c>
    </row>
    <row r="8855" spans="1:10">
      <c r="A8855" s="7" t="s">
        <v>8889</v>
      </c>
      <c r="B8855" s="7" t="s">
        <v>10722</v>
      </c>
      <c r="C8855" s="8">
        <f>QS.CONTEXT.CREATE("market.8853",A8855,"USD","SOFR")</f>
        <v/>
      </c>
      <c r="D8855" s="8">
        <f>QS.CONTEXT.ADD.CURVE(C8855,"SOFR",$K$2:$K$7,$L$2:$L$7,,,"Actual360","LogLinear",TRUE)</f>
        <v/>
      </c>
      <c r="E8855" s="8">
        <f>QS.INSTRUMENT.SWAP("swap.8853",C8855,H8855,B8855,"USD","SOFR",I8855,J8855,0,"Actual360","Simple","Annual","Annual","Annual")</f>
        <v/>
      </c>
      <c r="F8855" s="8">
        <f>QS.TRADE.CREATE("trade.8853",C8855,E8855,A8855,"Receive")</f>
        <v/>
      </c>
      <c r="G8855" s="5"/>
      <c r="H8855" s="7" t="s">
        <v>8896</v>
      </c>
      <c r="I8855" s="9">
        <v>1885300</v>
      </c>
      <c r="J8855" s="10">
        <v>0.0353</v>
      </c>
    </row>
    <row r="8856" spans="1:10">
      <c r="A8856" s="7" t="s">
        <v>8890</v>
      </c>
      <c r="B8856" s="7" t="s">
        <v>10723</v>
      </c>
      <c r="C8856" s="8">
        <f>QS.CONTEXT.CREATE("market.8854",A8856,"USD","SOFR")</f>
        <v/>
      </c>
      <c r="D8856" s="8">
        <f>QS.CONTEXT.ADD.CURVE(C8856,"SOFR",$K$2:$K$7,$L$2:$L$7,,,"Actual360","LogLinear",TRUE)</f>
        <v/>
      </c>
      <c r="E8856" s="8">
        <f>QS.INSTRUMENT.SWAP("swap.8854",C8856,H8856,B8856,"USD","SOFR",I8856,J8856,0,"Actual360","Simple","Annual","Annual","Annual")</f>
        <v/>
      </c>
      <c r="F8856" s="8">
        <f>QS.TRADE.CREATE("trade.8854",C8856,E8856,A8856,"Receive")</f>
        <v/>
      </c>
      <c r="G8856" s="5"/>
      <c r="H8856" s="7" t="s">
        <v>8897</v>
      </c>
      <c r="I8856" s="9">
        <v>1885400</v>
      </c>
      <c r="J8856" s="10">
        <v>0.0354</v>
      </c>
    </row>
    <row r="8857" spans="1:10">
      <c r="A8857" s="7" t="s">
        <v>8891</v>
      </c>
      <c r="B8857" s="7" t="s">
        <v>10724</v>
      </c>
      <c r="C8857" s="8">
        <f>QS.CONTEXT.CREATE("market.8855",A8857,"USD","SOFR")</f>
        <v/>
      </c>
      <c r="D8857" s="8">
        <f>QS.CONTEXT.ADD.CURVE(C8857,"SOFR",$K$2:$K$7,$L$2:$L$7,,,"Actual360","LogLinear",TRUE)</f>
        <v/>
      </c>
      <c r="E8857" s="8">
        <f>QS.INSTRUMENT.SWAP("swap.8855",C8857,H8857,B8857,"USD","SOFR",I8857,J8857,0,"Actual360","Simple","Annual","Annual","Annual")</f>
        <v/>
      </c>
      <c r="F8857" s="8">
        <f>QS.TRADE.CREATE("trade.8855",C8857,E8857,A8857,"Receive")</f>
        <v/>
      </c>
      <c r="G8857" s="5"/>
      <c r="H8857" s="7" t="s">
        <v>8898</v>
      </c>
      <c r="I8857" s="9">
        <v>1885500</v>
      </c>
      <c r="J8857" s="10">
        <v>0.0355</v>
      </c>
    </row>
    <row r="8858" spans="1:10">
      <c r="A8858" s="7" t="s">
        <v>8892</v>
      </c>
      <c r="B8858" s="7" t="s">
        <v>10725</v>
      </c>
      <c r="C8858" s="8">
        <f>QS.CONTEXT.CREATE("market.8856",A8858,"USD","SOFR")</f>
        <v/>
      </c>
      <c r="D8858" s="8">
        <f>QS.CONTEXT.ADD.CURVE(C8858,"SOFR",$K$2:$K$7,$L$2:$L$7,,,"Actual360","LogLinear",TRUE)</f>
        <v/>
      </c>
      <c r="E8858" s="8">
        <f>QS.INSTRUMENT.SWAP("swap.8856",C8858,H8858,B8858,"USD","SOFR",I8858,J8858,0,"Actual360","Simple","Annual","Annual","Annual")</f>
        <v/>
      </c>
      <c r="F8858" s="8">
        <f>QS.TRADE.CREATE("trade.8856",C8858,E8858,A8858,"Receive")</f>
        <v/>
      </c>
      <c r="G8858" s="5"/>
      <c r="H8858" s="7" t="s">
        <v>8899</v>
      </c>
      <c r="I8858" s="9">
        <v>1885600</v>
      </c>
      <c r="J8858" s="10">
        <v>0.03560000000000001</v>
      </c>
    </row>
    <row r="8859" spans="1:10">
      <c r="A8859" s="7" t="s">
        <v>8893</v>
      </c>
      <c r="B8859" s="7" t="s">
        <v>10726</v>
      </c>
      <c r="C8859" s="8">
        <f>QS.CONTEXT.CREATE("market.8857",A8859,"USD","SOFR")</f>
        <v/>
      </c>
      <c r="D8859" s="8">
        <f>QS.CONTEXT.ADD.CURVE(C8859,"SOFR",$K$2:$K$7,$L$2:$L$7,,,"Actual360","LogLinear",TRUE)</f>
        <v/>
      </c>
      <c r="E8859" s="8">
        <f>QS.INSTRUMENT.SWAP("swap.8857",C8859,H8859,B8859,"USD","SOFR",I8859,J8859,0,"Actual360","Simple","Annual","Annual","Annual")</f>
        <v/>
      </c>
      <c r="F8859" s="8">
        <f>QS.TRADE.CREATE("trade.8857",C8859,E8859,A8859,"Receive")</f>
        <v/>
      </c>
      <c r="G8859" s="5"/>
      <c r="H8859" s="7" t="s">
        <v>8900</v>
      </c>
      <c r="I8859" s="9">
        <v>1885700</v>
      </c>
      <c r="J8859" s="10">
        <v>0.0357</v>
      </c>
    </row>
    <row r="8860" spans="1:10">
      <c r="A8860" s="7" t="s">
        <v>8894</v>
      </c>
      <c r="B8860" s="7" t="s">
        <v>10727</v>
      </c>
      <c r="C8860" s="8">
        <f>QS.CONTEXT.CREATE("market.8858",A8860,"USD","SOFR")</f>
        <v/>
      </c>
      <c r="D8860" s="8">
        <f>QS.CONTEXT.ADD.CURVE(C8860,"SOFR",$K$2:$K$7,$L$2:$L$7,,,"Actual360","LogLinear",TRUE)</f>
        <v/>
      </c>
      <c r="E8860" s="8">
        <f>QS.INSTRUMENT.SWAP("swap.8858",C8860,H8860,B8860,"USD","SOFR",I8860,J8860,0,"Actual360","Simple","Annual","Annual","Annual")</f>
        <v/>
      </c>
      <c r="F8860" s="8">
        <f>QS.TRADE.CREATE("trade.8858",C8860,E8860,A8860,"Receive")</f>
        <v/>
      </c>
      <c r="G8860" s="5"/>
      <c r="H8860" s="7" t="s">
        <v>8901</v>
      </c>
      <c r="I8860" s="9">
        <v>1885800</v>
      </c>
      <c r="J8860" s="10">
        <v>0.03580000000000001</v>
      </c>
    </row>
    <row r="8861" spans="1:10">
      <c r="A8861" s="7" t="s">
        <v>8895</v>
      </c>
      <c r="B8861" s="7" t="s">
        <v>10728</v>
      </c>
      <c r="C8861" s="8">
        <f>QS.CONTEXT.CREATE("market.8859",A8861,"USD","SOFR")</f>
        <v/>
      </c>
      <c r="D8861" s="8">
        <f>QS.CONTEXT.ADD.CURVE(C8861,"SOFR",$K$2:$K$7,$L$2:$L$7,,,"Actual360","LogLinear",TRUE)</f>
        <v/>
      </c>
      <c r="E8861" s="8">
        <f>QS.INSTRUMENT.SWAP("swap.8859",C8861,H8861,B8861,"USD","SOFR",I8861,J8861,0,"Actual360","Simple","Annual","Annual","Annual")</f>
        <v/>
      </c>
      <c r="F8861" s="8">
        <f>QS.TRADE.CREATE("trade.8859",C8861,E8861,A8861,"Receive")</f>
        <v/>
      </c>
      <c r="G8861" s="5"/>
      <c r="H8861" s="7" t="s">
        <v>8902</v>
      </c>
      <c r="I8861" s="9">
        <v>1885900</v>
      </c>
      <c r="J8861" s="10">
        <v>0.0359</v>
      </c>
    </row>
    <row r="8862" spans="1:10">
      <c r="A8862" s="7" t="s">
        <v>8896</v>
      </c>
      <c r="B8862" s="7" t="s">
        <v>10729</v>
      </c>
      <c r="C8862" s="8">
        <f>QS.CONTEXT.CREATE("market.8860",A8862,"USD","SOFR")</f>
        <v/>
      </c>
      <c r="D8862" s="8">
        <f>QS.CONTEXT.ADD.CURVE(C8862,"SOFR",$K$2:$K$7,$L$2:$L$7,,,"Actual360","LogLinear",TRUE)</f>
        <v/>
      </c>
      <c r="E8862" s="8">
        <f>QS.INSTRUMENT.SWAP("swap.8860",C8862,H8862,B8862,"USD","SOFR",I8862,J8862,0,"Actual360","Simple","Annual","Annual","Annual")</f>
        <v/>
      </c>
      <c r="F8862" s="8">
        <f>QS.TRADE.CREATE("trade.8860",C8862,E8862,A8862,"Receive")</f>
        <v/>
      </c>
      <c r="G8862" s="5"/>
      <c r="H8862" s="7" t="s">
        <v>8903</v>
      </c>
      <c r="I8862" s="9">
        <v>1886000</v>
      </c>
      <c r="J8862" s="10">
        <v>0.036</v>
      </c>
    </row>
    <row r="8863" spans="1:10">
      <c r="A8863" s="7" t="s">
        <v>8897</v>
      </c>
      <c r="B8863" s="7" t="s">
        <v>10730</v>
      </c>
      <c r="C8863" s="8">
        <f>QS.CONTEXT.CREATE("market.8861",A8863,"USD","SOFR")</f>
        <v/>
      </c>
      <c r="D8863" s="8">
        <f>QS.CONTEXT.ADD.CURVE(C8863,"SOFR",$K$2:$K$7,$L$2:$L$7,,,"Actual360","LogLinear",TRUE)</f>
        <v/>
      </c>
      <c r="E8863" s="8">
        <f>QS.INSTRUMENT.SWAP("swap.8861",C8863,H8863,B8863,"USD","SOFR",I8863,J8863,0,"Actual360","Simple","Annual","Annual","Annual")</f>
        <v/>
      </c>
      <c r="F8863" s="8">
        <f>QS.TRADE.CREATE("trade.8861",C8863,E8863,A8863,"Receive")</f>
        <v/>
      </c>
      <c r="G8863" s="5"/>
      <c r="H8863" s="7" t="s">
        <v>8904</v>
      </c>
      <c r="I8863" s="9">
        <v>1886100</v>
      </c>
      <c r="J8863" s="10">
        <v>0.0361</v>
      </c>
    </row>
    <row r="8864" spans="1:10">
      <c r="A8864" s="7" t="s">
        <v>8898</v>
      </c>
      <c r="B8864" s="7" t="s">
        <v>10731</v>
      </c>
      <c r="C8864" s="8">
        <f>QS.CONTEXT.CREATE("market.8862",A8864,"USD","SOFR")</f>
        <v/>
      </c>
      <c r="D8864" s="8">
        <f>QS.CONTEXT.ADD.CURVE(C8864,"SOFR",$K$2:$K$7,$L$2:$L$7,,,"Actual360","LogLinear",TRUE)</f>
        <v/>
      </c>
      <c r="E8864" s="8">
        <f>QS.INSTRUMENT.SWAP("swap.8862",C8864,H8864,B8864,"USD","SOFR",I8864,J8864,0,"Actual360","Simple","Annual","Annual","Annual")</f>
        <v/>
      </c>
      <c r="F8864" s="8">
        <f>QS.TRADE.CREATE("trade.8862",C8864,E8864,A8864,"Receive")</f>
        <v/>
      </c>
      <c r="G8864" s="5"/>
      <c r="H8864" s="7" t="s">
        <v>8905</v>
      </c>
      <c r="I8864" s="9">
        <v>1886200</v>
      </c>
      <c r="J8864" s="10">
        <v>0.0362</v>
      </c>
    </row>
    <row r="8865" spans="1:10">
      <c r="A8865" s="7" t="s">
        <v>8899</v>
      </c>
      <c r="B8865" s="7" t="s">
        <v>10732</v>
      </c>
      <c r="C8865" s="8">
        <f>QS.CONTEXT.CREATE("market.8863",A8865,"USD","SOFR")</f>
        <v/>
      </c>
      <c r="D8865" s="8">
        <f>QS.CONTEXT.ADD.CURVE(C8865,"SOFR",$K$2:$K$7,$L$2:$L$7,,,"Actual360","LogLinear",TRUE)</f>
        <v/>
      </c>
      <c r="E8865" s="8">
        <f>QS.INSTRUMENT.SWAP("swap.8863",C8865,H8865,B8865,"USD","SOFR",I8865,J8865,0,"Actual360","Simple","Annual","Annual","Annual")</f>
        <v/>
      </c>
      <c r="F8865" s="8">
        <f>QS.TRADE.CREATE("trade.8863",C8865,E8865,A8865,"Receive")</f>
        <v/>
      </c>
      <c r="G8865" s="5"/>
      <c r="H8865" s="7" t="s">
        <v>8906</v>
      </c>
      <c r="I8865" s="9">
        <v>1886300</v>
      </c>
      <c r="J8865" s="10">
        <v>0.03630000000000001</v>
      </c>
    </row>
    <row r="8866" spans="1:10">
      <c r="A8866" s="7" t="s">
        <v>8900</v>
      </c>
      <c r="B8866" s="7" t="s">
        <v>10733</v>
      </c>
      <c r="C8866" s="8">
        <f>QS.CONTEXT.CREATE("market.8864",A8866,"USD","SOFR")</f>
        <v/>
      </c>
      <c r="D8866" s="8">
        <f>QS.CONTEXT.ADD.CURVE(C8866,"SOFR",$K$2:$K$7,$L$2:$L$7,,,"Actual360","LogLinear",TRUE)</f>
        <v/>
      </c>
      <c r="E8866" s="8">
        <f>QS.INSTRUMENT.SWAP("swap.8864",C8866,H8866,B8866,"USD","SOFR",I8866,J8866,0,"Actual360","Simple","Annual","Annual","Annual")</f>
        <v/>
      </c>
      <c r="F8866" s="8">
        <f>QS.TRADE.CREATE("trade.8864",C8866,E8866,A8866,"Receive")</f>
        <v/>
      </c>
      <c r="G8866" s="5"/>
      <c r="H8866" s="7" t="s">
        <v>8907</v>
      </c>
      <c r="I8866" s="9">
        <v>1886400</v>
      </c>
      <c r="J8866" s="10">
        <v>0.0364</v>
      </c>
    </row>
    <row r="8867" spans="1:10">
      <c r="A8867" s="7" t="s">
        <v>8901</v>
      </c>
      <c r="B8867" s="7" t="s">
        <v>10734</v>
      </c>
      <c r="C8867" s="8">
        <f>QS.CONTEXT.CREATE("market.8865",A8867,"USD","SOFR")</f>
        <v/>
      </c>
      <c r="D8867" s="8">
        <f>QS.CONTEXT.ADD.CURVE(C8867,"SOFR",$K$2:$K$7,$L$2:$L$7,,,"Actual360","LogLinear",TRUE)</f>
        <v/>
      </c>
      <c r="E8867" s="8">
        <f>QS.INSTRUMENT.SWAP("swap.8865",C8867,H8867,B8867,"USD","SOFR",I8867,J8867,0,"Actual360","Simple","Annual","Annual","Annual")</f>
        <v/>
      </c>
      <c r="F8867" s="8">
        <f>QS.TRADE.CREATE("trade.8865",C8867,E8867,A8867,"Receive")</f>
        <v/>
      </c>
      <c r="G8867" s="5"/>
      <c r="H8867" s="7" t="s">
        <v>8908</v>
      </c>
      <c r="I8867" s="9">
        <v>1886500</v>
      </c>
      <c r="J8867" s="10">
        <v>0.0365</v>
      </c>
    </row>
    <row r="8868" spans="1:10">
      <c r="A8868" s="7" t="s">
        <v>8902</v>
      </c>
      <c r="B8868" s="7" t="s">
        <v>10735</v>
      </c>
      <c r="C8868" s="8">
        <f>QS.CONTEXT.CREATE("market.8866",A8868,"USD","SOFR")</f>
        <v/>
      </c>
      <c r="D8868" s="8">
        <f>QS.CONTEXT.ADD.CURVE(C8868,"SOFR",$K$2:$K$7,$L$2:$L$7,,,"Actual360","LogLinear",TRUE)</f>
        <v/>
      </c>
      <c r="E8868" s="8">
        <f>QS.INSTRUMENT.SWAP("swap.8866",C8868,H8868,B8868,"USD","SOFR",I8868,J8868,0,"Actual360","Simple","Annual","Annual","Annual")</f>
        <v/>
      </c>
      <c r="F8868" s="8">
        <f>QS.TRADE.CREATE("trade.8866",C8868,E8868,A8868,"Receive")</f>
        <v/>
      </c>
      <c r="G8868" s="5"/>
      <c r="H8868" s="7" t="s">
        <v>8909</v>
      </c>
      <c r="I8868" s="9">
        <v>1886600</v>
      </c>
      <c r="J8868" s="10">
        <v>0.0366</v>
      </c>
    </row>
    <row r="8869" spans="1:10">
      <c r="A8869" s="7" t="s">
        <v>8903</v>
      </c>
      <c r="B8869" s="7" t="s">
        <v>10736</v>
      </c>
      <c r="C8869" s="8">
        <f>QS.CONTEXT.CREATE("market.8867",A8869,"USD","SOFR")</f>
        <v/>
      </c>
      <c r="D8869" s="8">
        <f>QS.CONTEXT.ADD.CURVE(C8869,"SOFR",$K$2:$K$7,$L$2:$L$7,,,"Actual360","LogLinear",TRUE)</f>
        <v/>
      </c>
      <c r="E8869" s="8">
        <f>QS.INSTRUMENT.SWAP("swap.8867",C8869,H8869,B8869,"USD","SOFR",I8869,J8869,0,"Actual360","Simple","Annual","Annual","Annual")</f>
        <v/>
      </c>
      <c r="F8869" s="8">
        <f>QS.TRADE.CREATE("trade.8867",C8869,E8869,A8869,"Receive")</f>
        <v/>
      </c>
      <c r="G8869" s="5"/>
      <c r="H8869" s="7" t="s">
        <v>8910</v>
      </c>
      <c r="I8869" s="9">
        <v>1886700</v>
      </c>
      <c r="J8869" s="10">
        <v>0.0367</v>
      </c>
    </row>
    <row r="8870" spans="1:10">
      <c r="A8870" s="7" t="s">
        <v>8904</v>
      </c>
      <c r="B8870" s="7" t="s">
        <v>10737</v>
      </c>
      <c r="C8870" s="8">
        <f>QS.CONTEXT.CREATE("market.8868",A8870,"USD","SOFR")</f>
        <v/>
      </c>
      <c r="D8870" s="8">
        <f>QS.CONTEXT.ADD.CURVE(C8870,"SOFR",$K$2:$K$7,$L$2:$L$7,,,"Actual360","LogLinear",TRUE)</f>
        <v/>
      </c>
      <c r="E8870" s="8">
        <f>QS.INSTRUMENT.SWAP("swap.8868",C8870,H8870,B8870,"USD","SOFR",I8870,J8870,0,"Actual360","Simple","Annual","Annual","Annual")</f>
        <v/>
      </c>
      <c r="F8870" s="8">
        <f>QS.TRADE.CREATE("trade.8868",C8870,E8870,A8870,"Receive")</f>
        <v/>
      </c>
      <c r="G8870" s="5"/>
      <c r="H8870" s="7" t="s">
        <v>8911</v>
      </c>
      <c r="I8870" s="9">
        <v>1886800</v>
      </c>
      <c r="J8870" s="10">
        <v>0.03680000000000001</v>
      </c>
    </row>
    <row r="8871" spans="1:10">
      <c r="A8871" s="7" t="s">
        <v>8905</v>
      </c>
      <c r="B8871" s="7" t="s">
        <v>10738</v>
      </c>
      <c r="C8871" s="8">
        <f>QS.CONTEXT.CREATE("market.8869",A8871,"USD","SOFR")</f>
        <v/>
      </c>
      <c r="D8871" s="8">
        <f>QS.CONTEXT.ADD.CURVE(C8871,"SOFR",$K$2:$K$7,$L$2:$L$7,,,"Actual360","LogLinear",TRUE)</f>
        <v/>
      </c>
      <c r="E8871" s="8">
        <f>QS.INSTRUMENT.SWAP("swap.8869",C8871,H8871,B8871,"USD","SOFR",I8871,J8871,0,"Actual360","Simple","Annual","Annual","Annual")</f>
        <v/>
      </c>
      <c r="F8871" s="8">
        <f>QS.TRADE.CREATE("trade.8869",C8871,E8871,A8871,"Receive")</f>
        <v/>
      </c>
      <c r="G8871" s="5"/>
      <c r="H8871" s="7" t="s">
        <v>8912</v>
      </c>
      <c r="I8871" s="9">
        <v>1886900</v>
      </c>
      <c r="J8871" s="10">
        <v>0.0369</v>
      </c>
    </row>
    <row r="8872" spans="1:10">
      <c r="A8872" s="7" t="s">
        <v>8906</v>
      </c>
      <c r="B8872" s="7" t="s">
        <v>10739</v>
      </c>
      <c r="C8872" s="8">
        <f>QS.CONTEXT.CREATE("market.8870",A8872,"USD","SOFR")</f>
        <v/>
      </c>
      <c r="D8872" s="8">
        <f>QS.CONTEXT.ADD.CURVE(C8872,"SOFR",$K$2:$K$7,$L$2:$L$7,,,"Actual360","LogLinear",TRUE)</f>
        <v/>
      </c>
      <c r="E8872" s="8">
        <f>QS.INSTRUMENT.SWAP("swap.8870",C8872,H8872,B8872,"USD","SOFR",I8872,J8872,0,"Actual360","Simple","Annual","Annual","Annual")</f>
        <v/>
      </c>
      <c r="F8872" s="8">
        <f>QS.TRADE.CREATE("trade.8870",C8872,E8872,A8872,"Receive")</f>
        <v/>
      </c>
      <c r="G8872" s="5"/>
      <c r="H8872" s="7" t="s">
        <v>8913</v>
      </c>
      <c r="I8872" s="9">
        <v>1887000</v>
      </c>
      <c r="J8872" s="10">
        <v>0.03700000000000001</v>
      </c>
    </row>
    <row r="8873" spans="1:10">
      <c r="A8873" s="7" t="s">
        <v>8907</v>
      </c>
      <c r="B8873" s="7" t="s">
        <v>10740</v>
      </c>
      <c r="C8873" s="8">
        <f>QS.CONTEXT.CREATE("market.8871",A8873,"USD","SOFR")</f>
        <v/>
      </c>
      <c r="D8873" s="8">
        <f>QS.CONTEXT.ADD.CURVE(C8873,"SOFR",$K$2:$K$7,$L$2:$L$7,,,"Actual360","LogLinear",TRUE)</f>
        <v/>
      </c>
      <c r="E8873" s="8">
        <f>QS.INSTRUMENT.SWAP("swap.8871",C8873,H8873,B8873,"USD","SOFR",I8873,J8873,0,"Actual360","Simple","Annual","Annual","Annual")</f>
        <v/>
      </c>
      <c r="F8873" s="8">
        <f>QS.TRADE.CREATE("trade.8871",C8873,E8873,A8873,"Receive")</f>
        <v/>
      </c>
      <c r="G8873" s="5"/>
      <c r="H8873" s="7" t="s">
        <v>8914</v>
      </c>
      <c r="I8873" s="9">
        <v>1887100</v>
      </c>
      <c r="J8873" s="10">
        <v>0.0371</v>
      </c>
    </row>
    <row r="8874" spans="1:10">
      <c r="A8874" s="7" t="s">
        <v>8908</v>
      </c>
      <c r="B8874" s="7" t="s">
        <v>10741</v>
      </c>
      <c r="C8874" s="8">
        <f>QS.CONTEXT.CREATE("market.8872",A8874,"USD","SOFR")</f>
        <v/>
      </c>
      <c r="D8874" s="8">
        <f>QS.CONTEXT.ADD.CURVE(C8874,"SOFR",$K$2:$K$7,$L$2:$L$7,,,"Actual360","LogLinear",TRUE)</f>
        <v/>
      </c>
      <c r="E8874" s="8">
        <f>QS.INSTRUMENT.SWAP("swap.8872",C8874,H8874,B8874,"USD","SOFR",I8874,J8874,0,"Actual360","Simple","Annual","Annual","Annual")</f>
        <v/>
      </c>
      <c r="F8874" s="8">
        <f>QS.TRADE.CREATE("trade.8872",C8874,E8874,A8874,"Receive")</f>
        <v/>
      </c>
      <c r="G8874" s="5"/>
      <c r="H8874" s="7" t="s">
        <v>8915</v>
      </c>
      <c r="I8874" s="9">
        <v>1887200</v>
      </c>
      <c r="J8874" s="10">
        <v>0.0372</v>
      </c>
    </row>
    <row r="8875" spans="1:10">
      <c r="A8875" s="7" t="s">
        <v>8909</v>
      </c>
      <c r="B8875" s="7" t="s">
        <v>10742</v>
      </c>
      <c r="C8875" s="8">
        <f>QS.CONTEXT.CREATE("market.8873",A8875,"USD","SOFR")</f>
        <v/>
      </c>
      <c r="D8875" s="8">
        <f>QS.CONTEXT.ADD.CURVE(C8875,"SOFR",$K$2:$K$7,$L$2:$L$7,,,"Actual360","LogLinear",TRUE)</f>
        <v/>
      </c>
      <c r="E8875" s="8">
        <f>QS.INSTRUMENT.SWAP("swap.8873",C8875,H8875,B8875,"USD","SOFR",I8875,J8875,0,"Actual360","Simple","Annual","Annual","Annual")</f>
        <v/>
      </c>
      <c r="F8875" s="8">
        <f>QS.TRADE.CREATE("trade.8873",C8875,E8875,A8875,"Receive")</f>
        <v/>
      </c>
      <c r="G8875" s="5"/>
      <c r="H8875" s="7" t="s">
        <v>8916</v>
      </c>
      <c r="I8875" s="9">
        <v>1887300</v>
      </c>
      <c r="J8875" s="10">
        <v>0.0373</v>
      </c>
    </row>
    <row r="8876" spans="1:10">
      <c r="A8876" s="7" t="s">
        <v>8910</v>
      </c>
      <c r="B8876" s="7" t="s">
        <v>10743</v>
      </c>
      <c r="C8876" s="8">
        <f>QS.CONTEXT.CREATE("market.8874",A8876,"USD","SOFR")</f>
        <v/>
      </c>
      <c r="D8876" s="8">
        <f>QS.CONTEXT.ADD.CURVE(C8876,"SOFR",$K$2:$K$7,$L$2:$L$7,,,"Actual360","LogLinear",TRUE)</f>
        <v/>
      </c>
      <c r="E8876" s="8">
        <f>QS.INSTRUMENT.SWAP("swap.8874",C8876,H8876,B8876,"USD","SOFR",I8876,J8876,0,"Actual360","Simple","Annual","Annual","Annual")</f>
        <v/>
      </c>
      <c r="F8876" s="8">
        <f>QS.TRADE.CREATE("trade.8874",C8876,E8876,A8876,"Receive")</f>
        <v/>
      </c>
      <c r="G8876" s="5"/>
      <c r="H8876" s="7" t="s">
        <v>8917</v>
      </c>
      <c r="I8876" s="9">
        <v>1887400</v>
      </c>
      <c r="J8876" s="10">
        <v>0.0374</v>
      </c>
    </row>
    <row r="8877" spans="1:10">
      <c r="A8877" s="7" t="s">
        <v>8911</v>
      </c>
      <c r="B8877" s="7" t="s">
        <v>10744</v>
      </c>
      <c r="C8877" s="8">
        <f>QS.CONTEXT.CREATE("market.8875",A8877,"USD","SOFR")</f>
        <v/>
      </c>
      <c r="D8877" s="8">
        <f>QS.CONTEXT.ADD.CURVE(C8877,"SOFR",$K$2:$K$7,$L$2:$L$7,,,"Actual360","LogLinear",TRUE)</f>
        <v/>
      </c>
      <c r="E8877" s="8">
        <f>QS.INSTRUMENT.SWAP("swap.8875",C8877,H8877,B8877,"USD","SOFR",I8877,J8877,0,"Actual360","Simple","Annual","Annual","Annual")</f>
        <v/>
      </c>
      <c r="F8877" s="8">
        <f>QS.TRADE.CREATE("trade.8875",C8877,E8877,A8877,"Receive")</f>
        <v/>
      </c>
      <c r="G8877" s="5"/>
      <c r="H8877" s="7" t="s">
        <v>8918</v>
      </c>
      <c r="I8877" s="9">
        <v>1887500</v>
      </c>
      <c r="J8877" s="10">
        <v>0.03750000000000001</v>
      </c>
    </row>
    <row r="8878" spans="1:10">
      <c r="A8878" s="7" t="s">
        <v>8912</v>
      </c>
      <c r="B8878" s="7" t="s">
        <v>10745</v>
      </c>
      <c r="C8878" s="8">
        <f>QS.CONTEXT.CREATE("market.8876",A8878,"USD","SOFR")</f>
        <v/>
      </c>
      <c r="D8878" s="8">
        <f>QS.CONTEXT.ADD.CURVE(C8878,"SOFR",$K$2:$K$7,$L$2:$L$7,,,"Actual360","LogLinear",TRUE)</f>
        <v/>
      </c>
      <c r="E8878" s="8">
        <f>QS.INSTRUMENT.SWAP("swap.8876",C8878,H8878,B8878,"USD","SOFR",I8878,J8878,0,"Actual360","Simple","Annual","Annual","Annual")</f>
        <v/>
      </c>
      <c r="F8878" s="8">
        <f>QS.TRADE.CREATE("trade.8876",C8878,E8878,A8878,"Receive")</f>
        <v/>
      </c>
      <c r="G8878" s="5"/>
      <c r="H8878" s="7" t="s">
        <v>8919</v>
      </c>
      <c r="I8878" s="9">
        <v>1887600</v>
      </c>
      <c r="J8878" s="10">
        <v>0.0376</v>
      </c>
    </row>
    <row r="8879" spans="1:10">
      <c r="A8879" s="7" t="s">
        <v>8913</v>
      </c>
      <c r="B8879" s="7" t="s">
        <v>10746</v>
      </c>
      <c r="C8879" s="8">
        <f>QS.CONTEXT.CREATE("market.8877",A8879,"USD","SOFR")</f>
        <v/>
      </c>
      <c r="D8879" s="8">
        <f>QS.CONTEXT.ADD.CURVE(C8879,"SOFR",$K$2:$K$7,$L$2:$L$7,,,"Actual360","LogLinear",TRUE)</f>
        <v/>
      </c>
      <c r="E8879" s="8">
        <f>QS.INSTRUMENT.SWAP("swap.8877",C8879,H8879,B8879,"USD","SOFR",I8879,J8879,0,"Actual360","Simple","Annual","Annual","Annual")</f>
        <v/>
      </c>
      <c r="F8879" s="8">
        <f>QS.TRADE.CREATE("trade.8877",C8879,E8879,A8879,"Receive")</f>
        <v/>
      </c>
      <c r="G8879" s="5"/>
      <c r="H8879" s="7" t="s">
        <v>8920</v>
      </c>
      <c r="I8879" s="9">
        <v>1887700</v>
      </c>
      <c r="J8879" s="10">
        <v>0.0377</v>
      </c>
    </row>
    <row r="8880" spans="1:10">
      <c r="A8880" s="7" t="s">
        <v>8914</v>
      </c>
      <c r="B8880" s="7" t="s">
        <v>10747</v>
      </c>
      <c r="C8880" s="8">
        <f>QS.CONTEXT.CREATE("market.8878",A8880,"USD","SOFR")</f>
        <v/>
      </c>
      <c r="D8880" s="8">
        <f>QS.CONTEXT.ADD.CURVE(C8880,"SOFR",$K$2:$K$7,$L$2:$L$7,,,"Actual360","LogLinear",TRUE)</f>
        <v/>
      </c>
      <c r="E8880" s="8">
        <f>QS.INSTRUMENT.SWAP("swap.8878",C8880,H8880,B8880,"USD","SOFR",I8880,J8880,0,"Actual360","Simple","Annual","Annual","Annual")</f>
        <v/>
      </c>
      <c r="F8880" s="8">
        <f>QS.TRADE.CREATE("trade.8878",C8880,E8880,A8880,"Receive")</f>
        <v/>
      </c>
      <c r="G8880" s="5"/>
      <c r="H8880" s="7" t="s">
        <v>8921</v>
      </c>
      <c r="I8880" s="9">
        <v>1887800</v>
      </c>
      <c r="J8880" s="10">
        <v>0.0378</v>
      </c>
    </row>
    <row r="8881" spans="1:10">
      <c r="A8881" s="7" t="s">
        <v>8915</v>
      </c>
      <c r="B8881" s="7" t="s">
        <v>10748</v>
      </c>
      <c r="C8881" s="8">
        <f>QS.CONTEXT.CREATE("market.8879",A8881,"USD","SOFR")</f>
        <v/>
      </c>
      <c r="D8881" s="8">
        <f>QS.CONTEXT.ADD.CURVE(C8881,"SOFR",$K$2:$K$7,$L$2:$L$7,,,"Actual360","LogLinear",TRUE)</f>
        <v/>
      </c>
      <c r="E8881" s="8">
        <f>QS.INSTRUMENT.SWAP("swap.8879",C8881,H8881,B8881,"USD","SOFR",I8881,J8881,0,"Actual360","Simple","Annual","Annual","Annual")</f>
        <v/>
      </c>
      <c r="F8881" s="8">
        <f>QS.TRADE.CREATE("trade.8879",C8881,E8881,A8881,"Receive")</f>
        <v/>
      </c>
      <c r="G8881" s="5"/>
      <c r="H8881" s="7" t="s">
        <v>8922</v>
      </c>
      <c r="I8881" s="9">
        <v>1887900</v>
      </c>
      <c r="J8881" s="10">
        <v>0.0379</v>
      </c>
    </row>
    <row r="8882" spans="1:10">
      <c r="A8882" s="7" t="s">
        <v>8916</v>
      </c>
      <c r="B8882" s="7" t="s">
        <v>10749</v>
      </c>
      <c r="C8882" s="8">
        <f>QS.CONTEXT.CREATE("market.8880",A8882,"USD","SOFR")</f>
        <v/>
      </c>
      <c r="D8882" s="8">
        <f>QS.CONTEXT.ADD.CURVE(C8882,"SOFR",$K$2:$K$7,$L$2:$L$7,,,"Actual360","LogLinear",TRUE)</f>
        <v/>
      </c>
      <c r="E8882" s="8">
        <f>QS.INSTRUMENT.SWAP("swap.8880",C8882,H8882,B8882,"USD","SOFR",I8882,J8882,0,"Actual360","Simple","Annual","Annual","Annual")</f>
        <v/>
      </c>
      <c r="F8882" s="8">
        <f>QS.TRADE.CREATE("trade.8880",C8882,E8882,A8882,"Receive")</f>
        <v/>
      </c>
      <c r="G8882" s="5"/>
      <c r="H8882" s="7" t="s">
        <v>8923</v>
      </c>
      <c r="I8882" s="9">
        <v>1888000</v>
      </c>
      <c r="J8882" s="10">
        <v>0.03800000000000001</v>
      </c>
    </row>
    <row r="8883" spans="1:10">
      <c r="A8883" s="7" t="s">
        <v>8917</v>
      </c>
      <c r="B8883" s="7" t="s">
        <v>10750</v>
      </c>
      <c r="C8883" s="8">
        <f>QS.CONTEXT.CREATE("market.8881",A8883,"USD","SOFR")</f>
        <v/>
      </c>
      <c r="D8883" s="8">
        <f>QS.CONTEXT.ADD.CURVE(C8883,"SOFR",$K$2:$K$7,$L$2:$L$7,,,"Actual360","LogLinear",TRUE)</f>
        <v/>
      </c>
      <c r="E8883" s="8">
        <f>QS.INSTRUMENT.SWAP("swap.8881",C8883,H8883,B8883,"USD","SOFR",I8883,J8883,0,"Actual360","Simple","Annual","Annual","Annual")</f>
        <v/>
      </c>
      <c r="F8883" s="8">
        <f>QS.TRADE.CREATE("trade.8881",C8883,E8883,A8883,"Receive")</f>
        <v/>
      </c>
      <c r="G8883" s="5"/>
      <c r="H8883" s="7" t="s">
        <v>8924</v>
      </c>
      <c r="I8883" s="9">
        <v>1888100</v>
      </c>
      <c r="J8883" s="10">
        <v>0.0381</v>
      </c>
    </row>
    <row r="8884" spans="1:10">
      <c r="A8884" s="7" t="s">
        <v>8918</v>
      </c>
      <c r="B8884" s="7" t="s">
        <v>10751</v>
      </c>
      <c r="C8884" s="8">
        <f>QS.CONTEXT.CREATE("market.8882",A8884,"USD","SOFR")</f>
        <v/>
      </c>
      <c r="D8884" s="8">
        <f>QS.CONTEXT.ADD.CURVE(C8884,"SOFR",$K$2:$K$7,$L$2:$L$7,,,"Actual360","LogLinear",TRUE)</f>
        <v/>
      </c>
      <c r="E8884" s="8">
        <f>QS.INSTRUMENT.SWAP("swap.8882",C8884,H8884,B8884,"USD","SOFR",I8884,J8884,0,"Actual360","Simple","Annual","Annual","Annual")</f>
        <v/>
      </c>
      <c r="F8884" s="8">
        <f>QS.TRADE.CREATE("trade.8882",C8884,E8884,A8884,"Receive")</f>
        <v/>
      </c>
      <c r="G8884" s="5"/>
      <c r="H8884" s="7" t="s">
        <v>8925</v>
      </c>
      <c r="I8884" s="9">
        <v>1888200</v>
      </c>
      <c r="J8884" s="10">
        <v>0.0382</v>
      </c>
    </row>
    <row r="8885" spans="1:10">
      <c r="A8885" s="7" t="s">
        <v>8919</v>
      </c>
      <c r="B8885" s="7" t="s">
        <v>10752</v>
      </c>
      <c r="C8885" s="8">
        <f>QS.CONTEXT.CREATE("market.8883",A8885,"USD","SOFR")</f>
        <v/>
      </c>
      <c r="D8885" s="8">
        <f>QS.CONTEXT.ADD.CURVE(C8885,"SOFR",$K$2:$K$7,$L$2:$L$7,,,"Actual360","LogLinear",TRUE)</f>
        <v/>
      </c>
      <c r="E8885" s="8">
        <f>QS.INSTRUMENT.SWAP("swap.8883",C8885,H8885,B8885,"USD","SOFR",I8885,J8885,0,"Actual360","Simple","Annual","Annual","Annual")</f>
        <v/>
      </c>
      <c r="F8885" s="8">
        <f>QS.TRADE.CREATE("trade.8883",C8885,E8885,A8885,"Receive")</f>
        <v/>
      </c>
      <c r="G8885" s="5"/>
      <c r="H8885" s="7" t="s">
        <v>8926</v>
      </c>
      <c r="I8885" s="9">
        <v>1888300</v>
      </c>
      <c r="J8885" s="10">
        <v>0.0383</v>
      </c>
    </row>
    <row r="8886" spans="1:10">
      <c r="A8886" s="7" t="s">
        <v>8920</v>
      </c>
      <c r="B8886" s="7" t="s">
        <v>10753</v>
      </c>
      <c r="C8886" s="8">
        <f>QS.CONTEXT.CREATE("market.8884",A8886,"USD","SOFR")</f>
        <v/>
      </c>
      <c r="D8886" s="8">
        <f>QS.CONTEXT.ADD.CURVE(C8886,"SOFR",$K$2:$K$7,$L$2:$L$7,,,"Actual360","LogLinear",TRUE)</f>
        <v/>
      </c>
      <c r="E8886" s="8">
        <f>QS.INSTRUMENT.SWAP("swap.8884",C8886,H8886,B8886,"USD","SOFR",I8886,J8886,0,"Actual360","Simple","Annual","Annual","Annual")</f>
        <v/>
      </c>
      <c r="F8886" s="8">
        <f>QS.TRADE.CREATE("trade.8884",C8886,E8886,A8886,"Receive")</f>
        <v/>
      </c>
      <c r="G8886" s="5"/>
      <c r="H8886" s="7" t="s">
        <v>8927</v>
      </c>
      <c r="I8886" s="9">
        <v>1888400</v>
      </c>
      <c r="J8886" s="10">
        <v>0.0384</v>
      </c>
    </row>
    <row r="8887" spans="1:10">
      <c r="A8887" s="7" t="s">
        <v>8921</v>
      </c>
      <c r="B8887" s="7" t="s">
        <v>10754</v>
      </c>
      <c r="C8887" s="8">
        <f>QS.CONTEXT.CREATE("market.8885",A8887,"USD","SOFR")</f>
        <v/>
      </c>
      <c r="D8887" s="8">
        <f>QS.CONTEXT.ADD.CURVE(C8887,"SOFR",$K$2:$K$7,$L$2:$L$7,,,"Actual360","LogLinear",TRUE)</f>
        <v/>
      </c>
      <c r="E8887" s="8">
        <f>QS.INSTRUMENT.SWAP("swap.8885",C8887,H8887,B8887,"USD","SOFR",I8887,J8887,0,"Actual360","Simple","Annual","Annual","Annual")</f>
        <v/>
      </c>
      <c r="F8887" s="8">
        <f>QS.TRADE.CREATE("trade.8885",C8887,E8887,A8887,"Receive")</f>
        <v/>
      </c>
      <c r="G8887" s="5"/>
      <c r="H8887" s="7" t="s">
        <v>8928</v>
      </c>
      <c r="I8887" s="9">
        <v>1888500</v>
      </c>
      <c r="J8887" s="10">
        <v>0.03850000000000001</v>
      </c>
    </row>
    <row r="8888" spans="1:10">
      <c r="A8888" s="7" t="s">
        <v>8922</v>
      </c>
      <c r="B8888" s="7" t="s">
        <v>10755</v>
      </c>
      <c r="C8888" s="8">
        <f>QS.CONTEXT.CREATE("market.8886",A8888,"USD","SOFR")</f>
        <v/>
      </c>
      <c r="D8888" s="8">
        <f>QS.CONTEXT.ADD.CURVE(C8888,"SOFR",$K$2:$K$7,$L$2:$L$7,,,"Actual360","LogLinear",TRUE)</f>
        <v/>
      </c>
      <c r="E8888" s="8">
        <f>QS.INSTRUMENT.SWAP("swap.8886",C8888,H8888,B8888,"USD","SOFR",I8888,J8888,0,"Actual360","Simple","Annual","Annual","Annual")</f>
        <v/>
      </c>
      <c r="F8888" s="8">
        <f>QS.TRADE.CREATE("trade.8886",C8888,E8888,A8888,"Receive")</f>
        <v/>
      </c>
      <c r="G8888" s="5"/>
      <c r="H8888" s="7" t="s">
        <v>8929</v>
      </c>
      <c r="I8888" s="9">
        <v>1888600</v>
      </c>
      <c r="J8888" s="10">
        <v>0.0386</v>
      </c>
    </row>
    <row r="8889" spans="1:10">
      <c r="A8889" s="7" t="s">
        <v>8923</v>
      </c>
      <c r="B8889" s="7" t="s">
        <v>10756</v>
      </c>
      <c r="C8889" s="8">
        <f>QS.CONTEXT.CREATE("market.8887",A8889,"USD","SOFR")</f>
        <v/>
      </c>
      <c r="D8889" s="8">
        <f>QS.CONTEXT.ADD.CURVE(C8889,"SOFR",$K$2:$K$7,$L$2:$L$7,,,"Actual360","LogLinear",TRUE)</f>
        <v/>
      </c>
      <c r="E8889" s="8">
        <f>QS.INSTRUMENT.SWAP("swap.8887",C8889,H8889,B8889,"USD","SOFR",I8889,J8889,0,"Actual360","Simple","Annual","Annual","Annual")</f>
        <v/>
      </c>
      <c r="F8889" s="8">
        <f>QS.TRADE.CREATE("trade.8887",C8889,E8889,A8889,"Receive")</f>
        <v/>
      </c>
      <c r="G8889" s="5"/>
      <c r="H8889" s="7" t="s">
        <v>8930</v>
      </c>
      <c r="I8889" s="9">
        <v>1888700</v>
      </c>
      <c r="J8889" s="10">
        <v>0.03870000000000001</v>
      </c>
    </row>
    <row r="8890" spans="1:10">
      <c r="A8890" s="7" t="s">
        <v>8924</v>
      </c>
      <c r="B8890" s="7" t="s">
        <v>10757</v>
      </c>
      <c r="C8890" s="8">
        <f>QS.CONTEXT.CREATE("market.8888",A8890,"USD","SOFR")</f>
        <v/>
      </c>
      <c r="D8890" s="8">
        <f>QS.CONTEXT.ADD.CURVE(C8890,"SOFR",$K$2:$K$7,$L$2:$L$7,,,"Actual360","LogLinear",TRUE)</f>
        <v/>
      </c>
      <c r="E8890" s="8">
        <f>QS.INSTRUMENT.SWAP("swap.8888",C8890,H8890,B8890,"USD","SOFR",I8890,J8890,0,"Actual360","Simple","Annual","Annual","Annual")</f>
        <v/>
      </c>
      <c r="F8890" s="8">
        <f>QS.TRADE.CREATE("trade.8888",C8890,E8890,A8890,"Receive")</f>
        <v/>
      </c>
      <c r="G8890" s="5"/>
      <c r="H8890" s="7" t="s">
        <v>8931</v>
      </c>
      <c r="I8890" s="9">
        <v>1888800</v>
      </c>
      <c r="J8890" s="10">
        <v>0.0388</v>
      </c>
    </row>
    <row r="8891" spans="1:10">
      <c r="A8891" s="7" t="s">
        <v>8925</v>
      </c>
      <c r="B8891" s="7" t="s">
        <v>10758</v>
      </c>
      <c r="C8891" s="8">
        <f>QS.CONTEXT.CREATE("market.8889",A8891,"USD","SOFR")</f>
        <v/>
      </c>
      <c r="D8891" s="8">
        <f>QS.CONTEXT.ADD.CURVE(C8891,"SOFR",$K$2:$K$7,$L$2:$L$7,,,"Actual360","LogLinear",TRUE)</f>
        <v/>
      </c>
      <c r="E8891" s="8">
        <f>QS.INSTRUMENT.SWAP("swap.8889",C8891,H8891,B8891,"USD","SOFR",I8891,J8891,0,"Actual360","Simple","Annual","Annual","Annual")</f>
        <v/>
      </c>
      <c r="F8891" s="8">
        <f>QS.TRADE.CREATE("trade.8889",C8891,E8891,A8891,"Receive")</f>
        <v/>
      </c>
      <c r="G8891" s="5"/>
      <c r="H8891" s="7" t="s">
        <v>8932</v>
      </c>
      <c r="I8891" s="9">
        <v>1888900</v>
      </c>
      <c r="J8891" s="10">
        <v>0.0389</v>
      </c>
    </row>
    <row r="8892" spans="1:10">
      <c r="A8892" s="7" t="s">
        <v>8926</v>
      </c>
      <c r="B8892" s="7" t="s">
        <v>10759</v>
      </c>
      <c r="C8892" s="8">
        <f>QS.CONTEXT.CREATE("market.8890",A8892,"USD","SOFR")</f>
        <v/>
      </c>
      <c r="D8892" s="8">
        <f>QS.CONTEXT.ADD.CURVE(C8892,"SOFR",$K$2:$K$7,$L$2:$L$7,,,"Actual360","LogLinear",TRUE)</f>
        <v/>
      </c>
      <c r="E8892" s="8">
        <f>QS.INSTRUMENT.SWAP("swap.8890",C8892,H8892,B8892,"USD","SOFR",I8892,J8892,0,"Actual360","Simple","Annual","Annual","Annual")</f>
        <v/>
      </c>
      <c r="F8892" s="8">
        <f>QS.TRADE.CREATE("trade.8890",C8892,E8892,A8892,"Receive")</f>
        <v/>
      </c>
      <c r="G8892" s="5"/>
      <c r="H8892" s="7" t="s">
        <v>8933</v>
      </c>
      <c r="I8892" s="9">
        <v>1889000</v>
      </c>
      <c r="J8892" s="10">
        <v>0.03900000000000001</v>
      </c>
    </row>
    <row r="8893" spans="1:10">
      <c r="A8893" s="7" t="s">
        <v>8927</v>
      </c>
      <c r="B8893" s="7" t="s">
        <v>10760</v>
      </c>
      <c r="C8893" s="8">
        <f>QS.CONTEXT.CREATE("market.8891",A8893,"USD","SOFR")</f>
        <v/>
      </c>
      <c r="D8893" s="8">
        <f>QS.CONTEXT.ADD.CURVE(C8893,"SOFR",$K$2:$K$7,$L$2:$L$7,,,"Actual360","LogLinear",TRUE)</f>
        <v/>
      </c>
      <c r="E8893" s="8">
        <f>QS.INSTRUMENT.SWAP("swap.8891",C8893,H8893,B8893,"USD","SOFR",I8893,J8893,0,"Actual360","Simple","Annual","Annual","Annual")</f>
        <v/>
      </c>
      <c r="F8893" s="8">
        <f>QS.TRADE.CREATE("trade.8891",C8893,E8893,A8893,"Receive")</f>
        <v/>
      </c>
      <c r="G8893" s="5"/>
      <c r="H8893" s="7" t="s">
        <v>8934</v>
      </c>
      <c r="I8893" s="9">
        <v>1889100</v>
      </c>
      <c r="J8893" s="10">
        <v>0.0391</v>
      </c>
    </row>
    <row r="8894" spans="1:10">
      <c r="A8894" s="7" t="s">
        <v>8928</v>
      </c>
      <c r="B8894" s="7" t="s">
        <v>10761</v>
      </c>
      <c r="C8894" s="8">
        <f>QS.CONTEXT.CREATE("market.8892",A8894,"USD","SOFR")</f>
        <v/>
      </c>
      <c r="D8894" s="8">
        <f>QS.CONTEXT.ADD.CURVE(C8894,"SOFR",$K$2:$K$7,$L$2:$L$7,,,"Actual360","LogLinear",TRUE)</f>
        <v/>
      </c>
      <c r="E8894" s="8">
        <f>QS.INSTRUMENT.SWAP("swap.8892",C8894,H8894,B8894,"USD","SOFR",I8894,J8894,0,"Actual360","Simple","Annual","Annual","Annual")</f>
        <v/>
      </c>
      <c r="F8894" s="8">
        <f>QS.TRADE.CREATE("trade.8892",C8894,E8894,A8894,"Receive")</f>
        <v/>
      </c>
      <c r="G8894" s="5"/>
      <c r="H8894" s="7" t="s">
        <v>8935</v>
      </c>
      <c r="I8894" s="9">
        <v>1889200</v>
      </c>
      <c r="J8894" s="10">
        <v>0.03920000000000001</v>
      </c>
    </row>
    <row r="8895" spans="1:10">
      <c r="A8895" s="7" t="s">
        <v>8929</v>
      </c>
      <c r="B8895" s="7" t="s">
        <v>10762</v>
      </c>
      <c r="C8895" s="8">
        <f>QS.CONTEXT.CREATE("market.8893",A8895,"USD","SOFR")</f>
        <v/>
      </c>
      <c r="D8895" s="8">
        <f>QS.CONTEXT.ADD.CURVE(C8895,"SOFR",$K$2:$K$7,$L$2:$L$7,,,"Actual360","LogLinear",TRUE)</f>
        <v/>
      </c>
      <c r="E8895" s="8">
        <f>QS.INSTRUMENT.SWAP("swap.8893",C8895,H8895,B8895,"USD","SOFR",I8895,J8895,0,"Actual360","Simple","Annual","Annual","Annual")</f>
        <v/>
      </c>
      <c r="F8895" s="8">
        <f>QS.TRADE.CREATE("trade.8893",C8895,E8895,A8895,"Receive")</f>
        <v/>
      </c>
      <c r="G8895" s="5"/>
      <c r="H8895" s="7" t="s">
        <v>8936</v>
      </c>
      <c r="I8895" s="9">
        <v>1889300</v>
      </c>
      <c r="J8895" s="10">
        <v>0.0393</v>
      </c>
    </row>
    <row r="8896" spans="1:10">
      <c r="A8896" s="7" t="s">
        <v>8930</v>
      </c>
      <c r="B8896" s="7" t="s">
        <v>10763</v>
      </c>
      <c r="C8896" s="8">
        <f>QS.CONTEXT.CREATE("market.8894",A8896,"USD","SOFR")</f>
        <v/>
      </c>
      <c r="D8896" s="8">
        <f>QS.CONTEXT.ADD.CURVE(C8896,"SOFR",$K$2:$K$7,$L$2:$L$7,,,"Actual360","LogLinear",TRUE)</f>
        <v/>
      </c>
      <c r="E8896" s="8">
        <f>QS.INSTRUMENT.SWAP("swap.8894",C8896,H8896,B8896,"USD","SOFR",I8896,J8896,0,"Actual360","Simple","Annual","Annual","Annual")</f>
        <v/>
      </c>
      <c r="F8896" s="8">
        <f>QS.TRADE.CREATE("trade.8894",C8896,E8896,A8896,"Receive")</f>
        <v/>
      </c>
      <c r="G8896" s="5"/>
      <c r="H8896" s="7" t="s">
        <v>8937</v>
      </c>
      <c r="I8896" s="9">
        <v>1889400</v>
      </c>
      <c r="J8896" s="10">
        <v>0.0394</v>
      </c>
    </row>
    <row r="8897" spans="1:10">
      <c r="A8897" s="7" t="s">
        <v>8931</v>
      </c>
      <c r="B8897" s="7" t="s">
        <v>10764</v>
      </c>
      <c r="C8897" s="8">
        <f>QS.CONTEXT.CREATE("market.8895",A8897,"USD","SOFR")</f>
        <v/>
      </c>
      <c r="D8897" s="8">
        <f>QS.CONTEXT.ADD.CURVE(C8897,"SOFR",$K$2:$K$7,$L$2:$L$7,,,"Actual360","LogLinear",TRUE)</f>
        <v/>
      </c>
      <c r="E8897" s="8">
        <f>QS.INSTRUMENT.SWAP("swap.8895",C8897,H8897,B8897,"USD","SOFR",I8897,J8897,0,"Actual360","Simple","Annual","Annual","Annual")</f>
        <v/>
      </c>
      <c r="F8897" s="8">
        <f>QS.TRADE.CREATE("trade.8895",C8897,E8897,A8897,"Receive")</f>
        <v/>
      </c>
      <c r="G8897" s="5"/>
      <c r="H8897" s="7" t="s">
        <v>8938</v>
      </c>
      <c r="I8897" s="9">
        <v>1889500</v>
      </c>
      <c r="J8897" s="10">
        <v>0.03950000000000001</v>
      </c>
    </row>
    <row r="8898" spans="1:10">
      <c r="A8898" s="7" t="s">
        <v>8932</v>
      </c>
      <c r="B8898" s="7" t="s">
        <v>10765</v>
      </c>
      <c r="C8898" s="8">
        <f>QS.CONTEXT.CREATE("market.8896",A8898,"USD","SOFR")</f>
        <v/>
      </c>
      <c r="D8898" s="8">
        <f>QS.CONTEXT.ADD.CURVE(C8898,"SOFR",$K$2:$K$7,$L$2:$L$7,,,"Actual360","LogLinear",TRUE)</f>
        <v/>
      </c>
      <c r="E8898" s="8">
        <f>QS.INSTRUMENT.SWAP("swap.8896",C8898,H8898,B8898,"USD","SOFR",I8898,J8898,0,"Actual360","Simple","Annual","Annual","Annual")</f>
        <v/>
      </c>
      <c r="F8898" s="8">
        <f>QS.TRADE.CREATE("trade.8896",C8898,E8898,A8898,"Receive")</f>
        <v/>
      </c>
      <c r="G8898" s="5"/>
      <c r="H8898" s="7" t="s">
        <v>8939</v>
      </c>
      <c r="I8898" s="9">
        <v>1889600</v>
      </c>
      <c r="J8898" s="10">
        <v>0.0396</v>
      </c>
    </row>
    <row r="8899" spans="1:10">
      <c r="A8899" s="7" t="s">
        <v>8933</v>
      </c>
      <c r="B8899" s="7" t="s">
        <v>10766</v>
      </c>
      <c r="C8899" s="8">
        <f>QS.CONTEXT.CREATE("market.8897",A8899,"USD","SOFR")</f>
        <v/>
      </c>
      <c r="D8899" s="8">
        <f>QS.CONTEXT.ADD.CURVE(C8899,"SOFR",$K$2:$K$7,$L$2:$L$7,,,"Actual360","LogLinear",TRUE)</f>
        <v/>
      </c>
      <c r="E8899" s="8">
        <f>QS.INSTRUMENT.SWAP("swap.8897",C8899,H8899,B8899,"USD","SOFR",I8899,J8899,0,"Actual360","Simple","Annual","Annual","Annual")</f>
        <v/>
      </c>
      <c r="F8899" s="8">
        <f>QS.TRADE.CREATE("trade.8897",C8899,E8899,A8899,"Receive")</f>
        <v/>
      </c>
      <c r="G8899" s="5"/>
      <c r="H8899" s="7" t="s">
        <v>8940</v>
      </c>
      <c r="I8899" s="9">
        <v>1889700</v>
      </c>
      <c r="J8899" s="10">
        <v>0.03970000000000001</v>
      </c>
    </row>
    <row r="8900" spans="1:10">
      <c r="A8900" s="7" t="s">
        <v>8934</v>
      </c>
      <c r="B8900" s="7" t="s">
        <v>10767</v>
      </c>
      <c r="C8900" s="8">
        <f>QS.CONTEXT.CREATE("market.8898",A8900,"USD","SOFR")</f>
        <v/>
      </c>
      <c r="D8900" s="8">
        <f>QS.CONTEXT.ADD.CURVE(C8900,"SOFR",$K$2:$K$7,$L$2:$L$7,,,"Actual360","LogLinear",TRUE)</f>
        <v/>
      </c>
      <c r="E8900" s="8">
        <f>QS.INSTRUMENT.SWAP("swap.8898",C8900,H8900,B8900,"USD","SOFR",I8900,J8900,0,"Actual360","Simple","Annual","Annual","Annual")</f>
        <v/>
      </c>
      <c r="F8900" s="8">
        <f>QS.TRADE.CREATE("trade.8898",C8900,E8900,A8900,"Receive")</f>
        <v/>
      </c>
      <c r="G8900" s="5"/>
      <c r="H8900" s="7" t="s">
        <v>8941</v>
      </c>
      <c r="I8900" s="9">
        <v>1889800</v>
      </c>
      <c r="J8900" s="10">
        <v>0.0398</v>
      </c>
    </row>
    <row r="8901" spans="1:10">
      <c r="A8901" s="7" t="s">
        <v>8935</v>
      </c>
      <c r="B8901" s="7" t="s">
        <v>10768</v>
      </c>
      <c r="C8901" s="8">
        <f>QS.CONTEXT.CREATE("market.8899",A8901,"USD","SOFR")</f>
        <v/>
      </c>
      <c r="D8901" s="8">
        <f>QS.CONTEXT.ADD.CURVE(C8901,"SOFR",$K$2:$K$7,$L$2:$L$7,,,"Actual360","LogLinear",TRUE)</f>
        <v/>
      </c>
      <c r="E8901" s="8">
        <f>QS.INSTRUMENT.SWAP("swap.8899",C8901,H8901,B8901,"USD","SOFR",I8901,J8901,0,"Actual360","Simple","Annual","Annual","Annual")</f>
        <v/>
      </c>
      <c r="F8901" s="8">
        <f>QS.TRADE.CREATE("trade.8899",C8901,E8901,A8901,"Receive")</f>
        <v/>
      </c>
      <c r="G8901" s="5"/>
      <c r="H8901" s="7" t="s">
        <v>8942</v>
      </c>
      <c r="I8901" s="9">
        <v>1889900</v>
      </c>
      <c r="J8901" s="10">
        <v>0.0399</v>
      </c>
    </row>
    <row r="8902" spans="1:10">
      <c r="A8902" s="7" t="s">
        <v>8936</v>
      </c>
      <c r="B8902" s="7" t="s">
        <v>10769</v>
      </c>
      <c r="C8902" s="8">
        <f>QS.CONTEXT.CREATE("market.8900",A8902,"USD","SOFR")</f>
        <v/>
      </c>
      <c r="D8902" s="8">
        <f>QS.CONTEXT.ADD.CURVE(C8902,"SOFR",$K$2:$K$7,$L$2:$L$7,,,"Actual360","LogLinear",TRUE)</f>
        <v/>
      </c>
      <c r="E8902" s="8">
        <f>QS.INSTRUMENT.SWAP("swap.8900",C8902,H8902,B8902,"USD","SOFR",I8902,J8902,0,"Actual360","Simple","Annual","Annual","Annual")</f>
        <v/>
      </c>
      <c r="F8902" s="8">
        <f>QS.TRADE.CREATE("trade.8900",C8902,E8902,A8902,"Receive")</f>
        <v/>
      </c>
      <c r="G8902" s="5"/>
      <c r="H8902" s="7" t="s">
        <v>8943</v>
      </c>
      <c r="I8902" s="9">
        <v>1890000</v>
      </c>
      <c r="J8902" s="10">
        <v>0.035</v>
      </c>
    </row>
    <row r="8903" spans="1:10">
      <c r="A8903" s="7" t="s">
        <v>8937</v>
      </c>
      <c r="B8903" s="7" t="s">
        <v>10770</v>
      </c>
      <c r="C8903" s="8">
        <f>QS.CONTEXT.CREATE("market.8901",A8903,"USD","SOFR")</f>
        <v/>
      </c>
      <c r="D8903" s="8">
        <f>QS.CONTEXT.ADD.CURVE(C8903,"SOFR",$K$2:$K$7,$L$2:$L$7,,,"Actual360","LogLinear",TRUE)</f>
        <v/>
      </c>
      <c r="E8903" s="8">
        <f>QS.INSTRUMENT.SWAP("swap.8901",C8903,H8903,B8903,"USD","SOFR",I8903,J8903,0,"Actual360","Simple","Annual","Annual","Annual")</f>
        <v/>
      </c>
      <c r="F8903" s="8">
        <f>QS.TRADE.CREATE("trade.8901",C8903,E8903,A8903,"Receive")</f>
        <v/>
      </c>
      <c r="G8903" s="5"/>
      <c r="H8903" s="7" t="s">
        <v>8944</v>
      </c>
      <c r="I8903" s="9">
        <v>1890100</v>
      </c>
      <c r="J8903" s="10">
        <v>0.03510000000000001</v>
      </c>
    </row>
    <row r="8904" spans="1:10">
      <c r="A8904" s="7" t="s">
        <v>8938</v>
      </c>
      <c r="B8904" s="7" t="s">
        <v>10771</v>
      </c>
      <c r="C8904" s="8">
        <f>QS.CONTEXT.CREATE("market.8902",A8904,"USD","SOFR")</f>
        <v/>
      </c>
      <c r="D8904" s="8">
        <f>QS.CONTEXT.ADD.CURVE(C8904,"SOFR",$K$2:$K$7,$L$2:$L$7,,,"Actual360","LogLinear",TRUE)</f>
        <v/>
      </c>
      <c r="E8904" s="8">
        <f>QS.INSTRUMENT.SWAP("swap.8902",C8904,H8904,B8904,"USD","SOFR",I8904,J8904,0,"Actual360","Simple","Annual","Annual","Annual")</f>
        <v/>
      </c>
      <c r="F8904" s="8">
        <f>QS.TRADE.CREATE("trade.8902",C8904,E8904,A8904,"Receive")</f>
        <v/>
      </c>
      <c r="G8904" s="5"/>
      <c r="H8904" s="7" t="s">
        <v>8945</v>
      </c>
      <c r="I8904" s="9">
        <v>1890200</v>
      </c>
      <c r="J8904" s="10">
        <v>0.0352</v>
      </c>
    </row>
    <row r="8905" spans="1:10">
      <c r="A8905" s="7" t="s">
        <v>8939</v>
      </c>
      <c r="B8905" s="7" t="s">
        <v>10772</v>
      </c>
      <c r="C8905" s="8">
        <f>QS.CONTEXT.CREATE("market.8903",A8905,"USD","SOFR")</f>
        <v/>
      </c>
      <c r="D8905" s="8">
        <f>QS.CONTEXT.ADD.CURVE(C8905,"SOFR",$K$2:$K$7,$L$2:$L$7,,,"Actual360","LogLinear",TRUE)</f>
        <v/>
      </c>
      <c r="E8905" s="8">
        <f>QS.INSTRUMENT.SWAP("swap.8903",C8905,H8905,B8905,"USD","SOFR",I8905,J8905,0,"Actual360","Simple","Annual","Annual","Annual")</f>
        <v/>
      </c>
      <c r="F8905" s="8">
        <f>QS.TRADE.CREATE("trade.8903",C8905,E8905,A8905,"Receive")</f>
        <v/>
      </c>
      <c r="G8905" s="5"/>
      <c r="H8905" s="7" t="s">
        <v>8946</v>
      </c>
      <c r="I8905" s="9">
        <v>1890300</v>
      </c>
      <c r="J8905" s="10">
        <v>0.0353</v>
      </c>
    </row>
    <row r="8906" spans="1:10">
      <c r="A8906" s="7" t="s">
        <v>8940</v>
      </c>
      <c r="B8906" s="7" t="s">
        <v>10773</v>
      </c>
      <c r="C8906" s="8">
        <f>QS.CONTEXT.CREATE("market.8904",A8906,"USD","SOFR")</f>
        <v/>
      </c>
      <c r="D8906" s="8">
        <f>QS.CONTEXT.ADD.CURVE(C8906,"SOFR",$K$2:$K$7,$L$2:$L$7,,,"Actual360","LogLinear",TRUE)</f>
        <v/>
      </c>
      <c r="E8906" s="8">
        <f>QS.INSTRUMENT.SWAP("swap.8904",C8906,H8906,B8906,"USD","SOFR",I8906,J8906,0,"Actual360","Simple","Annual","Annual","Annual")</f>
        <v/>
      </c>
      <c r="F8906" s="8">
        <f>QS.TRADE.CREATE("trade.8904",C8906,E8906,A8906,"Receive")</f>
        <v/>
      </c>
      <c r="G8906" s="5"/>
      <c r="H8906" s="7" t="s">
        <v>8947</v>
      </c>
      <c r="I8906" s="9">
        <v>1890400</v>
      </c>
      <c r="J8906" s="10">
        <v>0.0354</v>
      </c>
    </row>
    <row r="8907" spans="1:10">
      <c r="A8907" s="7" t="s">
        <v>8941</v>
      </c>
      <c r="B8907" s="7" t="s">
        <v>10774</v>
      </c>
      <c r="C8907" s="8">
        <f>QS.CONTEXT.CREATE("market.8905",A8907,"USD","SOFR")</f>
        <v/>
      </c>
      <c r="D8907" s="8">
        <f>QS.CONTEXT.ADD.CURVE(C8907,"SOFR",$K$2:$K$7,$L$2:$L$7,,,"Actual360","LogLinear",TRUE)</f>
        <v/>
      </c>
      <c r="E8907" s="8">
        <f>QS.INSTRUMENT.SWAP("swap.8905",C8907,H8907,B8907,"USD","SOFR",I8907,J8907,0,"Actual360","Simple","Annual","Annual","Annual")</f>
        <v/>
      </c>
      <c r="F8907" s="8">
        <f>QS.TRADE.CREATE("trade.8905",C8907,E8907,A8907,"Receive")</f>
        <v/>
      </c>
      <c r="G8907" s="5"/>
      <c r="H8907" s="7" t="s">
        <v>8948</v>
      </c>
      <c r="I8907" s="9">
        <v>1890500</v>
      </c>
      <c r="J8907" s="10">
        <v>0.0355</v>
      </c>
    </row>
    <row r="8908" spans="1:10">
      <c r="A8908" s="7" t="s">
        <v>8942</v>
      </c>
      <c r="B8908" s="7" t="s">
        <v>10775</v>
      </c>
      <c r="C8908" s="8">
        <f>QS.CONTEXT.CREATE("market.8906",A8908,"USD","SOFR")</f>
        <v/>
      </c>
      <c r="D8908" s="8">
        <f>QS.CONTEXT.ADD.CURVE(C8908,"SOFR",$K$2:$K$7,$L$2:$L$7,,,"Actual360","LogLinear",TRUE)</f>
        <v/>
      </c>
      <c r="E8908" s="8">
        <f>QS.INSTRUMENT.SWAP("swap.8906",C8908,H8908,B8908,"USD","SOFR",I8908,J8908,0,"Actual360","Simple","Annual","Annual","Annual")</f>
        <v/>
      </c>
      <c r="F8908" s="8">
        <f>QS.TRADE.CREATE("trade.8906",C8908,E8908,A8908,"Receive")</f>
        <v/>
      </c>
      <c r="G8908" s="5"/>
      <c r="H8908" s="7" t="s">
        <v>8949</v>
      </c>
      <c r="I8908" s="9">
        <v>1890600</v>
      </c>
      <c r="J8908" s="10">
        <v>0.03560000000000001</v>
      </c>
    </row>
    <row r="8909" spans="1:10">
      <c r="A8909" s="7" t="s">
        <v>8943</v>
      </c>
      <c r="B8909" s="7" t="s">
        <v>10776</v>
      </c>
      <c r="C8909" s="8">
        <f>QS.CONTEXT.CREATE("market.8907",A8909,"USD","SOFR")</f>
        <v/>
      </c>
      <c r="D8909" s="8">
        <f>QS.CONTEXT.ADD.CURVE(C8909,"SOFR",$K$2:$K$7,$L$2:$L$7,,,"Actual360","LogLinear",TRUE)</f>
        <v/>
      </c>
      <c r="E8909" s="8">
        <f>QS.INSTRUMENT.SWAP("swap.8907",C8909,H8909,B8909,"USD","SOFR",I8909,J8909,0,"Actual360","Simple","Annual","Annual","Annual")</f>
        <v/>
      </c>
      <c r="F8909" s="8">
        <f>QS.TRADE.CREATE("trade.8907",C8909,E8909,A8909,"Receive")</f>
        <v/>
      </c>
      <c r="G8909" s="5"/>
      <c r="H8909" s="7" t="s">
        <v>8950</v>
      </c>
      <c r="I8909" s="9">
        <v>1890700</v>
      </c>
      <c r="J8909" s="10">
        <v>0.0357</v>
      </c>
    </row>
    <row r="8910" spans="1:10">
      <c r="A8910" s="7" t="s">
        <v>8944</v>
      </c>
      <c r="B8910" s="7" t="s">
        <v>10777</v>
      </c>
      <c r="C8910" s="8">
        <f>QS.CONTEXT.CREATE("market.8908",A8910,"USD","SOFR")</f>
        <v/>
      </c>
      <c r="D8910" s="8">
        <f>QS.CONTEXT.ADD.CURVE(C8910,"SOFR",$K$2:$K$7,$L$2:$L$7,,,"Actual360","LogLinear",TRUE)</f>
        <v/>
      </c>
      <c r="E8910" s="8">
        <f>QS.INSTRUMENT.SWAP("swap.8908",C8910,H8910,B8910,"USD","SOFR",I8910,J8910,0,"Actual360","Simple","Annual","Annual","Annual")</f>
        <v/>
      </c>
      <c r="F8910" s="8">
        <f>QS.TRADE.CREATE("trade.8908",C8910,E8910,A8910,"Receive")</f>
        <v/>
      </c>
      <c r="G8910" s="5"/>
      <c r="H8910" s="7" t="s">
        <v>8951</v>
      </c>
      <c r="I8910" s="9">
        <v>1890800</v>
      </c>
      <c r="J8910" s="10">
        <v>0.03580000000000001</v>
      </c>
    </row>
    <row r="8911" spans="1:10">
      <c r="A8911" s="7" t="s">
        <v>8945</v>
      </c>
      <c r="B8911" s="7" t="s">
        <v>10778</v>
      </c>
      <c r="C8911" s="8">
        <f>QS.CONTEXT.CREATE("market.8909",A8911,"USD","SOFR")</f>
        <v/>
      </c>
      <c r="D8911" s="8">
        <f>QS.CONTEXT.ADD.CURVE(C8911,"SOFR",$K$2:$K$7,$L$2:$L$7,,,"Actual360","LogLinear",TRUE)</f>
        <v/>
      </c>
      <c r="E8911" s="8">
        <f>QS.INSTRUMENT.SWAP("swap.8909",C8911,H8911,B8911,"USD","SOFR",I8911,J8911,0,"Actual360","Simple","Annual","Annual","Annual")</f>
        <v/>
      </c>
      <c r="F8911" s="8">
        <f>QS.TRADE.CREATE("trade.8909",C8911,E8911,A8911,"Receive")</f>
        <v/>
      </c>
      <c r="G8911" s="5"/>
      <c r="H8911" s="7" t="s">
        <v>8952</v>
      </c>
      <c r="I8911" s="9">
        <v>1890900</v>
      </c>
      <c r="J8911" s="10">
        <v>0.0359</v>
      </c>
    </row>
    <row r="8912" spans="1:10">
      <c r="A8912" s="7" t="s">
        <v>8946</v>
      </c>
      <c r="B8912" s="7" t="s">
        <v>10779</v>
      </c>
      <c r="C8912" s="8">
        <f>QS.CONTEXT.CREATE("market.8910",A8912,"USD","SOFR")</f>
        <v/>
      </c>
      <c r="D8912" s="8">
        <f>QS.CONTEXT.ADD.CURVE(C8912,"SOFR",$K$2:$K$7,$L$2:$L$7,,,"Actual360","LogLinear",TRUE)</f>
        <v/>
      </c>
      <c r="E8912" s="8">
        <f>QS.INSTRUMENT.SWAP("swap.8910",C8912,H8912,B8912,"USD","SOFR",I8912,J8912,0,"Actual360","Simple","Annual","Annual","Annual")</f>
        <v/>
      </c>
      <c r="F8912" s="8">
        <f>QS.TRADE.CREATE("trade.8910",C8912,E8912,A8912,"Receive")</f>
        <v/>
      </c>
      <c r="G8912" s="5"/>
      <c r="H8912" s="7" t="s">
        <v>8953</v>
      </c>
      <c r="I8912" s="9">
        <v>1891000</v>
      </c>
      <c r="J8912" s="10">
        <v>0.036</v>
      </c>
    </row>
    <row r="8913" spans="1:10">
      <c r="A8913" s="7" t="s">
        <v>8947</v>
      </c>
      <c r="B8913" s="7" t="s">
        <v>10780</v>
      </c>
      <c r="C8913" s="8">
        <f>QS.CONTEXT.CREATE("market.8911",A8913,"USD","SOFR")</f>
        <v/>
      </c>
      <c r="D8913" s="8">
        <f>QS.CONTEXT.ADD.CURVE(C8913,"SOFR",$K$2:$K$7,$L$2:$L$7,,,"Actual360","LogLinear",TRUE)</f>
        <v/>
      </c>
      <c r="E8913" s="8">
        <f>QS.INSTRUMENT.SWAP("swap.8911",C8913,H8913,B8913,"USD","SOFR",I8913,J8913,0,"Actual360","Simple","Annual","Annual","Annual")</f>
        <v/>
      </c>
      <c r="F8913" s="8">
        <f>QS.TRADE.CREATE("trade.8911",C8913,E8913,A8913,"Receive")</f>
        <v/>
      </c>
      <c r="G8913" s="5"/>
      <c r="H8913" s="7" t="s">
        <v>8954</v>
      </c>
      <c r="I8913" s="9">
        <v>1891100</v>
      </c>
      <c r="J8913" s="10">
        <v>0.0361</v>
      </c>
    </row>
    <row r="8914" spans="1:10">
      <c r="A8914" s="7" t="s">
        <v>8948</v>
      </c>
      <c r="B8914" s="7" t="s">
        <v>10781</v>
      </c>
      <c r="C8914" s="8">
        <f>QS.CONTEXT.CREATE("market.8912",A8914,"USD","SOFR")</f>
        <v/>
      </c>
      <c r="D8914" s="8">
        <f>QS.CONTEXT.ADD.CURVE(C8914,"SOFR",$K$2:$K$7,$L$2:$L$7,,,"Actual360","LogLinear",TRUE)</f>
        <v/>
      </c>
      <c r="E8914" s="8">
        <f>QS.INSTRUMENT.SWAP("swap.8912",C8914,H8914,B8914,"USD","SOFR",I8914,J8914,0,"Actual360","Simple","Annual","Annual","Annual")</f>
        <v/>
      </c>
      <c r="F8914" s="8">
        <f>QS.TRADE.CREATE("trade.8912",C8914,E8914,A8914,"Receive")</f>
        <v/>
      </c>
      <c r="G8914" s="5"/>
      <c r="H8914" s="7" t="s">
        <v>8955</v>
      </c>
      <c r="I8914" s="9">
        <v>1891200</v>
      </c>
      <c r="J8914" s="10">
        <v>0.0362</v>
      </c>
    </row>
    <row r="8915" spans="1:10">
      <c r="A8915" s="7" t="s">
        <v>8949</v>
      </c>
      <c r="B8915" s="7" t="s">
        <v>10782</v>
      </c>
      <c r="C8915" s="8">
        <f>QS.CONTEXT.CREATE("market.8913",A8915,"USD","SOFR")</f>
        <v/>
      </c>
      <c r="D8915" s="8">
        <f>QS.CONTEXT.ADD.CURVE(C8915,"SOFR",$K$2:$K$7,$L$2:$L$7,,,"Actual360","LogLinear",TRUE)</f>
        <v/>
      </c>
      <c r="E8915" s="8">
        <f>QS.INSTRUMENT.SWAP("swap.8913",C8915,H8915,B8915,"USD","SOFR",I8915,J8915,0,"Actual360","Simple","Annual","Annual","Annual")</f>
        <v/>
      </c>
      <c r="F8915" s="8">
        <f>QS.TRADE.CREATE("trade.8913",C8915,E8915,A8915,"Receive")</f>
        <v/>
      </c>
      <c r="G8915" s="5"/>
      <c r="H8915" s="7" t="s">
        <v>8956</v>
      </c>
      <c r="I8915" s="9">
        <v>1891300</v>
      </c>
      <c r="J8915" s="10">
        <v>0.03630000000000001</v>
      </c>
    </row>
    <row r="8916" spans="1:10">
      <c r="A8916" s="7" t="s">
        <v>8950</v>
      </c>
      <c r="B8916" s="7" t="s">
        <v>10783</v>
      </c>
      <c r="C8916" s="8">
        <f>QS.CONTEXT.CREATE("market.8914",A8916,"USD","SOFR")</f>
        <v/>
      </c>
      <c r="D8916" s="8">
        <f>QS.CONTEXT.ADD.CURVE(C8916,"SOFR",$K$2:$K$7,$L$2:$L$7,,,"Actual360","LogLinear",TRUE)</f>
        <v/>
      </c>
      <c r="E8916" s="8">
        <f>QS.INSTRUMENT.SWAP("swap.8914",C8916,H8916,B8916,"USD","SOFR",I8916,J8916,0,"Actual360","Simple","Annual","Annual","Annual")</f>
        <v/>
      </c>
      <c r="F8916" s="8">
        <f>QS.TRADE.CREATE("trade.8914",C8916,E8916,A8916,"Receive")</f>
        <v/>
      </c>
      <c r="G8916" s="5"/>
      <c r="H8916" s="7" t="s">
        <v>8957</v>
      </c>
      <c r="I8916" s="9">
        <v>1891400</v>
      </c>
      <c r="J8916" s="10">
        <v>0.0364</v>
      </c>
    </row>
    <row r="8917" spans="1:10">
      <c r="A8917" s="7" t="s">
        <v>8951</v>
      </c>
      <c r="B8917" s="7" t="s">
        <v>10784</v>
      </c>
      <c r="C8917" s="8">
        <f>QS.CONTEXT.CREATE("market.8915",A8917,"USD","SOFR")</f>
        <v/>
      </c>
      <c r="D8917" s="8">
        <f>QS.CONTEXT.ADD.CURVE(C8917,"SOFR",$K$2:$K$7,$L$2:$L$7,,,"Actual360","LogLinear",TRUE)</f>
        <v/>
      </c>
      <c r="E8917" s="8">
        <f>QS.INSTRUMENT.SWAP("swap.8915",C8917,H8917,B8917,"USD","SOFR",I8917,J8917,0,"Actual360","Simple","Annual","Annual","Annual")</f>
        <v/>
      </c>
      <c r="F8917" s="8">
        <f>QS.TRADE.CREATE("trade.8915",C8917,E8917,A8917,"Receive")</f>
        <v/>
      </c>
      <c r="G8917" s="5"/>
      <c r="H8917" s="7" t="s">
        <v>8958</v>
      </c>
      <c r="I8917" s="9">
        <v>1891500</v>
      </c>
      <c r="J8917" s="10">
        <v>0.0365</v>
      </c>
    </row>
    <row r="8918" spans="1:10">
      <c r="A8918" s="7" t="s">
        <v>8952</v>
      </c>
      <c r="B8918" s="7" t="s">
        <v>10785</v>
      </c>
      <c r="C8918" s="8">
        <f>QS.CONTEXT.CREATE("market.8916",A8918,"USD","SOFR")</f>
        <v/>
      </c>
      <c r="D8918" s="8">
        <f>QS.CONTEXT.ADD.CURVE(C8918,"SOFR",$K$2:$K$7,$L$2:$L$7,,,"Actual360","LogLinear",TRUE)</f>
        <v/>
      </c>
      <c r="E8918" s="8">
        <f>QS.INSTRUMENT.SWAP("swap.8916",C8918,H8918,B8918,"USD","SOFR",I8918,J8918,0,"Actual360","Simple","Annual","Annual","Annual")</f>
        <v/>
      </c>
      <c r="F8918" s="8">
        <f>QS.TRADE.CREATE("trade.8916",C8918,E8918,A8918,"Receive")</f>
        <v/>
      </c>
      <c r="G8918" s="5"/>
      <c r="H8918" s="7" t="s">
        <v>8959</v>
      </c>
      <c r="I8918" s="9">
        <v>1891600</v>
      </c>
      <c r="J8918" s="10">
        <v>0.0366</v>
      </c>
    </row>
    <row r="8919" spans="1:10">
      <c r="A8919" s="7" t="s">
        <v>8953</v>
      </c>
      <c r="B8919" s="7" t="s">
        <v>10786</v>
      </c>
      <c r="C8919" s="8">
        <f>QS.CONTEXT.CREATE("market.8917",A8919,"USD","SOFR")</f>
        <v/>
      </c>
      <c r="D8919" s="8">
        <f>QS.CONTEXT.ADD.CURVE(C8919,"SOFR",$K$2:$K$7,$L$2:$L$7,,,"Actual360","LogLinear",TRUE)</f>
        <v/>
      </c>
      <c r="E8919" s="8">
        <f>QS.INSTRUMENT.SWAP("swap.8917",C8919,H8919,B8919,"USD","SOFR",I8919,J8919,0,"Actual360","Simple","Annual","Annual","Annual")</f>
        <v/>
      </c>
      <c r="F8919" s="8">
        <f>QS.TRADE.CREATE("trade.8917",C8919,E8919,A8919,"Receive")</f>
        <v/>
      </c>
      <c r="G8919" s="5"/>
      <c r="H8919" s="7" t="s">
        <v>8960</v>
      </c>
      <c r="I8919" s="9">
        <v>1891700</v>
      </c>
      <c r="J8919" s="10">
        <v>0.0367</v>
      </c>
    </row>
    <row r="8920" spans="1:10">
      <c r="A8920" s="7" t="s">
        <v>8954</v>
      </c>
      <c r="B8920" s="7" t="s">
        <v>10787</v>
      </c>
      <c r="C8920" s="8">
        <f>QS.CONTEXT.CREATE("market.8918",A8920,"USD","SOFR")</f>
        <v/>
      </c>
      <c r="D8920" s="8">
        <f>QS.CONTEXT.ADD.CURVE(C8920,"SOFR",$K$2:$K$7,$L$2:$L$7,,,"Actual360","LogLinear",TRUE)</f>
        <v/>
      </c>
      <c r="E8920" s="8">
        <f>QS.INSTRUMENT.SWAP("swap.8918",C8920,H8920,B8920,"USD","SOFR",I8920,J8920,0,"Actual360","Simple","Annual","Annual","Annual")</f>
        <v/>
      </c>
      <c r="F8920" s="8">
        <f>QS.TRADE.CREATE("trade.8918",C8920,E8920,A8920,"Receive")</f>
        <v/>
      </c>
      <c r="G8920" s="5"/>
      <c r="H8920" s="7" t="s">
        <v>8961</v>
      </c>
      <c r="I8920" s="9">
        <v>1891800</v>
      </c>
      <c r="J8920" s="10">
        <v>0.03680000000000001</v>
      </c>
    </row>
    <row r="8921" spans="1:10">
      <c r="A8921" s="7" t="s">
        <v>8955</v>
      </c>
      <c r="B8921" s="7" t="s">
        <v>10788</v>
      </c>
      <c r="C8921" s="8">
        <f>QS.CONTEXT.CREATE("market.8919",A8921,"USD","SOFR")</f>
        <v/>
      </c>
      <c r="D8921" s="8">
        <f>QS.CONTEXT.ADD.CURVE(C8921,"SOFR",$K$2:$K$7,$L$2:$L$7,,,"Actual360","LogLinear",TRUE)</f>
        <v/>
      </c>
      <c r="E8921" s="8">
        <f>QS.INSTRUMENT.SWAP("swap.8919",C8921,H8921,B8921,"USD","SOFR",I8921,J8921,0,"Actual360","Simple","Annual","Annual","Annual")</f>
        <v/>
      </c>
      <c r="F8921" s="8">
        <f>QS.TRADE.CREATE("trade.8919",C8921,E8921,A8921,"Receive")</f>
        <v/>
      </c>
      <c r="G8921" s="5"/>
      <c r="H8921" s="7" t="s">
        <v>8962</v>
      </c>
      <c r="I8921" s="9">
        <v>1891900</v>
      </c>
      <c r="J8921" s="10">
        <v>0.0369</v>
      </c>
    </row>
    <row r="8922" spans="1:10">
      <c r="A8922" s="7" t="s">
        <v>8956</v>
      </c>
      <c r="B8922" s="7" t="s">
        <v>10789</v>
      </c>
      <c r="C8922" s="8">
        <f>QS.CONTEXT.CREATE("market.8920",A8922,"USD","SOFR")</f>
        <v/>
      </c>
      <c r="D8922" s="8">
        <f>QS.CONTEXT.ADD.CURVE(C8922,"SOFR",$K$2:$K$7,$L$2:$L$7,,,"Actual360","LogLinear",TRUE)</f>
        <v/>
      </c>
      <c r="E8922" s="8">
        <f>QS.INSTRUMENT.SWAP("swap.8920",C8922,H8922,B8922,"USD","SOFR",I8922,J8922,0,"Actual360","Simple","Annual","Annual","Annual")</f>
        <v/>
      </c>
      <c r="F8922" s="8">
        <f>QS.TRADE.CREATE("trade.8920",C8922,E8922,A8922,"Receive")</f>
        <v/>
      </c>
      <c r="G8922" s="5"/>
      <c r="H8922" s="7" t="s">
        <v>8963</v>
      </c>
      <c r="I8922" s="9">
        <v>1892000</v>
      </c>
      <c r="J8922" s="10">
        <v>0.03700000000000001</v>
      </c>
    </row>
    <row r="8923" spans="1:10">
      <c r="A8923" s="7" t="s">
        <v>8957</v>
      </c>
      <c r="B8923" s="7" t="s">
        <v>10790</v>
      </c>
      <c r="C8923" s="8">
        <f>QS.CONTEXT.CREATE("market.8921",A8923,"USD","SOFR")</f>
        <v/>
      </c>
      <c r="D8923" s="8">
        <f>QS.CONTEXT.ADD.CURVE(C8923,"SOFR",$K$2:$K$7,$L$2:$L$7,,,"Actual360","LogLinear",TRUE)</f>
        <v/>
      </c>
      <c r="E8923" s="8">
        <f>QS.INSTRUMENT.SWAP("swap.8921",C8923,H8923,B8923,"USD","SOFR",I8923,J8923,0,"Actual360","Simple","Annual","Annual","Annual")</f>
        <v/>
      </c>
      <c r="F8923" s="8">
        <f>QS.TRADE.CREATE("trade.8921",C8923,E8923,A8923,"Receive")</f>
        <v/>
      </c>
      <c r="G8923" s="5"/>
      <c r="H8923" s="7" t="s">
        <v>8964</v>
      </c>
      <c r="I8923" s="9">
        <v>1892100</v>
      </c>
      <c r="J8923" s="10">
        <v>0.0371</v>
      </c>
    </row>
    <row r="8924" spans="1:10">
      <c r="A8924" s="7" t="s">
        <v>8958</v>
      </c>
      <c r="B8924" s="7" t="s">
        <v>10791</v>
      </c>
      <c r="C8924" s="8">
        <f>QS.CONTEXT.CREATE("market.8922",A8924,"USD","SOFR")</f>
        <v/>
      </c>
      <c r="D8924" s="8">
        <f>QS.CONTEXT.ADD.CURVE(C8924,"SOFR",$K$2:$K$7,$L$2:$L$7,,,"Actual360","LogLinear",TRUE)</f>
        <v/>
      </c>
      <c r="E8924" s="8">
        <f>QS.INSTRUMENT.SWAP("swap.8922",C8924,H8924,B8924,"USD","SOFR",I8924,J8924,0,"Actual360","Simple","Annual","Annual","Annual")</f>
        <v/>
      </c>
      <c r="F8924" s="8">
        <f>QS.TRADE.CREATE("trade.8922",C8924,E8924,A8924,"Receive")</f>
        <v/>
      </c>
      <c r="G8924" s="5"/>
      <c r="H8924" s="7" t="s">
        <v>8965</v>
      </c>
      <c r="I8924" s="9">
        <v>1892200</v>
      </c>
      <c r="J8924" s="10">
        <v>0.0372</v>
      </c>
    </row>
    <row r="8925" spans="1:10">
      <c r="A8925" s="7" t="s">
        <v>8959</v>
      </c>
      <c r="B8925" s="7" t="s">
        <v>10792</v>
      </c>
      <c r="C8925" s="8">
        <f>QS.CONTEXT.CREATE("market.8923",A8925,"USD","SOFR")</f>
        <v/>
      </c>
      <c r="D8925" s="8">
        <f>QS.CONTEXT.ADD.CURVE(C8925,"SOFR",$K$2:$K$7,$L$2:$L$7,,,"Actual360","LogLinear",TRUE)</f>
        <v/>
      </c>
      <c r="E8925" s="8">
        <f>QS.INSTRUMENT.SWAP("swap.8923",C8925,H8925,B8925,"USD","SOFR",I8925,J8925,0,"Actual360","Simple","Annual","Annual","Annual")</f>
        <v/>
      </c>
      <c r="F8925" s="8">
        <f>QS.TRADE.CREATE("trade.8923",C8925,E8925,A8925,"Receive")</f>
        <v/>
      </c>
      <c r="G8925" s="5"/>
      <c r="H8925" s="7" t="s">
        <v>8966</v>
      </c>
      <c r="I8925" s="9">
        <v>1892300</v>
      </c>
      <c r="J8925" s="10">
        <v>0.0373</v>
      </c>
    </row>
    <row r="8926" spans="1:10">
      <c r="A8926" s="7" t="s">
        <v>8960</v>
      </c>
      <c r="B8926" s="7" t="s">
        <v>10793</v>
      </c>
      <c r="C8926" s="8">
        <f>QS.CONTEXT.CREATE("market.8924",A8926,"USD","SOFR")</f>
        <v/>
      </c>
      <c r="D8926" s="8">
        <f>QS.CONTEXT.ADD.CURVE(C8926,"SOFR",$K$2:$K$7,$L$2:$L$7,,,"Actual360","LogLinear",TRUE)</f>
        <v/>
      </c>
      <c r="E8926" s="8">
        <f>QS.INSTRUMENT.SWAP("swap.8924",C8926,H8926,B8926,"USD","SOFR",I8926,J8926,0,"Actual360","Simple","Annual","Annual","Annual")</f>
        <v/>
      </c>
      <c r="F8926" s="8">
        <f>QS.TRADE.CREATE("trade.8924",C8926,E8926,A8926,"Receive")</f>
        <v/>
      </c>
      <c r="G8926" s="5"/>
      <c r="H8926" s="7" t="s">
        <v>8967</v>
      </c>
      <c r="I8926" s="9">
        <v>1892400</v>
      </c>
      <c r="J8926" s="10">
        <v>0.0374</v>
      </c>
    </row>
    <row r="8927" spans="1:10">
      <c r="A8927" s="7" t="s">
        <v>8961</v>
      </c>
      <c r="B8927" s="7" t="s">
        <v>10794</v>
      </c>
      <c r="C8927" s="8">
        <f>QS.CONTEXT.CREATE("market.8925",A8927,"USD","SOFR")</f>
        <v/>
      </c>
      <c r="D8927" s="8">
        <f>QS.CONTEXT.ADD.CURVE(C8927,"SOFR",$K$2:$K$7,$L$2:$L$7,,,"Actual360","LogLinear",TRUE)</f>
        <v/>
      </c>
      <c r="E8927" s="8">
        <f>QS.INSTRUMENT.SWAP("swap.8925",C8927,H8927,B8927,"USD","SOFR",I8927,J8927,0,"Actual360","Simple","Annual","Annual","Annual")</f>
        <v/>
      </c>
      <c r="F8927" s="8">
        <f>QS.TRADE.CREATE("trade.8925",C8927,E8927,A8927,"Receive")</f>
        <v/>
      </c>
      <c r="G8927" s="5"/>
      <c r="H8927" s="7" t="s">
        <v>8968</v>
      </c>
      <c r="I8927" s="9">
        <v>1892500</v>
      </c>
      <c r="J8927" s="10">
        <v>0.03750000000000001</v>
      </c>
    </row>
    <row r="8928" spans="1:10">
      <c r="A8928" s="7" t="s">
        <v>8962</v>
      </c>
      <c r="B8928" s="7" t="s">
        <v>10795</v>
      </c>
      <c r="C8928" s="8">
        <f>QS.CONTEXT.CREATE("market.8926",A8928,"USD","SOFR")</f>
        <v/>
      </c>
      <c r="D8928" s="8">
        <f>QS.CONTEXT.ADD.CURVE(C8928,"SOFR",$K$2:$K$7,$L$2:$L$7,,,"Actual360","LogLinear",TRUE)</f>
        <v/>
      </c>
      <c r="E8928" s="8">
        <f>QS.INSTRUMENT.SWAP("swap.8926",C8928,H8928,B8928,"USD","SOFR",I8928,J8928,0,"Actual360","Simple","Annual","Annual","Annual")</f>
        <v/>
      </c>
      <c r="F8928" s="8">
        <f>QS.TRADE.CREATE("trade.8926",C8928,E8928,A8928,"Receive")</f>
        <v/>
      </c>
      <c r="G8928" s="5"/>
      <c r="H8928" s="7" t="s">
        <v>8969</v>
      </c>
      <c r="I8928" s="9">
        <v>1892600</v>
      </c>
      <c r="J8928" s="10">
        <v>0.0376</v>
      </c>
    </row>
    <row r="8929" spans="1:10">
      <c r="A8929" s="7" t="s">
        <v>8963</v>
      </c>
      <c r="B8929" s="7" t="s">
        <v>10796</v>
      </c>
      <c r="C8929" s="8">
        <f>QS.CONTEXT.CREATE("market.8927",A8929,"USD","SOFR")</f>
        <v/>
      </c>
      <c r="D8929" s="8">
        <f>QS.CONTEXT.ADD.CURVE(C8929,"SOFR",$K$2:$K$7,$L$2:$L$7,,,"Actual360","LogLinear",TRUE)</f>
        <v/>
      </c>
      <c r="E8929" s="8">
        <f>QS.INSTRUMENT.SWAP("swap.8927",C8929,H8929,B8929,"USD","SOFR",I8929,J8929,0,"Actual360","Simple","Annual","Annual","Annual")</f>
        <v/>
      </c>
      <c r="F8929" s="8">
        <f>QS.TRADE.CREATE("trade.8927",C8929,E8929,A8929,"Receive")</f>
        <v/>
      </c>
      <c r="G8929" s="5"/>
      <c r="H8929" s="7" t="s">
        <v>8970</v>
      </c>
      <c r="I8929" s="9">
        <v>1892700</v>
      </c>
      <c r="J8929" s="10">
        <v>0.0377</v>
      </c>
    </row>
    <row r="8930" spans="1:10">
      <c r="A8930" s="7" t="s">
        <v>8964</v>
      </c>
      <c r="B8930" s="7" t="s">
        <v>10797</v>
      </c>
      <c r="C8930" s="8">
        <f>QS.CONTEXT.CREATE("market.8928",A8930,"USD","SOFR")</f>
        <v/>
      </c>
      <c r="D8930" s="8">
        <f>QS.CONTEXT.ADD.CURVE(C8930,"SOFR",$K$2:$K$7,$L$2:$L$7,,,"Actual360","LogLinear",TRUE)</f>
        <v/>
      </c>
      <c r="E8930" s="8">
        <f>QS.INSTRUMENT.SWAP("swap.8928",C8930,H8930,B8930,"USD","SOFR",I8930,J8930,0,"Actual360","Simple","Annual","Annual","Annual")</f>
        <v/>
      </c>
      <c r="F8930" s="8">
        <f>QS.TRADE.CREATE("trade.8928",C8930,E8930,A8930,"Receive")</f>
        <v/>
      </c>
      <c r="G8930" s="5"/>
      <c r="H8930" s="7" t="s">
        <v>8971</v>
      </c>
      <c r="I8930" s="9">
        <v>1892800</v>
      </c>
      <c r="J8930" s="10">
        <v>0.0378</v>
      </c>
    </row>
    <row r="8931" spans="1:10">
      <c r="A8931" s="7" t="s">
        <v>8965</v>
      </c>
      <c r="B8931" s="7" t="s">
        <v>10798</v>
      </c>
      <c r="C8931" s="8">
        <f>QS.CONTEXT.CREATE("market.8929",A8931,"USD","SOFR")</f>
        <v/>
      </c>
      <c r="D8931" s="8">
        <f>QS.CONTEXT.ADD.CURVE(C8931,"SOFR",$K$2:$K$7,$L$2:$L$7,,,"Actual360","LogLinear",TRUE)</f>
        <v/>
      </c>
      <c r="E8931" s="8">
        <f>QS.INSTRUMENT.SWAP("swap.8929",C8931,H8931,B8931,"USD","SOFR",I8931,J8931,0,"Actual360","Simple","Annual","Annual","Annual")</f>
        <v/>
      </c>
      <c r="F8931" s="8">
        <f>QS.TRADE.CREATE("trade.8929",C8931,E8931,A8931,"Receive")</f>
        <v/>
      </c>
      <c r="G8931" s="5"/>
      <c r="H8931" s="7" t="s">
        <v>8972</v>
      </c>
      <c r="I8931" s="9">
        <v>1892900</v>
      </c>
      <c r="J8931" s="10">
        <v>0.0379</v>
      </c>
    </row>
    <row r="8932" spans="1:10">
      <c r="A8932" s="7" t="s">
        <v>8966</v>
      </c>
      <c r="B8932" s="7" t="s">
        <v>10799</v>
      </c>
      <c r="C8932" s="8">
        <f>QS.CONTEXT.CREATE("market.8930",A8932,"USD","SOFR")</f>
        <v/>
      </c>
      <c r="D8932" s="8">
        <f>QS.CONTEXT.ADD.CURVE(C8932,"SOFR",$K$2:$K$7,$L$2:$L$7,,,"Actual360","LogLinear",TRUE)</f>
        <v/>
      </c>
      <c r="E8932" s="8">
        <f>QS.INSTRUMENT.SWAP("swap.8930",C8932,H8932,B8932,"USD","SOFR",I8932,J8932,0,"Actual360","Simple","Annual","Annual","Annual")</f>
        <v/>
      </c>
      <c r="F8932" s="8">
        <f>QS.TRADE.CREATE("trade.8930",C8932,E8932,A8932,"Receive")</f>
        <v/>
      </c>
      <c r="G8932" s="5"/>
      <c r="H8932" s="7" t="s">
        <v>8973</v>
      </c>
      <c r="I8932" s="9">
        <v>1893000</v>
      </c>
      <c r="J8932" s="10">
        <v>0.03800000000000001</v>
      </c>
    </row>
    <row r="8933" spans="1:10">
      <c r="A8933" s="7" t="s">
        <v>8967</v>
      </c>
      <c r="B8933" s="7" t="s">
        <v>10800</v>
      </c>
      <c r="C8933" s="8">
        <f>QS.CONTEXT.CREATE("market.8931",A8933,"USD","SOFR")</f>
        <v/>
      </c>
      <c r="D8933" s="8">
        <f>QS.CONTEXT.ADD.CURVE(C8933,"SOFR",$K$2:$K$7,$L$2:$L$7,,,"Actual360","LogLinear",TRUE)</f>
        <v/>
      </c>
      <c r="E8933" s="8">
        <f>QS.INSTRUMENT.SWAP("swap.8931",C8933,H8933,B8933,"USD","SOFR",I8933,J8933,0,"Actual360","Simple","Annual","Annual","Annual")</f>
        <v/>
      </c>
      <c r="F8933" s="8">
        <f>QS.TRADE.CREATE("trade.8931",C8933,E8933,A8933,"Receive")</f>
        <v/>
      </c>
      <c r="G8933" s="5"/>
      <c r="H8933" s="7" t="s">
        <v>8974</v>
      </c>
      <c r="I8933" s="9">
        <v>1893100</v>
      </c>
      <c r="J8933" s="10">
        <v>0.0381</v>
      </c>
    </row>
    <row r="8934" spans="1:10">
      <c r="A8934" s="7" t="s">
        <v>8968</v>
      </c>
      <c r="B8934" s="7" t="s">
        <v>10801</v>
      </c>
      <c r="C8934" s="8">
        <f>QS.CONTEXT.CREATE("market.8932",A8934,"USD","SOFR")</f>
        <v/>
      </c>
      <c r="D8934" s="8">
        <f>QS.CONTEXT.ADD.CURVE(C8934,"SOFR",$K$2:$K$7,$L$2:$L$7,,,"Actual360","LogLinear",TRUE)</f>
        <v/>
      </c>
      <c r="E8934" s="8">
        <f>QS.INSTRUMENT.SWAP("swap.8932",C8934,H8934,B8934,"USD","SOFR",I8934,J8934,0,"Actual360","Simple","Annual","Annual","Annual")</f>
        <v/>
      </c>
      <c r="F8934" s="8">
        <f>QS.TRADE.CREATE("trade.8932",C8934,E8934,A8934,"Receive")</f>
        <v/>
      </c>
      <c r="G8934" s="5"/>
      <c r="H8934" s="7" t="s">
        <v>8975</v>
      </c>
      <c r="I8934" s="9">
        <v>1893200</v>
      </c>
      <c r="J8934" s="10">
        <v>0.0382</v>
      </c>
    </row>
    <row r="8935" spans="1:10">
      <c r="A8935" s="7" t="s">
        <v>8969</v>
      </c>
      <c r="B8935" s="7" t="s">
        <v>10802</v>
      </c>
      <c r="C8935" s="8">
        <f>QS.CONTEXT.CREATE("market.8933",A8935,"USD","SOFR")</f>
        <v/>
      </c>
      <c r="D8935" s="8">
        <f>QS.CONTEXT.ADD.CURVE(C8935,"SOFR",$K$2:$K$7,$L$2:$L$7,,,"Actual360","LogLinear",TRUE)</f>
        <v/>
      </c>
      <c r="E8935" s="8">
        <f>QS.INSTRUMENT.SWAP("swap.8933",C8935,H8935,B8935,"USD","SOFR",I8935,J8935,0,"Actual360","Simple","Annual","Annual","Annual")</f>
        <v/>
      </c>
      <c r="F8935" s="8">
        <f>QS.TRADE.CREATE("trade.8933",C8935,E8935,A8935,"Receive")</f>
        <v/>
      </c>
      <c r="G8935" s="5"/>
      <c r="H8935" s="7" t="s">
        <v>8976</v>
      </c>
      <c r="I8935" s="9">
        <v>1893300</v>
      </c>
      <c r="J8935" s="10">
        <v>0.0383</v>
      </c>
    </row>
    <row r="8936" spans="1:10">
      <c r="A8936" s="7" t="s">
        <v>8970</v>
      </c>
      <c r="B8936" s="7" t="s">
        <v>10803</v>
      </c>
      <c r="C8936" s="8">
        <f>QS.CONTEXT.CREATE("market.8934",A8936,"USD","SOFR")</f>
        <v/>
      </c>
      <c r="D8936" s="8">
        <f>QS.CONTEXT.ADD.CURVE(C8936,"SOFR",$K$2:$K$7,$L$2:$L$7,,,"Actual360","LogLinear",TRUE)</f>
        <v/>
      </c>
      <c r="E8936" s="8">
        <f>QS.INSTRUMENT.SWAP("swap.8934",C8936,H8936,B8936,"USD","SOFR",I8936,J8936,0,"Actual360","Simple","Annual","Annual","Annual")</f>
        <v/>
      </c>
      <c r="F8936" s="8">
        <f>QS.TRADE.CREATE("trade.8934",C8936,E8936,A8936,"Receive")</f>
        <v/>
      </c>
      <c r="G8936" s="5"/>
      <c r="H8936" s="7" t="s">
        <v>8977</v>
      </c>
      <c r="I8936" s="9">
        <v>1893400</v>
      </c>
      <c r="J8936" s="10">
        <v>0.0384</v>
      </c>
    </row>
    <row r="8937" spans="1:10">
      <c r="A8937" s="7" t="s">
        <v>8971</v>
      </c>
      <c r="B8937" s="7" t="s">
        <v>10804</v>
      </c>
      <c r="C8937" s="8">
        <f>QS.CONTEXT.CREATE("market.8935",A8937,"USD","SOFR")</f>
        <v/>
      </c>
      <c r="D8937" s="8">
        <f>QS.CONTEXT.ADD.CURVE(C8937,"SOFR",$K$2:$K$7,$L$2:$L$7,,,"Actual360","LogLinear",TRUE)</f>
        <v/>
      </c>
      <c r="E8937" s="8">
        <f>QS.INSTRUMENT.SWAP("swap.8935",C8937,H8937,B8937,"USD","SOFR",I8937,J8937,0,"Actual360","Simple","Annual","Annual","Annual")</f>
        <v/>
      </c>
      <c r="F8937" s="8">
        <f>QS.TRADE.CREATE("trade.8935",C8937,E8937,A8937,"Receive")</f>
        <v/>
      </c>
      <c r="G8937" s="5"/>
      <c r="H8937" s="7" t="s">
        <v>8978</v>
      </c>
      <c r="I8937" s="9">
        <v>1893500</v>
      </c>
      <c r="J8937" s="10">
        <v>0.03850000000000001</v>
      </c>
    </row>
    <row r="8938" spans="1:10">
      <c r="A8938" s="7" t="s">
        <v>8972</v>
      </c>
      <c r="B8938" s="7" t="s">
        <v>10805</v>
      </c>
      <c r="C8938" s="8">
        <f>QS.CONTEXT.CREATE("market.8936",A8938,"USD","SOFR")</f>
        <v/>
      </c>
      <c r="D8938" s="8">
        <f>QS.CONTEXT.ADD.CURVE(C8938,"SOFR",$K$2:$K$7,$L$2:$L$7,,,"Actual360","LogLinear",TRUE)</f>
        <v/>
      </c>
      <c r="E8938" s="8">
        <f>QS.INSTRUMENT.SWAP("swap.8936",C8938,H8938,B8938,"USD","SOFR",I8938,J8938,0,"Actual360","Simple","Annual","Annual","Annual")</f>
        <v/>
      </c>
      <c r="F8938" s="8">
        <f>QS.TRADE.CREATE("trade.8936",C8938,E8938,A8938,"Receive")</f>
        <v/>
      </c>
      <c r="G8938" s="5"/>
      <c r="H8938" s="7" t="s">
        <v>8979</v>
      </c>
      <c r="I8938" s="9">
        <v>1893600</v>
      </c>
      <c r="J8938" s="10">
        <v>0.0386</v>
      </c>
    </row>
    <row r="8939" spans="1:10">
      <c r="A8939" s="7" t="s">
        <v>8973</v>
      </c>
      <c r="B8939" s="7" t="s">
        <v>10806</v>
      </c>
      <c r="C8939" s="8">
        <f>QS.CONTEXT.CREATE("market.8937",A8939,"USD","SOFR")</f>
        <v/>
      </c>
      <c r="D8939" s="8">
        <f>QS.CONTEXT.ADD.CURVE(C8939,"SOFR",$K$2:$K$7,$L$2:$L$7,,,"Actual360","LogLinear",TRUE)</f>
        <v/>
      </c>
      <c r="E8939" s="8">
        <f>QS.INSTRUMENT.SWAP("swap.8937",C8939,H8939,B8939,"USD","SOFR",I8939,J8939,0,"Actual360","Simple","Annual","Annual","Annual")</f>
        <v/>
      </c>
      <c r="F8939" s="8">
        <f>QS.TRADE.CREATE("trade.8937",C8939,E8939,A8939,"Receive")</f>
        <v/>
      </c>
      <c r="G8939" s="5"/>
      <c r="H8939" s="7" t="s">
        <v>8980</v>
      </c>
      <c r="I8939" s="9">
        <v>1893700</v>
      </c>
      <c r="J8939" s="10">
        <v>0.03870000000000001</v>
      </c>
    </row>
    <row r="8940" spans="1:10">
      <c r="A8940" s="7" t="s">
        <v>8974</v>
      </c>
      <c r="B8940" s="7" t="s">
        <v>10807</v>
      </c>
      <c r="C8940" s="8">
        <f>QS.CONTEXT.CREATE("market.8938",A8940,"USD","SOFR")</f>
        <v/>
      </c>
      <c r="D8940" s="8">
        <f>QS.CONTEXT.ADD.CURVE(C8940,"SOFR",$K$2:$K$7,$L$2:$L$7,,,"Actual360","LogLinear",TRUE)</f>
        <v/>
      </c>
      <c r="E8940" s="8">
        <f>QS.INSTRUMENT.SWAP("swap.8938",C8940,H8940,B8940,"USD","SOFR",I8940,J8940,0,"Actual360","Simple","Annual","Annual","Annual")</f>
        <v/>
      </c>
      <c r="F8940" s="8">
        <f>QS.TRADE.CREATE("trade.8938",C8940,E8940,A8940,"Receive")</f>
        <v/>
      </c>
      <c r="G8940" s="5"/>
      <c r="H8940" s="7" t="s">
        <v>8981</v>
      </c>
      <c r="I8940" s="9">
        <v>1893800</v>
      </c>
      <c r="J8940" s="10">
        <v>0.0388</v>
      </c>
    </row>
    <row r="8941" spans="1:10">
      <c r="A8941" s="7" t="s">
        <v>8975</v>
      </c>
      <c r="B8941" s="7" t="s">
        <v>10808</v>
      </c>
      <c r="C8941" s="8">
        <f>QS.CONTEXT.CREATE("market.8939",A8941,"USD","SOFR")</f>
        <v/>
      </c>
      <c r="D8941" s="8">
        <f>QS.CONTEXT.ADD.CURVE(C8941,"SOFR",$K$2:$K$7,$L$2:$L$7,,,"Actual360","LogLinear",TRUE)</f>
        <v/>
      </c>
      <c r="E8941" s="8">
        <f>QS.INSTRUMENT.SWAP("swap.8939",C8941,H8941,B8941,"USD","SOFR",I8941,J8941,0,"Actual360","Simple","Annual","Annual","Annual")</f>
        <v/>
      </c>
      <c r="F8941" s="8">
        <f>QS.TRADE.CREATE("trade.8939",C8941,E8941,A8941,"Receive")</f>
        <v/>
      </c>
      <c r="G8941" s="5"/>
      <c r="H8941" s="7" t="s">
        <v>8982</v>
      </c>
      <c r="I8941" s="9">
        <v>1893900</v>
      </c>
      <c r="J8941" s="10">
        <v>0.0389</v>
      </c>
    </row>
    <row r="8942" spans="1:10">
      <c r="A8942" s="7" t="s">
        <v>8976</v>
      </c>
      <c r="B8942" s="7" t="s">
        <v>10809</v>
      </c>
      <c r="C8942" s="8">
        <f>QS.CONTEXT.CREATE("market.8940",A8942,"USD","SOFR")</f>
        <v/>
      </c>
      <c r="D8942" s="8">
        <f>QS.CONTEXT.ADD.CURVE(C8942,"SOFR",$K$2:$K$7,$L$2:$L$7,,,"Actual360","LogLinear",TRUE)</f>
        <v/>
      </c>
      <c r="E8942" s="8">
        <f>QS.INSTRUMENT.SWAP("swap.8940",C8942,H8942,B8942,"USD","SOFR",I8942,J8942,0,"Actual360","Simple","Annual","Annual","Annual")</f>
        <v/>
      </c>
      <c r="F8942" s="8">
        <f>QS.TRADE.CREATE("trade.8940",C8942,E8942,A8942,"Receive")</f>
        <v/>
      </c>
      <c r="G8942" s="5"/>
      <c r="H8942" s="7" t="s">
        <v>8983</v>
      </c>
      <c r="I8942" s="9">
        <v>1894000</v>
      </c>
      <c r="J8942" s="10">
        <v>0.03900000000000001</v>
      </c>
    </row>
    <row r="8943" spans="1:10">
      <c r="A8943" s="7" t="s">
        <v>8977</v>
      </c>
      <c r="B8943" s="7" t="s">
        <v>10810</v>
      </c>
      <c r="C8943" s="8">
        <f>QS.CONTEXT.CREATE("market.8941",A8943,"USD","SOFR")</f>
        <v/>
      </c>
      <c r="D8943" s="8">
        <f>QS.CONTEXT.ADD.CURVE(C8943,"SOFR",$K$2:$K$7,$L$2:$L$7,,,"Actual360","LogLinear",TRUE)</f>
        <v/>
      </c>
      <c r="E8943" s="8">
        <f>QS.INSTRUMENT.SWAP("swap.8941",C8943,H8943,B8943,"USD","SOFR",I8943,J8943,0,"Actual360","Simple","Annual","Annual","Annual")</f>
        <v/>
      </c>
      <c r="F8943" s="8">
        <f>QS.TRADE.CREATE("trade.8941",C8943,E8943,A8943,"Receive")</f>
        <v/>
      </c>
      <c r="G8943" s="5"/>
      <c r="H8943" s="7" t="s">
        <v>8984</v>
      </c>
      <c r="I8943" s="9">
        <v>1894100</v>
      </c>
      <c r="J8943" s="10">
        <v>0.0391</v>
      </c>
    </row>
    <row r="8944" spans="1:10">
      <c r="A8944" s="7" t="s">
        <v>8978</v>
      </c>
      <c r="B8944" s="7" t="s">
        <v>10811</v>
      </c>
      <c r="C8944" s="8">
        <f>QS.CONTEXT.CREATE("market.8942",A8944,"USD","SOFR")</f>
        <v/>
      </c>
      <c r="D8944" s="8">
        <f>QS.CONTEXT.ADD.CURVE(C8944,"SOFR",$K$2:$K$7,$L$2:$L$7,,,"Actual360","LogLinear",TRUE)</f>
        <v/>
      </c>
      <c r="E8944" s="8">
        <f>QS.INSTRUMENT.SWAP("swap.8942",C8944,H8944,B8944,"USD","SOFR",I8944,J8944,0,"Actual360","Simple","Annual","Annual","Annual")</f>
        <v/>
      </c>
      <c r="F8944" s="8">
        <f>QS.TRADE.CREATE("trade.8942",C8944,E8944,A8944,"Receive")</f>
        <v/>
      </c>
      <c r="G8944" s="5"/>
      <c r="H8944" s="7" t="s">
        <v>8985</v>
      </c>
      <c r="I8944" s="9">
        <v>1894200</v>
      </c>
      <c r="J8944" s="10">
        <v>0.03920000000000001</v>
      </c>
    </row>
    <row r="8945" spans="1:10">
      <c r="A8945" s="7" t="s">
        <v>8979</v>
      </c>
      <c r="B8945" s="7" t="s">
        <v>10812</v>
      </c>
      <c r="C8945" s="8">
        <f>QS.CONTEXT.CREATE("market.8943",A8945,"USD","SOFR")</f>
        <v/>
      </c>
      <c r="D8945" s="8">
        <f>QS.CONTEXT.ADD.CURVE(C8945,"SOFR",$K$2:$K$7,$L$2:$L$7,,,"Actual360","LogLinear",TRUE)</f>
        <v/>
      </c>
      <c r="E8945" s="8">
        <f>QS.INSTRUMENT.SWAP("swap.8943",C8945,H8945,B8945,"USD","SOFR",I8945,J8945,0,"Actual360","Simple","Annual","Annual","Annual")</f>
        <v/>
      </c>
      <c r="F8945" s="8">
        <f>QS.TRADE.CREATE("trade.8943",C8945,E8945,A8945,"Receive")</f>
        <v/>
      </c>
      <c r="G8945" s="5"/>
      <c r="H8945" s="7" t="s">
        <v>8986</v>
      </c>
      <c r="I8945" s="9">
        <v>1894300</v>
      </c>
      <c r="J8945" s="10">
        <v>0.0393</v>
      </c>
    </row>
    <row r="8946" spans="1:10">
      <c r="A8946" s="7" t="s">
        <v>8980</v>
      </c>
      <c r="B8946" s="7" t="s">
        <v>10813</v>
      </c>
      <c r="C8946" s="8">
        <f>QS.CONTEXT.CREATE("market.8944",A8946,"USD","SOFR")</f>
        <v/>
      </c>
      <c r="D8946" s="8">
        <f>QS.CONTEXT.ADD.CURVE(C8946,"SOFR",$K$2:$K$7,$L$2:$L$7,,,"Actual360","LogLinear",TRUE)</f>
        <v/>
      </c>
      <c r="E8946" s="8">
        <f>QS.INSTRUMENT.SWAP("swap.8944",C8946,H8946,B8946,"USD","SOFR",I8946,J8946,0,"Actual360","Simple","Annual","Annual","Annual")</f>
        <v/>
      </c>
      <c r="F8946" s="8">
        <f>QS.TRADE.CREATE("trade.8944",C8946,E8946,A8946,"Receive")</f>
        <v/>
      </c>
      <c r="G8946" s="5"/>
      <c r="H8946" s="7" t="s">
        <v>8987</v>
      </c>
      <c r="I8946" s="9">
        <v>1894400</v>
      </c>
      <c r="J8946" s="10">
        <v>0.0394</v>
      </c>
    </row>
    <row r="8947" spans="1:10">
      <c r="A8947" s="7" t="s">
        <v>8981</v>
      </c>
      <c r="B8947" s="7" t="s">
        <v>10814</v>
      </c>
      <c r="C8947" s="8">
        <f>QS.CONTEXT.CREATE("market.8945",A8947,"USD","SOFR")</f>
        <v/>
      </c>
      <c r="D8947" s="8">
        <f>QS.CONTEXT.ADD.CURVE(C8947,"SOFR",$K$2:$K$7,$L$2:$L$7,,,"Actual360","LogLinear",TRUE)</f>
        <v/>
      </c>
      <c r="E8947" s="8">
        <f>QS.INSTRUMENT.SWAP("swap.8945",C8947,H8947,B8947,"USD","SOFR",I8947,J8947,0,"Actual360","Simple","Annual","Annual","Annual")</f>
        <v/>
      </c>
      <c r="F8947" s="8">
        <f>QS.TRADE.CREATE("trade.8945",C8947,E8947,A8947,"Receive")</f>
        <v/>
      </c>
      <c r="G8947" s="5"/>
      <c r="H8947" s="7" t="s">
        <v>8988</v>
      </c>
      <c r="I8947" s="9">
        <v>1894500</v>
      </c>
      <c r="J8947" s="10">
        <v>0.03950000000000001</v>
      </c>
    </row>
    <row r="8948" spans="1:10">
      <c r="A8948" s="7" t="s">
        <v>8982</v>
      </c>
      <c r="B8948" s="7" t="s">
        <v>10815</v>
      </c>
      <c r="C8948" s="8">
        <f>QS.CONTEXT.CREATE("market.8946",A8948,"USD","SOFR")</f>
        <v/>
      </c>
      <c r="D8948" s="8">
        <f>QS.CONTEXT.ADD.CURVE(C8948,"SOFR",$K$2:$K$7,$L$2:$L$7,,,"Actual360","LogLinear",TRUE)</f>
        <v/>
      </c>
      <c r="E8948" s="8">
        <f>QS.INSTRUMENT.SWAP("swap.8946",C8948,H8948,B8948,"USD","SOFR",I8948,J8948,0,"Actual360","Simple","Annual","Annual","Annual")</f>
        <v/>
      </c>
      <c r="F8948" s="8">
        <f>QS.TRADE.CREATE("trade.8946",C8948,E8948,A8948,"Receive")</f>
        <v/>
      </c>
      <c r="G8948" s="5"/>
      <c r="H8948" s="7" t="s">
        <v>8989</v>
      </c>
      <c r="I8948" s="9">
        <v>1894600</v>
      </c>
      <c r="J8948" s="10">
        <v>0.0396</v>
      </c>
    </row>
    <row r="8949" spans="1:10">
      <c r="A8949" s="7" t="s">
        <v>8983</v>
      </c>
      <c r="B8949" s="7" t="s">
        <v>10816</v>
      </c>
      <c r="C8949" s="8">
        <f>QS.CONTEXT.CREATE("market.8947",A8949,"USD","SOFR")</f>
        <v/>
      </c>
      <c r="D8949" s="8">
        <f>QS.CONTEXT.ADD.CURVE(C8949,"SOFR",$K$2:$K$7,$L$2:$L$7,,,"Actual360","LogLinear",TRUE)</f>
        <v/>
      </c>
      <c r="E8949" s="8">
        <f>QS.INSTRUMENT.SWAP("swap.8947",C8949,H8949,B8949,"USD","SOFR",I8949,J8949,0,"Actual360","Simple","Annual","Annual","Annual")</f>
        <v/>
      </c>
      <c r="F8949" s="8">
        <f>QS.TRADE.CREATE("trade.8947",C8949,E8949,A8949,"Receive")</f>
        <v/>
      </c>
      <c r="G8949" s="5"/>
      <c r="H8949" s="7" t="s">
        <v>8990</v>
      </c>
      <c r="I8949" s="9">
        <v>1894700</v>
      </c>
      <c r="J8949" s="10">
        <v>0.03970000000000001</v>
      </c>
    </row>
    <row r="8950" spans="1:10">
      <c r="A8950" s="7" t="s">
        <v>8984</v>
      </c>
      <c r="B8950" s="7" t="s">
        <v>10817</v>
      </c>
      <c r="C8950" s="8">
        <f>QS.CONTEXT.CREATE("market.8948",A8950,"USD","SOFR")</f>
        <v/>
      </c>
      <c r="D8950" s="8">
        <f>QS.CONTEXT.ADD.CURVE(C8950,"SOFR",$K$2:$K$7,$L$2:$L$7,,,"Actual360","LogLinear",TRUE)</f>
        <v/>
      </c>
      <c r="E8950" s="8">
        <f>QS.INSTRUMENT.SWAP("swap.8948",C8950,H8950,B8950,"USD","SOFR",I8950,J8950,0,"Actual360","Simple","Annual","Annual","Annual")</f>
        <v/>
      </c>
      <c r="F8950" s="8">
        <f>QS.TRADE.CREATE("trade.8948",C8950,E8950,A8950,"Receive")</f>
        <v/>
      </c>
      <c r="G8950" s="5"/>
      <c r="H8950" s="7" t="s">
        <v>8991</v>
      </c>
      <c r="I8950" s="9">
        <v>1894800</v>
      </c>
      <c r="J8950" s="10">
        <v>0.0398</v>
      </c>
    </row>
    <row r="8951" spans="1:10">
      <c r="A8951" s="7" t="s">
        <v>8985</v>
      </c>
      <c r="B8951" s="7" t="s">
        <v>10818</v>
      </c>
      <c r="C8951" s="8">
        <f>QS.CONTEXT.CREATE("market.8949",A8951,"USD","SOFR")</f>
        <v/>
      </c>
      <c r="D8951" s="8">
        <f>QS.CONTEXT.ADD.CURVE(C8951,"SOFR",$K$2:$K$7,$L$2:$L$7,,,"Actual360","LogLinear",TRUE)</f>
        <v/>
      </c>
      <c r="E8951" s="8">
        <f>QS.INSTRUMENT.SWAP("swap.8949",C8951,H8951,B8951,"USD","SOFR",I8951,J8951,0,"Actual360","Simple","Annual","Annual","Annual")</f>
        <v/>
      </c>
      <c r="F8951" s="8">
        <f>QS.TRADE.CREATE("trade.8949",C8951,E8951,A8951,"Receive")</f>
        <v/>
      </c>
      <c r="G8951" s="5"/>
      <c r="H8951" s="7" t="s">
        <v>8992</v>
      </c>
      <c r="I8951" s="9">
        <v>1894900</v>
      </c>
      <c r="J8951" s="10">
        <v>0.0399</v>
      </c>
    </row>
    <row r="8952" spans="1:10">
      <c r="A8952" s="7" t="s">
        <v>8986</v>
      </c>
      <c r="B8952" s="7" t="s">
        <v>10819</v>
      </c>
      <c r="C8952" s="8">
        <f>QS.CONTEXT.CREATE("market.8950",A8952,"USD","SOFR")</f>
        <v/>
      </c>
      <c r="D8952" s="8">
        <f>QS.CONTEXT.ADD.CURVE(C8952,"SOFR",$K$2:$K$7,$L$2:$L$7,,,"Actual360","LogLinear",TRUE)</f>
        <v/>
      </c>
      <c r="E8952" s="8">
        <f>QS.INSTRUMENT.SWAP("swap.8950",C8952,H8952,B8952,"USD","SOFR",I8952,J8952,0,"Actual360","Simple","Annual","Annual","Annual")</f>
        <v/>
      </c>
      <c r="F8952" s="8">
        <f>QS.TRADE.CREATE("trade.8950",C8952,E8952,A8952,"Receive")</f>
        <v/>
      </c>
      <c r="G8952" s="5"/>
      <c r="H8952" s="7" t="s">
        <v>8993</v>
      </c>
      <c r="I8952" s="9">
        <v>1895000</v>
      </c>
      <c r="J8952" s="10">
        <v>0.035</v>
      </c>
    </row>
    <row r="8953" spans="1:10">
      <c r="A8953" s="7" t="s">
        <v>8987</v>
      </c>
      <c r="B8953" s="7" t="s">
        <v>10820</v>
      </c>
      <c r="C8953" s="8">
        <f>QS.CONTEXT.CREATE("market.8951",A8953,"USD","SOFR")</f>
        <v/>
      </c>
      <c r="D8953" s="8">
        <f>QS.CONTEXT.ADD.CURVE(C8953,"SOFR",$K$2:$K$7,$L$2:$L$7,,,"Actual360","LogLinear",TRUE)</f>
        <v/>
      </c>
      <c r="E8953" s="8">
        <f>QS.INSTRUMENT.SWAP("swap.8951",C8953,H8953,B8953,"USD","SOFR",I8953,J8953,0,"Actual360","Simple","Annual","Annual","Annual")</f>
        <v/>
      </c>
      <c r="F8953" s="8">
        <f>QS.TRADE.CREATE("trade.8951",C8953,E8953,A8953,"Receive")</f>
        <v/>
      </c>
      <c r="G8953" s="5"/>
      <c r="H8953" s="7" t="s">
        <v>8994</v>
      </c>
      <c r="I8953" s="9">
        <v>1895100</v>
      </c>
      <c r="J8953" s="10">
        <v>0.03510000000000001</v>
      </c>
    </row>
    <row r="8954" spans="1:10">
      <c r="A8954" s="7" t="s">
        <v>8988</v>
      </c>
      <c r="B8954" s="7" t="s">
        <v>10821</v>
      </c>
      <c r="C8954" s="8">
        <f>QS.CONTEXT.CREATE("market.8952",A8954,"USD","SOFR")</f>
        <v/>
      </c>
      <c r="D8954" s="8">
        <f>QS.CONTEXT.ADD.CURVE(C8954,"SOFR",$K$2:$K$7,$L$2:$L$7,,,"Actual360","LogLinear",TRUE)</f>
        <v/>
      </c>
      <c r="E8954" s="8">
        <f>QS.INSTRUMENT.SWAP("swap.8952",C8954,H8954,B8954,"USD","SOFR",I8954,J8954,0,"Actual360","Simple","Annual","Annual","Annual")</f>
        <v/>
      </c>
      <c r="F8954" s="8">
        <f>QS.TRADE.CREATE("trade.8952",C8954,E8954,A8954,"Receive")</f>
        <v/>
      </c>
      <c r="G8954" s="5"/>
      <c r="H8954" s="7" t="s">
        <v>8995</v>
      </c>
      <c r="I8954" s="9">
        <v>1895200</v>
      </c>
      <c r="J8954" s="10">
        <v>0.0352</v>
      </c>
    </row>
    <row r="8955" spans="1:10">
      <c r="A8955" s="7" t="s">
        <v>8989</v>
      </c>
      <c r="B8955" s="7" t="s">
        <v>10822</v>
      </c>
      <c r="C8955" s="8">
        <f>QS.CONTEXT.CREATE("market.8953",A8955,"USD","SOFR")</f>
        <v/>
      </c>
      <c r="D8955" s="8">
        <f>QS.CONTEXT.ADD.CURVE(C8955,"SOFR",$K$2:$K$7,$L$2:$L$7,,,"Actual360","LogLinear",TRUE)</f>
        <v/>
      </c>
      <c r="E8955" s="8">
        <f>QS.INSTRUMENT.SWAP("swap.8953",C8955,H8955,B8955,"USD","SOFR",I8955,J8955,0,"Actual360","Simple","Annual","Annual","Annual")</f>
        <v/>
      </c>
      <c r="F8955" s="8">
        <f>QS.TRADE.CREATE("trade.8953",C8955,E8955,A8955,"Receive")</f>
        <v/>
      </c>
      <c r="G8955" s="5"/>
      <c r="H8955" s="7" t="s">
        <v>8996</v>
      </c>
      <c r="I8955" s="9">
        <v>1895300</v>
      </c>
      <c r="J8955" s="10">
        <v>0.0353</v>
      </c>
    </row>
    <row r="8956" spans="1:10">
      <c r="A8956" s="7" t="s">
        <v>8990</v>
      </c>
      <c r="B8956" s="7" t="s">
        <v>10823</v>
      </c>
      <c r="C8956" s="8">
        <f>QS.CONTEXT.CREATE("market.8954",A8956,"USD","SOFR")</f>
        <v/>
      </c>
      <c r="D8956" s="8">
        <f>QS.CONTEXT.ADD.CURVE(C8956,"SOFR",$K$2:$K$7,$L$2:$L$7,,,"Actual360","LogLinear",TRUE)</f>
        <v/>
      </c>
      <c r="E8956" s="8">
        <f>QS.INSTRUMENT.SWAP("swap.8954",C8956,H8956,B8956,"USD","SOFR",I8956,J8956,0,"Actual360","Simple","Annual","Annual","Annual")</f>
        <v/>
      </c>
      <c r="F8956" s="8">
        <f>QS.TRADE.CREATE("trade.8954",C8956,E8956,A8956,"Receive")</f>
        <v/>
      </c>
      <c r="G8956" s="5"/>
      <c r="H8956" s="7" t="s">
        <v>8997</v>
      </c>
      <c r="I8956" s="9">
        <v>1895400</v>
      </c>
      <c r="J8956" s="10">
        <v>0.0354</v>
      </c>
    </row>
    <row r="8957" spans="1:10">
      <c r="A8957" s="7" t="s">
        <v>8991</v>
      </c>
      <c r="B8957" s="7" t="s">
        <v>10824</v>
      </c>
      <c r="C8957" s="8">
        <f>QS.CONTEXT.CREATE("market.8955",A8957,"USD","SOFR")</f>
        <v/>
      </c>
      <c r="D8957" s="8">
        <f>QS.CONTEXT.ADD.CURVE(C8957,"SOFR",$K$2:$K$7,$L$2:$L$7,,,"Actual360","LogLinear",TRUE)</f>
        <v/>
      </c>
      <c r="E8957" s="8">
        <f>QS.INSTRUMENT.SWAP("swap.8955",C8957,H8957,B8957,"USD","SOFR",I8957,J8957,0,"Actual360","Simple","Annual","Annual","Annual")</f>
        <v/>
      </c>
      <c r="F8957" s="8">
        <f>QS.TRADE.CREATE("trade.8955",C8957,E8957,A8957,"Receive")</f>
        <v/>
      </c>
      <c r="G8957" s="5"/>
      <c r="H8957" s="7" t="s">
        <v>8998</v>
      </c>
      <c r="I8957" s="9">
        <v>1895500</v>
      </c>
      <c r="J8957" s="10">
        <v>0.0355</v>
      </c>
    </row>
    <row r="8958" spans="1:10">
      <c r="A8958" s="7" t="s">
        <v>8992</v>
      </c>
      <c r="B8958" s="7" t="s">
        <v>10825</v>
      </c>
      <c r="C8958" s="8">
        <f>QS.CONTEXT.CREATE("market.8956",A8958,"USD","SOFR")</f>
        <v/>
      </c>
      <c r="D8958" s="8">
        <f>QS.CONTEXT.ADD.CURVE(C8958,"SOFR",$K$2:$K$7,$L$2:$L$7,,,"Actual360","LogLinear",TRUE)</f>
        <v/>
      </c>
      <c r="E8958" s="8">
        <f>QS.INSTRUMENT.SWAP("swap.8956",C8958,H8958,B8958,"USD","SOFR",I8958,J8958,0,"Actual360","Simple","Annual","Annual","Annual")</f>
        <v/>
      </c>
      <c r="F8958" s="8">
        <f>QS.TRADE.CREATE("trade.8956",C8958,E8958,A8958,"Receive")</f>
        <v/>
      </c>
      <c r="G8958" s="5"/>
      <c r="H8958" s="7" t="s">
        <v>8999</v>
      </c>
      <c r="I8958" s="9">
        <v>1895600</v>
      </c>
      <c r="J8958" s="10">
        <v>0.03560000000000001</v>
      </c>
    </row>
    <row r="8959" spans="1:10">
      <c r="A8959" s="7" t="s">
        <v>8993</v>
      </c>
      <c r="B8959" s="7" t="s">
        <v>10826</v>
      </c>
      <c r="C8959" s="8">
        <f>QS.CONTEXT.CREATE("market.8957",A8959,"USD","SOFR")</f>
        <v/>
      </c>
      <c r="D8959" s="8">
        <f>QS.CONTEXT.ADD.CURVE(C8959,"SOFR",$K$2:$K$7,$L$2:$L$7,,,"Actual360","LogLinear",TRUE)</f>
        <v/>
      </c>
      <c r="E8959" s="8">
        <f>QS.INSTRUMENT.SWAP("swap.8957",C8959,H8959,B8959,"USD","SOFR",I8959,J8959,0,"Actual360","Simple","Annual","Annual","Annual")</f>
        <v/>
      </c>
      <c r="F8959" s="8">
        <f>QS.TRADE.CREATE("trade.8957",C8959,E8959,A8959,"Receive")</f>
        <v/>
      </c>
      <c r="G8959" s="5"/>
      <c r="H8959" s="7" t="s">
        <v>9000</v>
      </c>
      <c r="I8959" s="9">
        <v>1895700</v>
      </c>
      <c r="J8959" s="10">
        <v>0.0357</v>
      </c>
    </row>
    <row r="8960" spans="1:10">
      <c r="A8960" s="7" t="s">
        <v>8994</v>
      </c>
      <c r="B8960" s="7" t="s">
        <v>10827</v>
      </c>
      <c r="C8960" s="8">
        <f>QS.CONTEXT.CREATE("market.8958",A8960,"USD","SOFR")</f>
        <v/>
      </c>
      <c r="D8960" s="8">
        <f>QS.CONTEXT.ADD.CURVE(C8960,"SOFR",$K$2:$K$7,$L$2:$L$7,,,"Actual360","LogLinear",TRUE)</f>
        <v/>
      </c>
      <c r="E8960" s="8">
        <f>QS.INSTRUMENT.SWAP("swap.8958",C8960,H8960,B8960,"USD","SOFR",I8960,J8960,0,"Actual360","Simple","Annual","Annual","Annual")</f>
        <v/>
      </c>
      <c r="F8960" s="8">
        <f>QS.TRADE.CREATE("trade.8958",C8960,E8960,A8960,"Receive")</f>
        <v/>
      </c>
      <c r="G8960" s="5"/>
      <c r="H8960" s="7" t="s">
        <v>9001</v>
      </c>
      <c r="I8960" s="9">
        <v>1895800</v>
      </c>
      <c r="J8960" s="10">
        <v>0.03580000000000001</v>
      </c>
    </row>
    <row r="8961" spans="1:10">
      <c r="A8961" s="7" t="s">
        <v>8995</v>
      </c>
      <c r="B8961" s="7" t="s">
        <v>10828</v>
      </c>
      <c r="C8961" s="8">
        <f>QS.CONTEXT.CREATE("market.8959",A8961,"USD","SOFR")</f>
        <v/>
      </c>
      <c r="D8961" s="8">
        <f>QS.CONTEXT.ADD.CURVE(C8961,"SOFR",$K$2:$K$7,$L$2:$L$7,,,"Actual360","LogLinear",TRUE)</f>
        <v/>
      </c>
      <c r="E8961" s="8">
        <f>QS.INSTRUMENT.SWAP("swap.8959",C8961,H8961,B8961,"USD","SOFR",I8961,J8961,0,"Actual360","Simple","Annual","Annual","Annual")</f>
        <v/>
      </c>
      <c r="F8961" s="8">
        <f>QS.TRADE.CREATE("trade.8959",C8961,E8961,A8961,"Receive")</f>
        <v/>
      </c>
      <c r="G8961" s="5"/>
      <c r="H8961" s="7" t="s">
        <v>9002</v>
      </c>
      <c r="I8961" s="9">
        <v>1895900</v>
      </c>
      <c r="J8961" s="10">
        <v>0.0359</v>
      </c>
    </row>
    <row r="8962" spans="1:10">
      <c r="A8962" s="7" t="s">
        <v>8996</v>
      </c>
      <c r="B8962" s="7" t="s">
        <v>10829</v>
      </c>
      <c r="C8962" s="8">
        <f>QS.CONTEXT.CREATE("market.8960",A8962,"USD","SOFR")</f>
        <v/>
      </c>
      <c r="D8962" s="8">
        <f>QS.CONTEXT.ADD.CURVE(C8962,"SOFR",$K$2:$K$7,$L$2:$L$7,,,"Actual360","LogLinear",TRUE)</f>
        <v/>
      </c>
      <c r="E8962" s="8">
        <f>QS.INSTRUMENT.SWAP("swap.8960",C8962,H8962,B8962,"USD","SOFR",I8962,J8962,0,"Actual360","Simple","Annual","Annual","Annual")</f>
        <v/>
      </c>
      <c r="F8962" s="8">
        <f>QS.TRADE.CREATE("trade.8960",C8962,E8962,A8962,"Receive")</f>
        <v/>
      </c>
      <c r="G8962" s="5"/>
      <c r="H8962" s="7" t="s">
        <v>9003</v>
      </c>
      <c r="I8962" s="9">
        <v>1896000</v>
      </c>
      <c r="J8962" s="10">
        <v>0.036</v>
      </c>
    </row>
    <row r="8963" spans="1:10">
      <c r="A8963" s="7" t="s">
        <v>8997</v>
      </c>
      <c r="B8963" s="7" t="s">
        <v>10830</v>
      </c>
      <c r="C8963" s="8">
        <f>QS.CONTEXT.CREATE("market.8961",A8963,"USD","SOFR")</f>
        <v/>
      </c>
      <c r="D8963" s="8">
        <f>QS.CONTEXT.ADD.CURVE(C8963,"SOFR",$K$2:$K$7,$L$2:$L$7,,,"Actual360","LogLinear",TRUE)</f>
        <v/>
      </c>
      <c r="E8963" s="8">
        <f>QS.INSTRUMENT.SWAP("swap.8961",C8963,H8963,B8963,"USD","SOFR",I8963,J8963,0,"Actual360","Simple","Annual","Annual","Annual")</f>
        <v/>
      </c>
      <c r="F8963" s="8">
        <f>QS.TRADE.CREATE("trade.8961",C8963,E8963,A8963,"Receive")</f>
        <v/>
      </c>
      <c r="G8963" s="5"/>
      <c r="H8963" s="7" t="s">
        <v>9004</v>
      </c>
      <c r="I8963" s="9">
        <v>1896100</v>
      </c>
      <c r="J8963" s="10">
        <v>0.0361</v>
      </c>
    </row>
    <row r="8964" spans="1:10">
      <c r="A8964" s="7" t="s">
        <v>8998</v>
      </c>
      <c r="B8964" s="7" t="s">
        <v>10831</v>
      </c>
      <c r="C8964" s="8">
        <f>QS.CONTEXT.CREATE("market.8962",A8964,"USD","SOFR")</f>
        <v/>
      </c>
      <c r="D8964" s="8">
        <f>QS.CONTEXT.ADD.CURVE(C8964,"SOFR",$K$2:$K$7,$L$2:$L$7,,,"Actual360","LogLinear",TRUE)</f>
        <v/>
      </c>
      <c r="E8964" s="8">
        <f>QS.INSTRUMENT.SWAP("swap.8962",C8964,H8964,B8964,"USD","SOFR",I8964,J8964,0,"Actual360","Simple","Annual","Annual","Annual")</f>
        <v/>
      </c>
      <c r="F8964" s="8">
        <f>QS.TRADE.CREATE("trade.8962",C8964,E8964,A8964,"Receive")</f>
        <v/>
      </c>
      <c r="G8964" s="5"/>
      <c r="H8964" s="7" t="s">
        <v>9005</v>
      </c>
      <c r="I8964" s="9">
        <v>1896200</v>
      </c>
      <c r="J8964" s="10">
        <v>0.0362</v>
      </c>
    </row>
    <row r="8965" spans="1:10">
      <c r="A8965" s="7" t="s">
        <v>8999</v>
      </c>
      <c r="B8965" s="7" t="s">
        <v>10832</v>
      </c>
      <c r="C8965" s="8">
        <f>QS.CONTEXT.CREATE("market.8963",A8965,"USD","SOFR")</f>
        <v/>
      </c>
      <c r="D8965" s="8">
        <f>QS.CONTEXT.ADD.CURVE(C8965,"SOFR",$K$2:$K$7,$L$2:$L$7,,,"Actual360","LogLinear",TRUE)</f>
        <v/>
      </c>
      <c r="E8965" s="8">
        <f>QS.INSTRUMENT.SWAP("swap.8963",C8965,H8965,B8965,"USD","SOFR",I8965,J8965,0,"Actual360","Simple","Annual","Annual","Annual")</f>
        <v/>
      </c>
      <c r="F8965" s="8">
        <f>QS.TRADE.CREATE("trade.8963",C8965,E8965,A8965,"Receive")</f>
        <v/>
      </c>
      <c r="G8965" s="5"/>
      <c r="H8965" s="7" t="s">
        <v>9006</v>
      </c>
      <c r="I8965" s="9">
        <v>1896300</v>
      </c>
      <c r="J8965" s="10">
        <v>0.03630000000000001</v>
      </c>
    </row>
    <row r="8966" spans="1:10">
      <c r="A8966" s="7" t="s">
        <v>9000</v>
      </c>
      <c r="B8966" s="7" t="s">
        <v>10833</v>
      </c>
      <c r="C8966" s="8">
        <f>QS.CONTEXT.CREATE("market.8964",A8966,"USD","SOFR")</f>
        <v/>
      </c>
      <c r="D8966" s="8">
        <f>QS.CONTEXT.ADD.CURVE(C8966,"SOFR",$K$2:$K$7,$L$2:$L$7,,,"Actual360","LogLinear",TRUE)</f>
        <v/>
      </c>
      <c r="E8966" s="8">
        <f>QS.INSTRUMENT.SWAP("swap.8964",C8966,H8966,B8966,"USD","SOFR",I8966,J8966,0,"Actual360","Simple","Annual","Annual","Annual")</f>
        <v/>
      </c>
      <c r="F8966" s="8">
        <f>QS.TRADE.CREATE("trade.8964",C8966,E8966,A8966,"Receive")</f>
        <v/>
      </c>
      <c r="G8966" s="5"/>
      <c r="H8966" s="7" t="s">
        <v>9007</v>
      </c>
      <c r="I8966" s="9">
        <v>1896400</v>
      </c>
      <c r="J8966" s="10">
        <v>0.0364</v>
      </c>
    </row>
    <row r="8967" spans="1:10">
      <c r="A8967" s="7" t="s">
        <v>9001</v>
      </c>
      <c r="B8967" s="7" t="s">
        <v>10834</v>
      </c>
      <c r="C8967" s="8">
        <f>QS.CONTEXT.CREATE("market.8965",A8967,"USD","SOFR")</f>
        <v/>
      </c>
      <c r="D8967" s="8">
        <f>QS.CONTEXT.ADD.CURVE(C8967,"SOFR",$K$2:$K$7,$L$2:$L$7,,,"Actual360","LogLinear",TRUE)</f>
        <v/>
      </c>
      <c r="E8967" s="8">
        <f>QS.INSTRUMENT.SWAP("swap.8965",C8967,H8967,B8967,"USD","SOFR",I8967,J8967,0,"Actual360","Simple","Annual","Annual","Annual")</f>
        <v/>
      </c>
      <c r="F8967" s="8">
        <f>QS.TRADE.CREATE("trade.8965",C8967,E8967,A8967,"Receive")</f>
        <v/>
      </c>
      <c r="G8967" s="5"/>
      <c r="H8967" s="7" t="s">
        <v>9008</v>
      </c>
      <c r="I8967" s="9">
        <v>1896500</v>
      </c>
      <c r="J8967" s="10">
        <v>0.0365</v>
      </c>
    </row>
    <row r="8968" spans="1:10">
      <c r="A8968" s="7" t="s">
        <v>9002</v>
      </c>
      <c r="B8968" s="7" t="s">
        <v>10835</v>
      </c>
      <c r="C8968" s="8">
        <f>QS.CONTEXT.CREATE("market.8966",A8968,"USD","SOFR")</f>
        <v/>
      </c>
      <c r="D8968" s="8">
        <f>QS.CONTEXT.ADD.CURVE(C8968,"SOFR",$K$2:$K$7,$L$2:$L$7,,,"Actual360","LogLinear",TRUE)</f>
        <v/>
      </c>
      <c r="E8968" s="8">
        <f>QS.INSTRUMENT.SWAP("swap.8966",C8968,H8968,B8968,"USD","SOFR",I8968,J8968,0,"Actual360","Simple","Annual","Annual","Annual")</f>
        <v/>
      </c>
      <c r="F8968" s="8">
        <f>QS.TRADE.CREATE("trade.8966",C8968,E8968,A8968,"Receive")</f>
        <v/>
      </c>
      <c r="G8968" s="5"/>
      <c r="H8968" s="7" t="s">
        <v>9009</v>
      </c>
      <c r="I8968" s="9">
        <v>1896600</v>
      </c>
      <c r="J8968" s="10">
        <v>0.0366</v>
      </c>
    </row>
    <row r="8969" spans="1:10">
      <c r="A8969" s="7" t="s">
        <v>9003</v>
      </c>
      <c r="B8969" s="7" t="s">
        <v>10836</v>
      </c>
      <c r="C8969" s="8">
        <f>QS.CONTEXT.CREATE("market.8967",A8969,"USD","SOFR")</f>
        <v/>
      </c>
      <c r="D8969" s="8">
        <f>QS.CONTEXT.ADD.CURVE(C8969,"SOFR",$K$2:$K$7,$L$2:$L$7,,,"Actual360","LogLinear",TRUE)</f>
        <v/>
      </c>
      <c r="E8969" s="8">
        <f>QS.INSTRUMENT.SWAP("swap.8967",C8969,H8969,B8969,"USD","SOFR",I8969,J8969,0,"Actual360","Simple","Annual","Annual","Annual")</f>
        <v/>
      </c>
      <c r="F8969" s="8">
        <f>QS.TRADE.CREATE("trade.8967",C8969,E8969,A8969,"Receive")</f>
        <v/>
      </c>
      <c r="G8969" s="5"/>
      <c r="H8969" s="7" t="s">
        <v>9010</v>
      </c>
      <c r="I8969" s="9">
        <v>1896700</v>
      </c>
      <c r="J8969" s="10">
        <v>0.0367</v>
      </c>
    </row>
    <row r="8970" spans="1:10">
      <c r="A8970" s="7" t="s">
        <v>9004</v>
      </c>
      <c r="B8970" s="7" t="s">
        <v>10837</v>
      </c>
      <c r="C8970" s="8">
        <f>QS.CONTEXT.CREATE("market.8968",A8970,"USD","SOFR")</f>
        <v/>
      </c>
      <c r="D8970" s="8">
        <f>QS.CONTEXT.ADD.CURVE(C8970,"SOFR",$K$2:$K$7,$L$2:$L$7,,,"Actual360","LogLinear",TRUE)</f>
        <v/>
      </c>
      <c r="E8970" s="8">
        <f>QS.INSTRUMENT.SWAP("swap.8968",C8970,H8970,B8970,"USD","SOFR",I8970,J8970,0,"Actual360","Simple","Annual","Annual","Annual")</f>
        <v/>
      </c>
      <c r="F8970" s="8">
        <f>QS.TRADE.CREATE("trade.8968",C8970,E8970,A8970,"Receive")</f>
        <v/>
      </c>
      <c r="G8970" s="5"/>
      <c r="H8970" s="7" t="s">
        <v>9011</v>
      </c>
      <c r="I8970" s="9">
        <v>1896800</v>
      </c>
      <c r="J8970" s="10">
        <v>0.03680000000000001</v>
      </c>
    </row>
    <row r="8971" spans="1:10">
      <c r="A8971" s="7" t="s">
        <v>9005</v>
      </c>
      <c r="B8971" s="7" t="s">
        <v>10838</v>
      </c>
      <c r="C8971" s="8">
        <f>QS.CONTEXT.CREATE("market.8969",A8971,"USD","SOFR")</f>
        <v/>
      </c>
      <c r="D8971" s="8">
        <f>QS.CONTEXT.ADD.CURVE(C8971,"SOFR",$K$2:$K$7,$L$2:$L$7,,,"Actual360","LogLinear",TRUE)</f>
        <v/>
      </c>
      <c r="E8971" s="8">
        <f>QS.INSTRUMENT.SWAP("swap.8969",C8971,H8971,B8971,"USD","SOFR",I8971,J8971,0,"Actual360","Simple","Annual","Annual","Annual")</f>
        <v/>
      </c>
      <c r="F8971" s="8">
        <f>QS.TRADE.CREATE("trade.8969",C8971,E8971,A8971,"Receive")</f>
        <v/>
      </c>
      <c r="G8971" s="5"/>
      <c r="H8971" s="7" t="s">
        <v>9012</v>
      </c>
      <c r="I8971" s="9">
        <v>1896900</v>
      </c>
      <c r="J8971" s="10">
        <v>0.0369</v>
      </c>
    </row>
    <row r="8972" spans="1:10">
      <c r="A8972" s="7" t="s">
        <v>9006</v>
      </c>
      <c r="B8972" s="7" t="s">
        <v>10839</v>
      </c>
      <c r="C8972" s="8">
        <f>QS.CONTEXT.CREATE("market.8970",A8972,"USD","SOFR")</f>
        <v/>
      </c>
      <c r="D8972" s="8">
        <f>QS.CONTEXT.ADD.CURVE(C8972,"SOFR",$K$2:$K$7,$L$2:$L$7,,,"Actual360","LogLinear",TRUE)</f>
        <v/>
      </c>
      <c r="E8972" s="8">
        <f>QS.INSTRUMENT.SWAP("swap.8970",C8972,H8972,B8972,"USD","SOFR",I8972,J8972,0,"Actual360","Simple","Annual","Annual","Annual")</f>
        <v/>
      </c>
      <c r="F8972" s="8">
        <f>QS.TRADE.CREATE("trade.8970",C8972,E8972,A8972,"Receive")</f>
        <v/>
      </c>
      <c r="G8972" s="5"/>
      <c r="H8972" s="7" t="s">
        <v>9013</v>
      </c>
      <c r="I8972" s="9">
        <v>1897000</v>
      </c>
      <c r="J8972" s="10">
        <v>0.03700000000000001</v>
      </c>
    </row>
    <row r="8973" spans="1:10">
      <c r="A8973" s="7" t="s">
        <v>9007</v>
      </c>
      <c r="B8973" s="7" t="s">
        <v>10840</v>
      </c>
      <c r="C8973" s="8">
        <f>QS.CONTEXT.CREATE("market.8971",A8973,"USD","SOFR")</f>
        <v/>
      </c>
      <c r="D8973" s="8">
        <f>QS.CONTEXT.ADD.CURVE(C8973,"SOFR",$K$2:$K$7,$L$2:$L$7,,,"Actual360","LogLinear",TRUE)</f>
        <v/>
      </c>
      <c r="E8973" s="8">
        <f>QS.INSTRUMENT.SWAP("swap.8971",C8973,H8973,B8973,"USD","SOFR",I8973,J8973,0,"Actual360","Simple","Annual","Annual","Annual")</f>
        <v/>
      </c>
      <c r="F8973" s="8">
        <f>QS.TRADE.CREATE("trade.8971",C8973,E8973,A8973,"Receive")</f>
        <v/>
      </c>
      <c r="G8973" s="5"/>
      <c r="H8973" s="7" t="s">
        <v>9014</v>
      </c>
      <c r="I8973" s="9">
        <v>1897100</v>
      </c>
      <c r="J8973" s="10">
        <v>0.0371</v>
      </c>
    </row>
    <row r="8974" spans="1:10">
      <c r="A8974" s="7" t="s">
        <v>9008</v>
      </c>
      <c r="B8974" s="7" t="s">
        <v>10841</v>
      </c>
      <c r="C8974" s="8">
        <f>QS.CONTEXT.CREATE("market.8972",A8974,"USD","SOFR")</f>
        <v/>
      </c>
      <c r="D8974" s="8">
        <f>QS.CONTEXT.ADD.CURVE(C8974,"SOFR",$K$2:$K$7,$L$2:$L$7,,,"Actual360","LogLinear",TRUE)</f>
        <v/>
      </c>
      <c r="E8974" s="8">
        <f>QS.INSTRUMENT.SWAP("swap.8972",C8974,H8974,B8974,"USD","SOFR",I8974,J8974,0,"Actual360","Simple","Annual","Annual","Annual")</f>
        <v/>
      </c>
      <c r="F8974" s="8">
        <f>QS.TRADE.CREATE("trade.8972",C8974,E8974,A8974,"Receive")</f>
        <v/>
      </c>
      <c r="G8974" s="5"/>
      <c r="H8974" s="7" t="s">
        <v>9015</v>
      </c>
      <c r="I8974" s="9">
        <v>1897200</v>
      </c>
      <c r="J8974" s="10">
        <v>0.0372</v>
      </c>
    </row>
    <row r="8975" spans="1:10">
      <c r="A8975" s="7" t="s">
        <v>9009</v>
      </c>
      <c r="B8975" s="7" t="s">
        <v>10842</v>
      </c>
      <c r="C8975" s="8">
        <f>QS.CONTEXT.CREATE("market.8973",A8975,"USD","SOFR")</f>
        <v/>
      </c>
      <c r="D8975" s="8">
        <f>QS.CONTEXT.ADD.CURVE(C8975,"SOFR",$K$2:$K$7,$L$2:$L$7,,,"Actual360","LogLinear",TRUE)</f>
        <v/>
      </c>
      <c r="E8975" s="8">
        <f>QS.INSTRUMENT.SWAP("swap.8973",C8975,H8975,B8975,"USD","SOFR",I8975,J8975,0,"Actual360","Simple","Annual","Annual","Annual")</f>
        <v/>
      </c>
      <c r="F8975" s="8">
        <f>QS.TRADE.CREATE("trade.8973",C8975,E8975,A8975,"Receive")</f>
        <v/>
      </c>
      <c r="G8975" s="5"/>
      <c r="H8975" s="7" t="s">
        <v>9016</v>
      </c>
      <c r="I8975" s="9">
        <v>1897300</v>
      </c>
      <c r="J8975" s="10">
        <v>0.0373</v>
      </c>
    </row>
    <row r="8976" spans="1:10">
      <c r="A8976" s="7" t="s">
        <v>9010</v>
      </c>
      <c r="B8976" s="7" t="s">
        <v>10843</v>
      </c>
      <c r="C8976" s="8">
        <f>QS.CONTEXT.CREATE("market.8974",A8976,"USD","SOFR")</f>
        <v/>
      </c>
      <c r="D8976" s="8">
        <f>QS.CONTEXT.ADD.CURVE(C8976,"SOFR",$K$2:$K$7,$L$2:$L$7,,,"Actual360","LogLinear",TRUE)</f>
        <v/>
      </c>
      <c r="E8976" s="8">
        <f>QS.INSTRUMENT.SWAP("swap.8974",C8976,H8976,B8976,"USD","SOFR",I8976,J8976,0,"Actual360","Simple","Annual","Annual","Annual")</f>
        <v/>
      </c>
      <c r="F8976" s="8">
        <f>QS.TRADE.CREATE("trade.8974",C8976,E8976,A8976,"Receive")</f>
        <v/>
      </c>
      <c r="G8976" s="5"/>
      <c r="H8976" s="7" t="s">
        <v>9017</v>
      </c>
      <c r="I8976" s="9">
        <v>1897400</v>
      </c>
      <c r="J8976" s="10">
        <v>0.0374</v>
      </c>
    </row>
    <row r="8977" spans="1:10">
      <c r="A8977" s="7" t="s">
        <v>9011</v>
      </c>
      <c r="B8977" s="7" t="s">
        <v>10844</v>
      </c>
      <c r="C8977" s="8">
        <f>QS.CONTEXT.CREATE("market.8975",A8977,"USD","SOFR")</f>
        <v/>
      </c>
      <c r="D8977" s="8">
        <f>QS.CONTEXT.ADD.CURVE(C8977,"SOFR",$K$2:$K$7,$L$2:$L$7,,,"Actual360","LogLinear",TRUE)</f>
        <v/>
      </c>
      <c r="E8977" s="8">
        <f>QS.INSTRUMENT.SWAP("swap.8975",C8977,H8977,B8977,"USD","SOFR",I8977,J8977,0,"Actual360","Simple","Annual","Annual","Annual")</f>
        <v/>
      </c>
      <c r="F8977" s="8">
        <f>QS.TRADE.CREATE("trade.8975",C8977,E8977,A8977,"Receive")</f>
        <v/>
      </c>
      <c r="G8977" s="5"/>
      <c r="H8977" s="7" t="s">
        <v>9018</v>
      </c>
      <c r="I8977" s="9">
        <v>1897500</v>
      </c>
      <c r="J8977" s="10">
        <v>0.03750000000000001</v>
      </c>
    </row>
    <row r="8978" spans="1:10">
      <c r="A8978" s="7" t="s">
        <v>9012</v>
      </c>
      <c r="B8978" s="7" t="s">
        <v>10845</v>
      </c>
      <c r="C8978" s="8">
        <f>QS.CONTEXT.CREATE("market.8976",A8978,"USD","SOFR")</f>
        <v/>
      </c>
      <c r="D8978" s="8">
        <f>QS.CONTEXT.ADD.CURVE(C8978,"SOFR",$K$2:$K$7,$L$2:$L$7,,,"Actual360","LogLinear",TRUE)</f>
        <v/>
      </c>
      <c r="E8978" s="8">
        <f>QS.INSTRUMENT.SWAP("swap.8976",C8978,H8978,B8978,"USD","SOFR",I8978,J8978,0,"Actual360","Simple","Annual","Annual","Annual")</f>
        <v/>
      </c>
      <c r="F8978" s="8">
        <f>QS.TRADE.CREATE("trade.8976",C8978,E8978,A8978,"Receive")</f>
        <v/>
      </c>
      <c r="G8978" s="5"/>
      <c r="H8978" s="7" t="s">
        <v>9019</v>
      </c>
      <c r="I8978" s="9">
        <v>1897600</v>
      </c>
      <c r="J8978" s="10">
        <v>0.0376</v>
      </c>
    </row>
    <row r="8979" spans="1:10">
      <c r="A8979" s="7" t="s">
        <v>9013</v>
      </c>
      <c r="B8979" s="7" t="s">
        <v>10846</v>
      </c>
      <c r="C8979" s="8">
        <f>QS.CONTEXT.CREATE("market.8977",A8979,"USD","SOFR")</f>
        <v/>
      </c>
      <c r="D8979" s="8">
        <f>QS.CONTEXT.ADD.CURVE(C8979,"SOFR",$K$2:$K$7,$L$2:$L$7,,,"Actual360","LogLinear",TRUE)</f>
        <v/>
      </c>
      <c r="E8979" s="8">
        <f>QS.INSTRUMENT.SWAP("swap.8977",C8979,H8979,B8979,"USD","SOFR",I8979,J8979,0,"Actual360","Simple","Annual","Annual","Annual")</f>
        <v/>
      </c>
      <c r="F8979" s="8">
        <f>QS.TRADE.CREATE("trade.8977",C8979,E8979,A8979,"Receive")</f>
        <v/>
      </c>
      <c r="G8979" s="5"/>
      <c r="H8979" s="7" t="s">
        <v>9020</v>
      </c>
      <c r="I8979" s="9">
        <v>1897700</v>
      </c>
      <c r="J8979" s="10">
        <v>0.0377</v>
      </c>
    </row>
    <row r="8980" spans="1:10">
      <c r="A8980" s="7" t="s">
        <v>9014</v>
      </c>
      <c r="B8980" s="7" t="s">
        <v>10847</v>
      </c>
      <c r="C8980" s="8">
        <f>QS.CONTEXT.CREATE("market.8978",A8980,"USD","SOFR")</f>
        <v/>
      </c>
      <c r="D8980" s="8">
        <f>QS.CONTEXT.ADD.CURVE(C8980,"SOFR",$K$2:$K$7,$L$2:$L$7,,,"Actual360","LogLinear",TRUE)</f>
        <v/>
      </c>
      <c r="E8980" s="8">
        <f>QS.INSTRUMENT.SWAP("swap.8978",C8980,H8980,B8980,"USD","SOFR",I8980,J8980,0,"Actual360","Simple","Annual","Annual","Annual")</f>
        <v/>
      </c>
      <c r="F8980" s="8">
        <f>QS.TRADE.CREATE("trade.8978",C8980,E8980,A8980,"Receive")</f>
        <v/>
      </c>
      <c r="G8980" s="5"/>
      <c r="H8980" s="7" t="s">
        <v>9021</v>
      </c>
      <c r="I8980" s="9">
        <v>1897800</v>
      </c>
      <c r="J8980" s="10">
        <v>0.0378</v>
      </c>
    </row>
    <row r="8981" spans="1:10">
      <c r="A8981" s="7" t="s">
        <v>9015</v>
      </c>
      <c r="B8981" s="7" t="s">
        <v>10848</v>
      </c>
      <c r="C8981" s="8">
        <f>QS.CONTEXT.CREATE("market.8979",A8981,"USD","SOFR")</f>
        <v/>
      </c>
      <c r="D8981" s="8">
        <f>QS.CONTEXT.ADD.CURVE(C8981,"SOFR",$K$2:$K$7,$L$2:$L$7,,,"Actual360","LogLinear",TRUE)</f>
        <v/>
      </c>
      <c r="E8981" s="8">
        <f>QS.INSTRUMENT.SWAP("swap.8979",C8981,H8981,B8981,"USD","SOFR",I8981,J8981,0,"Actual360","Simple","Annual","Annual","Annual")</f>
        <v/>
      </c>
      <c r="F8981" s="8">
        <f>QS.TRADE.CREATE("trade.8979",C8981,E8981,A8981,"Receive")</f>
        <v/>
      </c>
      <c r="G8981" s="5"/>
      <c r="H8981" s="7" t="s">
        <v>9022</v>
      </c>
      <c r="I8981" s="9">
        <v>1897900</v>
      </c>
      <c r="J8981" s="10">
        <v>0.0379</v>
      </c>
    </row>
    <row r="8982" spans="1:10">
      <c r="A8982" s="7" t="s">
        <v>9016</v>
      </c>
      <c r="B8982" s="7" t="s">
        <v>10849</v>
      </c>
      <c r="C8982" s="8">
        <f>QS.CONTEXT.CREATE("market.8980",A8982,"USD","SOFR")</f>
        <v/>
      </c>
      <c r="D8982" s="8">
        <f>QS.CONTEXT.ADD.CURVE(C8982,"SOFR",$K$2:$K$7,$L$2:$L$7,,,"Actual360","LogLinear",TRUE)</f>
        <v/>
      </c>
      <c r="E8982" s="8">
        <f>QS.INSTRUMENT.SWAP("swap.8980",C8982,H8982,B8982,"USD","SOFR",I8982,J8982,0,"Actual360","Simple","Annual","Annual","Annual")</f>
        <v/>
      </c>
      <c r="F8982" s="8">
        <f>QS.TRADE.CREATE("trade.8980",C8982,E8982,A8982,"Receive")</f>
        <v/>
      </c>
      <c r="G8982" s="5"/>
      <c r="H8982" s="7" t="s">
        <v>9023</v>
      </c>
      <c r="I8982" s="9">
        <v>1898000</v>
      </c>
      <c r="J8982" s="10">
        <v>0.03800000000000001</v>
      </c>
    </row>
    <row r="8983" spans="1:10">
      <c r="A8983" s="7" t="s">
        <v>9017</v>
      </c>
      <c r="B8983" s="7" t="s">
        <v>10850</v>
      </c>
      <c r="C8983" s="8">
        <f>QS.CONTEXT.CREATE("market.8981",A8983,"USD","SOFR")</f>
        <v/>
      </c>
      <c r="D8983" s="8">
        <f>QS.CONTEXT.ADD.CURVE(C8983,"SOFR",$K$2:$K$7,$L$2:$L$7,,,"Actual360","LogLinear",TRUE)</f>
        <v/>
      </c>
      <c r="E8983" s="8">
        <f>QS.INSTRUMENT.SWAP("swap.8981",C8983,H8983,B8983,"USD","SOFR",I8983,J8983,0,"Actual360","Simple","Annual","Annual","Annual")</f>
        <v/>
      </c>
      <c r="F8983" s="8">
        <f>QS.TRADE.CREATE("trade.8981",C8983,E8983,A8983,"Receive")</f>
        <v/>
      </c>
      <c r="G8983" s="5"/>
      <c r="H8983" s="7" t="s">
        <v>9024</v>
      </c>
      <c r="I8983" s="9">
        <v>1898100</v>
      </c>
      <c r="J8983" s="10">
        <v>0.0381</v>
      </c>
    </row>
    <row r="8984" spans="1:10">
      <c r="A8984" s="7" t="s">
        <v>9018</v>
      </c>
      <c r="B8984" s="7" t="s">
        <v>10851</v>
      </c>
      <c r="C8984" s="8">
        <f>QS.CONTEXT.CREATE("market.8982",A8984,"USD","SOFR")</f>
        <v/>
      </c>
      <c r="D8984" s="8">
        <f>QS.CONTEXT.ADD.CURVE(C8984,"SOFR",$K$2:$K$7,$L$2:$L$7,,,"Actual360","LogLinear",TRUE)</f>
        <v/>
      </c>
      <c r="E8984" s="8">
        <f>QS.INSTRUMENT.SWAP("swap.8982",C8984,H8984,B8984,"USD","SOFR",I8984,J8984,0,"Actual360","Simple","Annual","Annual","Annual")</f>
        <v/>
      </c>
      <c r="F8984" s="8">
        <f>QS.TRADE.CREATE("trade.8982",C8984,E8984,A8984,"Receive")</f>
        <v/>
      </c>
      <c r="G8984" s="5"/>
      <c r="H8984" s="7" t="s">
        <v>9025</v>
      </c>
      <c r="I8984" s="9">
        <v>1898200</v>
      </c>
      <c r="J8984" s="10">
        <v>0.0382</v>
      </c>
    </row>
    <row r="8985" spans="1:10">
      <c r="A8985" s="7" t="s">
        <v>9019</v>
      </c>
      <c r="B8985" s="7" t="s">
        <v>10852</v>
      </c>
      <c r="C8985" s="8">
        <f>QS.CONTEXT.CREATE("market.8983",A8985,"USD","SOFR")</f>
        <v/>
      </c>
      <c r="D8985" s="8">
        <f>QS.CONTEXT.ADD.CURVE(C8985,"SOFR",$K$2:$K$7,$L$2:$L$7,,,"Actual360","LogLinear",TRUE)</f>
        <v/>
      </c>
      <c r="E8985" s="8">
        <f>QS.INSTRUMENT.SWAP("swap.8983",C8985,H8985,B8985,"USD","SOFR",I8985,J8985,0,"Actual360","Simple","Annual","Annual","Annual")</f>
        <v/>
      </c>
      <c r="F8985" s="8">
        <f>QS.TRADE.CREATE("trade.8983",C8985,E8985,A8985,"Receive")</f>
        <v/>
      </c>
      <c r="G8985" s="5"/>
      <c r="H8985" s="7" t="s">
        <v>9026</v>
      </c>
      <c r="I8985" s="9">
        <v>1898300</v>
      </c>
      <c r="J8985" s="10">
        <v>0.0383</v>
      </c>
    </row>
    <row r="8986" spans="1:10">
      <c r="A8986" s="7" t="s">
        <v>9020</v>
      </c>
      <c r="B8986" s="7" t="s">
        <v>10853</v>
      </c>
      <c r="C8986" s="8">
        <f>QS.CONTEXT.CREATE("market.8984",A8986,"USD","SOFR")</f>
        <v/>
      </c>
      <c r="D8986" s="8">
        <f>QS.CONTEXT.ADD.CURVE(C8986,"SOFR",$K$2:$K$7,$L$2:$L$7,,,"Actual360","LogLinear",TRUE)</f>
        <v/>
      </c>
      <c r="E8986" s="8">
        <f>QS.INSTRUMENT.SWAP("swap.8984",C8986,H8986,B8986,"USD","SOFR",I8986,J8986,0,"Actual360","Simple","Annual","Annual","Annual")</f>
        <v/>
      </c>
      <c r="F8986" s="8">
        <f>QS.TRADE.CREATE("trade.8984",C8986,E8986,A8986,"Receive")</f>
        <v/>
      </c>
      <c r="G8986" s="5"/>
      <c r="H8986" s="7" t="s">
        <v>9027</v>
      </c>
      <c r="I8986" s="9">
        <v>1898400</v>
      </c>
      <c r="J8986" s="10">
        <v>0.0384</v>
      </c>
    </row>
    <row r="8987" spans="1:10">
      <c r="A8987" s="7" t="s">
        <v>9021</v>
      </c>
      <c r="B8987" s="7" t="s">
        <v>10854</v>
      </c>
      <c r="C8987" s="8">
        <f>QS.CONTEXT.CREATE("market.8985",A8987,"USD","SOFR")</f>
        <v/>
      </c>
      <c r="D8987" s="8">
        <f>QS.CONTEXT.ADD.CURVE(C8987,"SOFR",$K$2:$K$7,$L$2:$L$7,,,"Actual360","LogLinear",TRUE)</f>
        <v/>
      </c>
      <c r="E8987" s="8">
        <f>QS.INSTRUMENT.SWAP("swap.8985",C8987,H8987,B8987,"USD","SOFR",I8987,J8987,0,"Actual360","Simple","Annual","Annual","Annual")</f>
        <v/>
      </c>
      <c r="F8987" s="8">
        <f>QS.TRADE.CREATE("trade.8985",C8987,E8987,A8987,"Receive")</f>
        <v/>
      </c>
      <c r="G8987" s="5"/>
      <c r="H8987" s="7" t="s">
        <v>9028</v>
      </c>
      <c r="I8987" s="9">
        <v>1898500</v>
      </c>
      <c r="J8987" s="10">
        <v>0.03850000000000001</v>
      </c>
    </row>
    <row r="8988" spans="1:10">
      <c r="A8988" s="7" t="s">
        <v>9022</v>
      </c>
      <c r="B8988" s="7" t="s">
        <v>10855</v>
      </c>
      <c r="C8988" s="8">
        <f>QS.CONTEXT.CREATE("market.8986",A8988,"USD","SOFR")</f>
        <v/>
      </c>
      <c r="D8988" s="8">
        <f>QS.CONTEXT.ADD.CURVE(C8988,"SOFR",$K$2:$K$7,$L$2:$L$7,,,"Actual360","LogLinear",TRUE)</f>
        <v/>
      </c>
      <c r="E8988" s="8">
        <f>QS.INSTRUMENT.SWAP("swap.8986",C8988,H8988,B8988,"USD","SOFR",I8988,J8988,0,"Actual360","Simple","Annual","Annual","Annual")</f>
        <v/>
      </c>
      <c r="F8988" s="8">
        <f>QS.TRADE.CREATE("trade.8986",C8988,E8988,A8988,"Receive")</f>
        <v/>
      </c>
      <c r="G8988" s="5"/>
      <c r="H8988" s="7" t="s">
        <v>9029</v>
      </c>
      <c r="I8988" s="9">
        <v>1898600</v>
      </c>
      <c r="J8988" s="10">
        <v>0.0386</v>
      </c>
    </row>
    <row r="8989" spans="1:10">
      <c r="A8989" s="7" t="s">
        <v>9023</v>
      </c>
      <c r="B8989" s="7" t="s">
        <v>10856</v>
      </c>
      <c r="C8989" s="8">
        <f>QS.CONTEXT.CREATE("market.8987",A8989,"USD","SOFR")</f>
        <v/>
      </c>
      <c r="D8989" s="8">
        <f>QS.CONTEXT.ADD.CURVE(C8989,"SOFR",$K$2:$K$7,$L$2:$L$7,,,"Actual360","LogLinear",TRUE)</f>
        <v/>
      </c>
      <c r="E8989" s="8">
        <f>QS.INSTRUMENT.SWAP("swap.8987",C8989,H8989,B8989,"USD","SOFR",I8989,J8989,0,"Actual360","Simple","Annual","Annual","Annual")</f>
        <v/>
      </c>
      <c r="F8989" s="8">
        <f>QS.TRADE.CREATE("trade.8987",C8989,E8989,A8989,"Receive")</f>
        <v/>
      </c>
      <c r="G8989" s="5"/>
      <c r="H8989" s="7" t="s">
        <v>9030</v>
      </c>
      <c r="I8989" s="9">
        <v>1898700</v>
      </c>
      <c r="J8989" s="10">
        <v>0.03870000000000001</v>
      </c>
    </row>
    <row r="8990" spans="1:10">
      <c r="A8990" s="7" t="s">
        <v>9024</v>
      </c>
      <c r="B8990" s="7" t="s">
        <v>10857</v>
      </c>
      <c r="C8990" s="8">
        <f>QS.CONTEXT.CREATE("market.8988",A8990,"USD","SOFR")</f>
        <v/>
      </c>
      <c r="D8990" s="8">
        <f>QS.CONTEXT.ADD.CURVE(C8990,"SOFR",$K$2:$K$7,$L$2:$L$7,,,"Actual360","LogLinear",TRUE)</f>
        <v/>
      </c>
      <c r="E8990" s="8">
        <f>QS.INSTRUMENT.SWAP("swap.8988",C8990,H8990,B8990,"USD","SOFR",I8990,J8990,0,"Actual360","Simple","Annual","Annual","Annual")</f>
        <v/>
      </c>
      <c r="F8990" s="8">
        <f>QS.TRADE.CREATE("trade.8988",C8990,E8990,A8990,"Receive")</f>
        <v/>
      </c>
      <c r="G8990" s="5"/>
      <c r="H8990" s="7" t="s">
        <v>9031</v>
      </c>
      <c r="I8990" s="9">
        <v>1898800</v>
      </c>
      <c r="J8990" s="10">
        <v>0.0388</v>
      </c>
    </row>
    <row r="8991" spans="1:10">
      <c r="A8991" s="7" t="s">
        <v>9025</v>
      </c>
      <c r="B8991" s="7" t="s">
        <v>10858</v>
      </c>
      <c r="C8991" s="8">
        <f>QS.CONTEXT.CREATE("market.8989",A8991,"USD","SOFR")</f>
        <v/>
      </c>
      <c r="D8991" s="8">
        <f>QS.CONTEXT.ADD.CURVE(C8991,"SOFR",$K$2:$K$7,$L$2:$L$7,,,"Actual360","LogLinear",TRUE)</f>
        <v/>
      </c>
      <c r="E8991" s="8">
        <f>QS.INSTRUMENT.SWAP("swap.8989",C8991,H8991,B8991,"USD","SOFR",I8991,J8991,0,"Actual360","Simple","Annual","Annual","Annual")</f>
        <v/>
      </c>
      <c r="F8991" s="8">
        <f>QS.TRADE.CREATE("trade.8989",C8991,E8991,A8991,"Receive")</f>
        <v/>
      </c>
      <c r="G8991" s="5"/>
      <c r="H8991" s="7" t="s">
        <v>9032</v>
      </c>
      <c r="I8991" s="9">
        <v>1898900</v>
      </c>
      <c r="J8991" s="10">
        <v>0.0389</v>
      </c>
    </row>
    <row r="8992" spans="1:10">
      <c r="A8992" s="7" t="s">
        <v>9026</v>
      </c>
      <c r="B8992" s="7" t="s">
        <v>10859</v>
      </c>
      <c r="C8992" s="8">
        <f>QS.CONTEXT.CREATE("market.8990",A8992,"USD","SOFR")</f>
        <v/>
      </c>
      <c r="D8992" s="8">
        <f>QS.CONTEXT.ADD.CURVE(C8992,"SOFR",$K$2:$K$7,$L$2:$L$7,,,"Actual360","LogLinear",TRUE)</f>
        <v/>
      </c>
      <c r="E8992" s="8">
        <f>QS.INSTRUMENT.SWAP("swap.8990",C8992,H8992,B8992,"USD","SOFR",I8992,J8992,0,"Actual360","Simple","Annual","Annual","Annual")</f>
        <v/>
      </c>
      <c r="F8992" s="8">
        <f>QS.TRADE.CREATE("trade.8990",C8992,E8992,A8992,"Receive")</f>
        <v/>
      </c>
      <c r="G8992" s="5"/>
      <c r="H8992" s="7" t="s">
        <v>9033</v>
      </c>
      <c r="I8992" s="9">
        <v>1899000</v>
      </c>
      <c r="J8992" s="10">
        <v>0.03900000000000001</v>
      </c>
    </row>
    <row r="8993" spans="1:10">
      <c r="A8993" s="7" t="s">
        <v>9027</v>
      </c>
      <c r="B8993" s="7" t="s">
        <v>10860</v>
      </c>
      <c r="C8993" s="8">
        <f>QS.CONTEXT.CREATE("market.8991",A8993,"USD","SOFR")</f>
        <v/>
      </c>
      <c r="D8993" s="8">
        <f>QS.CONTEXT.ADD.CURVE(C8993,"SOFR",$K$2:$K$7,$L$2:$L$7,,,"Actual360","LogLinear",TRUE)</f>
        <v/>
      </c>
      <c r="E8993" s="8">
        <f>QS.INSTRUMENT.SWAP("swap.8991",C8993,H8993,B8993,"USD","SOFR",I8993,J8993,0,"Actual360","Simple","Annual","Annual","Annual")</f>
        <v/>
      </c>
      <c r="F8993" s="8">
        <f>QS.TRADE.CREATE("trade.8991",C8993,E8993,A8993,"Receive")</f>
        <v/>
      </c>
      <c r="G8993" s="5"/>
      <c r="H8993" s="7" t="s">
        <v>9034</v>
      </c>
      <c r="I8993" s="9">
        <v>1899100</v>
      </c>
      <c r="J8993" s="10">
        <v>0.0391</v>
      </c>
    </row>
    <row r="8994" spans="1:10">
      <c r="A8994" s="7" t="s">
        <v>9028</v>
      </c>
      <c r="B8994" s="7" t="s">
        <v>10861</v>
      </c>
      <c r="C8994" s="8">
        <f>QS.CONTEXT.CREATE("market.8992",A8994,"USD","SOFR")</f>
        <v/>
      </c>
      <c r="D8994" s="8">
        <f>QS.CONTEXT.ADD.CURVE(C8994,"SOFR",$K$2:$K$7,$L$2:$L$7,,,"Actual360","LogLinear",TRUE)</f>
        <v/>
      </c>
      <c r="E8994" s="8">
        <f>QS.INSTRUMENT.SWAP("swap.8992",C8994,H8994,B8994,"USD","SOFR",I8994,J8994,0,"Actual360","Simple","Annual","Annual","Annual")</f>
        <v/>
      </c>
      <c r="F8994" s="8">
        <f>QS.TRADE.CREATE("trade.8992",C8994,E8994,A8994,"Receive")</f>
        <v/>
      </c>
      <c r="G8994" s="5"/>
      <c r="H8994" s="7" t="s">
        <v>9035</v>
      </c>
      <c r="I8994" s="9">
        <v>1899200</v>
      </c>
      <c r="J8994" s="10">
        <v>0.03920000000000001</v>
      </c>
    </row>
    <row r="8995" spans="1:10">
      <c r="A8995" s="7" t="s">
        <v>9029</v>
      </c>
      <c r="B8995" s="7" t="s">
        <v>10862</v>
      </c>
      <c r="C8995" s="8">
        <f>QS.CONTEXT.CREATE("market.8993",A8995,"USD","SOFR")</f>
        <v/>
      </c>
      <c r="D8995" s="8">
        <f>QS.CONTEXT.ADD.CURVE(C8995,"SOFR",$K$2:$K$7,$L$2:$L$7,,,"Actual360","LogLinear",TRUE)</f>
        <v/>
      </c>
      <c r="E8995" s="8">
        <f>QS.INSTRUMENT.SWAP("swap.8993",C8995,H8995,B8995,"USD","SOFR",I8995,J8995,0,"Actual360","Simple","Annual","Annual","Annual")</f>
        <v/>
      </c>
      <c r="F8995" s="8">
        <f>QS.TRADE.CREATE("trade.8993",C8995,E8995,A8995,"Receive")</f>
        <v/>
      </c>
      <c r="G8995" s="5"/>
      <c r="H8995" s="7" t="s">
        <v>9036</v>
      </c>
      <c r="I8995" s="9">
        <v>1899300</v>
      </c>
      <c r="J8995" s="10">
        <v>0.0393</v>
      </c>
    </row>
    <row r="8996" spans="1:10">
      <c r="A8996" s="7" t="s">
        <v>9030</v>
      </c>
      <c r="B8996" s="7" t="s">
        <v>10863</v>
      </c>
      <c r="C8996" s="8">
        <f>QS.CONTEXT.CREATE("market.8994",A8996,"USD","SOFR")</f>
        <v/>
      </c>
      <c r="D8996" s="8">
        <f>QS.CONTEXT.ADD.CURVE(C8996,"SOFR",$K$2:$K$7,$L$2:$L$7,,,"Actual360","LogLinear",TRUE)</f>
        <v/>
      </c>
      <c r="E8996" s="8">
        <f>QS.INSTRUMENT.SWAP("swap.8994",C8996,H8996,B8996,"USD","SOFR",I8996,J8996,0,"Actual360","Simple","Annual","Annual","Annual")</f>
        <v/>
      </c>
      <c r="F8996" s="8">
        <f>QS.TRADE.CREATE("trade.8994",C8996,E8996,A8996,"Receive")</f>
        <v/>
      </c>
      <c r="G8996" s="5"/>
      <c r="H8996" s="7" t="s">
        <v>9037</v>
      </c>
      <c r="I8996" s="9">
        <v>1899400</v>
      </c>
      <c r="J8996" s="10">
        <v>0.0394</v>
      </c>
    </row>
    <row r="8997" spans="1:10">
      <c r="A8997" s="7" t="s">
        <v>9031</v>
      </c>
      <c r="B8997" s="7" t="s">
        <v>10864</v>
      </c>
      <c r="C8997" s="8">
        <f>QS.CONTEXT.CREATE("market.8995",A8997,"USD","SOFR")</f>
        <v/>
      </c>
      <c r="D8997" s="8">
        <f>QS.CONTEXT.ADD.CURVE(C8997,"SOFR",$K$2:$K$7,$L$2:$L$7,,,"Actual360","LogLinear",TRUE)</f>
        <v/>
      </c>
      <c r="E8997" s="8">
        <f>QS.INSTRUMENT.SWAP("swap.8995",C8997,H8997,B8997,"USD","SOFR",I8997,J8997,0,"Actual360","Simple","Annual","Annual","Annual")</f>
        <v/>
      </c>
      <c r="F8997" s="8">
        <f>QS.TRADE.CREATE("trade.8995",C8997,E8997,A8997,"Receive")</f>
        <v/>
      </c>
      <c r="G8997" s="5"/>
      <c r="H8997" s="7" t="s">
        <v>9038</v>
      </c>
      <c r="I8997" s="9">
        <v>1899500</v>
      </c>
      <c r="J8997" s="10">
        <v>0.03950000000000001</v>
      </c>
    </row>
    <row r="8998" spans="1:10">
      <c r="A8998" s="7" t="s">
        <v>9032</v>
      </c>
      <c r="B8998" s="7" t="s">
        <v>10865</v>
      </c>
      <c r="C8998" s="8">
        <f>QS.CONTEXT.CREATE("market.8996",A8998,"USD","SOFR")</f>
        <v/>
      </c>
      <c r="D8998" s="8">
        <f>QS.CONTEXT.ADD.CURVE(C8998,"SOFR",$K$2:$K$7,$L$2:$L$7,,,"Actual360","LogLinear",TRUE)</f>
        <v/>
      </c>
      <c r="E8998" s="8">
        <f>QS.INSTRUMENT.SWAP("swap.8996",C8998,H8998,B8998,"USD","SOFR",I8998,J8998,0,"Actual360","Simple","Annual","Annual","Annual")</f>
        <v/>
      </c>
      <c r="F8998" s="8">
        <f>QS.TRADE.CREATE("trade.8996",C8998,E8998,A8998,"Receive")</f>
        <v/>
      </c>
      <c r="G8998" s="5"/>
      <c r="H8998" s="7" t="s">
        <v>9039</v>
      </c>
      <c r="I8998" s="9">
        <v>1899600</v>
      </c>
      <c r="J8998" s="10">
        <v>0.0396</v>
      </c>
    </row>
    <row r="8999" spans="1:10">
      <c r="A8999" s="7" t="s">
        <v>9033</v>
      </c>
      <c r="B8999" s="7" t="s">
        <v>10866</v>
      </c>
      <c r="C8999" s="8">
        <f>QS.CONTEXT.CREATE("market.8997",A8999,"USD","SOFR")</f>
        <v/>
      </c>
      <c r="D8999" s="8">
        <f>QS.CONTEXT.ADD.CURVE(C8999,"SOFR",$K$2:$K$7,$L$2:$L$7,,,"Actual360","LogLinear",TRUE)</f>
        <v/>
      </c>
      <c r="E8999" s="8">
        <f>QS.INSTRUMENT.SWAP("swap.8997",C8999,H8999,B8999,"USD","SOFR",I8999,J8999,0,"Actual360","Simple","Annual","Annual","Annual")</f>
        <v/>
      </c>
      <c r="F8999" s="8">
        <f>QS.TRADE.CREATE("trade.8997",C8999,E8999,A8999,"Receive")</f>
        <v/>
      </c>
      <c r="G8999" s="5"/>
      <c r="H8999" s="7" t="s">
        <v>9040</v>
      </c>
      <c r="I8999" s="9">
        <v>1899700</v>
      </c>
      <c r="J8999" s="10">
        <v>0.03970000000000001</v>
      </c>
    </row>
    <row r="9000" spans="1:10">
      <c r="A9000" s="7" t="s">
        <v>9034</v>
      </c>
      <c r="B9000" s="7" t="s">
        <v>10867</v>
      </c>
      <c r="C9000" s="8">
        <f>QS.CONTEXT.CREATE("market.8998",A9000,"USD","SOFR")</f>
        <v/>
      </c>
      <c r="D9000" s="8">
        <f>QS.CONTEXT.ADD.CURVE(C9000,"SOFR",$K$2:$K$7,$L$2:$L$7,,,"Actual360","LogLinear",TRUE)</f>
        <v/>
      </c>
      <c r="E9000" s="8">
        <f>QS.INSTRUMENT.SWAP("swap.8998",C9000,H9000,B9000,"USD","SOFR",I9000,J9000,0,"Actual360","Simple","Annual","Annual","Annual")</f>
        <v/>
      </c>
      <c r="F9000" s="8">
        <f>QS.TRADE.CREATE("trade.8998",C9000,E9000,A9000,"Receive")</f>
        <v/>
      </c>
      <c r="G9000" s="5"/>
      <c r="H9000" s="7" t="s">
        <v>9041</v>
      </c>
      <c r="I9000" s="9">
        <v>1899800</v>
      </c>
      <c r="J9000" s="10">
        <v>0.0398</v>
      </c>
    </row>
    <row r="9001" spans="1:10">
      <c r="A9001" s="7" t="s">
        <v>9035</v>
      </c>
      <c r="B9001" s="7" t="s">
        <v>10868</v>
      </c>
      <c r="C9001" s="8">
        <f>QS.CONTEXT.CREATE("market.8999",A9001,"USD","SOFR")</f>
        <v/>
      </c>
      <c r="D9001" s="8">
        <f>QS.CONTEXT.ADD.CURVE(C9001,"SOFR",$K$2:$K$7,$L$2:$L$7,,,"Actual360","LogLinear",TRUE)</f>
        <v/>
      </c>
      <c r="E9001" s="8">
        <f>QS.INSTRUMENT.SWAP("swap.8999",C9001,H9001,B9001,"USD","SOFR",I9001,J9001,0,"Actual360","Simple","Annual","Annual","Annual")</f>
        <v/>
      </c>
      <c r="F9001" s="8">
        <f>QS.TRADE.CREATE("trade.8999",C9001,E9001,A9001,"Receive")</f>
        <v/>
      </c>
      <c r="G9001" s="5"/>
      <c r="H9001" s="7" t="s">
        <v>9042</v>
      </c>
      <c r="I9001" s="9">
        <v>1899900</v>
      </c>
      <c r="J9001" s="10">
        <v>0.0399</v>
      </c>
    </row>
    <row r="9002" spans="1:10">
      <c r="A9002" s="7" t="s">
        <v>9036</v>
      </c>
      <c r="B9002" s="7" t="s">
        <v>10869</v>
      </c>
      <c r="C9002" s="8">
        <f>QS.CONTEXT.CREATE("market.9000",A9002,"USD","SOFR")</f>
        <v/>
      </c>
      <c r="D9002" s="8">
        <f>QS.CONTEXT.ADD.CURVE(C9002,"SOFR",$K$2:$K$7,$L$2:$L$7,,,"Actual360","LogLinear",TRUE)</f>
        <v/>
      </c>
      <c r="E9002" s="8">
        <f>QS.INSTRUMENT.SWAP("swap.9000",C9002,H9002,B9002,"USD","SOFR",I9002,J9002,0,"Actual360","Simple","Annual","Annual","Annual")</f>
        <v/>
      </c>
      <c r="F9002" s="8">
        <f>QS.TRADE.CREATE("trade.9000",C9002,E9002,A9002,"Receive")</f>
        <v/>
      </c>
      <c r="G9002" s="5"/>
      <c r="H9002" s="7" t="s">
        <v>9043</v>
      </c>
      <c r="I9002" s="9">
        <v>1900000</v>
      </c>
      <c r="J9002" s="10">
        <v>0.035</v>
      </c>
    </row>
    <row r="9003" spans="1:10">
      <c r="A9003" s="7" t="s">
        <v>9037</v>
      </c>
      <c r="B9003" s="7" t="s">
        <v>10870</v>
      </c>
      <c r="C9003" s="8">
        <f>QS.CONTEXT.CREATE("market.9001",A9003,"USD","SOFR")</f>
        <v/>
      </c>
      <c r="D9003" s="8">
        <f>QS.CONTEXT.ADD.CURVE(C9003,"SOFR",$K$2:$K$7,$L$2:$L$7,,,"Actual360","LogLinear",TRUE)</f>
        <v/>
      </c>
      <c r="E9003" s="8">
        <f>QS.INSTRUMENT.SWAP("swap.9001",C9003,H9003,B9003,"USD","SOFR",I9003,J9003,0,"Actual360","Simple","Annual","Annual","Annual")</f>
        <v/>
      </c>
      <c r="F9003" s="8">
        <f>QS.TRADE.CREATE("trade.9001",C9003,E9003,A9003,"Receive")</f>
        <v/>
      </c>
      <c r="G9003" s="5"/>
      <c r="H9003" s="7" t="s">
        <v>9044</v>
      </c>
      <c r="I9003" s="9">
        <v>1900100</v>
      </c>
      <c r="J9003" s="10">
        <v>0.03510000000000001</v>
      </c>
    </row>
    <row r="9004" spans="1:10">
      <c r="A9004" s="7" t="s">
        <v>9038</v>
      </c>
      <c r="B9004" s="7" t="s">
        <v>10871</v>
      </c>
      <c r="C9004" s="8">
        <f>QS.CONTEXT.CREATE("market.9002",A9004,"USD","SOFR")</f>
        <v/>
      </c>
      <c r="D9004" s="8">
        <f>QS.CONTEXT.ADD.CURVE(C9004,"SOFR",$K$2:$K$7,$L$2:$L$7,,,"Actual360","LogLinear",TRUE)</f>
        <v/>
      </c>
      <c r="E9004" s="8">
        <f>QS.INSTRUMENT.SWAP("swap.9002",C9004,H9004,B9004,"USD","SOFR",I9004,J9004,0,"Actual360","Simple","Annual","Annual","Annual")</f>
        <v/>
      </c>
      <c r="F9004" s="8">
        <f>QS.TRADE.CREATE("trade.9002",C9004,E9004,A9004,"Receive")</f>
        <v/>
      </c>
      <c r="G9004" s="5"/>
      <c r="H9004" s="7" t="s">
        <v>9045</v>
      </c>
      <c r="I9004" s="9">
        <v>1900200</v>
      </c>
      <c r="J9004" s="10">
        <v>0.0352</v>
      </c>
    </row>
    <row r="9005" spans="1:10">
      <c r="A9005" s="7" t="s">
        <v>9039</v>
      </c>
      <c r="B9005" s="7" t="s">
        <v>10872</v>
      </c>
      <c r="C9005" s="8">
        <f>QS.CONTEXT.CREATE("market.9003",A9005,"USD","SOFR")</f>
        <v/>
      </c>
      <c r="D9005" s="8">
        <f>QS.CONTEXT.ADD.CURVE(C9005,"SOFR",$K$2:$K$7,$L$2:$L$7,,,"Actual360","LogLinear",TRUE)</f>
        <v/>
      </c>
      <c r="E9005" s="8">
        <f>QS.INSTRUMENT.SWAP("swap.9003",C9005,H9005,B9005,"USD","SOFR",I9005,J9005,0,"Actual360","Simple","Annual","Annual","Annual")</f>
        <v/>
      </c>
      <c r="F9005" s="8">
        <f>QS.TRADE.CREATE("trade.9003",C9005,E9005,A9005,"Receive")</f>
        <v/>
      </c>
      <c r="G9005" s="5"/>
      <c r="H9005" s="7" t="s">
        <v>9046</v>
      </c>
      <c r="I9005" s="9">
        <v>1900300</v>
      </c>
      <c r="J9005" s="10">
        <v>0.0353</v>
      </c>
    </row>
    <row r="9006" spans="1:10">
      <c r="A9006" s="7" t="s">
        <v>9040</v>
      </c>
      <c r="B9006" s="7" t="s">
        <v>10873</v>
      </c>
      <c r="C9006" s="8">
        <f>QS.CONTEXT.CREATE("market.9004",A9006,"USD","SOFR")</f>
        <v/>
      </c>
      <c r="D9006" s="8">
        <f>QS.CONTEXT.ADD.CURVE(C9006,"SOFR",$K$2:$K$7,$L$2:$L$7,,,"Actual360","LogLinear",TRUE)</f>
        <v/>
      </c>
      <c r="E9006" s="8">
        <f>QS.INSTRUMENT.SWAP("swap.9004",C9006,H9006,B9006,"USD","SOFR",I9006,J9006,0,"Actual360","Simple","Annual","Annual","Annual")</f>
        <v/>
      </c>
      <c r="F9006" s="8">
        <f>QS.TRADE.CREATE("trade.9004",C9006,E9006,A9006,"Receive")</f>
        <v/>
      </c>
      <c r="G9006" s="5"/>
      <c r="H9006" s="7" t="s">
        <v>9047</v>
      </c>
      <c r="I9006" s="9">
        <v>1900400</v>
      </c>
      <c r="J9006" s="10">
        <v>0.0354</v>
      </c>
    </row>
    <row r="9007" spans="1:10">
      <c r="A9007" s="7" t="s">
        <v>9041</v>
      </c>
      <c r="B9007" s="7" t="s">
        <v>10874</v>
      </c>
      <c r="C9007" s="8">
        <f>QS.CONTEXT.CREATE("market.9005",A9007,"USD","SOFR")</f>
        <v/>
      </c>
      <c r="D9007" s="8">
        <f>QS.CONTEXT.ADD.CURVE(C9007,"SOFR",$K$2:$K$7,$L$2:$L$7,,,"Actual360","LogLinear",TRUE)</f>
        <v/>
      </c>
      <c r="E9007" s="8">
        <f>QS.INSTRUMENT.SWAP("swap.9005",C9007,H9007,B9007,"USD","SOFR",I9007,J9007,0,"Actual360","Simple","Annual","Annual","Annual")</f>
        <v/>
      </c>
      <c r="F9007" s="8">
        <f>QS.TRADE.CREATE("trade.9005",C9007,E9007,A9007,"Receive")</f>
        <v/>
      </c>
      <c r="G9007" s="5"/>
      <c r="H9007" s="7" t="s">
        <v>9048</v>
      </c>
      <c r="I9007" s="9">
        <v>1900500</v>
      </c>
      <c r="J9007" s="10">
        <v>0.0355</v>
      </c>
    </row>
    <row r="9008" spans="1:10">
      <c r="A9008" s="7" t="s">
        <v>9042</v>
      </c>
      <c r="B9008" s="7" t="s">
        <v>10875</v>
      </c>
      <c r="C9008" s="8">
        <f>QS.CONTEXT.CREATE("market.9006",A9008,"USD","SOFR")</f>
        <v/>
      </c>
      <c r="D9008" s="8">
        <f>QS.CONTEXT.ADD.CURVE(C9008,"SOFR",$K$2:$K$7,$L$2:$L$7,,,"Actual360","LogLinear",TRUE)</f>
        <v/>
      </c>
      <c r="E9008" s="8">
        <f>QS.INSTRUMENT.SWAP("swap.9006",C9008,H9008,B9008,"USD","SOFR",I9008,J9008,0,"Actual360","Simple","Annual","Annual","Annual")</f>
        <v/>
      </c>
      <c r="F9008" s="8">
        <f>QS.TRADE.CREATE("trade.9006",C9008,E9008,A9008,"Receive")</f>
        <v/>
      </c>
      <c r="G9008" s="5"/>
      <c r="H9008" s="7" t="s">
        <v>9049</v>
      </c>
      <c r="I9008" s="9">
        <v>1900600</v>
      </c>
      <c r="J9008" s="10">
        <v>0.03560000000000001</v>
      </c>
    </row>
    <row r="9009" spans="1:10">
      <c r="A9009" s="7" t="s">
        <v>9043</v>
      </c>
      <c r="B9009" s="7" t="s">
        <v>10876</v>
      </c>
      <c r="C9009" s="8">
        <f>QS.CONTEXT.CREATE("market.9007",A9009,"USD","SOFR")</f>
        <v/>
      </c>
      <c r="D9009" s="8">
        <f>QS.CONTEXT.ADD.CURVE(C9009,"SOFR",$K$2:$K$7,$L$2:$L$7,,,"Actual360","LogLinear",TRUE)</f>
        <v/>
      </c>
      <c r="E9009" s="8">
        <f>QS.INSTRUMENT.SWAP("swap.9007",C9009,H9009,B9009,"USD","SOFR",I9009,J9009,0,"Actual360","Simple","Annual","Annual","Annual")</f>
        <v/>
      </c>
      <c r="F9009" s="8">
        <f>QS.TRADE.CREATE("trade.9007",C9009,E9009,A9009,"Receive")</f>
        <v/>
      </c>
      <c r="G9009" s="5"/>
      <c r="H9009" s="7" t="s">
        <v>9050</v>
      </c>
      <c r="I9009" s="9">
        <v>1900700</v>
      </c>
      <c r="J9009" s="10">
        <v>0.0357</v>
      </c>
    </row>
    <row r="9010" spans="1:10">
      <c r="A9010" s="7" t="s">
        <v>9044</v>
      </c>
      <c r="B9010" s="7" t="s">
        <v>10877</v>
      </c>
      <c r="C9010" s="8">
        <f>QS.CONTEXT.CREATE("market.9008",A9010,"USD","SOFR")</f>
        <v/>
      </c>
      <c r="D9010" s="8">
        <f>QS.CONTEXT.ADD.CURVE(C9010,"SOFR",$K$2:$K$7,$L$2:$L$7,,,"Actual360","LogLinear",TRUE)</f>
        <v/>
      </c>
      <c r="E9010" s="8">
        <f>QS.INSTRUMENT.SWAP("swap.9008",C9010,H9010,B9010,"USD","SOFR",I9010,J9010,0,"Actual360","Simple","Annual","Annual","Annual")</f>
        <v/>
      </c>
      <c r="F9010" s="8">
        <f>QS.TRADE.CREATE("trade.9008",C9010,E9010,A9010,"Receive")</f>
        <v/>
      </c>
      <c r="G9010" s="5"/>
      <c r="H9010" s="7" t="s">
        <v>9051</v>
      </c>
      <c r="I9010" s="9">
        <v>1900800</v>
      </c>
      <c r="J9010" s="10">
        <v>0.03580000000000001</v>
      </c>
    </row>
    <row r="9011" spans="1:10">
      <c r="A9011" s="7" t="s">
        <v>9045</v>
      </c>
      <c r="B9011" s="7" t="s">
        <v>10878</v>
      </c>
      <c r="C9011" s="8">
        <f>QS.CONTEXT.CREATE("market.9009",A9011,"USD","SOFR")</f>
        <v/>
      </c>
      <c r="D9011" s="8">
        <f>QS.CONTEXT.ADD.CURVE(C9011,"SOFR",$K$2:$K$7,$L$2:$L$7,,,"Actual360","LogLinear",TRUE)</f>
        <v/>
      </c>
      <c r="E9011" s="8">
        <f>QS.INSTRUMENT.SWAP("swap.9009",C9011,H9011,B9011,"USD","SOFR",I9011,J9011,0,"Actual360","Simple","Annual","Annual","Annual")</f>
        <v/>
      </c>
      <c r="F9011" s="8">
        <f>QS.TRADE.CREATE("trade.9009",C9011,E9011,A9011,"Receive")</f>
        <v/>
      </c>
      <c r="G9011" s="5"/>
      <c r="H9011" s="7" t="s">
        <v>9052</v>
      </c>
      <c r="I9011" s="9">
        <v>1900900</v>
      </c>
      <c r="J9011" s="10">
        <v>0.0359</v>
      </c>
    </row>
    <row r="9012" spans="1:10">
      <c r="A9012" s="7" t="s">
        <v>9046</v>
      </c>
      <c r="B9012" s="7" t="s">
        <v>10879</v>
      </c>
      <c r="C9012" s="8">
        <f>QS.CONTEXT.CREATE("market.9010",A9012,"USD","SOFR")</f>
        <v/>
      </c>
      <c r="D9012" s="8">
        <f>QS.CONTEXT.ADD.CURVE(C9012,"SOFR",$K$2:$K$7,$L$2:$L$7,,,"Actual360","LogLinear",TRUE)</f>
        <v/>
      </c>
      <c r="E9012" s="8">
        <f>QS.INSTRUMENT.SWAP("swap.9010",C9012,H9012,B9012,"USD","SOFR",I9012,J9012,0,"Actual360","Simple","Annual","Annual","Annual")</f>
        <v/>
      </c>
      <c r="F9012" s="8">
        <f>QS.TRADE.CREATE("trade.9010",C9012,E9012,A9012,"Receive")</f>
        <v/>
      </c>
      <c r="G9012" s="5"/>
      <c r="H9012" s="7" t="s">
        <v>9053</v>
      </c>
      <c r="I9012" s="9">
        <v>1901000</v>
      </c>
      <c r="J9012" s="10">
        <v>0.036</v>
      </c>
    </row>
    <row r="9013" spans="1:10">
      <c r="A9013" s="7" t="s">
        <v>9047</v>
      </c>
      <c r="B9013" s="7" t="s">
        <v>10880</v>
      </c>
      <c r="C9013" s="8">
        <f>QS.CONTEXT.CREATE("market.9011",A9013,"USD","SOFR")</f>
        <v/>
      </c>
      <c r="D9013" s="8">
        <f>QS.CONTEXT.ADD.CURVE(C9013,"SOFR",$K$2:$K$7,$L$2:$L$7,,,"Actual360","LogLinear",TRUE)</f>
        <v/>
      </c>
      <c r="E9013" s="8">
        <f>QS.INSTRUMENT.SWAP("swap.9011",C9013,H9013,B9013,"USD","SOFR",I9013,J9013,0,"Actual360","Simple","Annual","Annual","Annual")</f>
        <v/>
      </c>
      <c r="F9013" s="8">
        <f>QS.TRADE.CREATE("trade.9011",C9013,E9013,A9013,"Receive")</f>
        <v/>
      </c>
      <c r="G9013" s="5"/>
      <c r="H9013" s="7" t="s">
        <v>9054</v>
      </c>
      <c r="I9013" s="9">
        <v>1901100</v>
      </c>
      <c r="J9013" s="10">
        <v>0.0361</v>
      </c>
    </row>
    <row r="9014" spans="1:10">
      <c r="A9014" s="7" t="s">
        <v>9048</v>
      </c>
      <c r="B9014" s="7" t="s">
        <v>10881</v>
      </c>
      <c r="C9014" s="8">
        <f>QS.CONTEXT.CREATE("market.9012",A9014,"USD","SOFR")</f>
        <v/>
      </c>
      <c r="D9014" s="8">
        <f>QS.CONTEXT.ADD.CURVE(C9014,"SOFR",$K$2:$K$7,$L$2:$L$7,,,"Actual360","LogLinear",TRUE)</f>
        <v/>
      </c>
      <c r="E9014" s="8">
        <f>QS.INSTRUMENT.SWAP("swap.9012",C9014,H9014,B9014,"USD","SOFR",I9014,J9014,0,"Actual360","Simple","Annual","Annual","Annual")</f>
        <v/>
      </c>
      <c r="F9014" s="8">
        <f>QS.TRADE.CREATE("trade.9012",C9014,E9014,A9014,"Receive")</f>
        <v/>
      </c>
      <c r="G9014" s="5"/>
      <c r="H9014" s="7" t="s">
        <v>9055</v>
      </c>
      <c r="I9014" s="9">
        <v>1901200</v>
      </c>
      <c r="J9014" s="10">
        <v>0.0362</v>
      </c>
    </row>
    <row r="9015" spans="1:10">
      <c r="A9015" s="7" t="s">
        <v>9049</v>
      </c>
      <c r="B9015" s="7" t="s">
        <v>10882</v>
      </c>
      <c r="C9015" s="8">
        <f>QS.CONTEXT.CREATE("market.9013",A9015,"USD","SOFR")</f>
        <v/>
      </c>
      <c r="D9015" s="8">
        <f>QS.CONTEXT.ADD.CURVE(C9015,"SOFR",$K$2:$K$7,$L$2:$L$7,,,"Actual360","LogLinear",TRUE)</f>
        <v/>
      </c>
      <c r="E9015" s="8">
        <f>QS.INSTRUMENT.SWAP("swap.9013",C9015,H9015,B9015,"USD","SOFR",I9015,J9015,0,"Actual360","Simple","Annual","Annual","Annual")</f>
        <v/>
      </c>
      <c r="F9015" s="8">
        <f>QS.TRADE.CREATE("trade.9013",C9015,E9015,A9015,"Receive")</f>
        <v/>
      </c>
      <c r="G9015" s="5"/>
      <c r="H9015" s="7" t="s">
        <v>9056</v>
      </c>
      <c r="I9015" s="9">
        <v>1901300</v>
      </c>
      <c r="J9015" s="10">
        <v>0.03630000000000001</v>
      </c>
    </row>
    <row r="9016" spans="1:10">
      <c r="A9016" s="7" t="s">
        <v>9050</v>
      </c>
      <c r="B9016" s="7" t="s">
        <v>10883</v>
      </c>
      <c r="C9016" s="8">
        <f>QS.CONTEXT.CREATE("market.9014",A9016,"USD","SOFR")</f>
        <v/>
      </c>
      <c r="D9016" s="8">
        <f>QS.CONTEXT.ADD.CURVE(C9016,"SOFR",$K$2:$K$7,$L$2:$L$7,,,"Actual360","LogLinear",TRUE)</f>
        <v/>
      </c>
      <c r="E9016" s="8">
        <f>QS.INSTRUMENT.SWAP("swap.9014",C9016,H9016,B9016,"USD","SOFR",I9016,J9016,0,"Actual360","Simple","Annual","Annual","Annual")</f>
        <v/>
      </c>
      <c r="F9016" s="8">
        <f>QS.TRADE.CREATE("trade.9014",C9016,E9016,A9016,"Receive")</f>
        <v/>
      </c>
      <c r="G9016" s="5"/>
      <c r="H9016" s="7" t="s">
        <v>9057</v>
      </c>
      <c r="I9016" s="9">
        <v>1901400</v>
      </c>
      <c r="J9016" s="10">
        <v>0.0364</v>
      </c>
    </row>
    <row r="9017" spans="1:10">
      <c r="A9017" s="7" t="s">
        <v>9051</v>
      </c>
      <c r="B9017" s="7" t="s">
        <v>10884</v>
      </c>
      <c r="C9017" s="8">
        <f>QS.CONTEXT.CREATE("market.9015",A9017,"USD","SOFR")</f>
        <v/>
      </c>
      <c r="D9017" s="8">
        <f>QS.CONTEXT.ADD.CURVE(C9017,"SOFR",$K$2:$K$7,$L$2:$L$7,,,"Actual360","LogLinear",TRUE)</f>
        <v/>
      </c>
      <c r="E9017" s="8">
        <f>QS.INSTRUMENT.SWAP("swap.9015",C9017,H9017,B9017,"USD","SOFR",I9017,J9017,0,"Actual360","Simple","Annual","Annual","Annual")</f>
        <v/>
      </c>
      <c r="F9017" s="8">
        <f>QS.TRADE.CREATE("trade.9015",C9017,E9017,A9017,"Receive")</f>
        <v/>
      </c>
      <c r="G9017" s="5"/>
      <c r="H9017" s="7" t="s">
        <v>9058</v>
      </c>
      <c r="I9017" s="9">
        <v>1901500</v>
      </c>
      <c r="J9017" s="10">
        <v>0.0365</v>
      </c>
    </row>
    <row r="9018" spans="1:10">
      <c r="A9018" s="7" t="s">
        <v>9052</v>
      </c>
      <c r="B9018" s="7" t="s">
        <v>10885</v>
      </c>
      <c r="C9018" s="8">
        <f>QS.CONTEXT.CREATE("market.9016",A9018,"USD","SOFR")</f>
        <v/>
      </c>
      <c r="D9018" s="8">
        <f>QS.CONTEXT.ADD.CURVE(C9018,"SOFR",$K$2:$K$7,$L$2:$L$7,,,"Actual360","LogLinear",TRUE)</f>
        <v/>
      </c>
      <c r="E9018" s="8">
        <f>QS.INSTRUMENT.SWAP("swap.9016",C9018,H9018,B9018,"USD","SOFR",I9018,J9018,0,"Actual360","Simple","Annual","Annual","Annual")</f>
        <v/>
      </c>
      <c r="F9018" s="8">
        <f>QS.TRADE.CREATE("trade.9016",C9018,E9018,A9018,"Receive")</f>
        <v/>
      </c>
      <c r="G9018" s="5"/>
      <c r="H9018" s="7" t="s">
        <v>9059</v>
      </c>
      <c r="I9018" s="9">
        <v>1901600</v>
      </c>
      <c r="J9018" s="10">
        <v>0.0366</v>
      </c>
    </row>
    <row r="9019" spans="1:10">
      <c r="A9019" s="7" t="s">
        <v>9053</v>
      </c>
      <c r="B9019" s="7" t="s">
        <v>10886</v>
      </c>
      <c r="C9019" s="8">
        <f>QS.CONTEXT.CREATE("market.9017",A9019,"USD","SOFR")</f>
        <v/>
      </c>
      <c r="D9019" s="8">
        <f>QS.CONTEXT.ADD.CURVE(C9019,"SOFR",$K$2:$K$7,$L$2:$L$7,,,"Actual360","LogLinear",TRUE)</f>
        <v/>
      </c>
      <c r="E9019" s="8">
        <f>QS.INSTRUMENT.SWAP("swap.9017",C9019,H9019,B9019,"USD","SOFR",I9019,J9019,0,"Actual360","Simple","Annual","Annual","Annual")</f>
        <v/>
      </c>
      <c r="F9019" s="8">
        <f>QS.TRADE.CREATE("trade.9017",C9019,E9019,A9019,"Receive")</f>
        <v/>
      </c>
      <c r="G9019" s="5"/>
      <c r="H9019" s="7" t="s">
        <v>9060</v>
      </c>
      <c r="I9019" s="9">
        <v>1901700</v>
      </c>
      <c r="J9019" s="10">
        <v>0.0367</v>
      </c>
    </row>
    <row r="9020" spans="1:10">
      <c r="A9020" s="7" t="s">
        <v>9054</v>
      </c>
      <c r="B9020" s="7" t="s">
        <v>10887</v>
      </c>
      <c r="C9020" s="8">
        <f>QS.CONTEXT.CREATE("market.9018",A9020,"USD","SOFR")</f>
        <v/>
      </c>
      <c r="D9020" s="8">
        <f>QS.CONTEXT.ADD.CURVE(C9020,"SOFR",$K$2:$K$7,$L$2:$L$7,,,"Actual360","LogLinear",TRUE)</f>
        <v/>
      </c>
      <c r="E9020" s="8">
        <f>QS.INSTRUMENT.SWAP("swap.9018",C9020,H9020,B9020,"USD","SOFR",I9020,J9020,0,"Actual360","Simple","Annual","Annual","Annual")</f>
        <v/>
      </c>
      <c r="F9020" s="8">
        <f>QS.TRADE.CREATE("trade.9018",C9020,E9020,A9020,"Receive")</f>
        <v/>
      </c>
      <c r="G9020" s="5"/>
      <c r="H9020" s="7" t="s">
        <v>9061</v>
      </c>
      <c r="I9020" s="9">
        <v>1901800</v>
      </c>
      <c r="J9020" s="10">
        <v>0.03680000000000001</v>
      </c>
    </row>
    <row r="9021" spans="1:10">
      <c r="A9021" s="7" t="s">
        <v>9055</v>
      </c>
      <c r="B9021" s="7" t="s">
        <v>10888</v>
      </c>
      <c r="C9021" s="8">
        <f>QS.CONTEXT.CREATE("market.9019",A9021,"USD","SOFR")</f>
        <v/>
      </c>
      <c r="D9021" s="8">
        <f>QS.CONTEXT.ADD.CURVE(C9021,"SOFR",$K$2:$K$7,$L$2:$L$7,,,"Actual360","LogLinear",TRUE)</f>
        <v/>
      </c>
      <c r="E9021" s="8">
        <f>QS.INSTRUMENT.SWAP("swap.9019",C9021,H9021,B9021,"USD","SOFR",I9021,J9021,0,"Actual360","Simple","Annual","Annual","Annual")</f>
        <v/>
      </c>
      <c r="F9021" s="8">
        <f>QS.TRADE.CREATE("trade.9019",C9021,E9021,A9021,"Receive")</f>
        <v/>
      </c>
      <c r="G9021" s="5"/>
      <c r="H9021" s="7" t="s">
        <v>9062</v>
      </c>
      <c r="I9021" s="9">
        <v>1901900</v>
      </c>
      <c r="J9021" s="10">
        <v>0.0369</v>
      </c>
    </row>
    <row r="9022" spans="1:10">
      <c r="A9022" s="7" t="s">
        <v>9056</v>
      </c>
      <c r="B9022" s="7" t="s">
        <v>10889</v>
      </c>
      <c r="C9022" s="8">
        <f>QS.CONTEXT.CREATE("market.9020",A9022,"USD","SOFR")</f>
        <v/>
      </c>
      <c r="D9022" s="8">
        <f>QS.CONTEXT.ADD.CURVE(C9022,"SOFR",$K$2:$K$7,$L$2:$L$7,,,"Actual360","LogLinear",TRUE)</f>
        <v/>
      </c>
      <c r="E9022" s="8">
        <f>QS.INSTRUMENT.SWAP("swap.9020",C9022,H9022,B9022,"USD","SOFR",I9022,J9022,0,"Actual360","Simple","Annual","Annual","Annual")</f>
        <v/>
      </c>
      <c r="F9022" s="8">
        <f>QS.TRADE.CREATE("trade.9020",C9022,E9022,A9022,"Receive")</f>
        <v/>
      </c>
      <c r="G9022" s="5"/>
      <c r="H9022" s="7" t="s">
        <v>9063</v>
      </c>
      <c r="I9022" s="9">
        <v>1902000</v>
      </c>
      <c r="J9022" s="10">
        <v>0.03700000000000001</v>
      </c>
    </row>
    <row r="9023" spans="1:10">
      <c r="A9023" s="7" t="s">
        <v>9057</v>
      </c>
      <c r="B9023" s="7" t="s">
        <v>10890</v>
      </c>
      <c r="C9023" s="8">
        <f>QS.CONTEXT.CREATE("market.9021",A9023,"USD","SOFR")</f>
        <v/>
      </c>
      <c r="D9023" s="8">
        <f>QS.CONTEXT.ADD.CURVE(C9023,"SOFR",$K$2:$K$7,$L$2:$L$7,,,"Actual360","LogLinear",TRUE)</f>
        <v/>
      </c>
      <c r="E9023" s="8">
        <f>QS.INSTRUMENT.SWAP("swap.9021",C9023,H9023,B9023,"USD","SOFR",I9023,J9023,0,"Actual360","Simple","Annual","Annual","Annual")</f>
        <v/>
      </c>
      <c r="F9023" s="8">
        <f>QS.TRADE.CREATE("trade.9021",C9023,E9023,A9023,"Receive")</f>
        <v/>
      </c>
      <c r="G9023" s="5"/>
      <c r="H9023" s="7" t="s">
        <v>9064</v>
      </c>
      <c r="I9023" s="9">
        <v>1902100</v>
      </c>
      <c r="J9023" s="10">
        <v>0.0371</v>
      </c>
    </row>
    <row r="9024" spans="1:10">
      <c r="A9024" s="7" t="s">
        <v>9058</v>
      </c>
      <c r="B9024" s="7" t="s">
        <v>10891</v>
      </c>
      <c r="C9024" s="8">
        <f>QS.CONTEXT.CREATE("market.9022",A9024,"USD","SOFR")</f>
        <v/>
      </c>
      <c r="D9024" s="8">
        <f>QS.CONTEXT.ADD.CURVE(C9024,"SOFR",$K$2:$K$7,$L$2:$L$7,,,"Actual360","LogLinear",TRUE)</f>
        <v/>
      </c>
      <c r="E9024" s="8">
        <f>QS.INSTRUMENT.SWAP("swap.9022",C9024,H9024,B9024,"USD","SOFR",I9024,J9024,0,"Actual360","Simple","Annual","Annual","Annual")</f>
        <v/>
      </c>
      <c r="F9024" s="8">
        <f>QS.TRADE.CREATE("trade.9022",C9024,E9024,A9024,"Receive")</f>
        <v/>
      </c>
      <c r="G9024" s="5"/>
      <c r="H9024" s="7" t="s">
        <v>9065</v>
      </c>
      <c r="I9024" s="9">
        <v>1902200</v>
      </c>
      <c r="J9024" s="10">
        <v>0.0372</v>
      </c>
    </row>
    <row r="9025" spans="1:10">
      <c r="A9025" s="7" t="s">
        <v>9059</v>
      </c>
      <c r="B9025" s="7" t="s">
        <v>10892</v>
      </c>
      <c r="C9025" s="8">
        <f>QS.CONTEXT.CREATE("market.9023",A9025,"USD","SOFR")</f>
        <v/>
      </c>
      <c r="D9025" s="8">
        <f>QS.CONTEXT.ADD.CURVE(C9025,"SOFR",$K$2:$K$7,$L$2:$L$7,,,"Actual360","LogLinear",TRUE)</f>
        <v/>
      </c>
      <c r="E9025" s="8">
        <f>QS.INSTRUMENT.SWAP("swap.9023",C9025,H9025,B9025,"USD","SOFR",I9025,J9025,0,"Actual360","Simple","Annual","Annual","Annual")</f>
        <v/>
      </c>
      <c r="F9025" s="8">
        <f>QS.TRADE.CREATE("trade.9023",C9025,E9025,A9025,"Receive")</f>
        <v/>
      </c>
      <c r="G9025" s="5"/>
      <c r="H9025" s="7" t="s">
        <v>9066</v>
      </c>
      <c r="I9025" s="9">
        <v>1902300</v>
      </c>
      <c r="J9025" s="10">
        <v>0.0373</v>
      </c>
    </row>
    <row r="9026" spans="1:10">
      <c r="A9026" s="7" t="s">
        <v>9060</v>
      </c>
      <c r="B9026" s="7" t="s">
        <v>10893</v>
      </c>
      <c r="C9026" s="8">
        <f>QS.CONTEXT.CREATE("market.9024",A9026,"USD","SOFR")</f>
        <v/>
      </c>
      <c r="D9026" s="8">
        <f>QS.CONTEXT.ADD.CURVE(C9026,"SOFR",$K$2:$K$7,$L$2:$L$7,,,"Actual360","LogLinear",TRUE)</f>
        <v/>
      </c>
      <c r="E9026" s="8">
        <f>QS.INSTRUMENT.SWAP("swap.9024",C9026,H9026,B9026,"USD","SOFR",I9026,J9026,0,"Actual360","Simple","Annual","Annual","Annual")</f>
        <v/>
      </c>
      <c r="F9026" s="8">
        <f>QS.TRADE.CREATE("trade.9024",C9026,E9026,A9026,"Receive")</f>
        <v/>
      </c>
      <c r="G9026" s="5"/>
      <c r="H9026" s="7" t="s">
        <v>9067</v>
      </c>
      <c r="I9026" s="9">
        <v>1902400</v>
      </c>
      <c r="J9026" s="10">
        <v>0.0374</v>
      </c>
    </row>
    <row r="9027" spans="1:10">
      <c r="A9027" s="7" t="s">
        <v>9061</v>
      </c>
      <c r="B9027" s="7" t="s">
        <v>10894</v>
      </c>
      <c r="C9027" s="8">
        <f>QS.CONTEXT.CREATE("market.9025",A9027,"USD","SOFR")</f>
        <v/>
      </c>
      <c r="D9027" s="8">
        <f>QS.CONTEXT.ADD.CURVE(C9027,"SOFR",$K$2:$K$7,$L$2:$L$7,,,"Actual360","LogLinear",TRUE)</f>
        <v/>
      </c>
      <c r="E9027" s="8">
        <f>QS.INSTRUMENT.SWAP("swap.9025",C9027,H9027,B9027,"USD","SOFR",I9027,J9027,0,"Actual360","Simple","Annual","Annual","Annual")</f>
        <v/>
      </c>
      <c r="F9027" s="8">
        <f>QS.TRADE.CREATE("trade.9025",C9027,E9027,A9027,"Receive")</f>
        <v/>
      </c>
      <c r="G9027" s="5"/>
      <c r="H9027" s="7" t="s">
        <v>9068</v>
      </c>
      <c r="I9027" s="9">
        <v>1902500</v>
      </c>
      <c r="J9027" s="10">
        <v>0.03750000000000001</v>
      </c>
    </row>
    <row r="9028" spans="1:10">
      <c r="A9028" s="7" t="s">
        <v>9062</v>
      </c>
      <c r="B9028" s="7" t="s">
        <v>10895</v>
      </c>
      <c r="C9028" s="8">
        <f>QS.CONTEXT.CREATE("market.9026",A9028,"USD","SOFR")</f>
        <v/>
      </c>
      <c r="D9028" s="8">
        <f>QS.CONTEXT.ADD.CURVE(C9028,"SOFR",$K$2:$K$7,$L$2:$L$7,,,"Actual360","LogLinear",TRUE)</f>
        <v/>
      </c>
      <c r="E9028" s="8">
        <f>QS.INSTRUMENT.SWAP("swap.9026",C9028,H9028,B9028,"USD","SOFR",I9028,J9028,0,"Actual360","Simple","Annual","Annual","Annual")</f>
        <v/>
      </c>
      <c r="F9028" s="8">
        <f>QS.TRADE.CREATE("trade.9026",C9028,E9028,A9028,"Receive")</f>
        <v/>
      </c>
      <c r="G9028" s="5"/>
      <c r="H9028" s="7" t="s">
        <v>9069</v>
      </c>
      <c r="I9028" s="9">
        <v>1902600</v>
      </c>
      <c r="J9028" s="10">
        <v>0.0376</v>
      </c>
    </row>
    <row r="9029" spans="1:10">
      <c r="A9029" s="7" t="s">
        <v>9063</v>
      </c>
      <c r="B9029" s="7" t="s">
        <v>10896</v>
      </c>
      <c r="C9029" s="8">
        <f>QS.CONTEXT.CREATE("market.9027",A9029,"USD","SOFR")</f>
        <v/>
      </c>
      <c r="D9029" s="8">
        <f>QS.CONTEXT.ADD.CURVE(C9029,"SOFR",$K$2:$K$7,$L$2:$L$7,,,"Actual360","LogLinear",TRUE)</f>
        <v/>
      </c>
      <c r="E9029" s="8">
        <f>QS.INSTRUMENT.SWAP("swap.9027",C9029,H9029,B9029,"USD","SOFR",I9029,J9029,0,"Actual360","Simple","Annual","Annual","Annual")</f>
        <v/>
      </c>
      <c r="F9029" s="8">
        <f>QS.TRADE.CREATE("trade.9027",C9029,E9029,A9029,"Receive")</f>
        <v/>
      </c>
      <c r="G9029" s="5"/>
      <c r="H9029" s="7" t="s">
        <v>9070</v>
      </c>
      <c r="I9029" s="9">
        <v>1902700</v>
      </c>
      <c r="J9029" s="10">
        <v>0.0377</v>
      </c>
    </row>
    <row r="9030" spans="1:10">
      <c r="A9030" s="7" t="s">
        <v>9064</v>
      </c>
      <c r="B9030" s="7" t="s">
        <v>10897</v>
      </c>
      <c r="C9030" s="8">
        <f>QS.CONTEXT.CREATE("market.9028",A9030,"USD","SOFR")</f>
        <v/>
      </c>
      <c r="D9030" s="8">
        <f>QS.CONTEXT.ADD.CURVE(C9030,"SOFR",$K$2:$K$7,$L$2:$L$7,,,"Actual360","LogLinear",TRUE)</f>
        <v/>
      </c>
      <c r="E9030" s="8">
        <f>QS.INSTRUMENT.SWAP("swap.9028",C9030,H9030,B9030,"USD","SOFR",I9030,J9030,0,"Actual360","Simple","Annual","Annual","Annual")</f>
        <v/>
      </c>
      <c r="F9030" s="8">
        <f>QS.TRADE.CREATE("trade.9028",C9030,E9030,A9030,"Receive")</f>
        <v/>
      </c>
      <c r="G9030" s="5"/>
      <c r="H9030" s="7" t="s">
        <v>9071</v>
      </c>
      <c r="I9030" s="9">
        <v>1902800</v>
      </c>
      <c r="J9030" s="10">
        <v>0.0378</v>
      </c>
    </row>
    <row r="9031" spans="1:10">
      <c r="A9031" s="7" t="s">
        <v>9065</v>
      </c>
      <c r="B9031" s="7" t="s">
        <v>10898</v>
      </c>
      <c r="C9031" s="8">
        <f>QS.CONTEXT.CREATE("market.9029",A9031,"USD","SOFR")</f>
        <v/>
      </c>
      <c r="D9031" s="8">
        <f>QS.CONTEXT.ADD.CURVE(C9031,"SOFR",$K$2:$K$7,$L$2:$L$7,,,"Actual360","LogLinear",TRUE)</f>
        <v/>
      </c>
      <c r="E9031" s="8">
        <f>QS.INSTRUMENT.SWAP("swap.9029",C9031,H9031,B9031,"USD","SOFR",I9031,J9031,0,"Actual360","Simple","Annual","Annual","Annual")</f>
        <v/>
      </c>
      <c r="F9031" s="8">
        <f>QS.TRADE.CREATE("trade.9029",C9031,E9031,A9031,"Receive")</f>
        <v/>
      </c>
      <c r="G9031" s="5"/>
      <c r="H9031" s="7" t="s">
        <v>9072</v>
      </c>
      <c r="I9031" s="9">
        <v>1902900</v>
      </c>
      <c r="J9031" s="10">
        <v>0.0379</v>
      </c>
    </row>
    <row r="9032" spans="1:10">
      <c r="A9032" s="7" t="s">
        <v>9066</v>
      </c>
      <c r="B9032" s="7" t="s">
        <v>10899</v>
      </c>
      <c r="C9032" s="8">
        <f>QS.CONTEXT.CREATE("market.9030",A9032,"USD","SOFR")</f>
        <v/>
      </c>
      <c r="D9032" s="8">
        <f>QS.CONTEXT.ADD.CURVE(C9032,"SOFR",$K$2:$K$7,$L$2:$L$7,,,"Actual360","LogLinear",TRUE)</f>
        <v/>
      </c>
      <c r="E9032" s="8">
        <f>QS.INSTRUMENT.SWAP("swap.9030",C9032,H9032,B9032,"USD","SOFR",I9032,J9032,0,"Actual360","Simple","Annual","Annual","Annual")</f>
        <v/>
      </c>
      <c r="F9032" s="8">
        <f>QS.TRADE.CREATE("trade.9030",C9032,E9032,A9032,"Receive")</f>
        <v/>
      </c>
      <c r="G9032" s="5"/>
      <c r="H9032" s="7" t="s">
        <v>9073</v>
      </c>
      <c r="I9032" s="9">
        <v>1903000</v>
      </c>
      <c r="J9032" s="10">
        <v>0.03800000000000001</v>
      </c>
    </row>
    <row r="9033" spans="1:10">
      <c r="A9033" s="7" t="s">
        <v>9067</v>
      </c>
      <c r="B9033" s="7" t="s">
        <v>10900</v>
      </c>
      <c r="C9033" s="8">
        <f>QS.CONTEXT.CREATE("market.9031",A9033,"USD","SOFR")</f>
        <v/>
      </c>
      <c r="D9033" s="8">
        <f>QS.CONTEXT.ADD.CURVE(C9033,"SOFR",$K$2:$K$7,$L$2:$L$7,,,"Actual360","LogLinear",TRUE)</f>
        <v/>
      </c>
      <c r="E9033" s="8">
        <f>QS.INSTRUMENT.SWAP("swap.9031",C9033,H9033,B9033,"USD","SOFR",I9033,J9033,0,"Actual360","Simple","Annual","Annual","Annual")</f>
        <v/>
      </c>
      <c r="F9033" s="8">
        <f>QS.TRADE.CREATE("trade.9031",C9033,E9033,A9033,"Receive")</f>
        <v/>
      </c>
      <c r="G9033" s="5"/>
      <c r="H9033" s="7" t="s">
        <v>9074</v>
      </c>
      <c r="I9033" s="9">
        <v>1903100</v>
      </c>
      <c r="J9033" s="10">
        <v>0.0381</v>
      </c>
    </row>
    <row r="9034" spans="1:10">
      <c r="A9034" s="7" t="s">
        <v>9068</v>
      </c>
      <c r="B9034" s="7" t="s">
        <v>10901</v>
      </c>
      <c r="C9034" s="8">
        <f>QS.CONTEXT.CREATE("market.9032",A9034,"USD","SOFR")</f>
        <v/>
      </c>
      <c r="D9034" s="8">
        <f>QS.CONTEXT.ADD.CURVE(C9034,"SOFR",$K$2:$K$7,$L$2:$L$7,,,"Actual360","LogLinear",TRUE)</f>
        <v/>
      </c>
      <c r="E9034" s="8">
        <f>QS.INSTRUMENT.SWAP("swap.9032",C9034,H9034,B9034,"USD","SOFR",I9034,J9034,0,"Actual360","Simple","Annual","Annual","Annual")</f>
        <v/>
      </c>
      <c r="F9034" s="8">
        <f>QS.TRADE.CREATE("trade.9032",C9034,E9034,A9034,"Receive")</f>
        <v/>
      </c>
      <c r="G9034" s="5"/>
      <c r="H9034" s="7" t="s">
        <v>9075</v>
      </c>
      <c r="I9034" s="9">
        <v>1903200</v>
      </c>
      <c r="J9034" s="10">
        <v>0.0382</v>
      </c>
    </row>
    <row r="9035" spans="1:10">
      <c r="A9035" s="7" t="s">
        <v>9069</v>
      </c>
      <c r="B9035" s="7" t="s">
        <v>10902</v>
      </c>
      <c r="C9035" s="8">
        <f>QS.CONTEXT.CREATE("market.9033",A9035,"USD","SOFR")</f>
        <v/>
      </c>
      <c r="D9035" s="8">
        <f>QS.CONTEXT.ADD.CURVE(C9035,"SOFR",$K$2:$K$7,$L$2:$L$7,,,"Actual360","LogLinear",TRUE)</f>
        <v/>
      </c>
      <c r="E9035" s="8">
        <f>QS.INSTRUMENT.SWAP("swap.9033",C9035,H9035,B9035,"USD","SOFR",I9035,J9035,0,"Actual360","Simple","Annual","Annual","Annual")</f>
        <v/>
      </c>
      <c r="F9035" s="8">
        <f>QS.TRADE.CREATE("trade.9033",C9035,E9035,A9035,"Receive")</f>
        <v/>
      </c>
      <c r="G9035" s="5"/>
      <c r="H9035" s="7" t="s">
        <v>9076</v>
      </c>
      <c r="I9035" s="9">
        <v>1903300</v>
      </c>
      <c r="J9035" s="10">
        <v>0.0383</v>
      </c>
    </row>
    <row r="9036" spans="1:10">
      <c r="A9036" s="7" t="s">
        <v>9070</v>
      </c>
      <c r="B9036" s="7" t="s">
        <v>10903</v>
      </c>
      <c r="C9036" s="8">
        <f>QS.CONTEXT.CREATE("market.9034",A9036,"USD","SOFR")</f>
        <v/>
      </c>
      <c r="D9036" s="8">
        <f>QS.CONTEXT.ADD.CURVE(C9036,"SOFR",$K$2:$K$7,$L$2:$L$7,,,"Actual360","LogLinear",TRUE)</f>
        <v/>
      </c>
      <c r="E9036" s="8">
        <f>QS.INSTRUMENT.SWAP("swap.9034",C9036,H9036,B9036,"USD","SOFR",I9036,J9036,0,"Actual360","Simple","Annual","Annual","Annual")</f>
        <v/>
      </c>
      <c r="F9036" s="8">
        <f>QS.TRADE.CREATE("trade.9034",C9036,E9036,A9036,"Receive")</f>
        <v/>
      </c>
      <c r="G9036" s="5"/>
      <c r="H9036" s="7" t="s">
        <v>9077</v>
      </c>
      <c r="I9036" s="9">
        <v>1903400</v>
      </c>
      <c r="J9036" s="10">
        <v>0.0384</v>
      </c>
    </row>
    <row r="9037" spans="1:10">
      <c r="A9037" s="7" t="s">
        <v>9071</v>
      </c>
      <c r="B9037" s="7" t="s">
        <v>10904</v>
      </c>
      <c r="C9037" s="8">
        <f>QS.CONTEXT.CREATE("market.9035",A9037,"USD","SOFR")</f>
        <v/>
      </c>
      <c r="D9037" s="8">
        <f>QS.CONTEXT.ADD.CURVE(C9037,"SOFR",$K$2:$K$7,$L$2:$L$7,,,"Actual360","LogLinear",TRUE)</f>
        <v/>
      </c>
      <c r="E9037" s="8">
        <f>QS.INSTRUMENT.SWAP("swap.9035",C9037,H9037,B9037,"USD","SOFR",I9037,J9037,0,"Actual360","Simple","Annual","Annual","Annual")</f>
        <v/>
      </c>
      <c r="F9037" s="8">
        <f>QS.TRADE.CREATE("trade.9035",C9037,E9037,A9037,"Receive")</f>
        <v/>
      </c>
      <c r="G9037" s="5"/>
      <c r="H9037" s="7" t="s">
        <v>9078</v>
      </c>
      <c r="I9037" s="9">
        <v>1903500</v>
      </c>
      <c r="J9037" s="10">
        <v>0.03850000000000001</v>
      </c>
    </row>
    <row r="9038" spans="1:10">
      <c r="A9038" s="7" t="s">
        <v>9072</v>
      </c>
      <c r="B9038" s="7" t="s">
        <v>10905</v>
      </c>
      <c r="C9038" s="8">
        <f>QS.CONTEXT.CREATE("market.9036",A9038,"USD","SOFR")</f>
        <v/>
      </c>
      <c r="D9038" s="8">
        <f>QS.CONTEXT.ADD.CURVE(C9038,"SOFR",$K$2:$K$7,$L$2:$L$7,,,"Actual360","LogLinear",TRUE)</f>
        <v/>
      </c>
      <c r="E9038" s="8">
        <f>QS.INSTRUMENT.SWAP("swap.9036",C9038,H9038,B9038,"USD","SOFR",I9038,J9038,0,"Actual360","Simple","Annual","Annual","Annual")</f>
        <v/>
      </c>
      <c r="F9038" s="8">
        <f>QS.TRADE.CREATE("trade.9036",C9038,E9038,A9038,"Receive")</f>
        <v/>
      </c>
      <c r="G9038" s="5"/>
      <c r="H9038" s="7" t="s">
        <v>9079</v>
      </c>
      <c r="I9038" s="9">
        <v>1903600</v>
      </c>
      <c r="J9038" s="10">
        <v>0.0386</v>
      </c>
    </row>
    <row r="9039" spans="1:10">
      <c r="A9039" s="7" t="s">
        <v>9073</v>
      </c>
      <c r="B9039" s="7" t="s">
        <v>10906</v>
      </c>
      <c r="C9039" s="8">
        <f>QS.CONTEXT.CREATE("market.9037",A9039,"USD","SOFR")</f>
        <v/>
      </c>
      <c r="D9039" s="8">
        <f>QS.CONTEXT.ADD.CURVE(C9039,"SOFR",$K$2:$K$7,$L$2:$L$7,,,"Actual360","LogLinear",TRUE)</f>
        <v/>
      </c>
      <c r="E9039" s="8">
        <f>QS.INSTRUMENT.SWAP("swap.9037",C9039,H9039,B9039,"USD","SOFR",I9039,J9039,0,"Actual360","Simple","Annual","Annual","Annual")</f>
        <v/>
      </c>
      <c r="F9039" s="8">
        <f>QS.TRADE.CREATE("trade.9037",C9039,E9039,A9039,"Receive")</f>
        <v/>
      </c>
      <c r="G9039" s="5"/>
      <c r="H9039" s="7" t="s">
        <v>9080</v>
      </c>
      <c r="I9039" s="9">
        <v>1903700</v>
      </c>
      <c r="J9039" s="10">
        <v>0.03870000000000001</v>
      </c>
    </row>
    <row r="9040" spans="1:10">
      <c r="A9040" s="7" t="s">
        <v>9074</v>
      </c>
      <c r="B9040" s="7" t="s">
        <v>10907</v>
      </c>
      <c r="C9040" s="8">
        <f>QS.CONTEXT.CREATE("market.9038",A9040,"USD","SOFR")</f>
        <v/>
      </c>
      <c r="D9040" s="8">
        <f>QS.CONTEXT.ADD.CURVE(C9040,"SOFR",$K$2:$K$7,$L$2:$L$7,,,"Actual360","LogLinear",TRUE)</f>
        <v/>
      </c>
      <c r="E9040" s="8">
        <f>QS.INSTRUMENT.SWAP("swap.9038",C9040,H9040,B9040,"USD","SOFR",I9040,J9040,0,"Actual360","Simple","Annual","Annual","Annual")</f>
        <v/>
      </c>
      <c r="F9040" s="8">
        <f>QS.TRADE.CREATE("trade.9038",C9040,E9040,A9040,"Receive")</f>
        <v/>
      </c>
      <c r="G9040" s="5"/>
      <c r="H9040" s="7" t="s">
        <v>9081</v>
      </c>
      <c r="I9040" s="9">
        <v>1903800</v>
      </c>
      <c r="J9040" s="10">
        <v>0.0388</v>
      </c>
    </row>
    <row r="9041" spans="1:10">
      <c r="A9041" s="7" t="s">
        <v>9075</v>
      </c>
      <c r="B9041" s="7" t="s">
        <v>10908</v>
      </c>
      <c r="C9041" s="8">
        <f>QS.CONTEXT.CREATE("market.9039",A9041,"USD","SOFR")</f>
        <v/>
      </c>
      <c r="D9041" s="8">
        <f>QS.CONTEXT.ADD.CURVE(C9041,"SOFR",$K$2:$K$7,$L$2:$L$7,,,"Actual360","LogLinear",TRUE)</f>
        <v/>
      </c>
      <c r="E9041" s="8">
        <f>QS.INSTRUMENT.SWAP("swap.9039",C9041,H9041,B9041,"USD","SOFR",I9041,J9041,0,"Actual360","Simple","Annual","Annual","Annual")</f>
        <v/>
      </c>
      <c r="F9041" s="8">
        <f>QS.TRADE.CREATE("trade.9039",C9041,E9041,A9041,"Receive")</f>
        <v/>
      </c>
      <c r="G9041" s="5"/>
      <c r="H9041" s="7" t="s">
        <v>9082</v>
      </c>
      <c r="I9041" s="9">
        <v>1903900</v>
      </c>
      <c r="J9041" s="10">
        <v>0.0389</v>
      </c>
    </row>
    <row r="9042" spans="1:10">
      <c r="A9042" s="7" t="s">
        <v>9076</v>
      </c>
      <c r="B9042" s="7" t="s">
        <v>10909</v>
      </c>
      <c r="C9042" s="8">
        <f>QS.CONTEXT.CREATE("market.9040",A9042,"USD","SOFR")</f>
        <v/>
      </c>
      <c r="D9042" s="8">
        <f>QS.CONTEXT.ADD.CURVE(C9042,"SOFR",$K$2:$K$7,$L$2:$L$7,,,"Actual360","LogLinear",TRUE)</f>
        <v/>
      </c>
      <c r="E9042" s="8">
        <f>QS.INSTRUMENT.SWAP("swap.9040",C9042,H9042,B9042,"USD","SOFR",I9042,J9042,0,"Actual360","Simple","Annual","Annual","Annual")</f>
        <v/>
      </c>
      <c r="F9042" s="8">
        <f>QS.TRADE.CREATE("trade.9040",C9042,E9042,A9042,"Receive")</f>
        <v/>
      </c>
      <c r="G9042" s="5"/>
      <c r="H9042" s="7" t="s">
        <v>9083</v>
      </c>
      <c r="I9042" s="9">
        <v>1904000</v>
      </c>
      <c r="J9042" s="10">
        <v>0.03900000000000001</v>
      </c>
    </row>
    <row r="9043" spans="1:10">
      <c r="A9043" s="7" t="s">
        <v>9077</v>
      </c>
      <c r="B9043" s="7" t="s">
        <v>10910</v>
      </c>
      <c r="C9043" s="8">
        <f>QS.CONTEXT.CREATE("market.9041",A9043,"USD","SOFR")</f>
        <v/>
      </c>
      <c r="D9043" s="8">
        <f>QS.CONTEXT.ADD.CURVE(C9043,"SOFR",$K$2:$K$7,$L$2:$L$7,,,"Actual360","LogLinear",TRUE)</f>
        <v/>
      </c>
      <c r="E9043" s="8">
        <f>QS.INSTRUMENT.SWAP("swap.9041",C9043,H9043,B9043,"USD","SOFR",I9043,J9043,0,"Actual360","Simple","Annual","Annual","Annual")</f>
        <v/>
      </c>
      <c r="F9043" s="8">
        <f>QS.TRADE.CREATE("trade.9041",C9043,E9043,A9043,"Receive")</f>
        <v/>
      </c>
      <c r="G9043" s="5"/>
      <c r="H9043" s="7" t="s">
        <v>9084</v>
      </c>
      <c r="I9043" s="9">
        <v>1904100</v>
      </c>
      <c r="J9043" s="10">
        <v>0.0391</v>
      </c>
    </row>
    <row r="9044" spans="1:10">
      <c r="A9044" s="7" t="s">
        <v>9078</v>
      </c>
      <c r="B9044" s="7" t="s">
        <v>10911</v>
      </c>
      <c r="C9044" s="8">
        <f>QS.CONTEXT.CREATE("market.9042",A9044,"USD","SOFR")</f>
        <v/>
      </c>
      <c r="D9044" s="8">
        <f>QS.CONTEXT.ADD.CURVE(C9044,"SOFR",$K$2:$K$7,$L$2:$L$7,,,"Actual360","LogLinear",TRUE)</f>
        <v/>
      </c>
      <c r="E9044" s="8">
        <f>QS.INSTRUMENT.SWAP("swap.9042",C9044,H9044,B9044,"USD","SOFR",I9044,J9044,0,"Actual360","Simple","Annual","Annual","Annual")</f>
        <v/>
      </c>
      <c r="F9044" s="8">
        <f>QS.TRADE.CREATE("trade.9042",C9044,E9044,A9044,"Receive")</f>
        <v/>
      </c>
      <c r="G9044" s="5"/>
      <c r="H9044" s="7" t="s">
        <v>9085</v>
      </c>
      <c r="I9044" s="9">
        <v>1904200</v>
      </c>
      <c r="J9044" s="10">
        <v>0.03920000000000001</v>
      </c>
    </row>
    <row r="9045" spans="1:10">
      <c r="A9045" s="7" t="s">
        <v>9079</v>
      </c>
      <c r="B9045" s="7" t="s">
        <v>10912</v>
      </c>
      <c r="C9045" s="8">
        <f>QS.CONTEXT.CREATE("market.9043",A9045,"USD","SOFR")</f>
        <v/>
      </c>
      <c r="D9045" s="8">
        <f>QS.CONTEXT.ADD.CURVE(C9045,"SOFR",$K$2:$K$7,$L$2:$L$7,,,"Actual360","LogLinear",TRUE)</f>
        <v/>
      </c>
      <c r="E9045" s="8">
        <f>QS.INSTRUMENT.SWAP("swap.9043",C9045,H9045,B9045,"USD","SOFR",I9045,J9045,0,"Actual360","Simple","Annual","Annual","Annual")</f>
        <v/>
      </c>
      <c r="F9045" s="8">
        <f>QS.TRADE.CREATE("trade.9043",C9045,E9045,A9045,"Receive")</f>
        <v/>
      </c>
      <c r="G9045" s="5"/>
      <c r="H9045" s="7" t="s">
        <v>9086</v>
      </c>
      <c r="I9045" s="9">
        <v>1904300</v>
      </c>
      <c r="J9045" s="10">
        <v>0.0393</v>
      </c>
    </row>
    <row r="9046" spans="1:10">
      <c r="A9046" s="7" t="s">
        <v>9080</v>
      </c>
      <c r="B9046" s="7" t="s">
        <v>10913</v>
      </c>
      <c r="C9046" s="8">
        <f>QS.CONTEXT.CREATE("market.9044",A9046,"USD","SOFR")</f>
        <v/>
      </c>
      <c r="D9046" s="8">
        <f>QS.CONTEXT.ADD.CURVE(C9046,"SOFR",$K$2:$K$7,$L$2:$L$7,,,"Actual360","LogLinear",TRUE)</f>
        <v/>
      </c>
      <c r="E9046" s="8">
        <f>QS.INSTRUMENT.SWAP("swap.9044",C9046,H9046,B9046,"USD","SOFR",I9046,J9046,0,"Actual360","Simple","Annual","Annual","Annual")</f>
        <v/>
      </c>
      <c r="F9046" s="8">
        <f>QS.TRADE.CREATE("trade.9044",C9046,E9046,A9046,"Receive")</f>
        <v/>
      </c>
      <c r="G9046" s="5"/>
      <c r="H9046" s="7" t="s">
        <v>9087</v>
      </c>
      <c r="I9046" s="9">
        <v>1904400</v>
      </c>
      <c r="J9046" s="10">
        <v>0.0394</v>
      </c>
    </row>
    <row r="9047" spans="1:10">
      <c r="A9047" s="7" t="s">
        <v>9081</v>
      </c>
      <c r="B9047" s="7" t="s">
        <v>10914</v>
      </c>
      <c r="C9047" s="8">
        <f>QS.CONTEXT.CREATE("market.9045",A9047,"USD","SOFR")</f>
        <v/>
      </c>
      <c r="D9047" s="8">
        <f>QS.CONTEXT.ADD.CURVE(C9047,"SOFR",$K$2:$K$7,$L$2:$L$7,,,"Actual360","LogLinear",TRUE)</f>
        <v/>
      </c>
      <c r="E9047" s="8">
        <f>QS.INSTRUMENT.SWAP("swap.9045",C9047,H9047,B9047,"USD","SOFR",I9047,J9047,0,"Actual360","Simple","Annual","Annual","Annual")</f>
        <v/>
      </c>
      <c r="F9047" s="8">
        <f>QS.TRADE.CREATE("trade.9045",C9047,E9047,A9047,"Receive")</f>
        <v/>
      </c>
      <c r="G9047" s="5"/>
      <c r="H9047" s="7" t="s">
        <v>9088</v>
      </c>
      <c r="I9047" s="9">
        <v>1904500</v>
      </c>
      <c r="J9047" s="10">
        <v>0.03950000000000001</v>
      </c>
    </row>
    <row r="9048" spans="1:10">
      <c r="A9048" s="7" t="s">
        <v>9082</v>
      </c>
      <c r="B9048" s="7" t="s">
        <v>10915</v>
      </c>
      <c r="C9048" s="8">
        <f>QS.CONTEXT.CREATE("market.9046",A9048,"USD","SOFR")</f>
        <v/>
      </c>
      <c r="D9048" s="8">
        <f>QS.CONTEXT.ADD.CURVE(C9048,"SOFR",$K$2:$K$7,$L$2:$L$7,,,"Actual360","LogLinear",TRUE)</f>
        <v/>
      </c>
      <c r="E9048" s="8">
        <f>QS.INSTRUMENT.SWAP("swap.9046",C9048,H9048,B9048,"USD","SOFR",I9048,J9048,0,"Actual360","Simple","Annual","Annual","Annual")</f>
        <v/>
      </c>
      <c r="F9048" s="8">
        <f>QS.TRADE.CREATE("trade.9046",C9048,E9048,A9048,"Receive")</f>
        <v/>
      </c>
      <c r="G9048" s="5"/>
      <c r="H9048" s="7" t="s">
        <v>9089</v>
      </c>
      <c r="I9048" s="9">
        <v>1904600</v>
      </c>
      <c r="J9048" s="10">
        <v>0.0396</v>
      </c>
    </row>
    <row r="9049" spans="1:10">
      <c r="A9049" s="7" t="s">
        <v>9083</v>
      </c>
      <c r="B9049" s="7" t="s">
        <v>10916</v>
      </c>
      <c r="C9049" s="8">
        <f>QS.CONTEXT.CREATE("market.9047",A9049,"USD","SOFR")</f>
        <v/>
      </c>
      <c r="D9049" s="8">
        <f>QS.CONTEXT.ADD.CURVE(C9049,"SOFR",$K$2:$K$7,$L$2:$L$7,,,"Actual360","LogLinear",TRUE)</f>
        <v/>
      </c>
      <c r="E9049" s="8">
        <f>QS.INSTRUMENT.SWAP("swap.9047",C9049,H9049,B9049,"USD","SOFR",I9049,J9049,0,"Actual360","Simple","Annual","Annual","Annual")</f>
        <v/>
      </c>
      <c r="F9049" s="8">
        <f>QS.TRADE.CREATE("trade.9047",C9049,E9049,A9049,"Receive")</f>
        <v/>
      </c>
      <c r="G9049" s="5"/>
      <c r="H9049" s="7" t="s">
        <v>9090</v>
      </c>
      <c r="I9049" s="9">
        <v>1904700</v>
      </c>
      <c r="J9049" s="10">
        <v>0.03970000000000001</v>
      </c>
    </row>
    <row r="9050" spans="1:10">
      <c r="A9050" s="7" t="s">
        <v>9084</v>
      </c>
      <c r="B9050" s="7" t="s">
        <v>10917</v>
      </c>
      <c r="C9050" s="8">
        <f>QS.CONTEXT.CREATE("market.9048",A9050,"USD","SOFR")</f>
        <v/>
      </c>
      <c r="D9050" s="8">
        <f>QS.CONTEXT.ADD.CURVE(C9050,"SOFR",$K$2:$K$7,$L$2:$L$7,,,"Actual360","LogLinear",TRUE)</f>
        <v/>
      </c>
      <c r="E9050" s="8">
        <f>QS.INSTRUMENT.SWAP("swap.9048",C9050,H9050,B9050,"USD","SOFR",I9050,J9050,0,"Actual360","Simple","Annual","Annual","Annual")</f>
        <v/>
      </c>
      <c r="F9050" s="8">
        <f>QS.TRADE.CREATE("trade.9048",C9050,E9050,A9050,"Receive")</f>
        <v/>
      </c>
      <c r="G9050" s="5"/>
      <c r="H9050" s="7" t="s">
        <v>9091</v>
      </c>
      <c r="I9050" s="9">
        <v>1904800</v>
      </c>
      <c r="J9050" s="10">
        <v>0.0398</v>
      </c>
    </row>
    <row r="9051" spans="1:10">
      <c r="A9051" s="7" t="s">
        <v>9085</v>
      </c>
      <c r="B9051" s="7" t="s">
        <v>10918</v>
      </c>
      <c r="C9051" s="8">
        <f>QS.CONTEXT.CREATE("market.9049",A9051,"USD","SOFR")</f>
        <v/>
      </c>
      <c r="D9051" s="8">
        <f>QS.CONTEXT.ADD.CURVE(C9051,"SOFR",$K$2:$K$7,$L$2:$L$7,,,"Actual360","LogLinear",TRUE)</f>
        <v/>
      </c>
      <c r="E9051" s="8">
        <f>QS.INSTRUMENT.SWAP("swap.9049",C9051,H9051,B9051,"USD","SOFR",I9051,J9051,0,"Actual360","Simple","Annual","Annual","Annual")</f>
        <v/>
      </c>
      <c r="F9051" s="8">
        <f>QS.TRADE.CREATE("trade.9049",C9051,E9051,A9051,"Receive")</f>
        <v/>
      </c>
      <c r="G9051" s="5"/>
      <c r="H9051" s="7" t="s">
        <v>9092</v>
      </c>
      <c r="I9051" s="9">
        <v>1904900</v>
      </c>
      <c r="J9051" s="10">
        <v>0.0399</v>
      </c>
    </row>
    <row r="9052" spans="1:10">
      <c r="A9052" s="7" t="s">
        <v>9086</v>
      </c>
      <c r="B9052" s="7" t="s">
        <v>10919</v>
      </c>
      <c r="C9052" s="8">
        <f>QS.CONTEXT.CREATE("market.9050",A9052,"USD","SOFR")</f>
        <v/>
      </c>
      <c r="D9052" s="8">
        <f>QS.CONTEXT.ADD.CURVE(C9052,"SOFR",$K$2:$K$7,$L$2:$L$7,,,"Actual360","LogLinear",TRUE)</f>
        <v/>
      </c>
      <c r="E9052" s="8">
        <f>QS.INSTRUMENT.SWAP("swap.9050",C9052,H9052,B9052,"USD","SOFR",I9052,J9052,0,"Actual360","Simple","Annual","Annual","Annual")</f>
        <v/>
      </c>
      <c r="F9052" s="8">
        <f>QS.TRADE.CREATE("trade.9050",C9052,E9052,A9052,"Receive")</f>
        <v/>
      </c>
      <c r="G9052" s="5"/>
      <c r="H9052" s="7" t="s">
        <v>9093</v>
      </c>
      <c r="I9052" s="9">
        <v>1905000</v>
      </c>
      <c r="J9052" s="10">
        <v>0.035</v>
      </c>
    </row>
    <row r="9053" spans="1:10">
      <c r="A9053" s="7" t="s">
        <v>9087</v>
      </c>
      <c r="B9053" s="7" t="s">
        <v>10920</v>
      </c>
      <c r="C9053" s="8">
        <f>QS.CONTEXT.CREATE("market.9051",A9053,"USD","SOFR")</f>
        <v/>
      </c>
      <c r="D9053" s="8">
        <f>QS.CONTEXT.ADD.CURVE(C9053,"SOFR",$K$2:$K$7,$L$2:$L$7,,,"Actual360","LogLinear",TRUE)</f>
        <v/>
      </c>
      <c r="E9053" s="8">
        <f>QS.INSTRUMENT.SWAP("swap.9051",C9053,H9053,B9053,"USD","SOFR",I9053,J9053,0,"Actual360","Simple","Annual","Annual","Annual")</f>
        <v/>
      </c>
      <c r="F9053" s="8">
        <f>QS.TRADE.CREATE("trade.9051",C9053,E9053,A9053,"Receive")</f>
        <v/>
      </c>
      <c r="G9053" s="5"/>
      <c r="H9053" s="7" t="s">
        <v>9094</v>
      </c>
      <c r="I9053" s="9">
        <v>1905100</v>
      </c>
      <c r="J9053" s="10">
        <v>0.03510000000000001</v>
      </c>
    </row>
    <row r="9054" spans="1:10">
      <c r="A9054" s="7" t="s">
        <v>9088</v>
      </c>
      <c r="B9054" s="7" t="s">
        <v>10921</v>
      </c>
      <c r="C9054" s="8">
        <f>QS.CONTEXT.CREATE("market.9052",A9054,"USD","SOFR")</f>
        <v/>
      </c>
      <c r="D9054" s="8">
        <f>QS.CONTEXT.ADD.CURVE(C9054,"SOFR",$K$2:$K$7,$L$2:$L$7,,,"Actual360","LogLinear",TRUE)</f>
        <v/>
      </c>
      <c r="E9054" s="8">
        <f>QS.INSTRUMENT.SWAP("swap.9052",C9054,H9054,B9054,"USD","SOFR",I9054,J9054,0,"Actual360","Simple","Annual","Annual","Annual")</f>
        <v/>
      </c>
      <c r="F9054" s="8">
        <f>QS.TRADE.CREATE("trade.9052",C9054,E9054,A9054,"Receive")</f>
        <v/>
      </c>
      <c r="G9054" s="5"/>
      <c r="H9054" s="7" t="s">
        <v>9095</v>
      </c>
      <c r="I9054" s="9">
        <v>1905200</v>
      </c>
      <c r="J9054" s="10">
        <v>0.0352</v>
      </c>
    </row>
    <row r="9055" spans="1:10">
      <c r="A9055" s="7" t="s">
        <v>9089</v>
      </c>
      <c r="B9055" s="7" t="s">
        <v>10922</v>
      </c>
      <c r="C9055" s="8">
        <f>QS.CONTEXT.CREATE("market.9053",A9055,"USD","SOFR")</f>
        <v/>
      </c>
      <c r="D9055" s="8">
        <f>QS.CONTEXT.ADD.CURVE(C9055,"SOFR",$K$2:$K$7,$L$2:$L$7,,,"Actual360","LogLinear",TRUE)</f>
        <v/>
      </c>
      <c r="E9055" s="8">
        <f>QS.INSTRUMENT.SWAP("swap.9053",C9055,H9055,B9055,"USD","SOFR",I9055,J9055,0,"Actual360","Simple","Annual","Annual","Annual")</f>
        <v/>
      </c>
      <c r="F9055" s="8">
        <f>QS.TRADE.CREATE("trade.9053",C9055,E9055,A9055,"Receive")</f>
        <v/>
      </c>
      <c r="G9055" s="5"/>
      <c r="H9055" s="7" t="s">
        <v>9096</v>
      </c>
      <c r="I9055" s="9">
        <v>1905300</v>
      </c>
      <c r="J9055" s="10">
        <v>0.0353</v>
      </c>
    </row>
    <row r="9056" spans="1:10">
      <c r="A9056" s="7" t="s">
        <v>9090</v>
      </c>
      <c r="B9056" s="7" t="s">
        <v>10923</v>
      </c>
      <c r="C9056" s="8">
        <f>QS.CONTEXT.CREATE("market.9054",A9056,"USD","SOFR")</f>
        <v/>
      </c>
      <c r="D9056" s="8">
        <f>QS.CONTEXT.ADD.CURVE(C9056,"SOFR",$K$2:$K$7,$L$2:$L$7,,,"Actual360","LogLinear",TRUE)</f>
        <v/>
      </c>
      <c r="E9056" s="8">
        <f>QS.INSTRUMENT.SWAP("swap.9054",C9056,H9056,B9056,"USD","SOFR",I9056,J9056,0,"Actual360","Simple","Annual","Annual","Annual")</f>
        <v/>
      </c>
      <c r="F9056" s="8">
        <f>QS.TRADE.CREATE("trade.9054",C9056,E9056,A9056,"Receive")</f>
        <v/>
      </c>
      <c r="G9056" s="5"/>
      <c r="H9056" s="7" t="s">
        <v>9097</v>
      </c>
      <c r="I9056" s="9">
        <v>1905400</v>
      </c>
      <c r="J9056" s="10">
        <v>0.0354</v>
      </c>
    </row>
    <row r="9057" spans="1:10">
      <c r="A9057" s="7" t="s">
        <v>9091</v>
      </c>
      <c r="B9057" s="7" t="s">
        <v>10924</v>
      </c>
      <c r="C9057" s="8">
        <f>QS.CONTEXT.CREATE("market.9055",A9057,"USD","SOFR")</f>
        <v/>
      </c>
      <c r="D9057" s="8">
        <f>QS.CONTEXT.ADD.CURVE(C9057,"SOFR",$K$2:$K$7,$L$2:$L$7,,,"Actual360","LogLinear",TRUE)</f>
        <v/>
      </c>
      <c r="E9057" s="8">
        <f>QS.INSTRUMENT.SWAP("swap.9055",C9057,H9057,B9057,"USD","SOFR",I9057,J9057,0,"Actual360","Simple","Annual","Annual","Annual")</f>
        <v/>
      </c>
      <c r="F9057" s="8">
        <f>QS.TRADE.CREATE("trade.9055",C9057,E9057,A9057,"Receive")</f>
        <v/>
      </c>
      <c r="G9057" s="5"/>
      <c r="H9057" s="7" t="s">
        <v>9098</v>
      </c>
      <c r="I9057" s="9">
        <v>1905500</v>
      </c>
      <c r="J9057" s="10">
        <v>0.0355</v>
      </c>
    </row>
    <row r="9058" spans="1:10">
      <c r="A9058" s="7" t="s">
        <v>9092</v>
      </c>
      <c r="B9058" s="7" t="s">
        <v>10925</v>
      </c>
      <c r="C9058" s="8">
        <f>QS.CONTEXT.CREATE("market.9056",A9058,"USD","SOFR")</f>
        <v/>
      </c>
      <c r="D9058" s="8">
        <f>QS.CONTEXT.ADD.CURVE(C9058,"SOFR",$K$2:$K$7,$L$2:$L$7,,,"Actual360","LogLinear",TRUE)</f>
        <v/>
      </c>
      <c r="E9058" s="8">
        <f>QS.INSTRUMENT.SWAP("swap.9056",C9058,H9058,B9058,"USD","SOFR",I9058,J9058,0,"Actual360","Simple","Annual","Annual","Annual")</f>
        <v/>
      </c>
      <c r="F9058" s="8">
        <f>QS.TRADE.CREATE("trade.9056",C9058,E9058,A9058,"Receive")</f>
        <v/>
      </c>
      <c r="G9058" s="5"/>
      <c r="H9058" s="7" t="s">
        <v>9099</v>
      </c>
      <c r="I9058" s="9">
        <v>1905600</v>
      </c>
      <c r="J9058" s="10">
        <v>0.03560000000000001</v>
      </c>
    </row>
    <row r="9059" spans="1:10">
      <c r="A9059" s="7" t="s">
        <v>9093</v>
      </c>
      <c r="B9059" s="7" t="s">
        <v>10926</v>
      </c>
      <c r="C9059" s="8">
        <f>QS.CONTEXT.CREATE("market.9057",A9059,"USD","SOFR")</f>
        <v/>
      </c>
      <c r="D9059" s="8">
        <f>QS.CONTEXT.ADD.CURVE(C9059,"SOFR",$K$2:$K$7,$L$2:$L$7,,,"Actual360","LogLinear",TRUE)</f>
        <v/>
      </c>
      <c r="E9059" s="8">
        <f>QS.INSTRUMENT.SWAP("swap.9057",C9059,H9059,B9059,"USD","SOFR",I9059,J9059,0,"Actual360","Simple","Annual","Annual","Annual")</f>
        <v/>
      </c>
      <c r="F9059" s="8">
        <f>QS.TRADE.CREATE("trade.9057",C9059,E9059,A9059,"Receive")</f>
        <v/>
      </c>
      <c r="G9059" s="5"/>
      <c r="H9059" s="7" t="s">
        <v>9100</v>
      </c>
      <c r="I9059" s="9">
        <v>1905700</v>
      </c>
      <c r="J9059" s="10">
        <v>0.0357</v>
      </c>
    </row>
    <row r="9060" spans="1:10">
      <c r="A9060" s="7" t="s">
        <v>9094</v>
      </c>
      <c r="B9060" s="7" t="s">
        <v>10927</v>
      </c>
      <c r="C9060" s="8">
        <f>QS.CONTEXT.CREATE("market.9058",A9060,"USD","SOFR")</f>
        <v/>
      </c>
      <c r="D9060" s="8">
        <f>QS.CONTEXT.ADD.CURVE(C9060,"SOFR",$K$2:$K$7,$L$2:$L$7,,,"Actual360","LogLinear",TRUE)</f>
        <v/>
      </c>
      <c r="E9060" s="8">
        <f>QS.INSTRUMENT.SWAP("swap.9058",C9060,H9060,B9060,"USD","SOFR",I9060,J9060,0,"Actual360","Simple","Annual","Annual","Annual")</f>
        <v/>
      </c>
      <c r="F9060" s="8">
        <f>QS.TRADE.CREATE("trade.9058",C9060,E9060,A9060,"Receive")</f>
        <v/>
      </c>
      <c r="G9060" s="5"/>
      <c r="H9060" s="7" t="s">
        <v>9101</v>
      </c>
      <c r="I9060" s="9">
        <v>1905800</v>
      </c>
      <c r="J9060" s="10">
        <v>0.03580000000000001</v>
      </c>
    </row>
    <row r="9061" spans="1:10">
      <c r="A9061" s="7" t="s">
        <v>9095</v>
      </c>
      <c r="B9061" s="7" t="s">
        <v>10928</v>
      </c>
      <c r="C9061" s="8">
        <f>QS.CONTEXT.CREATE("market.9059",A9061,"USD","SOFR")</f>
        <v/>
      </c>
      <c r="D9061" s="8">
        <f>QS.CONTEXT.ADD.CURVE(C9061,"SOFR",$K$2:$K$7,$L$2:$L$7,,,"Actual360","LogLinear",TRUE)</f>
        <v/>
      </c>
      <c r="E9061" s="8">
        <f>QS.INSTRUMENT.SWAP("swap.9059",C9061,H9061,B9061,"USD","SOFR",I9061,J9061,0,"Actual360","Simple","Annual","Annual","Annual")</f>
        <v/>
      </c>
      <c r="F9061" s="8">
        <f>QS.TRADE.CREATE("trade.9059",C9061,E9061,A9061,"Receive")</f>
        <v/>
      </c>
      <c r="G9061" s="5"/>
      <c r="H9061" s="7" t="s">
        <v>9102</v>
      </c>
      <c r="I9061" s="9">
        <v>1905900</v>
      </c>
      <c r="J9061" s="10">
        <v>0.0359</v>
      </c>
    </row>
    <row r="9062" spans="1:10">
      <c r="A9062" s="7" t="s">
        <v>9096</v>
      </c>
      <c r="B9062" s="7" t="s">
        <v>10929</v>
      </c>
      <c r="C9062" s="8">
        <f>QS.CONTEXT.CREATE("market.9060",A9062,"USD","SOFR")</f>
        <v/>
      </c>
      <c r="D9062" s="8">
        <f>QS.CONTEXT.ADD.CURVE(C9062,"SOFR",$K$2:$K$7,$L$2:$L$7,,,"Actual360","LogLinear",TRUE)</f>
        <v/>
      </c>
      <c r="E9062" s="8">
        <f>QS.INSTRUMENT.SWAP("swap.9060",C9062,H9062,B9062,"USD","SOFR",I9062,J9062,0,"Actual360","Simple","Annual","Annual","Annual")</f>
        <v/>
      </c>
      <c r="F9062" s="8">
        <f>QS.TRADE.CREATE("trade.9060",C9062,E9062,A9062,"Receive")</f>
        <v/>
      </c>
      <c r="G9062" s="5"/>
      <c r="H9062" s="7" t="s">
        <v>9103</v>
      </c>
      <c r="I9062" s="9">
        <v>1906000</v>
      </c>
      <c r="J9062" s="10">
        <v>0.036</v>
      </c>
    </row>
    <row r="9063" spans="1:10">
      <c r="A9063" s="7" t="s">
        <v>9097</v>
      </c>
      <c r="B9063" s="7" t="s">
        <v>10930</v>
      </c>
      <c r="C9063" s="8">
        <f>QS.CONTEXT.CREATE("market.9061",A9063,"USD","SOFR")</f>
        <v/>
      </c>
      <c r="D9063" s="8">
        <f>QS.CONTEXT.ADD.CURVE(C9063,"SOFR",$K$2:$K$7,$L$2:$L$7,,,"Actual360","LogLinear",TRUE)</f>
        <v/>
      </c>
      <c r="E9063" s="8">
        <f>QS.INSTRUMENT.SWAP("swap.9061",C9063,H9063,B9063,"USD","SOFR",I9063,J9063,0,"Actual360","Simple","Annual","Annual","Annual")</f>
        <v/>
      </c>
      <c r="F9063" s="8">
        <f>QS.TRADE.CREATE("trade.9061",C9063,E9063,A9063,"Receive")</f>
        <v/>
      </c>
      <c r="G9063" s="5"/>
      <c r="H9063" s="7" t="s">
        <v>9104</v>
      </c>
      <c r="I9063" s="9">
        <v>1906100</v>
      </c>
      <c r="J9063" s="10">
        <v>0.0361</v>
      </c>
    </row>
    <row r="9064" spans="1:10">
      <c r="A9064" s="7" t="s">
        <v>9098</v>
      </c>
      <c r="B9064" s="7" t="s">
        <v>10931</v>
      </c>
      <c r="C9064" s="8">
        <f>QS.CONTEXT.CREATE("market.9062",A9064,"USD","SOFR")</f>
        <v/>
      </c>
      <c r="D9064" s="8">
        <f>QS.CONTEXT.ADD.CURVE(C9064,"SOFR",$K$2:$K$7,$L$2:$L$7,,,"Actual360","LogLinear",TRUE)</f>
        <v/>
      </c>
      <c r="E9064" s="8">
        <f>QS.INSTRUMENT.SWAP("swap.9062",C9064,H9064,B9064,"USD","SOFR",I9064,J9064,0,"Actual360","Simple","Annual","Annual","Annual")</f>
        <v/>
      </c>
      <c r="F9064" s="8">
        <f>QS.TRADE.CREATE("trade.9062",C9064,E9064,A9064,"Receive")</f>
        <v/>
      </c>
      <c r="G9064" s="5"/>
      <c r="H9064" s="7" t="s">
        <v>9105</v>
      </c>
      <c r="I9064" s="9">
        <v>1906200</v>
      </c>
      <c r="J9064" s="10">
        <v>0.0362</v>
      </c>
    </row>
    <row r="9065" spans="1:10">
      <c r="A9065" s="7" t="s">
        <v>9099</v>
      </c>
      <c r="B9065" s="7" t="s">
        <v>10932</v>
      </c>
      <c r="C9065" s="8">
        <f>QS.CONTEXT.CREATE("market.9063",A9065,"USD","SOFR")</f>
        <v/>
      </c>
      <c r="D9065" s="8">
        <f>QS.CONTEXT.ADD.CURVE(C9065,"SOFR",$K$2:$K$7,$L$2:$L$7,,,"Actual360","LogLinear",TRUE)</f>
        <v/>
      </c>
      <c r="E9065" s="8">
        <f>QS.INSTRUMENT.SWAP("swap.9063",C9065,H9065,B9065,"USD","SOFR",I9065,J9065,0,"Actual360","Simple","Annual","Annual","Annual")</f>
        <v/>
      </c>
      <c r="F9065" s="8">
        <f>QS.TRADE.CREATE("trade.9063",C9065,E9065,A9065,"Receive")</f>
        <v/>
      </c>
      <c r="G9065" s="5"/>
      <c r="H9065" s="7" t="s">
        <v>9106</v>
      </c>
      <c r="I9065" s="9">
        <v>1906300</v>
      </c>
      <c r="J9065" s="10">
        <v>0.03630000000000001</v>
      </c>
    </row>
    <row r="9066" spans="1:10">
      <c r="A9066" s="7" t="s">
        <v>9100</v>
      </c>
      <c r="B9066" s="7" t="s">
        <v>10933</v>
      </c>
      <c r="C9066" s="8">
        <f>QS.CONTEXT.CREATE("market.9064",A9066,"USD","SOFR")</f>
        <v/>
      </c>
      <c r="D9066" s="8">
        <f>QS.CONTEXT.ADD.CURVE(C9066,"SOFR",$K$2:$K$7,$L$2:$L$7,,,"Actual360","LogLinear",TRUE)</f>
        <v/>
      </c>
      <c r="E9066" s="8">
        <f>QS.INSTRUMENT.SWAP("swap.9064",C9066,H9066,B9066,"USD","SOFR",I9066,J9066,0,"Actual360","Simple","Annual","Annual","Annual")</f>
        <v/>
      </c>
      <c r="F9066" s="8">
        <f>QS.TRADE.CREATE("trade.9064",C9066,E9066,A9066,"Receive")</f>
        <v/>
      </c>
      <c r="G9066" s="5"/>
      <c r="H9066" s="7" t="s">
        <v>9107</v>
      </c>
      <c r="I9066" s="9">
        <v>1906400</v>
      </c>
      <c r="J9066" s="10">
        <v>0.0364</v>
      </c>
    </row>
    <row r="9067" spans="1:10">
      <c r="A9067" s="7" t="s">
        <v>9101</v>
      </c>
      <c r="B9067" s="7" t="s">
        <v>10934</v>
      </c>
      <c r="C9067" s="8">
        <f>QS.CONTEXT.CREATE("market.9065",A9067,"USD","SOFR")</f>
        <v/>
      </c>
      <c r="D9067" s="8">
        <f>QS.CONTEXT.ADD.CURVE(C9067,"SOFR",$K$2:$K$7,$L$2:$L$7,,,"Actual360","LogLinear",TRUE)</f>
        <v/>
      </c>
      <c r="E9067" s="8">
        <f>QS.INSTRUMENT.SWAP("swap.9065",C9067,H9067,B9067,"USD","SOFR",I9067,J9067,0,"Actual360","Simple","Annual","Annual","Annual")</f>
        <v/>
      </c>
      <c r="F9067" s="8">
        <f>QS.TRADE.CREATE("trade.9065",C9067,E9067,A9067,"Receive")</f>
        <v/>
      </c>
      <c r="G9067" s="5"/>
      <c r="H9067" s="7" t="s">
        <v>9108</v>
      </c>
      <c r="I9067" s="9">
        <v>1906500</v>
      </c>
      <c r="J9067" s="10">
        <v>0.0365</v>
      </c>
    </row>
    <row r="9068" spans="1:10">
      <c r="A9068" s="7" t="s">
        <v>9102</v>
      </c>
      <c r="B9068" s="7" t="s">
        <v>10935</v>
      </c>
      <c r="C9068" s="8">
        <f>QS.CONTEXT.CREATE("market.9066",A9068,"USD","SOFR")</f>
        <v/>
      </c>
      <c r="D9068" s="8">
        <f>QS.CONTEXT.ADD.CURVE(C9068,"SOFR",$K$2:$K$7,$L$2:$L$7,,,"Actual360","LogLinear",TRUE)</f>
        <v/>
      </c>
      <c r="E9068" s="8">
        <f>QS.INSTRUMENT.SWAP("swap.9066",C9068,H9068,B9068,"USD","SOFR",I9068,J9068,0,"Actual360","Simple","Annual","Annual","Annual")</f>
        <v/>
      </c>
      <c r="F9068" s="8">
        <f>QS.TRADE.CREATE("trade.9066",C9068,E9068,A9068,"Receive")</f>
        <v/>
      </c>
      <c r="G9068" s="5"/>
      <c r="H9068" s="7" t="s">
        <v>9109</v>
      </c>
      <c r="I9068" s="9">
        <v>1906600</v>
      </c>
      <c r="J9068" s="10">
        <v>0.0366</v>
      </c>
    </row>
    <row r="9069" spans="1:10">
      <c r="A9069" s="7" t="s">
        <v>9103</v>
      </c>
      <c r="B9069" s="7" t="s">
        <v>10936</v>
      </c>
      <c r="C9069" s="8">
        <f>QS.CONTEXT.CREATE("market.9067",A9069,"USD","SOFR")</f>
        <v/>
      </c>
      <c r="D9069" s="8">
        <f>QS.CONTEXT.ADD.CURVE(C9069,"SOFR",$K$2:$K$7,$L$2:$L$7,,,"Actual360","LogLinear",TRUE)</f>
        <v/>
      </c>
      <c r="E9069" s="8">
        <f>QS.INSTRUMENT.SWAP("swap.9067",C9069,H9069,B9069,"USD","SOFR",I9069,J9069,0,"Actual360","Simple","Annual","Annual","Annual")</f>
        <v/>
      </c>
      <c r="F9069" s="8">
        <f>QS.TRADE.CREATE("trade.9067",C9069,E9069,A9069,"Receive")</f>
        <v/>
      </c>
      <c r="G9069" s="5"/>
      <c r="H9069" s="7" t="s">
        <v>9110</v>
      </c>
      <c r="I9069" s="9">
        <v>1906700</v>
      </c>
      <c r="J9069" s="10">
        <v>0.0367</v>
      </c>
    </row>
    <row r="9070" spans="1:10">
      <c r="A9070" s="7" t="s">
        <v>9104</v>
      </c>
      <c r="B9070" s="7" t="s">
        <v>10937</v>
      </c>
      <c r="C9070" s="8">
        <f>QS.CONTEXT.CREATE("market.9068",A9070,"USD","SOFR")</f>
        <v/>
      </c>
      <c r="D9070" s="8">
        <f>QS.CONTEXT.ADD.CURVE(C9070,"SOFR",$K$2:$K$7,$L$2:$L$7,,,"Actual360","LogLinear",TRUE)</f>
        <v/>
      </c>
      <c r="E9070" s="8">
        <f>QS.INSTRUMENT.SWAP("swap.9068",C9070,H9070,B9070,"USD","SOFR",I9070,J9070,0,"Actual360","Simple","Annual","Annual","Annual")</f>
        <v/>
      </c>
      <c r="F9070" s="8">
        <f>QS.TRADE.CREATE("trade.9068",C9070,E9070,A9070,"Receive")</f>
        <v/>
      </c>
      <c r="G9070" s="5"/>
      <c r="H9070" s="7" t="s">
        <v>9111</v>
      </c>
      <c r="I9070" s="9">
        <v>1906800</v>
      </c>
      <c r="J9070" s="10">
        <v>0.03680000000000001</v>
      </c>
    </row>
    <row r="9071" spans="1:10">
      <c r="A9071" s="7" t="s">
        <v>9105</v>
      </c>
      <c r="B9071" s="7" t="s">
        <v>10938</v>
      </c>
      <c r="C9071" s="8">
        <f>QS.CONTEXT.CREATE("market.9069",A9071,"USD","SOFR")</f>
        <v/>
      </c>
      <c r="D9071" s="8">
        <f>QS.CONTEXT.ADD.CURVE(C9071,"SOFR",$K$2:$K$7,$L$2:$L$7,,,"Actual360","LogLinear",TRUE)</f>
        <v/>
      </c>
      <c r="E9071" s="8">
        <f>QS.INSTRUMENT.SWAP("swap.9069",C9071,H9071,B9071,"USD","SOFR",I9071,J9071,0,"Actual360","Simple","Annual","Annual","Annual")</f>
        <v/>
      </c>
      <c r="F9071" s="8">
        <f>QS.TRADE.CREATE("trade.9069",C9071,E9071,A9071,"Receive")</f>
        <v/>
      </c>
      <c r="G9071" s="5"/>
      <c r="H9071" s="7" t="s">
        <v>9112</v>
      </c>
      <c r="I9071" s="9">
        <v>1906900</v>
      </c>
      <c r="J9071" s="10">
        <v>0.0369</v>
      </c>
    </row>
    <row r="9072" spans="1:10">
      <c r="A9072" s="7" t="s">
        <v>9106</v>
      </c>
      <c r="B9072" s="7" t="s">
        <v>10939</v>
      </c>
      <c r="C9072" s="8">
        <f>QS.CONTEXT.CREATE("market.9070",A9072,"USD","SOFR")</f>
        <v/>
      </c>
      <c r="D9072" s="8">
        <f>QS.CONTEXT.ADD.CURVE(C9072,"SOFR",$K$2:$K$7,$L$2:$L$7,,,"Actual360","LogLinear",TRUE)</f>
        <v/>
      </c>
      <c r="E9072" s="8">
        <f>QS.INSTRUMENT.SWAP("swap.9070",C9072,H9072,B9072,"USD","SOFR",I9072,J9072,0,"Actual360","Simple","Annual","Annual","Annual")</f>
        <v/>
      </c>
      <c r="F9072" s="8">
        <f>QS.TRADE.CREATE("trade.9070",C9072,E9072,A9072,"Receive")</f>
        <v/>
      </c>
      <c r="G9072" s="5"/>
      <c r="H9072" s="7" t="s">
        <v>9113</v>
      </c>
      <c r="I9072" s="9">
        <v>1907000</v>
      </c>
      <c r="J9072" s="10">
        <v>0.03700000000000001</v>
      </c>
    </row>
    <row r="9073" spans="1:10">
      <c r="A9073" s="7" t="s">
        <v>9107</v>
      </c>
      <c r="B9073" s="7" t="s">
        <v>10940</v>
      </c>
      <c r="C9073" s="8">
        <f>QS.CONTEXT.CREATE("market.9071",A9073,"USD","SOFR")</f>
        <v/>
      </c>
      <c r="D9073" s="8">
        <f>QS.CONTEXT.ADD.CURVE(C9073,"SOFR",$K$2:$K$7,$L$2:$L$7,,,"Actual360","LogLinear",TRUE)</f>
        <v/>
      </c>
      <c r="E9073" s="8">
        <f>QS.INSTRUMENT.SWAP("swap.9071",C9073,H9073,B9073,"USD","SOFR",I9073,J9073,0,"Actual360","Simple","Annual","Annual","Annual")</f>
        <v/>
      </c>
      <c r="F9073" s="8">
        <f>QS.TRADE.CREATE("trade.9071",C9073,E9073,A9073,"Receive")</f>
        <v/>
      </c>
      <c r="G9073" s="5"/>
      <c r="H9073" s="7" t="s">
        <v>9114</v>
      </c>
      <c r="I9073" s="9">
        <v>1907100</v>
      </c>
      <c r="J9073" s="10">
        <v>0.0371</v>
      </c>
    </row>
    <row r="9074" spans="1:10">
      <c r="A9074" s="7" t="s">
        <v>9108</v>
      </c>
      <c r="B9074" s="7" t="s">
        <v>10941</v>
      </c>
      <c r="C9074" s="8">
        <f>QS.CONTEXT.CREATE("market.9072",A9074,"USD","SOFR")</f>
        <v/>
      </c>
      <c r="D9074" s="8">
        <f>QS.CONTEXT.ADD.CURVE(C9074,"SOFR",$K$2:$K$7,$L$2:$L$7,,,"Actual360","LogLinear",TRUE)</f>
        <v/>
      </c>
      <c r="E9074" s="8">
        <f>QS.INSTRUMENT.SWAP("swap.9072",C9074,H9074,B9074,"USD","SOFR",I9074,J9074,0,"Actual360","Simple","Annual","Annual","Annual")</f>
        <v/>
      </c>
      <c r="F9074" s="8">
        <f>QS.TRADE.CREATE("trade.9072",C9074,E9074,A9074,"Receive")</f>
        <v/>
      </c>
      <c r="G9074" s="5"/>
      <c r="H9074" s="7" t="s">
        <v>9115</v>
      </c>
      <c r="I9074" s="9">
        <v>1907200</v>
      </c>
      <c r="J9074" s="10">
        <v>0.0372</v>
      </c>
    </row>
    <row r="9075" spans="1:10">
      <c r="A9075" s="7" t="s">
        <v>9109</v>
      </c>
      <c r="B9075" s="7" t="s">
        <v>10942</v>
      </c>
      <c r="C9075" s="8">
        <f>QS.CONTEXT.CREATE("market.9073",A9075,"USD","SOFR")</f>
        <v/>
      </c>
      <c r="D9075" s="8">
        <f>QS.CONTEXT.ADD.CURVE(C9075,"SOFR",$K$2:$K$7,$L$2:$L$7,,,"Actual360","LogLinear",TRUE)</f>
        <v/>
      </c>
      <c r="E9075" s="8">
        <f>QS.INSTRUMENT.SWAP("swap.9073",C9075,H9075,B9075,"USD","SOFR",I9075,J9075,0,"Actual360","Simple","Annual","Annual","Annual")</f>
        <v/>
      </c>
      <c r="F9075" s="8">
        <f>QS.TRADE.CREATE("trade.9073",C9075,E9075,A9075,"Receive")</f>
        <v/>
      </c>
      <c r="G9075" s="5"/>
      <c r="H9075" s="7" t="s">
        <v>9116</v>
      </c>
      <c r="I9075" s="9">
        <v>1907300</v>
      </c>
      <c r="J9075" s="10">
        <v>0.0373</v>
      </c>
    </row>
    <row r="9076" spans="1:10">
      <c r="A9076" s="7" t="s">
        <v>9110</v>
      </c>
      <c r="B9076" s="7" t="s">
        <v>10943</v>
      </c>
      <c r="C9076" s="8">
        <f>QS.CONTEXT.CREATE("market.9074",A9076,"USD","SOFR")</f>
        <v/>
      </c>
      <c r="D9076" s="8">
        <f>QS.CONTEXT.ADD.CURVE(C9076,"SOFR",$K$2:$K$7,$L$2:$L$7,,,"Actual360","LogLinear",TRUE)</f>
        <v/>
      </c>
      <c r="E9076" s="8">
        <f>QS.INSTRUMENT.SWAP("swap.9074",C9076,H9076,B9076,"USD","SOFR",I9076,J9076,0,"Actual360","Simple","Annual","Annual","Annual")</f>
        <v/>
      </c>
      <c r="F9076" s="8">
        <f>QS.TRADE.CREATE("trade.9074",C9076,E9076,A9076,"Receive")</f>
        <v/>
      </c>
      <c r="G9076" s="5"/>
      <c r="H9076" s="7" t="s">
        <v>9117</v>
      </c>
      <c r="I9076" s="9">
        <v>1907400</v>
      </c>
      <c r="J9076" s="10">
        <v>0.0374</v>
      </c>
    </row>
    <row r="9077" spans="1:10">
      <c r="A9077" s="7" t="s">
        <v>9111</v>
      </c>
      <c r="B9077" s="7" t="s">
        <v>10944</v>
      </c>
      <c r="C9077" s="8">
        <f>QS.CONTEXT.CREATE("market.9075",A9077,"USD","SOFR")</f>
        <v/>
      </c>
      <c r="D9077" s="8">
        <f>QS.CONTEXT.ADD.CURVE(C9077,"SOFR",$K$2:$K$7,$L$2:$L$7,,,"Actual360","LogLinear",TRUE)</f>
        <v/>
      </c>
      <c r="E9077" s="8">
        <f>QS.INSTRUMENT.SWAP("swap.9075",C9077,H9077,B9077,"USD","SOFR",I9077,J9077,0,"Actual360","Simple","Annual","Annual","Annual")</f>
        <v/>
      </c>
      <c r="F9077" s="8">
        <f>QS.TRADE.CREATE("trade.9075",C9077,E9077,A9077,"Receive")</f>
        <v/>
      </c>
      <c r="G9077" s="5"/>
      <c r="H9077" s="7" t="s">
        <v>9118</v>
      </c>
      <c r="I9077" s="9">
        <v>1907500</v>
      </c>
      <c r="J9077" s="10">
        <v>0.03750000000000001</v>
      </c>
    </row>
    <row r="9078" spans="1:10">
      <c r="A9078" s="7" t="s">
        <v>9112</v>
      </c>
      <c r="B9078" s="7" t="s">
        <v>10945</v>
      </c>
      <c r="C9078" s="8">
        <f>QS.CONTEXT.CREATE("market.9076",A9078,"USD","SOFR")</f>
        <v/>
      </c>
      <c r="D9078" s="8">
        <f>QS.CONTEXT.ADD.CURVE(C9078,"SOFR",$K$2:$K$7,$L$2:$L$7,,,"Actual360","LogLinear",TRUE)</f>
        <v/>
      </c>
      <c r="E9078" s="8">
        <f>QS.INSTRUMENT.SWAP("swap.9076",C9078,H9078,B9078,"USD","SOFR",I9078,J9078,0,"Actual360","Simple","Annual","Annual","Annual")</f>
        <v/>
      </c>
      <c r="F9078" s="8">
        <f>QS.TRADE.CREATE("trade.9076",C9078,E9078,A9078,"Receive")</f>
        <v/>
      </c>
      <c r="G9078" s="5"/>
      <c r="H9078" s="7" t="s">
        <v>9119</v>
      </c>
      <c r="I9078" s="9">
        <v>1907600</v>
      </c>
      <c r="J9078" s="10">
        <v>0.0376</v>
      </c>
    </row>
    <row r="9079" spans="1:10">
      <c r="A9079" s="7" t="s">
        <v>9113</v>
      </c>
      <c r="B9079" s="7" t="s">
        <v>10946</v>
      </c>
      <c r="C9079" s="8">
        <f>QS.CONTEXT.CREATE("market.9077",A9079,"USD","SOFR")</f>
        <v/>
      </c>
      <c r="D9079" s="8">
        <f>QS.CONTEXT.ADD.CURVE(C9079,"SOFR",$K$2:$K$7,$L$2:$L$7,,,"Actual360","LogLinear",TRUE)</f>
        <v/>
      </c>
      <c r="E9079" s="8">
        <f>QS.INSTRUMENT.SWAP("swap.9077",C9079,H9079,B9079,"USD","SOFR",I9079,J9079,0,"Actual360","Simple","Annual","Annual","Annual")</f>
        <v/>
      </c>
      <c r="F9079" s="8">
        <f>QS.TRADE.CREATE("trade.9077",C9079,E9079,A9079,"Receive")</f>
        <v/>
      </c>
      <c r="G9079" s="5"/>
      <c r="H9079" s="7" t="s">
        <v>9120</v>
      </c>
      <c r="I9079" s="9">
        <v>1907700</v>
      </c>
      <c r="J9079" s="10">
        <v>0.0377</v>
      </c>
    </row>
    <row r="9080" spans="1:10">
      <c r="A9080" s="7" t="s">
        <v>9114</v>
      </c>
      <c r="B9080" s="7" t="s">
        <v>10947</v>
      </c>
      <c r="C9080" s="8">
        <f>QS.CONTEXT.CREATE("market.9078",A9080,"USD","SOFR")</f>
        <v/>
      </c>
      <c r="D9080" s="8">
        <f>QS.CONTEXT.ADD.CURVE(C9080,"SOFR",$K$2:$K$7,$L$2:$L$7,,,"Actual360","LogLinear",TRUE)</f>
        <v/>
      </c>
      <c r="E9080" s="8">
        <f>QS.INSTRUMENT.SWAP("swap.9078",C9080,H9080,B9080,"USD","SOFR",I9080,J9080,0,"Actual360","Simple","Annual","Annual","Annual")</f>
        <v/>
      </c>
      <c r="F9080" s="8">
        <f>QS.TRADE.CREATE("trade.9078",C9080,E9080,A9080,"Receive")</f>
        <v/>
      </c>
      <c r="G9080" s="5"/>
      <c r="H9080" s="7" t="s">
        <v>9121</v>
      </c>
      <c r="I9080" s="9">
        <v>1907800</v>
      </c>
      <c r="J9080" s="10">
        <v>0.0378</v>
      </c>
    </row>
    <row r="9081" spans="1:10">
      <c r="A9081" s="7" t="s">
        <v>9115</v>
      </c>
      <c r="B9081" s="7" t="s">
        <v>10948</v>
      </c>
      <c r="C9081" s="8">
        <f>QS.CONTEXT.CREATE("market.9079",A9081,"USD","SOFR")</f>
        <v/>
      </c>
      <c r="D9081" s="8">
        <f>QS.CONTEXT.ADD.CURVE(C9081,"SOFR",$K$2:$K$7,$L$2:$L$7,,,"Actual360","LogLinear",TRUE)</f>
        <v/>
      </c>
      <c r="E9081" s="8">
        <f>QS.INSTRUMENT.SWAP("swap.9079",C9081,H9081,B9081,"USD","SOFR",I9081,J9081,0,"Actual360","Simple","Annual","Annual","Annual")</f>
        <v/>
      </c>
      <c r="F9081" s="8">
        <f>QS.TRADE.CREATE("trade.9079",C9081,E9081,A9081,"Receive")</f>
        <v/>
      </c>
      <c r="G9081" s="5"/>
      <c r="H9081" s="7" t="s">
        <v>9122</v>
      </c>
      <c r="I9081" s="9">
        <v>1907900</v>
      </c>
      <c r="J9081" s="10">
        <v>0.0379</v>
      </c>
    </row>
    <row r="9082" spans="1:10">
      <c r="A9082" s="7" t="s">
        <v>9116</v>
      </c>
      <c r="B9082" s="7" t="s">
        <v>10949</v>
      </c>
      <c r="C9082" s="8">
        <f>QS.CONTEXT.CREATE("market.9080",A9082,"USD","SOFR")</f>
        <v/>
      </c>
      <c r="D9082" s="8">
        <f>QS.CONTEXT.ADD.CURVE(C9082,"SOFR",$K$2:$K$7,$L$2:$L$7,,,"Actual360","LogLinear",TRUE)</f>
        <v/>
      </c>
      <c r="E9082" s="8">
        <f>QS.INSTRUMENT.SWAP("swap.9080",C9082,H9082,B9082,"USD","SOFR",I9082,J9082,0,"Actual360","Simple","Annual","Annual","Annual")</f>
        <v/>
      </c>
      <c r="F9082" s="8">
        <f>QS.TRADE.CREATE("trade.9080",C9082,E9082,A9082,"Receive")</f>
        <v/>
      </c>
      <c r="G9082" s="5"/>
      <c r="H9082" s="7" t="s">
        <v>9123</v>
      </c>
      <c r="I9082" s="9">
        <v>1908000</v>
      </c>
      <c r="J9082" s="10">
        <v>0.03800000000000001</v>
      </c>
    </row>
    <row r="9083" spans="1:10">
      <c r="A9083" s="7" t="s">
        <v>9117</v>
      </c>
      <c r="B9083" s="7" t="s">
        <v>10950</v>
      </c>
      <c r="C9083" s="8">
        <f>QS.CONTEXT.CREATE("market.9081",A9083,"USD","SOFR")</f>
        <v/>
      </c>
      <c r="D9083" s="8">
        <f>QS.CONTEXT.ADD.CURVE(C9083,"SOFR",$K$2:$K$7,$L$2:$L$7,,,"Actual360","LogLinear",TRUE)</f>
        <v/>
      </c>
      <c r="E9083" s="8">
        <f>QS.INSTRUMENT.SWAP("swap.9081",C9083,H9083,B9083,"USD","SOFR",I9083,J9083,0,"Actual360","Simple","Annual","Annual","Annual")</f>
        <v/>
      </c>
      <c r="F9083" s="8">
        <f>QS.TRADE.CREATE("trade.9081",C9083,E9083,A9083,"Receive")</f>
        <v/>
      </c>
      <c r="G9083" s="5"/>
      <c r="H9083" s="7" t="s">
        <v>9124</v>
      </c>
      <c r="I9083" s="9">
        <v>1908100</v>
      </c>
      <c r="J9083" s="10">
        <v>0.0381</v>
      </c>
    </row>
    <row r="9084" spans="1:10">
      <c r="A9084" s="7" t="s">
        <v>9118</v>
      </c>
      <c r="B9084" s="7" t="s">
        <v>10951</v>
      </c>
      <c r="C9084" s="8">
        <f>QS.CONTEXT.CREATE("market.9082",A9084,"USD","SOFR")</f>
        <v/>
      </c>
      <c r="D9084" s="8">
        <f>QS.CONTEXT.ADD.CURVE(C9084,"SOFR",$K$2:$K$7,$L$2:$L$7,,,"Actual360","LogLinear",TRUE)</f>
        <v/>
      </c>
      <c r="E9084" s="8">
        <f>QS.INSTRUMENT.SWAP("swap.9082",C9084,H9084,B9084,"USD","SOFR",I9084,J9084,0,"Actual360","Simple","Annual","Annual","Annual")</f>
        <v/>
      </c>
      <c r="F9084" s="8">
        <f>QS.TRADE.CREATE("trade.9082",C9084,E9084,A9084,"Receive")</f>
        <v/>
      </c>
      <c r="G9084" s="5"/>
      <c r="H9084" s="7" t="s">
        <v>9125</v>
      </c>
      <c r="I9084" s="9">
        <v>1908200</v>
      </c>
      <c r="J9084" s="10">
        <v>0.0382</v>
      </c>
    </row>
    <row r="9085" spans="1:10">
      <c r="A9085" s="7" t="s">
        <v>9119</v>
      </c>
      <c r="B9085" s="7" t="s">
        <v>10952</v>
      </c>
      <c r="C9085" s="8">
        <f>QS.CONTEXT.CREATE("market.9083",A9085,"USD","SOFR")</f>
        <v/>
      </c>
      <c r="D9085" s="8">
        <f>QS.CONTEXT.ADD.CURVE(C9085,"SOFR",$K$2:$K$7,$L$2:$L$7,,,"Actual360","LogLinear",TRUE)</f>
        <v/>
      </c>
      <c r="E9085" s="8">
        <f>QS.INSTRUMENT.SWAP("swap.9083",C9085,H9085,B9085,"USD","SOFR",I9085,J9085,0,"Actual360","Simple","Annual","Annual","Annual")</f>
        <v/>
      </c>
      <c r="F9085" s="8">
        <f>QS.TRADE.CREATE("trade.9083",C9085,E9085,A9085,"Receive")</f>
        <v/>
      </c>
      <c r="G9085" s="5"/>
      <c r="H9085" s="7" t="s">
        <v>9126</v>
      </c>
      <c r="I9085" s="9">
        <v>1908300</v>
      </c>
      <c r="J9085" s="10">
        <v>0.0383</v>
      </c>
    </row>
    <row r="9086" spans="1:10">
      <c r="A9086" s="7" t="s">
        <v>9120</v>
      </c>
      <c r="B9086" s="7" t="s">
        <v>10953</v>
      </c>
      <c r="C9086" s="8">
        <f>QS.CONTEXT.CREATE("market.9084",A9086,"USD","SOFR")</f>
        <v/>
      </c>
      <c r="D9086" s="8">
        <f>QS.CONTEXT.ADD.CURVE(C9086,"SOFR",$K$2:$K$7,$L$2:$L$7,,,"Actual360","LogLinear",TRUE)</f>
        <v/>
      </c>
      <c r="E9086" s="8">
        <f>QS.INSTRUMENT.SWAP("swap.9084",C9086,H9086,B9086,"USD","SOFR",I9086,J9086,0,"Actual360","Simple","Annual","Annual","Annual")</f>
        <v/>
      </c>
      <c r="F9086" s="8">
        <f>QS.TRADE.CREATE("trade.9084",C9086,E9086,A9086,"Receive")</f>
        <v/>
      </c>
      <c r="G9086" s="5"/>
      <c r="H9086" s="7" t="s">
        <v>9127</v>
      </c>
      <c r="I9086" s="9">
        <v>1908400</v>
      </c>
      <c r="J9086" s="10">
        <v>0.0384</v>
      </c>
    </row>
    <row r="9087" spans="1:10">
      <c r="A9087" s="7" t="s">
        <v>9121</v>
      </c>
      <c r="B9087" s="7" t="s">
        <v>10954</v>
      </c>
      <c r="C9087" s="8">
        <f>QS.CONTEXT.CREATE("market.9085",A9087,"USD","SOFR")</f>
        <v/>
      </c>
      <c r="D9087" s="8">
        <f>QS.CONTEXT.ADD.CURVE(C9087,"SOFR",$K$2:$K$7,$L$2:$L$7,,,"Actual360","LogLinear",TRUE)</f>
        <v/>
      </c>
      <c r="E9087" s="8">
        <f>QS.INSTRUMENT.SWAP("swap.9085",C9087,H9087,B9087,"USD","SOFR",I9087,J9087,0,"Actual360","Simple","Annual","Annual","Annual")</f>
        <v/>
      </c>
      <c r="F9087" s="8">
        <f>QS.TRADE.CREATE("trade.9085",C9087,E9087,A9087,"Receive")</f>
        <v/>
      </c>
      <c r="G9087" s="5"/>
      <c r="H9087" s="7" t="s">
        <v>9128</v>
      </c>
      <c r="I9087" s="9">
        <v>1908500</v>
      </c>
      <c r="J9087" s="10">
        <v>0.03850000000000001</v>
      </c>
    </row>
    <row r="9088" spans="1:10">
      <c r="A9088" s="7" t="s">
        <v>9122</v>
      </c>
      <c r="B9088" s="7" t="s">
        <v>10955</v>
      </c>
      <c r="C9088" s="8">
        <f>QS.CONTEXT.CREATE("market.9086",A9088,"USD","SOFR")</f>
        <v/>
      </c>
      <c r="D9088" s="8">
        <f>QS.CONTEXT.ADD.CURVE(C9088,"SOFR",$K$2:$K$7,$L$2:$L$7,,,"Actual360","LogLinear",TRUE)</f>
        <v/>
      </c>
      <c r="E9088" s="8">
        <f>QS.INSTRUMENT.SWAP("swap.9086",C9088,H9088,B9088,"USD","SOFR",I9088,J9088,0,"Actual360","Simple","Annual","Annual","Annual")</f>
        <v/>
      </c>
      <c r="F9088" s="8">
        <f>QS.TRADE.CREATE("trade.9086",C9088,E9088,A9088,"Receive")</f>
        <v/>
      </c>
      <c r="G9088" s="5"/>
      <c r="H9088" s="7" t="s">
        <v>9129</v>
      </c>
      <c r="I9088" s="9">
        <v>1908600</v>
      </c>
      <c r="J9088" s="10">
        <v>0.0386</v>
      </c>
    </row>
    <row r="9089" spans="1:10">
      <c r="A9089" s="7" t="s">
        <v>9123</v>
      </c>
      <c r="B9089" s="7" t="s">
        <v>10956</v>
      </c>
      <c r="C9089" s="8">
        <f>QS.CONTEXT.CREATE("market.9087",A9089,"USD","SOFR")</f>
        <v/>
      </c>
      <c r="D9089" s="8">
        <f>QS.CONTEXT.ADD.CURVE(C9089,"SOFR",$K$2:$K$7,$L$2:$L$7,,,"Actual360","LogLinear",TRUE)</f>
        <v/>
      </c>
      <c r="E9089" s="8">
        <f>QS.INSTRUMENT.SWAP("swap.9087",C9089,H9089,B9089,"USD","SOFR",I9089,J9089,0,"Actual360","Simple","Annual","Annual","Annual")</f>
        <v/>
      </c>
      <c r="F9089" s="8">
        <f>QS.TRADE.CREATE("trade.9087",C9089,E9089,A9089,"Receive")</f>
        <v/>
      </c>
      <c r="G9089" s="5"/>
      <c r="H9089" s="7" t="s">
        <v>9130</v>
      </c>
      <c r="I9089" s="9">
        <v>1908700</v>
      </c>
      <c r="J9089" s="10">
        <v>0.03870000000000001</v>
      </c>
    </row>
    <row r="9090" spans="1:10">
      <c r="A9090" s="7" t="s">
        <v>9124</v>
      </c>
      <c r="B9090" s="7" t="s">
        <v>10957</v>
      </c>
      <c r="C9090" s="8">
        <f>QS.CONTEXT.CREATE("market.9088",A9090,"USD","SOFR")</f>
        <v/>
      </c>
      <c r="D9090" s="8">
        <f>QS.CONTEXT.ADD.CURVE(C9090,"SOFR",$K$2:$K$7,$L$2:$L$7,,,"Actual360","LogLinear",TRUE)</f>
        <v/>
      </c>
      <c r="E9090" s="8">
        <f>QS.INSTRUMENT.SWAP("swap.9088",C9090,H9090,B9090,"USD","SOFR",I9090,J9090,0,"Actual360","Simple","Annual","Annual","Annual")</f>
        <v/>
      </c>
      <c r="F9090" s="8">
        <f>QS.TRADE.CREATE("trade.9088",C9090,E9090,A9090,"Receive")</f>
        <v/>
      </c>
      <c r="G9090" s="5"/>
      <c r="H9090" s="7" t="s">
        <v>9131</v>
      </c>
      <c r="I9090" s="9">
        <v>1908800</v>
      </c>
      <c r="J9090" s="10">
        <v>0.0388</v>
      </c>
    </row>
    <row r="9091" spans="1:10">
      <c r="A9091" s="7" t="s">
        <v>9125</v>
      </c>
      <c r="B9091" s="7" t="s">
        <v>10958</v>
      </c>
      <c r="C9091" s="8">
        <f>QS.CONTEXT.CREATE("market.9089",A9091,"USD","SOFR")</f>
        <v/>
      </c>
      <c r="D9091" s="8">
        <f>QS.CONTEXT.ADD.CURVE(C9091,"SOFR",$K$2:$K$7,$L$2:$L$7,,,"Actual360","LogLinear",TRUE)</f>
        <v/>
      </c>
      <c r="E9091" s="8">
        <f>QS.INSTRUMENT.SWAP("swap.9089",C9091,H9091,B9091,"USD","SOFR",I9091,J9091,0,"Actual360","Simple","Annual","Annual","Annual")</f>
        <v/>
      </c>
      <c r="F9091" s="8">
        <f>QS.TRADE.CREATE("trade.9089",C9091,E9091,A9091,"Receive")</f>
        <v/>
      </c>
      <c r="G9091" s="5"/>
      <c r="H9091" s="7" t="s">
        <v>9132</v>
      </c>
      <c r="I9091" s="9">
        <v>1908900</v>
      </c>
      <c r="J9091" s="10">
        <v>0.0389</v>
      </c>
    </row>
    <row r="9092" spans="1:10">
      <c r="A9092" s="7" t="s">
        <v>9126</v>
      </c>
      <c r="B9092" s="7" t="s">
        <v>10959</v>
      </c>
      <c r="C9092" s="8">
        <f>QS.CONTEXT.CREATE("market.9090",A9092,"USD","SOFR")</f>
        <v/>
      </c>
      <c r="D9092" s="8">
        <f>QS.CONTEXT.ADD.CURVE(C9092,"SOFR",$K$2:$K$7,$L$2:$L$7,,,"Actual360","LogLinear",TRUE)</f>
        <v/>
      </c>
      <c r="E9092" s="8">
        <f>QS.INSTRUMENT.SWAP("swap.9090",C9092,H9092,B9092,"USD","SOFR",I9092,J9092,0,"Actual360","Simple","Annual","Annual","Annual")</f>
        <v/>
      </c>
      <c r="F9092" s="8">
        <f>QS.TRADE.CREATE("trade.9090",C9092,E9092,A9092,"Receive")</f>
        <v/>
      </c>
      <c r="G9092" s="5"/>
      <c r="H9092" s="7" t="s">
        <v>9133</v>
      </c>
      <c r="I9092" s="9">
        <v>1909000</v>
      </c>
      <c r="J9092" s="10">
        <v>0.03900000000000001</v>
      </c>
    </row>
    <row r="9093" spans="1:10">
      <c r="A9093" s="7" t="s">
        <v>9127</v>
      </c>
      <c r="B9093" s="7" t="s">
        <v>10960</v>
      </c>
      <c r="C9093" s="8">
        <f>QS.CONTEXT.CREATE("market.9091",A9093,"USD","SOFR")</f>
        <v/>
      </c>
      <c r="D9093" s="8">
        <f>QS.CONTEXT.ADD.CURVE(C9093,"SOFR",$K$2:$K$7,$L$2:$L$7,,,"Actual360","LogLinear",TRUE)</f>
        <v/>
      </c>
      <c r="E9093" s="8">
        <f>QS.INSTRUMENT.SWAP("swap.9091",C9093,H9093,B9093,"USD","SOFR",I9093,J9093,0,"Actual360","Simple","Annual","Annual","Annual")</f>
        <v/>
      </c>
      <c r="F9093" s="8">
        <f>QS.TRADE.CREATE("trade.9091",C9093,E9093,A9093,"Receive")</f>
        <v/>
      </c>
      <c r="G9093" s="5"/>
      <c r="H9093" s="7" t="s">
        <v>9134</v>
      </c>
      <c r="I9093" s="9">
        <v>1909100</v>
      </c>
      <c r="J9093" s="10">
        <v>0.0391</v>
      </c>
    </row>
    <row r="9094" spans="1:10">
      <c r="A9094" s="7" t="s">
        <v>9128</v>
      </c>
      <c r="B9094" s="7" t="s">
        <v>10961</v>
      </c>
      <c r="C9094" s="8">
        <f>QS.CONTEXT.CREATE("market.9092",A9094,"USD","SOFR")</f>
        <v/>
      </c>
      <c r="D9094" s="8">
        <f>QS.CONTEXT.ADD.CURVE(C9094,"SOFR",$K$2:$K$7,$L$2:$L$7,,,"Actual360","LogLinear",TRUE)</f>
        <v/>
      </c>
      <c r="E9094" s="8">
        <f>QS.INSTRUMENT.SWAP("swap.9092",C9094,H9094,B9094,"USD","SOFR",I9094,J9094,0,"Actual360","Simple","Annual","Annual","Annual")</f>
        <v/>
      </c>
      <c r="F9094" s="8">
        <f>QS.TRADE.CREATE("trade.9092",C9094,E9094,A9094,"Receive")</f>
        <v/>
      </c>
      <c r="G9094" s="5"/>
      <c r="H9094" s="7" t="s">
        <v>9135</v>
      </c>
      <c r="I9094" s="9">
        <v>1909200</v>
      </c>
      <c r="J9094" s="10">
        <v>0.03920000000000001</v>
      </c>
    </row>
    <row r="9095" spans="1:10">
      <c r="A9095" s="7" t="s">
        <v>9129</v>
      </c>
      <c r="B9095" s="7" t="s">
        <v>10962</v>
      </c>
      <c r="C9095" s="8">
        <f>QS.CONTEXT.CREATE("market.9093",A9095,"USD","SOFR")</f>
        <v/>
      </c>
      <c r="D9095" s="8">
        <f>QS.CONTEXT.ADD.CURVE(C9095,"SOFR",$K$2:$K$7,$L$2:$L$7,,,"Actual360","LogLinear",TRUE)</f>
        <v/>
      </c>
      <c r="E9095" s="8">
        <f>QS.INSTRUMENT.SWAP("swap.9093",C9095,H9095,B9095,"USD","SOFR",I9095,J9095,0,"Actual360","Simple","Annual","Annual","Annual")</f>
        <v/>
      </c>
      <c r="F9095" s="8">
        <f>QS.TRADE.CREATE("trade.9093",C9095,E9095,A9095,"Receive")</f>
        <v/>
      </c>
      <c r="G9095" s="5"/>
      <c r="H9095" s="7" t="s">
        <v>9136</v>
      </c>
      <c r="I9095" s="9">
        <v>1909300</v>
      </c>
      <c r="J9095" s="10">
        <v>0.0393</v>
      </c>
    </row>
    <row r="9096" spans="1:10">
      <c r="A9096" s="7" t="s">
        <v>9130</v>
      </c>
      <c r="B9096" s="7" t="s">
        <v>10963</v>
      </c>
      <c r="C9096" s="8">
        <f>QS.CONTEXT.CREATE("market.9094",A9096,"USD","SOFR")</f>
        <v/>
      </c>
      <c r="D9096" s="8">
        <f>QS.CONTEXT.ADD.CURVE(C9096,"SOFR",$K$2:$K$7,$L$2:$L$7,,,"Actual360","LogLinear",TRUE)</f>
        <v/>
      </c>
      <c r="E9096" s="8">
        <f>QS.INSTRUMENT.SWAP("swap.9094",C9096,H9096,B9096,"USD","SOFR",I9096,J9096,0,"Actual360","Simple","Annual","Annual","Annual")</f>
        <v/>
      </c>
      <c r="F9096" s="8">
        <f>QS.TRADE.CREATE("trade.9094",C9096,E9096,A9096,"Receive")</f>
        <v/>
      </c>
      <c r="G9096" s="5"/>
      <c r="H9096" s="7" t="s">
        <v>9137</v>
      </c>
      <c r="I9096" s="9">
        <v>1909400</v>
      </c>
      <c r="J9096" s="10">
        <v>0.0394</v>
      </c>
    </row>
    <row r="9097" spans="1:10">
      <c r="A9097" s="7" t="s">
        <v>9131</v>
      </c>
      <c r="B9097" s="7" t="s">
        <v>10964</v>
      </c>
      <c r="C9097" s="8">
        <f>QS.CONTEXT.CREATE("market.9095",A9097,"USD","SOFR")</f>
        <v/>
      </c>
      <c r="D9097" s="8">
        <f>QS.CONTEXT.ADD.CURVE(C9097,"SOFR",$K$2:$K$7,$L$2:$L$7,,,"Actual360","LogLinear",TRUE)</f>
        <v/>
      </c>
      <c r="E9097" s="8">
        <f>QS.INSTRUMENT.SWAP("swap.9095",C9097,H9097,B9097,"USD","SOFR",I9097,J9097,0,"Actual360","Simple","Annual","Annual","Annual")</f>
        <v/>
      </c>
      <c r="F9097" s="8">
        <f>QS.TRADE.CREATE("trade.9095",C9097,E9097,A9097,"Receive")</f>
        <v/>
      </c>
      <c r="G9097" s="5"/>
      <c r="H9097" s="7" t="s">
        <v>9138</v>
      </c>
      <c r="I9097" s="9">
        <v>1909500</v>
      </c>
      <c r="J9097" s="10">
        <v>0.03950000000000001</v>
      </c>
    </row>
    <row r="9098" spans="1:10">
      <c r="A9098" s="7" t="s">
        <v>9132</v>
      </c>
      <c r="B9098" s="7" t="s">
        <v>10965</v>
      </c>
      <c r="C9098" s="8">
        <f>QS.CONTEXT.CREATE("market.9096",A9098,"USD","SOFR")</f>
        <v/>
      </c>
      <c r="D9098" s="8">
        <f>QS.CONTEXT.ADD.CURVE(C9098,"SOFR",$K$2:$K$7,$L$2:$L$7,,,"Actual360","LogLinear",TRUE)</f>
        <v/>
      </c>
      <c r="E9098" s="8">
        <f>QS.INSTRUMENT.SWAP("swap.9096",C9098,H9098,B9098,"USD","SOFR",I9098,J9098,0,"Actual360","Simple","Annual","Annual","Annual")</f>
        <v/>
      </c>
      <c r="F9098" s="8">
        <f>QS.TRADE.CREATE("trade.9096",C9098,E9098,A9098,"Receive")</f>
        <v/>
      </c>
      <c r="G9098" s="5"/>
      <c r="H9098" s="7" t="s">
        <v>9139</v>
      </c>
      <c r="I9098" s="9">
        <v>1909600</v>
      </c>
      <c r="J9098" s="10">
        <v>0.0396</v>
      </c>
    </row>
    <row r="9099" spans="1:10">
      <c r="A9099" s="7" t="s">
        <v>9133</v>
      </c>
      <c r="B9099" s="7" t="s">
        <v>10966</v>
      </c>
      <c r="C9099" s="8">
        <f>QS.CONTEXT.CREATE("market.9097",A9099,"USD","SOFR")</f>
        <v/>
      </c>
      <c r="D9099" s="8">
        <f>QS.CONTEXT.ADD.CURVE(C9099,"SOFR",$K$2:$K$7,$L$2:$L$7,,,"Actual360","LogLinear",TRUE)</f>
        <v/>
      </c>
      <c r="E9099" s="8">
        <f>QS.INSTRUMENT.SWAP("swap.9097",C9099,H9099,B9099,"USD","SOFR",I9099,J9099,0,"Actual360","Simple","Annual","Annual","Annual")</f>
        <v/>
      </c>
      <c r="F9099" s="8">
        <f>QS.TRADE.CREATE("trade.9097",C9099,E9099,A9099,"Receive")</f>
        <v/>
      </c>
      <c r="G9099" s="5"/>
      <c r="H9099" s="7" t="s">
        <v>9140</v>
      </c>
      <c r="I9099" s="9">
        <v>1909700</v>
      </c>
      <c r="J9099" s="10">
        <v>0.03970000000000001</v>
      </c>
    </row>
    <row r="9100" spans="1:10">
      <c r="A9100" s="7" t="s">
        <v>9134</v>
      </c>
      <c r="B9100" s="7" t="s">
        <v>10967</v>
      </c>
      <c r="C9100" s="8">
        <f>QS.CONTEXT.CREATE("market.9098",A9100,"USD","SOFR")</f>
        <v/>
      </c>
      <c r="D9100" s="8">
        <f>QS.CONTEXT.ADD.CURVE(C9100,"SOFR",$K$2:$K$7,$L$2:$L$7,,,"Actual360","LogLinear",TRUE)</f>
        <v/>
      </c>
      <c r="E9100" s="8">
        <f>QS.INSTRUMENT.SWAP("swap.9098",C9100,H9100,B9100,"USD","SOFR",I9100,J9100,0,"Actual360","Simple","Annual","Annual","Annual")</f>
        <v/>
      </c>
      <c r="F9100" s="8">
        <f>QS.TRADE.CREATE("trade.9098",C9100,E9100,A9100,"Receive")</f>
        <v/>
      </c>
      <c r="G9100" s="5"/>
      <c r="H9100" s="7" t="s">
        <v>9141</v>
      </c>
      <c r="I9100" s="9">
        <v>1909800</v>
      </c>
      <c r="J9100" s="10">
        <v>0.0398</v>
      </c>
    </row>
    <row r="9101" spans="1:10">
      <c r="A9101" s="7" t="s">
        <v>9135</v>
      </c>
      <c r="B9101" s="7" t="s">
        <v>10968</v>
      </c>
      <c r="C9101" s="8">
        <f>QS.CONTEXT.CREATE("market.9099",A9101,"USD","SOFR")</f>
        <v/>
      </c>
      <c r="D9101" s="8">
        <f>QS.CONTEXT.ADD.CURVE(C9101,"SOFR",$K$2:$K$7,$L$2:$L$7,,,"Actual360","LogLinear",TRUE)</f>
        <v/>
      </c>
      <c r="E9101" s="8">
        <f>QS.INSTRUMENT.SWAP("swap.9099",C9101,H9101,B9101,"USD","SOFR",I9101,J9101,0,"Actual360","Simple","Annual","Annual","Annual")</f>
        <v/>
      </c>
      <c r="F9101" s="8">
        <f>QS.TRADE.CREATE("trade.9099",C9101,E9101,A9101,"Receive")</f>
        <v/>
      </c>
      <c r="G9101" s="5"/>
      <c r="H9101" s="7" t="s">
        <v>9142</v>
      </c>
      <c r="I9101" s="9">
        <v>1909900</v>
      </c>
      <c r="J9101" s="10">
        <v>0.0399</v>
      </c>
    </row>
    <row r="9102" spans="1:10">
      <c r="A9102" s="7" t="s">
        <v>9136</v>
      </c>
      <c r="B9102" s="7" t="s">
        <v>10969</v>
      </c>
      <c r="C9102" s="8">
        <f>QS.CONTEXT.CREATE("market.9100",A9102,"USD","SOFR")</f>
        <v/>
      </c>
      <c r="D9102" s="8">
        <f>QS.CONTEXT.ADD.CURVE(C9102,"SOFR",$K$2:$K$7,$L$2:$L$7,,,"Actual360","LogLinear",TRUE)</f>
        <v/>
      </c>
      <c r="E9102" s="8">
        <f>QS.INSTRUMENT.SWAP("swap.9100",C9102,H9102,B9102,"USD","SOFR",I9102,J9102,0,"Actual360","Simple","Annual","Annual","Annual")</f>
        <v/>
      </c>
      <c r="F9102" s="8">
        <f>QS.TRADE.CREATE("trade.9100",C9102,E9102,A9102,"Receive")</f>
        <v/>
      </c>
      <c r="G9102" s="5"/>
      <c r="H9102" s="7" t="s">
        <v>9143</v>
      </c>
      <c r="I9102" s="9">
        <v>1910000</v>
      </c>
      <c r="J9102" s="10">
        <v>0.035</v>
      </c>
    </row>
    <row r="9103" spans="1:10">
      <c r="A9103" s="7" t="s">
        <v>9137</v>
      </c>
      <c r="B9103" s="7" t="s">
        <v>10970</v>
      </c>
      <c r="C9103" s="8">
        <f>QS.CONTEXT.CREATE("market.9101",A9103,"USD","SOFR")</f>
        <v/>
      </c>
      <c r="D9103" s="8">
        <f>QS.CONTEXT.ADD.CURVE(C9103,"SOFR",$K$2:$K$7,$L$2:$L$7,,,"Actual360","LogLinear",TRUE)</f>
        <v/>
      </c>
      <c r="E9103" s="8">
        <f>QS.INSTRUMENT.SWAP("swap.9101",C9103,H9103,B9103,"USD","SOFR",I9103,J9103,0,"Actual360","Simple","Annual","Annual","Annual")</f>
        <v/>
      </c>
      <c r="F9103" s="8">
        <f>QS.TRADE.CREATE("trade.9101",C9103,E9103,A9103,"Receive")</f>
        <v/>
      </c>
      <c r="G9103" s="5"/>
      <c r="H9103" s="7" t="s">
        <v>9144</v>
      </c>
      <c r="I9103" s="9">
        <v>1910100</v>
      </c>
      <c r="J9103" s="10">
        <v>0.03510000000000001</v>
      </c>
    </row>
    <row r="9104" spans="1:10">
      <c r="A9104" s="7" t="s">
        <v>9138</v>
      </c>
      <c r="B9104" s="7" t="s">
        <v>10971</v>
      </c>
      <c r="C9104" s="8">
        <f>QS.CONTEXT.CREATE("market.9102",A9104,"USD","SOFR")</f>
        <v/>
      </c>
      <c r="D9104" s="8">
        <f>QS.CONTEXT.ADD.CURVE(C9104,"SOFR",$K$2:$K$7,$L$2:$L$7,,,"Actual360","LogLinear",TRUE)</f>
        <v/>
      </c>
      <c r="E9104" s="8">
        <f>QS.INSTRUMENT.SWAP("swap.9102",C9104,H9104,B9104,"USD","SOFR",I9104,J9104,0,"Actual360","Simple","Annual","Annual","Annual")</f>
        <v/>
      </c>
      <c r="F9104" s="8">
        <f>QS.TRADE.CREATE("trade.9102",C9104,E9104,A9104,"Receive")</f>
        <v/>
      </c>
      <c r="G9104" s="5"/>
      <c r="H9104" s="7" t="s">
        <v>9145</v>
      </c>
      <c r="I9104" s="9">
        <v>1910200</v>
      </c>
      <c r="J9104" s="10">
        <v>0.0352</v>
      </c>
    </row>
    <row r="9105" spans="1:10">
      <c r="A9105" s="7" t="s">
        <v>9139</v>
      </c>
      <c r="B9105" s="7" t="s">
        <v>10972</v>
      </c>
      <c r="C9105" s="8">
        <f>QS.CONTEXT.CREATE("market.9103",A9105,"USD","SOFR")</f>
        <v/>
      </c>
      <c r="D9105" s="8">
        <f>QS.CONTEXT.ADD.CURVE(C9105,"SOFR",$K$2:$K$7,$L$2:$L$7,,,"Actual360","LogLinear",TRUE)</f>
        <v/>
      </c>
      <c r="E9105" s="8">
        <f>QS.INSTRUMENT.SWAP("swap.9103",C9105,H9105,B9105,"USD","SOFR",I9105,J9105,0,"Actual360","Simple","Annual","Annual","Annual")</f>
        <v/>
      </c>
      <c r="F9105" s="8">
        <f>QS.TRADE.CREATE("trade.9103",C9105,E9105,A9105,"Receive")</f>
        <v/>
      </c>
      <c r="G9105" s="5"/>
      <c r="H9105" s="7" t="s">
        <v>9146</v>
      </c>
      <c r="I9105" s="9">
        <v>1910300</v>
      </c>
      <c r="J9105" s="10">
        <v>0.0353</v>
      </c>
    </row>
    <row r="9106" spans="1:10">
      <c r="A9106" s="7" t="s">
        <v>9140</v>
      </c>
      <c r="B9106" s="7" t="s">
        <v>10973</v>
      </c>
      <c r="C9106" s="8">
        <f>QS.CONTEXT.CREATE("market.9104",A9106,"USD","SOFR")</f>
        <v/>
      </c>
      <c r="D9106" s="8">
        <f>QS.CONTEXT.ADD.CURVE(C9106,"SOFR",$K$2:$K$7,$L$2:$L$7,,,"Actual360","LogLinear",TRUE)</f>
        <v/>
      </c>
      <c r="E9106" s="8">
        <f>QS.INSTRUMENT.SWAP("swap.9104",C9106,H9106,B9106,"USD","SOFR",I9106,J9106,0,"Actual360","Simple","Annual","Annual","Annual")</f>
        <v/>
      </c>
      <c r="F9106" s="8">
        <f>QS.TRADE.CREATE("trade.9104",C9106,E9106,A9106,"Receive")</f>
        <v/>
      </c>
      <c r="G9106" s="5"/>
      <c r="H9106" s="7" t="s">
        <v>9147</v>
      </c>
      <c r="I9106" s="9">
        <v>1910400</v>
      </c>
      <c r="J9106" s="10">
        <v>0.0354</v>
      </c>
    </row>
    <row r="9107" spans="1:10">
      <c r="A9107" s="7" t="s">
        <v>9141</v>
      </c>
      <c r="B9107" s="7" t="s">
        <v>10974</v>
      </c>
      <c r="C9107" s="8">
        <f>QS.CONTEXT.CREATE("market.9105",A9107,"USD","SOFR")</f>
        <v/>
      </c>
      <c r="D9107" s="8">
        <f>QS.CONTEXT.ADD.CURVE(C9107,"SOFR",$K$2:$K$7,$L$2:$L$7,,,"Actual360","LogLinear",TRUE)</f>
        <v/>
      </c>
      <c r="E9107" s="8">
        <f>QS.INSTRUMENT.SWAP("swap.9105",C9107,H9107,B9107,"USD","SOFR",I9107,J9107,0,"Actual360","Simple","Annual","Annual","Annual")</f>
        <v/>
      </c>
      <c r="F9107" s="8">
        <f>QS.TRADE.CREATE("trade.9105",C9107,E9107,A9107,"Receive")</f>
        <v/>
      </c>
      <c r="G9107" s="5"/>
      <c r="H9107" s="7" t="s">
        <v>9148</v>
      </c>
      <c r="I9107" s="9">
        <v>1910500</v>
      </c>
      <c r="J9107" s="10">
        <v>0.0355</v>
      </c>
    </row>
    <row r="9108" spans="1:10">
      <c r="A9108" s="7" t="s">
        <v>9142</v>
      </c>
      <c r="B9108" s="7" t="s">
        <v>10975</v>
      </c>
      <c r="C9108" s="8">
        <f>QS.CONTEXT.CREATE("market.9106",A9108,"USD","SOFR")</f>
        <v/>
      </c>
      <c r="D9108" s="8">
        <f>QS.CONTEXT.ADD.CURVE(C9108,"SOFR",$K$2:$K$7,$L$2:$L$7,,,"Actual360","LogLinear",TRUE)</f>
        <v/>
      </c>
      <c r="E9108" s="8">
        <f>QS.INSTRUMENT.SWAP("swap.9106",C9108,H9108,B9108,"USD","SOFR",I9108,J9108,0,"Actual360","Simple","Annual","Annual","Annual")</f>
        <v/>
      </c>
      <c r="F9108" s="8">
        <f>QS.TRADE.CREATE("trade.9106",C9108,E9108,A9108,"Receive")</f>
        <v/>
      </c>
      <c r="G9108" s="5"/>
      <c r="H9108" s="7" t="s">
        <v>9149</v>
      </c>
      <c r="I9108" s="9">
        <v>1910600</v>
      </c>
      <c r="J9108" s="10">
        <v>0.03560000000000001</v>
      </c>
    </row>
    <row r="9109" spans="1:10">
      <c r="A9109" s="7" t="s">
        <v>9143</v>
      </c>
      <c r="B9109" s="7" t="s">
        <v>10976</v>
      </c>
      <c r="C9109" s="8">
        <f>QS.CONTEXT.CREATE("market.9107",A9109,"USD","SOFR")</f>
        <v/>
      </c>
      <c r="D9109" s="8">
        <f>QS.CONTEXT.ADD.CURVE(C9109,"SOFR",$K$2:$K$7,$L$2:$L$7,,,"Actual360","LogLinear",TRUE)</f>
        <v/>
      </c>
      <c r="E9109" s="8">
        <f>QS.INSTRUMENT.SWAP("swap.9107",C9109,H9109,B9109,"USD","SOFR",I9109,J9109,0,"Actual360","Simple","Annual","Annual","Annual")</f>
        <v/>
      </c>
      <c r="F9109" s="8">
        <f>QS.TRADE.CREATE("trade.9107",C9109,E9109,A9109,"Receive")</f>
        <v/>
      </c>
      <c r="G9109" s="5"/>
      <c r="H9109" s="7" t="s">
        <v>9150</v>
      </c>
      <c r="I9109" s="9">
        <v>1910700</v>
      </c>
      <c r="J9109" s="10">
        <v>0.0357</v>
      </c>
    </row>
    <row r="9110" spans="1:10">
      <c r="A9110" s="7" t="s">
        <v>9144</v>
      </c>
      <c r="B9110" s="7" t="s">
        <v>10977</v>
      </c>
      <c r="C9110" s="8">
        <f>QS.CONTEXT.CREATE("market.9108",A9110,"USD","SOFR")</f>
        <v/>
      </c>
      <c r="D9110" s="8">
        <f>QS.CONTEXT.ADD.CURVE(C9110,"SOFR",$K$2:$K$7,$L$2:$L$7,,,"Actual360","LogLinear",TRUE)</f>
        <v/>
      </c>
      <c r="E9110" s="8">
        <f>QS.INSTRUMENT.SWAP("swap.9108",C9110,H9110,B9110,"USD","SOFR",I9110,J9110,0,"Actual360","Simple","Annual","Annual","Annual")</f>
        <v/>
      </c>
      <c r="F9110" s="8">
        <f>QS.TRADE.CREATE("trade.9108",C9110,E9110,A9110,"Receive")</f>
        <v/>
      </c>
      <c r="G9110" s="5"/>
      <c r="H9110" s="7" t="s">
        <v>9151</v>
      </c>
      <c r="I9110" s="9">
        <v>1910800</v>
      </c>
      <c r="J9110" s="10">
        <v>0.03580000000000001</v>
      </c>
    </row>
    <row r="9111" spans="1:10">
      <c r="A9111" s="7" t="s">
        <v>9145</v>
      </c>
      <c r="B9111" s="7" t="s">
        <v>10978</v>
      </c>
      <c r="C9111" s="8">
        <f>QS.CONTEXT.CREATE("market.9109",A9111,"USD","SOFR")</f>
        <v/>
      </c>
      <c r="D9111" s="8">
        <f>QS.CONTEXT.ADD.CURVE(C9111,"SOFR",$K$2:$K$7,$L$2:$L$7,,,"Actual360","LogLinear",TRUE)</f>
        <v/>
      </c>
      <c r="E9111" s="8">
        <f>QS.INSTRUMENT.SWAP("swap.9109",C9111,H9111,B9111,"USD","SOFR",I9111,J9111,0,"Actual360","Simple","Annual","Annual","Annual")</f>
        <v/>
      </c>
      <c r="F9111" s="8">
        <f>QS.TRADE.CREATE("trade.9109",C9111,E9111,A9111,"Receive")</f>
        <v/>
      </c>
      <c r="G9111" s="5"/>
      <c r="H9111" s="7" t="s">
        <v>9152</v>
      </c>
      <c r="I9111" s="9">
        <v>1910900</v>
      </c>
      <c r="J9111" s="10">
        <v>0.0359</v>
      </c>
    </row>
    <row r="9112" spans="1:10">
      <c r="A9112" s="7" t="s">
        <v>9146</v>
      </c>
      <c r="B9112" s="7" t="s">
        <v>10979</v>
      </c>
      <c r="C9112" s="8">
        <f>QS.CONTEXT.CREATE("market.9110",A9112,"USD","SOFR")</f>
        <v/>
      </c>
      <c r="D9112" s="8">
        <f>QS.CONTEXT.ADD.CURVE(C9112,"SOFR",$K$2:$K$7,$L$2:$L$7,,,"Actual360","LogLinear",TRUE)</f>
        <v/>
      </c>
      <c r="E9112" s="8">
        <f>QS.INSTRUMENT.SWAP("swap.9110",C9112,H9112,B9112,"USD","SOFR",I9112,J9112,0,"Actual360","Simple","Annual","Annual","Annual")</f>
        <v/>
      </c>
      <c r="F9112" s="8">
        <f>QS.TRADE.CREATE("trade.9110",C9112,E9112,A9112,"Receive")</f>
        <v/>
      </c>
      <c r="G9112" s="5"/>
      <c r="H9112" s="7" t="s">
        <v>9153</v>
      </c>
      <c r="I9112" s="9">
        <v>1911000</v>
      </c>
      <c r="J9112" s="10">
        <v>0.036</v>
      </c>
    </row>
    <row r="9113" spans="1:10">
      <c r="A9113" s="7" t="s">
        <v>9147</v>
      </c>
      <c r="B9113" s="7" t="s">
        <v>10980</v>
      </c>
      <c r="C9113" s="8">
        <f>QS.CONTEXT.CREATE("market.9111",A9113,"USD","SOFR")</f>
        <v/>
      </c>
      <c r="D9113" s="8">
        <f>QS.CONTEXT.ADD.CURVE(C9113,"SOFR",$K$2:$K$7,$L$2:$L$7,,,"Actual360","LogLinear",TRUE)</f>
        <v/>
      </c>
      <c r="E9113" s="8">
        <f>QS.INSTRUMENT.SWAP("swap.9111",C9113,H9113,B9113,"USD","SOFR",I9113,J9113,0,"Actual360","Simple","Annual","Annual","Annual")</f>
        <v/>
      </c>
      <c r="F9113" s="8">
        <f>QS.TRADE.CREATE("trade.9111",C9113,E9113,A9113,"Receive")</f>
        <v/>
      </c>
      <c r="G9113" s="5"/>
      <c r="H9113" s="7" t="s">
        <v>9154</v>
      </c>
      <c r="I9113" s="9">
        <v>1911100</v>
      </c>
      <c r="J9113" s="10">
        <v>0.0361</v>
      </c>
    </row>
    <row r="9114" spans="1:10">
      <c r="A9114" s="7" t="s">
        <v>9148</v>
      </c>
      <c r="B9114" s="7" t="s">
        <v>10981</v>
      </c>
      <c r="C9114" s="8">
        <f>QS.CONTEXT.CREATE("market.9112",A9114,"USD","SOFR")</f>
        <v/>
      </c>
      <c r="D9114" s="8">
        <f>QS.CONTEXT.ADD.CURVE(C9114,"SOFR",$K$2:$K$7,$L$2:$L$7,,,"Actual360","LogLinear",TRUE)</f>
        <v/>
      </c>
      <c r="E9114" s="8">
        <f>QS.INSTRUMENT.SWAP("swap.9112",C9114,H9114,B9114,"USD","SOFR",I9114,J9114,0,"Actual360","Simple","Annual","Annual","Annual")</f>
        <v/>
      </c>
      <c r="F9114" s="8">
        <f>QS.TRADE.CREATE("trade.9112",C9114,E9114,A9114,"Receive")</f>
        <v/>
      </c>
      <c r="G9114" s="5"/>
      <c r="H9114" s="7" t="s">
        <v>9155</v>
      </c>
      <c r="I9114" s="9">
        <v>1911200</v>
      </c>
      <c r="J9114" s="10">
        <v>0.0362</v>
      </c>
    </row>
    <row r="9115" spans="1:10">
      <c r="A9115" s="7" t="s">
        <v>9149</v>
      </c>
      <c r="B9115" s="7" t="s">
        <v>10982</v>
      </c>
      <c r="C9115" s="8">
        <f>QS.CONTEXT.CREATE("market.9113",A9115,"USD","SOFR")</f>
        <v/>
      </c>
      <c r="D9115" s="8">
        <f>QS.CONTEXT.ADD.CURVE(C9115,"SOFR",$K$2:$K$7,$L$2:$L$7,,,"Actual360","LogLinear",TRUE)</f>
        <v/>
      </c>
      <c r="E9115" s="8">
        <f>QS.INSTRUMENT.SWAP("swap.9113",C9115,H9115,B9115,"USD","SOFR",I9115,J9115,0,"Actual360","Simple","Annual","Annual","Annual")</f>
        <v/>
      </c>
      <c r="F9115" s="8">
        <f>QS.TRADE.CREATE("trade.9113",C9115,E9115,A9115,"Receive")</f>
        <v/>
      </c>
      <c r="G9115" s="5"/>
      <c r="H9115" s="7" t="s">
        <v>9156</v>
      </c>
      <c r="I9115" s="9">
        <v>1911300</v>
      </c>
      <c r="J9115" s="10">
        <v>0.03630000000000001</v>
      </c>
    </row>
    <row r="9116" spans="1:10">
      <c r="A9116" s="7" t="s">
        <v>9150</v>
      </c>
      <c r="B9116" s="7" t="s">
        <v>10983</v>
      </c>
      <c r="C9116" s="8">
        <f>QS.CONTEXT.CREATE("market.9114",A9116,"USD","SOFR")</f>
        <v/>
      </c>
      <c r="D9116" s="8">
        <f>QS.CONTEXT.ADD.CURVE(C9116,"SOFR",$K$2:$K$7,$L$2:$L$7,,,"Actual360","LogLinear",TRUE)</f>
        <v/>
      </c>
      <c r="E9116" s="8">
        <f>QS.INSTRUMENT.SWAP("swap.9114",C9116,H9116,B9116,"USD","SOFR",I9116,J9116,0,"Actual360","Simple","Annual","Annual","Annual")</f>
        <v/>
      </c>
      <c r="F9116" s="8">
        <f>QS.TRADE.CREATE("trade.9114",C9116,E9116,A9116,"Receive")</f>
        <v/>
      </c>
      <c r="G9116" s="5"/>
      <c r="H9116" s="7" t="s">
        <v>9157</v>
      </c>
      <c r="I9116" s="9">
        <v>1911400</v>
      </c>
      <c r="J9116" s="10">
        <v>0.0364</v>
      </c>
    </row>
    <row r="9117" spans="1:10">
      <c r="A9117" s="7" t="s">
        <v>9151</v>
      </c>
      <c r="B9117" s="7" t="s">
        <v>10984</v>
      </c>
      <c r="C9117" s="8">
        <f>QS.CONTEXT.CREATE("market.9115",A9117,"USD","SOFR")</f>
        <v/>
      </c>
      <c r="D9117" s="8">
        <f>QS.CONTEXT.ADD.CURVE(C9117,"SOFR",$K$2:$K$7,$L$2:$L$7,,,"Actual360","LogLinear",TRUE)</f>
        <v/>
      </c>
      <c r="E9117" s="8">
        <f>QS.INSTRUMENT.SWAP("swap.9115",C9117,H9117,B9117,"USD","SOFR",I9117,J9117,0,"Actual360","Simple","Annual","Annual","Annual")</f>
        <v/>
      </c>
      <c r="F9117" s="8">
        <f>QS.TRADE.CREATE("trade.9115",C9117,E9117,A9117,"Receive")</f>
        <v/>
      </c>
      <c r="G9117" s="5"/>
      <c r="H9117" s="7" t="s">
        <v>9158</v>
      </c>
      <c r="I9117" s="9">
        <v>1911500</v>
      </c>
      <c r="J9117" s="10">
        <v>0.0365</v>
      </c>
    </row>
    <row r="9118" spans="1:10">
      <c r="A9118" s="7" t="s">
        <v>9152</v>
      </c>
      <c r="B9118" s="7" t="s">
        <v>10985</v>
      </c>
      <c r="C9118" s="8">
        <f>QS.CONTEXT.CREATE("market.9116",A9118,"USD","SOFR")</f>
        <v/>
      </c>
      <c r="D9118" s="8">
        <f>QS.CONTEXT.ADD.CURVE(C9118,"SOFR",$K$2:$K$7,$L$2:$L$7,,,"Actual360","LogLinear",TRUE)</f>
        <v/>
      </c>
      <c r="E9118" s="8">
        <f>QS.INSTRUMENT.SWAP("swap.9116",C9118,H9118,B9118,"USD","SOFR",I9118,J9118,0,"Actual360","Simple","Annual","Annual","Annual")</f>
        <v/>
      </c>
      <c r="F9118" s="8">
        <f>QS.TRADE.CREATE("trade.9116",C9118,E9118,A9118,"Receive")</f>
        <v/>
      </c>
      <c r="G9118" s="5"/>
      <c r="H9118" s="7" t="s">
        <v>9159</v>
      </c>
      <c r="I9118" s="9">
        <v>1911600</v>
      </c>
      <c r="J9118" s="10">
        <v>0.0366</v>
      </c>
    </row>
    <row r="9119" spans="1:10">
      <c r="A9119" s="7" t="s">
        <v>9153</v>
      </c>
      <c r="B9119" s="7" t="s">
        <v>10986</v>
      </c>
      <c r="C9119" s="8">
        <f>QS.CONTEXT.CREATE("market.9117",A9119,"USD","SOFR")</f>
        <v/>
      </c>
      <c r="D9119" s="8">
        <f>QS.CONTEXT.ADD.CURVE(C9119,"SOFR",$K$2:$K$7,$L$2:$L$7,,,"Actual360","LogLinear",TRUE)</f>
        <v/>
      </c>
      <c r="E9119" s="8">
        <f>QS.INSTRUMENT.SWAP("swap.9117",C9119,H9119,B9119,"USD","SOFR",I9119,J9119,0,"Actual360","Simple","Annual","Annual","Annual")</f>
        <v/>
      </c>
      <c r="F9119" s="8">
        <f>QS.TRADE.CREATE("trade.9117",C9119,E9119,A9119,"Receive")</f>
        <v/>
      </c>
      <c r="G9119" s="5"/>
      <c r="H9119" s="7" t="s">
        <v>9160</v>
      </c>
      <c r="I9119" s="9">
        <v>1911700</v>
      </c>
      <c r="J9119" s="10">
        <v>0.0367</v>
      </c>
    </row>
    <row r="9120" spans="1:10">
      <c r="A9120" s="7" t="s">
        <v>9154</v>
      </c>
      <c r="B9120" s="7" t="s">
        <v>10987</v>
      </c>
      <c r="C9120" s="8">
        <f>QS.CONTEXT.CREATE("market.9118",A9120,"USD","SOFR")</f>
        <v/>
      </c>
      <c r="D9120" s="8">
        <f>QS.CONTEXT.ADD.CURVE(C9120,"SOFR",$K$2:$K$7,$L$2:$L$7,,,"Actual360","LogLinear",TRUE)</f>
        <v/>
      </c>
      <c r="E9120" s="8">
        <f>QS.INSTRUMENT.SWAP("swap.9118",C9120,H9120,B9120,"USD","SOFR",I9120,J9120,0,"Actual360","Simple","Annual","Annual","Annual")</f>
        <v/>
      </c>
      <c r="F9120" s="8">
        <f>QS.TRADE.CREATE("trade.9118",C9120,E9120,A9120,"Receive")</f>
        <v/>
      </c>
      <c r="G9120" s="5"/>
      <c r="H9120" s="7" t="s">
        <v>9161</v>
      </c>
      <c r="I9120" s="9">
        <v>1911800</v>
      </c>
      <c r="J9120" s="10">
        <v>0.03680000000000001</v>
      </c>
    </row>
    <row r="9121" spans="1:10">
      <c r="A9121" s="7" t="s">
        <v>9155</v>
      </c>
      <c r="B9121" s="7" t="s">
        <v>10988</v>
      </c>
      <c r="C9121" s="8">
        <f>QS.CONTEXT.CREATE("market.9119",A9121,"USD","SOFR")</f>
        <v/>
      </c>
      <c r="D9121" s="8">
        <f>QS.CONTEXT.ADD.CURVE(C9121,"SOFR",$K$2:$K$7,$L$2:$L$7,,,"Actual360","LogLinear",TRUE)</f>
        <v/>
      </c>
      <c r="E9121" s="8">
        <f>QS.INSTRUMENT.SWAP("swap.9119",C9121,H9121,B9121,"USD","SOFR",I9121,J9121,0,"Actual360","Simple","Annual","Annual","Annual")</f>
        <v/>
      </c>
      <c r="F9121" s="8">
        <f>QS.TRADE.CREATE("trade.9119",C9121,E9121,A9121,"Receive")</f>
        <v/>
      </c>
      <c r="G9121" s="5"/>
      <c r="H9121" s="7" t="s">
        <v>9162</v>
      </c>
      <c r="I9121" s="9">
        <v>1911900</v>
      </c>
      <c r="J9121" s="10">
        <v>0.0369</v>
      </c>
    </row>
    <row r="9122" spans="1:10">
      <c r="A9122" s="7" t="s">
        <v>9156</v>
      </c>
      <c r="B9122" s="7" t="s">
        <v>10989</v>
      </c>
      <c r="C9122" s="8">
        <f>QS.CONTEXT.CREATE("market.9120",A9122,"USD","SOFR")</f>
        <v/>
      </c>
      <c r="D9122" s="8">
        <f>QS.CONTEXT.ADD.CURVE(C9122,"SOFR",$K$2:$K$7,$L$2:$L$7,,,"Actual360","LogLinear",TRUE)</f>
        <v/>
      </c>
      <c r="E9122" s="8">
        <f>QS.INSTRUMENT.SWAP("swap.9120",C9122,H9122,B9122,"USD","SOFR",I9122,J9122,0,"Actual360","Simple","Annual","Annual","Annual")</f>
        <v/>
      </c>
      <c r="F9122" s="8">
        <f>QS.TRADE.CREATE("trade.9120",C9122,E9122,A9122,"Receive")</f>
        <v/>
      </c>
      <c r="G9122" s="5"/>
      <c r="H9122" s="7" t="s">
        <v>9163</v>
      </c>
      <c r="I9122" s="9">
        <v>1912000</v>
      </c>
      <c r="J9122" s="10">
        <v>0.03700000000000001</v>
      </c>
    </row>
    <row r="9123" spans="1:10">
      <c r="A9123" s="7" t="s">
        <v>9157</v>
      </c>
      <c r="B9123" s="7" t="s">
        <v>10990</v>
      </c>
      <c r="C9123" s="8">
        <f>QS.CONTEXT.CREATE("market.9121",A9123,"USD","SOFR")</f>
        <v/>
      </c>
      <c r="D9123" s="8">
        <f>QS.CONTEXT.ADD.CURVE(C9123,"SOFR",$K$2:$K$7,$L$2:$L$7,,,"Actual360","LogLinear",TRUE)</f>
        <v/>
      </c>
      <c r="E9123" s="8">
        <f>QS.INSTRUMENT.SWAP("swap.9121",C9123,H9123,B9123,"USD","SOFR",I9123,J9123,0,"Actual360","Simple","Annual","Annual","Annual")</f>
        <v/>
      </c>
      <c r="F9123" s="8">
        <f>QS.TRADE.CREATE("trade.9121",C9123,E9123,A9123,"Receive")</f>
        <v/>
      </c>
      <c r="G9123" s="5"/>
      <c r="H9123" s="7" t="s">
        <v>9164</v>
      </c>
      <c r="I9123" s="9">
        <v>1912100</v>
      </c>
      <c r="J9123" s="10">
        <v>0.0371</v>
      </c>
    </row>
    <row r="9124" spans="1:10">
      <c r="A9124" s="7" t="s">
        <v>9158</v>
      </c>
      <c r="B9124" s="7" t="s">
        <v>10991</v>
      </c>
      <c r="C9124" s="8">
        <f>QS.CONTEXT.CREATE("market.9122",A9124,"USD","SOFR")</f>
        <v/>
      </c>
      <c r="D9124" s="8">
        <f>QS.CONTEXT.ADD.CURVE(C9124,"SOFR",$K$2:$K$7,$L$2:$L$7,,,"Actual360","LogLinear",TRUE)</f>
        <v/>
      </c>
      <c r="E9124" s="8">
        <f>QS.INSTRUMENT.SWAP("swap.9122",C9124,H9124,B9124,"USD","SOFR",I9124,J9124,0,"Actual360","Simple","Annual","Annual","Annual")</f>
        <v/>
      </c>
      <c r="F9124" s="8">
        <f>QS.TRADE.CREATE("trade.9122",C9124,E9124,A9124,"Receive")</f>
        <v/>
      </c>
      <c r="G9124" s="5"/>
      <c r="H9124" s="7" t="s">
        <v>9165</v>
      </c>
      <c r="I9124" s="9">
        <v>1912200</v>
      </c>
      <c r="J9124" s="10">
        <v>0.0372</v>
      </c>
    </row>
    <row r="9125" spans="1:10">
      <c r="A9125" s="7" t="s">
        <v>9159</v>
      </c>
      <c r="B9125" s="7" t="s">
        <v>10992</v>
      </c>
      <c r="C9125" s="8">
        <f>QS.CONTEXT.CREATE("market.9123",A9125,"USD","SOFR")</f>
        <v/>
      </c>
      <c r="D9125" s="8">
        <f>QS.CONTEXT.ADD.CURVE(C9125,"SOFR",$K$2:$K$7,$L$2:$L$7,,,"Actual360","LogLinear",TRUE)</f>
        <v/>
      </c>
      <c r="E9125" s="8">
        <f>QS.INSTRUMENT.SWAP("swap.9123",C9125,H9125,B9125,"USD","SOFR",I9125,J9125,0,"Actual360","Simple","Annual","Annual","Annual")</f>
        <v/>
      </c>
      <c r="F9125" s="8">
        <f>QS.TRADE.CREATE("trade.9123",C9125,E9125,A9125,"Receive")</f>
        <v/>
      </c>
      <c r="G9125" s="5"/>
      <c r="H9125" s="7" t="s">
        <v>9166</v>
      </c>
      <c r="I9125" s="9">
        <v>1912300</v>
      </c>
      <c r="J9125" s="10">
        <v>0.0373</v>
      </c>
    </row>
    <row r="9126" spans="1:10">
      <c r="A9126" s="7" t="s">
        <v>9160</v>
      </c>
      <c r="B9126" s="7" t="s">
        <v>10993</v>
      </c>
      <c r="C9126" s="8">
        <f>QS.CONTEXT.CREATE("market.9124",A9126,"USD","SOFR")</f>
        <v/>
      </c>
      <c r="D9126" s="8">
        <f>QS.CONTEXT.ADD.CURVE(C9126,"SOFR",$K$2:$K$7,$L$2:$L$7,,,"Actual360","LogLinear",TRUE)</f>
        <v/>
      </c>
      <c r="E9126" s="8">
        <f>QS.INSTRUMENT.SWAP("swap.9124",C9126,H9126,B9126,"USD","SOFR",I9126,J9126,0,"Actual360","Simple","Annual","Annual","Annual")</f>
        <v/>
      </c>
      <c r="F9126" s="8">
        <f>QS.TRADE.CREATE("trade.9124",C9126,E9126,A9126,"Receive")</f>
        <v/>
      </c>
      <c r="G9126" s="5"/>
      <c r="H9126" s="7" t="s">
        <v>9167</v>
      </c>
      <c r="I9126" s="9">
        <v>1912400</v>
      </c>
      <c r="J9126" s="10">
        <v>0.0374</v>
      </c>
    </row>
    <row r="9127" spans="1:10">
      <c r="A9127" s="7" t="s">
        <v>9161</v>
      </c>
      <c r="B9127" s="7" t="s">
        <v>10994</v>
      </c>
      <c r="C9127" s="8">
        <f>QS.CONTEXT.CREATE("market.9125",A9127,"USD","SOFR")</f>
        <v/>
      </c>
      <c r="D9127" s="8">
        <f>QS.CONTEXT.ADD.CURVE(C9127,"SOFR",$K$2:$K$7,$L$2:$L$7,,,"Actual360","LogLinear",TRUE)</f>
        <v/>
      </c>
      <c r="E9127" s="8">
        <f>QS.INSTRUMENT.SWAP("swap.9125",C9127,H9127,B9127,"USD","SOFR",I9127,J9127,0,"Actual360","Simple","Annual","Annual","Annual")</f>
        <v/>
      </c>
      <c r="F9127" s="8">
        <f>QS.TRADE.CREATE("trade.9125",C9127,E9127,A9127,"Receive")</f>
        <v/>
      </c>
      <c r="G9127" s="5"/>
      <c r="H9127" s="7" t="s">
        <v>9168</v>
      </c>
      <c r="I9127" s="9">
        <v>1912500</v>
      </c>
      <c r="J9127" s="10">
        <v>0.03750000000000001</v>
      </c>
    </row>
    <row r="9128" spans="1:10">
      <c r="A9128" s="7" t="s">
        <v>9162</v>
      </c>
      <c r="B9128" s="7" t="s">
        <v>10995</v>
      </c>
      <c r="C9128" s="8">
        <f>QS.CONTEXT.CREATE("market.9126",A9128,"USD","SOFR")</f>
        <v/>
      </c>
      <c r="D9128" s="8">
        <f>QS.CONTEXT.ADD.CURVE(C9128,"SOFR",$K$2:$K$7,$L$2:$L$7,,,"Actual360","LogLinear",TRUE)</f>
        <v/>
      </c>
      <c r="E9128" s="8">
        <f>QS.INSTRUMENT.SWAP("swap.9126",C9128,H9128,B9128,"USD","SOFR",I9128,J9128,0,"Actual360","Simple","Annual","Annual","Annual")</f>
        <v/>
      </c>
      <c r="F9128" s="8">
        <f>QS.TRADE.CREATE("trade.9126",C9128,E9128,A9128,"Receive")</f>
        <v/>
      </c>
      <c r="G9128" s="5"/>
      <c r="H9128" s="7" t="s">
        <v>9169</v>
      </c>
      <c r="I9128" s="9">
        <v>1912600</v>
      </c>
      <c r="J9128" s="10">
        <v>0.0376</v>
      </c>
    </row>
    <row r="9129" spans="1:10">
      <c r="A9129" s="7" t="s">
        <v>9163</v>
      </c>
      <c r="B9129" s="7" t="s">
        <v>10996</v>
      </c>
      <c r="C9129" s="8">
        <f>QS.CONTEXT.CREATE("market.9127",A9129,"USD","SOFR")</f>
        <v/>
      </c>
      <c r="D9129" s="8">
        <f>QS.CONTEXT.ADD.CURVE(C9129,"SOFR",$K$2:$K$7,$L$2:$L$7,,,"Actual360","LogLinear",TRUE)</f>
        <v/>
      </c>
      <c r="E9129" s="8">
        <f>QS.INSTRUMENT.SWAP("swap.9127",C9129,H9129,B9129,"USD","SOFR",I9129,J9129,0,"Actual360","Simple","Annual","Annual","Annual")</f>
        <v/>
      </c>
      <c r="F9129" s="8">
        <f>QS.TRADE.CREATE("trade.9127",C9129,E9129,A9129,"Receive")</f>
        <v/>
      </c>
      <c r="G9129" s="5"/>
      <c r="H9129" s="7" t="s">
        <v>9170</v>
      </c>
      <c r="I9129" s="9">
        <v>1912700</v>
      </c>
      <c r="J9129" s="10">
        <v>0.0377</v>
      </c>
    </row>
    <row r="9130" spans="1:10">
      <c r="A9130" s="7" t="s">
        <v>9164</v>
      </c>
      <c r="B9130" s="7" t="s">
        <v>10997</v>
      </c>
      <c r="C9130" s="8">
        <f>QS.CONTEXT.CREATE("market.9128",A9130,"USD","SOFR")</f>
        <v/>
      </c>
      <c r="D9130" s="8">
        <f>QS.CONTEXT.ADD.CURVE(C9130,"SOFR",$K$2:$K$7,$L$2:$L$7,,,"Actual360","LogLinear",TRUE)</f>
        <v/>
      </c>
      <c r="E9130" s="8">
        <f>QS.INSTRUMENT.SWAP("swap.9128",C9130,H9130,B9130,"USD","SOFR",I9130,J9130,0,"Actual360","Simple","Annual","Annual","Annual")</f>
        <v/>
      </c>
      <c r="F9130" s="8">
        <f>QS.TRADE.CREATE("trade.9128",C9130,E9130,A9130,"Receive")</f>
        <v/>
      </c>
      <c r="G9130" s="5"/>
      <c r="H9130" s="7" t="s">
        <v>9171</v>
      </c>
      <c r="I9130" s="9">
        <v>1912800</v>
      </c>
      <c r="J9130" s="10">
        <v>0.0378</v>
      </c>
    </row>
    <row r="9131" spans="1:10">
      <c r="A9131" s="7" t="s">
        <v>9165</v>
      </c>
      <c r="B9131" s="7" t="s">
        <v>10998</v>
      </c>
      <c r="C9131" s="8">
        <f>QS.CONTEXT.CREATE("market.9129",A9131,"USD","SOFR")</f>
        <v/>
      </c>
      <c r="D9131" s="8">
        <f>QS.CONTEXT.ADD.CURVE(C9131,"SOFR",$K$2:$K$7,$L$2:$L$7,,,"Actual360","LogLinear",TRUE)</f>
        <v/>
      </c>
      <c r="E9131" s="8">
        <f>QS.INSTRUMENT.SWAP("swap.9129",C9131,H9131,B9131,"USD","SOFR",I9131,J9131,0,"Actual360","Simple","Annual","Annual","Annual")</f>
        <v/>
      </c>
      <c r="F9131" s="8">
        <f>QS.TRADE.CREATE("trade.9129",C9131,E9131,A9131,"Receive")</f>
        <v/>
      </c>
      <c r="G9131" s="5"/>
      <c r="H9131" s="7" t="s">
        <v>9172</v>
      </c>
      <c r="I9131" s="9">
        <v>1912900</v>
      </c>
      <c r="J9131" s="10">
        <v>0.0379</v>
      </c>
    </row>
    <row r="9132" spans="1:10">
      <c r="A9132" s="7" t="s">
        <v>9166</v>
      </c>
      <c r="B9132" s="7" t="s">
        <v>10999</v>
      </c>
      <c r="C9132" s="8">
        <f>QS.CONTEXT.CREATE("market.9130",A9132,"USD","SOFR")</f>
        <v/>
      </c>
      <c r="D9132" s="8">
        <f>QS.CONTEXT.ADD.CURVE(C9132,"SOFR",$K$2:$K$7,$L$2:$L$7,,,"Actual360","LogLinear",TRUE)</f>
        <v/>
      </c>
      <c r="E9132" s="8">
        <f>QS.INSTRUMENT.SWAP("swap.9130",C9132,H9132,B9132,"USD","SOFR",I9132,J9132,0,"Actual360","Simple","Annual","Annual","Annual")</f>
        <v/>
      </c>
      <c r="F9132" s="8">
        <f>QS.TRADE.CREATE("trade.9130",C9132,E9132,A9132,"Receive")</f>
        <v/>
      </c>
      <c r="G9132" s="5"/>
      <c r="H9132" s="7" t="s">
        <v>9173</v>
      </c>
      <c r="I9132" s="9">
        <v>1913000</v>
      </c>
      <c r="J9132" s="10">
        <v>0.03800000000000001</v>
      </c>
    </row>
    <row r="9133" spans="1:10">
      <c r="A9133" s="7" t="s">
        <v>9167</v>
      </c>
      <c r="B9133" s="7" t="s">
        <v>11000</v>
      </c>
      <c r="C9133" s="8">
        <f>QS.CONTEXT.CREATE("market.9131",A9133,"USD","SOFR")</f>
        <v/>
      </c>
      <c r="D9133" s="8">
        <f>QS.CONTEXT.ADD.CURVE(C9133,"SOFR",$K$2:$K$7,$L$2:$L$7,,,"Actual360","LogLinear",TRUE)</f>
        <v/>
      </c>
      <c r="E9133" s="8">
        <f>QS.INSTRUMENT.SWAP("swap.9131",C9133,H9133,B9133,"USD","SOFR",I9133,J9133,0,"Actual360","Simple","Annual","Annual","Annual")</f>
        <v/>
      </c>
      <c r="F9133" s="8">
        <f>QS.TRADE.CREATE("trade.9131",C9133,E9133,A9133,"Receive")</f>
        <v/>
      </c>
      <c r="G9133" s="5"/>
      <c r="H9133" s="7" t="s">
        <v>9174</v>
      </c>
      <c r="I9133" s="9">
        <v>1913100</v>
      </c>
      <c r="J9133" s="10">
        <v>0.0381</v>
      </c>
    </row>
    <row r="9134" spans="1:10">
      <c r="A9134" s="7" t="s">
        <v>9168</v>
      </c>
      <c r="B9134" s="7" t="s">
        <v>11001</v>
      </c>
      <c r="C9134" s="8">
        <f>QS.CONTEXT.CREATE("market.9132",A9134,"USD","SOFR")</f>
        <v/>
      </c>
      <c r="D9134" s="8">
        <f>QS.CONTEXT.ADD.CURVE(C9134,"SOFR",$K$2:$K$7,$L$2:$L$7,,,"Actual360","LogLinear",TRUE)</f>
        <v/>
      </c>
      <c r="E9134" s="8">
        <f>QS.INSTRUMENT.SWAP("swap.9132",C9134,H9134,B9134,"USD","SOFR",I9134,J9134,0,"Actual360","Simple","Annual","Annual","Annual")</f>
        <v/>
      </c>
      <c r="F9134" s="8">
        <f>QS.TRADE.CREATE("trade.9132",C9134,E9134,A9134,"Receive")</f>
        <v/>
      </c>
      <c r="G9134" s="5"/>
      <c r="H9134" s="7" t="s">
        <v>9175</v>
      </c>
      <c r="I9134" s="9">
        <v>1913200</v>
      </c>
      <c r="J9134" s="10">
        <v>0.0382</v>
      </c>
    </row>
    <row r="9135" spans="1:10">
      <c r="A9135" s="7" t="s">
        <v>9169</v>
      </c>
      <c r="B9135" s="7" t="s">
        <v>11002</v>
      </c>
      <c r="C9135" s="8">
        <f>QS.CONTEXT.CREATE("market.9133",A9135,"USD","SOFR")</f>
        <v/>
      </c>
      <c r="D9135" s="8">
        <f>QS.CONTEXT.ADD.CURVE(C9135,"SOFR",$K$2:$K$7,$L$2:$L$7,,,"Actual360","LogLinear",TRUE)</f>
        <v/>
      </c>
      <c r="E9135" s="8">
        <f>QS.INSTRUMENT.SWAP("swap.9133",C9135,H9135,B9135,"USD","SOFR",I9135,J9135,0,"Actual360","Simple","Annual","Annual","Annual")</f>
        <v/>
      </c>
      <c r="F9135" s="8">
        <f>QS.TRADE.CREATE("trade.9133",C9135,E9135,A9135,"Receive")</f>
        <v/>
      </c>
      <c r="G9135" s="5"/>
      <c r="H9135" s="7" t="s">
        <v>9176</v>
      </c>
      <c r="I9135" s="9">
        <v>1913300</v>
      </c>
      <c r="J9135" s="10">
        <v>0.0383</v>
      </c>
    </row>
    <row r="9136" spans="1:10">
      <c r="A9136" s="7" t="s">
        <v>9170</v>
      </c>
      <c r="B9136" s="7" t="s">
        <v>11003</v>
      </c>
      <c r="C9136" s="8">
        <f>QS.CONTEXT.CREATE("market.9134",A9136,"USD","SOFR")</f>
        <v/>
      </c>
      <c r="D9136" s="8">
        <f>QS.CONTEXT.ADD.CURVE(C9136,"SOFR",$K$2:$K$7,$L$2:$L$7,,,"Actual360","LogLinear",TRUE)</f>
        <v/>
      </c>
      <c r="E9136" s="8">
        <f>QS.INSTRUMENT.SWAP("swap.9134",C9136,H9136,B9136,"USD","SOFR",I9136,J9136,0,"Actual360","Simple","Annual","Annual","Annual")</f>
        <v/>
      </c>
      <c r="F9136" s="8">
        <f>QS.TRADE.CREATE("trade.9134",C9136,E9136,A9136,"Receive")</f>
        <v/>
      </c>
      <c r="G9136" s="5"/>
      <c r="H9136" s="7" t="s">
        <v>9177</v>
      </c>
      <c r="I9136" s="9">
        <v>1913400</v>
      </c>
      <c r="J9136" s="10">
        <v>0.0384</v>
      </c>
    </row>
    <row r="9137" spans="1:10">
      <c r="A9137" s="7" t="s">
        <v>9171</v>
      </c>
      <c r="B9137" s="7" t="s">
        <v>11004</v>
      </c>
      <c r="C9137" s="8">
        <f>QS.CONTEXT.CREATE("market.9135",A9137,"USD","SOFR")</f>
        <v/>
      </c>
      <c r="D9137" s="8">
        <f>QS.CONTEXT.ADD.CURVE(C9137,"SOFR",$K$2:$K$7,$L$2:$L$7,,,"Actual360","LogLinear",TRUE)</f>
        <v/>
      </c>
      <c r="E9137" s="8">
        <f>QS.INSTRUMENT.SWAP("swap.9135",C9137,H9137,B9137,"USD","SOFR",I9137,J9137,0,"Actual360","Simple","Annual","Annual","Annual")</f>
        <v/>
      </c>
      <c r="F9137" s="8">
        <f>QS.TRADE.CREATE("trade.9135",C9137,E9137,A9137,"Receive")</f>
        <v/>
      </c>
      <c r="G9137" s="5"/>
      <c r="H9137" s="7" t="s">
        <v>9178</v>
      </c>
      <c r="I9137" s="9">
        <v>1913500</v>
      </c>
      <c r="J9137" s="10">
        <v>0.03850000000000001</v>
      </c>
    </row>
    <row r="9138" spans="1:10">
      <c r="A9138" s="7" t="s">
        <v>9172</v>
      </c>
      <c r="B9138" s="7" t="s">
        <v>11005</v>
      </c>
      <c r="C9138" s="8">
        <f>QS.CONTEXT.CREATE("market.9136",A9138,"USD","SOFR")</f>
        <v/>
      </c>
      <c r="D9138" s="8">
        <f>QS.CONTEXT.ADD.CURVE(C9138,"SOFR",$K$2:$K$7,$L$2:$L$7,,,"Actual360","LogLinear",TRUE)</f>
        <v/>
      </c>
      <c r="E9138" s="8">
        <f>QS.INSTRUMENT.SWAP("swap.9136",C9138,H9138,B9138,"USD","SOFR",I9138,J9138,0,"Actual360","Simple","Annual","Annual","Annual")</f>
        <v/>
      </c>
      <c r="F9138" s="8">
        <f>QS.TRADE.CREATE("trade.9136",C9138,E9138,A9138,"Receive")</f>
        <v/>
      </c>
      <c r="G9138" s="5"/>
      <c r="H9138" s="7" t="s">
        <v>9179</v>
      </c>
      <c r="I9138" s="9">
        <v>1913600</v>
      </c>
      <c r="J9138" s="10">
        <v>0.0386</v>
      </c>
    </row>
    <row r="9139" spans="1:10">
      <c r="A9139" s="7" t="s">
        <v>9173</v>
      </c>
      <c r="B9139" s="7" t="s">
        <v>11006</v>
      </c>
      <c r="C9139" s="8">
        <f>QS.CONTEXT.CREATE("market.9137",A9139,"USD","SOFR")</f>
        <v/>
      </c>
      <c r="D9139" s="8">
        <f>QS.CONTEXT.ADD.CURVE(C9139,"SOFR",$K$2:$K$7,$L$2:$L$7,,,"Actual360","LogLinear",TRUE)</f>
        <v/>
      </c>
      <c r="E9139" s="8">
        <f>QS.INSTRUMENT.SWAP("swap.9137",C9139,H9139,B9139,"USD","SOFR",I9139,J9139,0,"Actual360","Simple","Annual","Annual","Annual")</f>
        <v/>
      </c>
      <c r="F9139" s="8">
        <f>QS.TRADE.CREATE("trade.9137",C9139,E9139,A9139,"Receive")</f>
        <v/>
      </c>
      <c r="G9139" s="5"/>
      <c r="H9139" s="7" t="s">
        <v>9180</v>
      </c>
      <c r="I9139" s="9">
        <v>1913700</v>
      </c>
      <c r="J9139" s="10">
        <v>0.03870000000000001</v>
      </c>
    </row>
    <row r="9140" spans="1:10">
      <c r="A9140" s="7" t="s">
        <v>9174</v>
      </c>
      <c r="B9140" s="7" t="s">
        <v>11007</v>
      </c>
      <c r="C9140" s="8">
        <f>QS.CONTEXT.CREATE("market.9138",A9140,"USD","SOFR")</f>
        <v/>
      </c>
      <c r="D9140" s="8">
        <f>QS.CONTEXT.ADD.CURVE(C9140,"SOFR",$K$2:$K$7,$L$2:$L$7,,,"Actual360","LogLinear",TRUE)</f>
        <v/>
      </c>
      <c r="E9140" s="8">
        <f>QS.INSTRUMENT.SWAP("swap.9138",C9140,H9140,B9140,"USD","SOFR",I9140,J9140,0,"Actual360","Simple","Annual","Annual","Annual")</f>
        <v/>
      </c>
      <c r="F9140" s="8">
        <f>QS.TRADE.CREATE("trade.9138",C9140,E9140,A9140,"Receive")</f>
        <v/>
      </c>
      <c r="G9140" s="5"/>
      <c r="H9140" s="7" t="s">
        <v>9181</v>
      </c>
      <c r="I9140" s="9">
        <v>1913800</v>
      </c>
      <c r="J9140" s="10">
        <v>0.0388</v>
      </c>
    </row>
    <row r="9141" spans="1:10">
      <c r="A9141" s="7" t="s">
        <v>9175</v>
      </c>
      <c r="B9141" s="7" t="s">
        <v>11008</v>
      </c>
      <c r="C9141" s="8">
        <f>QS.CONTEXT.CREATE("market.9139",A9141,"USD","SOFR")</f>
        <v/>
      </c>
      <c r="D9141" s="8">
        <f>QS.CONTEXT.ADD.CURVE(C9141,"SOFR",$K$2:$K$7,$L$2:$L$7,,,"Actual360","LogLinear",TRUE)</f>
        <v/>
      </c>
      <c r="E9141" s="8">
        <f>QS.INSTRUMENT.SWAP("swap.9139",C9141,H9141,B9141,"USD","SOFR",I9141,J9141,0,"Actual360","Simple","Annual","Annual","Annual")</f>
        <v/>
      </c>
      <c r="F9141" s="8">
        <f>QS.TRADE.CREATE("trade.9139",C9141,E9141,A9141,"Receive")</f>
        <v/>
      </c>
      <c r="G9141" s="5"/>
      <c r="H9141" s="7" t="s">
        <v>9182</v>
      </c>
      <c r="I9141" s="9">
        <v>1913900</v>
      </c>
      <c r="J9141" s="10">
        <v>0.0389</v>
      </c>
    </row>
    <row r="9142" spans="1:10">
      <c r="A9142" s="7" t="s">
        <v>9176</v>
      </c>
      <c r="B9142" s="7" t="s">
        <v>11009</v>
      </c>
      <c r="C9142" s="8">
        <f>QS.CONTEXT.CREATE("market.9140",A9142,"USD","SOFR")</f>
        <v/>
      </c>
      <c r="D9142" s="8">
        <f>QS.CONTEXT.ADD.CURVE(C9142,"SOFR",$K$2:$K$7,$L$2:$L$7,,,"Actual360","LogLinear",TRUE)</f>
        <v/>
      </c>
      <c r="E9142" s="8">
        <f>QS.INSTRUMENT.SWAP("swap.9140",C9142,H9142,B9142,"USD","SOFR",I9142,J9142,0,"Actual360","Simple","Annual","Annual","Annual")</f>
        <v/>
      </c>
      <c r="F9142" s="8">
        <f>QS.TRADE.CREATE("trade.9140",C9142,E9142,A9142,"Receive")</f>
        <v/>
      </c>
      <c r="G9142" s="5"/>
      <c r="H9142" s="7" t="s">
        <v>9183</v>
      </c>
      <c r="I9142" s="9">
        <v>1914000</v>
      </c>
      <c r="J9142" s="10">
        <v>0.03900000000000001</v>
      </c>
    </row>
    <row r="9143" spans="1:10">
      <c r="A9143" s="7" t="s">
        <v>9177</v>
      </c>
      <c r="B9143" s="7" t="s">
        <v>11010</v>
      </c>
      <c r="C9143" s="8">
        <f>QS.CONTEXT.CREATE("market.9141",A9143,"USD","SOFR")</f>
        <v/>
      </c>
      <c r="D9143" s="8">
        <f>QS.CONTEXT.ADD.CURVE(C9143,"SOFR",$K$2:$K$7,$L$2:$L$7,,,"Actual360","LogLinear",TRUE)</f>
        <v/>
      </c>
      <c r="E9143" s="8">
        <f>QS.INSTRUMENT.SWAP("swap.9141",C9143,H9143,B9143,"USD","SOFR",I9143,J9143,0,"Actual360","Simple","Annual","Annual","Annual")</f>
        <v/>
      </c>
      <c r="F9143" s="8">
        <f>QS.TRADE.CREATE("trade.9141",C9143,E9143,A9143,"Receive")</f>
        <v/>
      </c>
      <c r="G9143" s="5"/>
      <c r="H9143" s="7" t="s">
        <v>9184</v>
      </c>
      <c r="I9143" s="9">
        <v>1914100</v>
      </c>
      <c r="J9143" s="10">
        <v>0.0391</v>
      </c>
    </row>
    <row r="9144" spans="1:10">
      <c r="A9144" s="7" t="s">
        <v>9178</v>
      </c>
      <c r="B9144" s="7" t="s">
        <v>11011</v>
      </c>
      <c r="C9144" s="8">
        <f>QS.CONTEXT.CREATE("market.9142",A9144,"USD","SOFR")</f>
        <v/>
      </c>
      <c r="D9144" s="8">
        <f>QS.CONTEXT.ADD.CURVE(C9144,"SOFR",$K$2:$K$7,$L$2:$L$7,,,"Actual360","LogLinear",TRUE)</f>
        <v/>
      </c>
      <c r="E9144" s="8">
        <f>QS.INSTRUMENT.SWAP("swap.9142",C9144,H9144,B9144,"USD","SOFR",I9144,J9144,0,"Actual360","Simple","Annual","Annual","Annual")</f>
        <v/>
      </c>
      <c r="F9144" s="8">
        <f>QS.TRADE.CREATE("trade.9142",C9144,E9144,A9144,"Receive")</f>
        <v/>
      </c>
      <c r="G9144" s="5"/>
      <c r="H9144" s="7" t="s">
        <v>9185</v>
      </c>
      <c r="I9144" s="9">
        <v>1914200</v>
      </c>
      <c r="J9144" s="10">
        <v>0.03920000000000001</v>
      </c>
    </row>
    <row r="9145" spans="1:10">
      <c r="A9145" s="7" t="s">
        <v>9179</v>
      </c>
      <c r="B9145" s="7" t="s">
        <v>11012</v>
      </c>
      <c r="C9145" s="8">
        <f>QS.CONTEXT.CREATE("market.9143",A9145,"USD","SOFR")</f>
        <v/>
      </c>
      <c r="D9145" s="8">
        <f>QS.CONTEXT.ADD.CURVE(C9145,"SOFR",$K$2:$K$7,$L$2:$L$7,,,"Actual360","LogLinear",TRUE)</f>
        <v/>
      </c>
      <c r="E9145" s="8">
        <f>QS.INSTRUMENT.SWAP("swap.9143",C9145,H9145,B9145,"USD","SOFR",I9145,J9145,0,"Actual360","Simple","Annual","Annual","Annual")</f>
        <v/>
      </c>
      <c r="F9145" s="8">
        <f>QS.TRADE.CREATE("trade.9143",C9145,E9145,A9145,"Receive")</f>
        <v/>
      </c>
      <c r="G9145" s="5"/>
      <c r="H9145" s="7" t="s">
        <v>9186</v>
      </c>
      <c r="I9145" s="9">
        <v>1914300</v>
      </c>
      <c r="J9145" s="10">
        <v>0.0393</v>
      </c>
    </row>
    <row r="9146" spans="1:10">
      <c r="A9146" s="7" t="s">
        <v>9180</v>
      </c>
      <c r="B9146" s="7" t="s">
        <v>11013</v>
      </c>
      <c r="C9146" s="8">
        <f>QS.CONTEXT.CREATE("market.9144",A9146,"USD","SOFR")</f>
        <v/>
      </c>
      <c r="D9146" s="8">
        <f>QS.CONTEXT.ADD.CURVE(C9146,"SOFR",$K$2:$K$7,$L$2:$L$7,,,"Actual360","LogLinear",TRUE)</f>
        <v/>
      </c>
      <c r="E9146" s="8">
        <f>QS.INSTRUMENT.SWAP("swap.9144",C9146,H9146,B9146,"USD","SOFR",I9146,J9146,0,"Actual360","Simple","Annual","Annual","Annual")</f>
        <v/>
      </c>
      <c r="F9146" s="8">
        <f>QS.TRADE.CREATE("trade.9144",C9146,E9146,A9146,"Receive")</f>
        <v/>
      </c>
      <c r="G9146" s="5"/>
      <c r="H9146" s="7" t="s">
        <v>9187</v>
      </c>
      <c r="I9146" s="9">
        <v>1914400</v>
      </c>
      <c r="J9146" s="10">
        <v>0.0394</v>
      </c>
    </row>
    <row r="9147" spans="1:10">
      <c r="A9147" s="7" t="s">
        <v>9181</v>
      </c>
      <c r="B9147" s="7" t="s">
        <v>11014</v>
      </c>
      <c r="C9147" s="8">
        <f>QS.CONTEXT.CREATE("market.9145",A9147,"USD","SOFR")</f>
        <v/>
      </c>
      <c r="D9147" s="8">
        <f>QS.CONTEXT.ADD.CURVE(C9147,"SOFR",$K$2:$K$7,$L$2:$L$7,,,"Actual360","LogLinear",TRUE)</f>
        <v/>
      </c>
      <c r="E9147" s="8">
        <f>QS.INSTRUMENT.SWAP("swap.9145",C9147,H9147,B9147,"USD","SOFR",I9147,J9147,0,"Actual360","Simple","Annual","Annual","Annual")</f>
        <v/>
      </c>
      <c r="F9147" s="8">
        <f>QS.TRADE.CREATE("trade.9145",C9147,E9147,A9147,"Receive")</f>
        <v/>
      </c>
      <c r="G9147" s="5"/>
      <c r="H9147" s="7" t="s">
        <v>9188</v>
      </c>
      <c r="I9147" s="9">
        <v>1914500</v>
      </c>
      <c r="J9147" s="10">
        <v>0.03950000000000001</v>
      </c>
    </row>
    <row r="9148" spans="1:10">
      <c r="A9148" s="7" t="s">
        <v>9182</v>
      </c>
      <c r="B9148" s="7" t="s">
        <v>11015</v>
      </c>
      <c r="C9148" s="8">
        <f>QS.CONTEXT.CREATE("market.9146",A9148,"USD","SOFR")</f>
        <v/>
      </c>
      <c r="D9148" s="8">
        <f>QS.CONTEXT.ADD.CURVE(C9148,"SOFR",$K$2:$K$7,$L$2:$L$7,,,"Actual360","LogLinear",TRUE)</f>
        <v/>
      </c>
      <c r="E9148" s="8">
        <f>QS.INSTRUMENT.SWAP("swap.9146",C9148,H9148,B9148,"USD","SOFR",I9148,J9148,0,"Actual360","Simple","Annual","Annual","Annual")</f>
        <v/>
      </c>
      <c r="F9148" s="8">
        <f>QS.TRADE.CREATE("trade.9146",C9148,E9148,A9148,"Receive")</f>
        <v/>
      </c>
      <c r="G9148" s="5"/>
      <c r="H9148" s="7" t="s">
        <v>9189</v>
      </c>
      <c r="I9148" s="9">
        <v>1914600</v>
      </c>
      <c r="J9148" s="10">
        <v>0.0396</v>
      </c>
    </row>
    <row r="9149" spans="1:10">
      <c r="A9149" s="7" t="s">
        <v>9183</v>
      </c>
      <c r="B9149" s="7" t="s">
        <v>11016</v>
      </c>
      <c r="C9149" s="8">
        <f>QS.CONTEXT.CREATE("market.9147",A9149,"USD","SOFR")</f>
        <v/>
      </c>
      <c r="D9149" s="8">
        <f>QS.CONTEXT.ADD.CURVE(C9149,"SOFR",$K$2:$K$7,$L$2:$L$7,,,"Actual360","LogLinear",TRUE)</f>
        <v/>
      </c>
      <c r="E9149" s="8">
        <f>QS.INSTRUMENT.SWAP("swap.9147",C9149,H9149,B9149,"USD","SOFR",I9149,J9149,0,"Actual360","Simple","Annual","Annual","Annual")</f>
        <v/>
      </c>
      <c r="F9149" s="8">
        <f>QS.TRADE.CREATE("trade.9147",C9149,E9149,A9149,"Receive")</f>
        <v/>
      </c>
      <c r="G9149" s="5"/>
      <c r="H9149" s="7" t="s">
        <v>9190</v>
      </c>
      <c r="I9149" s="9">
        <v>1914700</v>
      </c>
      <c r="J9149" s="10">
        <v>0.03970000000000001</v>
      </c>
    </row>
    <row r="9150" spans="1:10">
      <c r="A9150" s="7" t="s">
        <v>9184</v>
      </c>
      <c r="B9150" s="7" t="s">
        <v>11017</v>
      </c>
      <c r="C9150" s="8">
        <f>QS.CONTEXT.CREATE("market.9148",A9150,"USD","SOFR")</f>
        <v/>
      </c>
      <c r="D9150" s="8">
        <f>QS.CONTEXT.ADD.CURVE(C9150,"SOFR",$K$2:$K$7,$L$2:$L$7,,,"Actual360","LogLinear",TRUE)</f>
        <v/>
      </c>
      <c r="E9150" s="8">
        <f>QS.INSTRUMENT.SWAP("swap.9148",C9150,H9150,B9150,"USD","SOFR",I9150,J9150,0,"Actual360","Simple","Annual","Annual","Annual")</f>
        <v/>
      </c>
      <c r="F9150" s="8">
        <f>QS.TRADE.CREATE("trade.9148",C9150,E9150,A9150,"Receive")</f>
        <v/>
      </c>
      <c r="G9150" s="5"/>
      <c r="H9150" s="7" t="s">
        <v>9191</v>
      </c>
      <c r="I9150" s="9">
        <v>1914800</v>
      </c>
      <c r="J9150" s="10">
        <v>0.0398</v>
      </c>
    </row>
    <row r="9151" spans="1:10">
      <c r="A9151" s="7" t="s">
        <v>9185</v>
      </c>
      <c r="B9151" s="7" t="s">
        <v>11018</v>
      </c>
      <c r="C9151" s="8">
        <f>QS.CONTEXT.CREATE("market.9149",A9151,"USD","SOFR")</f>
        <v/>
      </c>
      <c r="D9151" s="8">
        <f>QS.CONTEXT.ADD.CURVE(C9151,"SOFR",$K$2:$K$7,$L$2:$L$7,,,"Actual360","LogLinear",TRUE)</f>
        <v/>
      </c>
      <c r="E9151" s="8">
        <f>QS.INSTRUMENT.SWAP("swap.9149",C9151,H9151,B9151,"USD","SOFR",I9151,J9151,0,"Actual360","Simple","Annual","Annual","Annual")</f>
        <v/>
      </c>
      <c r="F9151" s="8">
        <f>QS.TRADE.CREATE("trade.9149",C9151,E9151,A9151,"Receive")</f>
        <v/>
      </c>
      <c r="G9151" s="5"/>
      <c r="H9151" s="7" t="s">
        <v>9192</v>
      </c>
      <c r="I9151" s="9">
        <v>1914900</v>
      </c>
      <c r="J9151" s="10">
        <v>0.0399</v>
      </c>
    </row>
    <row r="9152" spans="1:10">
      <c r="A9152" s="7" t="s">
        <v>9186</v>
      </c>
      <c r="B9152" s="7" t="s">
        <v>11019</v>
      </c>
      <c r="C9152" s="8">
        <f>QS.CONTEXT.CREATE("market.9150",A9152,"USD","SOFR")</f>
        <v/>
      </c>
      <c r="D9152" s="8">
        <f>QS.CONTEXT.ADD.CURVE(C9152,"SOFR",$K$2:$K$7,$L$2:$L$7,,,"Actual360","LogLinear",TRUE)</f>
        <v/>
      </c>
      <c r="E9152" s="8">
        <f>QS.INSTRUMENT.SWAP("swap.9150",C9152,H9152,B9152,"USD","SOFR",I9152,J9152,0,"Actual360","Simple","Annual","Annual","Annual")</f>
        <v/>
      </c>
      <c r="F9152" s="8">
        <f>QS.TRADE.CREATE("trade.9150",C9152,E9152,A9152,"Receive")</f>
        <v/>
      </c>
      <c r="G9152" s="5"/>
      <c r="H9152" s="7" t="s">
        <v>9193</v>
      </c>
      <c r="I9152" s="9">
        <v>1915000</v>
      </c>
      <c r="J9152" s="10">
        <v>0.035</v>
      </c>
    </row>
    <row r="9153" spans="1:10">
      <c r="A9153" s="7" t="s">
        <v>9187</v>
      </c>
      <c r="B9153" s="7" t="s">
        <v>11020</v>
      </c>
      <c r="C9153" s="8">
        <f>QS.CONTEXT.CREATE("market.9151",A9153,"USD","SOFR")</f>
        <v/>
      </c>
      <c r="D9153" s="8">
        <f>QS.CONTEXT.ADD.CURVE(C9153,"SOFR",$K$2:$K$7,$L$2:$L$7,,,"Actual360","LogLinear",TRUE)</f>
        <v/>
      </c>
      <c r="E9153" s="8">
        <f>QS.INSTRUMENT.SWAP("swap.9151",C9153,H9153,B9153,"USD","SOFR",I9153,J9153,0,"Actual360","Simple","Annual","Annual","Annual")</f>
        <v/>
      </c>
      <c r="F9153" s="8">
        <f>QS.TRADE.CREATE("trade.9151",C9153,E9153,A9153,"Receive")</f>
        <v/>
      </c>
      <c r="G9153" s="5"/>
      <c r="H9153" s="7" t="s">
        <v>9194</v>
      </c>
      <c r="I9153" s="9">
        <v>1915100</v>
      </c>
      <c r="J9153" s="10">
        <v>0.03510000000000001</v>
      </c>
    </row>
    <row r="9154" spans="1:10">
      <c r="A9154" s="7" t="s">
        <v>9188</v>
      </c>
      <c r="B9154" s="7" t="s">
        <v>11021</v>
      </c>
      <c r="C9154" s="8">
        <f>QS.CONTEXT.CREATE("market.9152",A9154,"USD","SOFR")</f>
        <v/>
      </c>
      <c r="D9154" s="8">
        <f>QS.CONTEXT.ADD.CURVE(C9154,"SOFR",$K$2:$K$7,$L$2:$L$7,,,"Actual360","LogLinear",TRUE)</f>
        <v/>
      </c>
      <c r="E9154" s="8">
        <f>QS.INSTRUMENT.SWAP("swap.9152",C9154,H9154,B9154,"USD","SOFR",I9154,J9154,0,"Actual360","Simple","Annual","Annual","Annual")</f>
        <v/>
      </c>
      <c r="F9154" s="8">
        <f>QS.TRADE.CREATE("trade.9152",C9154,E9154,A9154,"Receive")</f>
        <v/>
      </c>
      <c r="G9154" s="5"/>
      <c r="H9154" s="7" t="s">
        <v>9195</v>
      </c>
      <c r="I9154" s="9">
        <v>1915200</v>
      </c>
      <c r="J9154" s="10">
        <v>0.0352</v>
      </c>
    </row>
    <row r="9155" spans="1:10">
      <c r="A9155" s="7" t="s">
        <v>9189</v>
      </c>
      <c r="B9155" s="7" t="s">
        <v>11022</v>
      </c>
      <c r="C9155" s="8">
        <f>QS.CONTEXT.CREATE("market.9153",A9155,"USD","SOFR")</f>
        <v/>
      </c>
      <c r="D9155" s="8">
        <f>QS.CONTEXT.ADD.CURVE(C9155,"SOFR",$K$2:$K$7,$L$2:$L$7,,,"Actual360","LogLinear",TRUE)</f>
        <v/>
      </c>
      <c r="E9155" s="8">
        <f>QS.INSTRUMENT.SWAP("swap.9153",C9155,H9155,B9155,"USD","SOFR",I9155,J9155,0,"Actual360","Simple","Annual","Annual","Annual")</f>
        <v/>
      </c>
      <c r="F9155" s="8">
        <f>QS.TRADE.CREATE("trade.9153",C9155,E9155,A9155,"Receive")</f>
        <v/>
      </c>
      <c r="G9155" s="5"/>
      <c r="H9155" s="7" t="s">
        <v>9196</v>
      </c>
      <c r="I9155" s="9">
        <v>1915300</v>
      </c>
      <c r="J9155" s="10">
        <v>0.0353</v>
      </c>
    </row>
    <row r="9156" spans="1:10">
      <c r="A9156" s="7" t="s">
        <v>9190</v>
      </c>
      <c r="B9156" s="7" t="s">
        <v>11023</v>
      </c>
      <c r="C9156" s="8">
        <f>QS.CONTEXT.CREATE("market.9154",A9156,"USD","SOFR")</f>
        <v/>
      </c>
      <c r="D9156" s="8">
        <f>QS.CONTEXT.ADD.CURVE(C9156,"SOFR",$K$2:$K$7,$L$2:$L$7,,,"Actual360","LogLinear",TRUE)</f>
        <v/>
      </c>
      <c r="E9156" s="8">
        <f>QS.INSTRUMENT.SWAP("swap.9154",C9156,H9156,B9156,"USD","SOFR",I9156,J9156,0,"Actual360","Simple","Annual","Annual","Annual")</f>
        <v/>
      </c>
      <c r="F9156" s="8">
        <f>QS.TRADE.CREATE("trade.9154",C9156,E9156,A9156,"Receive")</f>
        <v/>
      </c>
      <c r="G9156" s="5"/>
      <c r="H9156" s="7" t="s">
        <v>9197</v>
      </c>
      <c r="I9156" s="9">
        <v>1915400</v>
      </c>
      <c r="J9156" s="10">
        <v>0.0354</v>
      </c>
    </row>
    <row r="9157" spans="1:10">
      <c r="A9157" s="7" t="s">
        <v>9191</v>
      </c>
      <c r="B9157" s="7" t="s">
        <v>11024</v>
      </c>
      <c r="C9157" s="8">
        <f>QS.CONTEXT.CREATE("market.9155",A9157,"USD","SOFR")</f>
        <v/>
      </c>
      <c r="D9157" s="8">
        <f>QS.CONTEXT.ADD.CURVE(C9157,"SOFR",$K$2:$K$7,$L$2:$L$7,,,"Actual360","LogLinear",TRUE)</f>
        <v/>
      </c>
      <c r="E9157" s="8">
        <f>QS.INSTRUMENT.SWAP("swap.9155",C9157,H9157,B9157,"USD","SOFR",I9157,J9157,0,"Actual360","Simple","Annual","Annual","Annual")</f>
        <v/>
      </c>
      <c r="F9157" s="8">
        <f>QS.TRADE.CREATE("trade.9155",C9157,E9157,A9157,"Receive")</f>
        <v/>
      </c>
      <c r="G9157" s="5"/>
      <c r="H9157" s="7" t="s">
        <v>9198</v>
      </c>
      <c r="I9157" s="9">
        <v>1915500</v>
      </c>
      <c r="J9157" s="10">
        <v>0.0355</v>
      </c>
    </row>
    <row r="9158" spans="1:10">
      <c r="A9158" s="7" t="s">
        <v>9192</v>
      </c>
      <c r="B9158" s="7" t="s">
        <v>11025</v>
      </c>
      <c r="C9158" s="8">
        <f>QS.CONTEXT.CREATE("market.9156",A9158,"USD","SOFR")</f>
        <v/>
      </c>
      <c r="D9158" s="8">
        <f>QS.CONTEXT.ADD.CURVE(C9158,"SOFR",$K$2:$K$7,$L$2:$L$7,,,"Actual360","LogLinear",TRUE)</f>
        <v/>
      </c>
      <c r="E9158" s="8">
        <f>QS.INSTRUMENT.SWAP("swap.9156",C9158,H9158,B9158,"USD","SOFR",I9158,J9158,0,"Actual360","Simple","Annual","Annual","Annual")</f>
        <v/>
      </c>
      <c r="F9158" s="8">
        <f>QS.TRADE.CREATE("trade.9156",C9158,E9158,A9158,"Receive")</f>
        <v/>
      </c>
      <c r="G9158" s="5"/>
      <c r="H9158" s="7" t="s">
        <v>9199</v>
      </c>
      <c r="I9158" s="9">
        <v>1915600</v>
      </c>
      <c r="J9158" s="10">
        <v>0.03560000000000001</v>
      </c>
    </row>
    <row r="9159" spans="1:10">
      <c r="A9159" s="7" t="s">
        <v>9193</v>
      </c>
      <c r="B9159" s="7" t="s">
        <v>11026</v>
      </c>
      <c r="C9159" s="8">
        <f>QS.CONTEXT.CREATE("market.9157",A9159,"USD","SOFR")</f>
        <v/>
      </c>
      <c r="D9159" s="8">
        <f>QS.CONTEXT.ADD.CURVE(C9159,"SOFR",$K$2:$K$7,$L$2:$L$7,,,"Actual360","LogLinear",TRUE)</f>
        <v/>
      </c>
      <c r="E9159" s="8">
        <f>QS.INSTRUMENT.SWAP("swap.9157",C9159,H9159,B9159,"USD","SOFR",I9159,J9159,0,"Actual360","Simple","Annual","Annual","Annual")</f>
        <v/>
      </c>
      <c r="F9159" s="8">
        <f>QS.TRADE.CREATE("trade.9157",C9159,E9159,A9159,"Receive")</f>
        <v/>
      </c>
      <c r="G9159" s="5"/>
      <c r="H9159" s="7" t="s">
        <v>9200</v>
      </c>
      <c r="I9159" s="9">
        <v>1915700</v>
      </c>
      <c r="J9159" s="10">
        <v>0.0357</v>
      </c>
    </row>
    <row r="9160" spans="1:10">
      <c r="A9160" s="7" t="s">
        <v>9194</v>
      </c>
      <c r="B9160" s="7" t="s">
        <v>11027</v>
      </c>
      <c r="C9160" s="8">
        <f>QS.CONTEXT.CREATE("market.9158",A9160,"USD","SOFR")</f>
        <v/>
      </c>
      <c r="D9160" s="8">
        <f>QS.CONTEXT.ADD.CURVE(C9160,"SOFR",$K$2:$K$7,$L$2:$L$7,,,"Actual360","LogLinear",TRUE)</f>
        <v/>
      </c>
      <c r="E9160" s="8">
        <f>QS.INSTRUMENT.SWAP("swap.9158",C9160,H9160,B9160,"USD","SOFR",I9160,J9160,0,"Actual360","Simple","Annual","Annual","Annual")</f>
        <v/>
      </c>
      <c r="F9160" s="8">
        <f>QS.TRADE.CREATE("trade.9158",C9160,E9160,A9160,"Receive")</f>
        <v/>
      </c>
      <c r="G9160" s="5"/>
      <c r="H9160" s="7" t="s">
        <v>9201</v>
      </c>
      <c r="I9160" s="9">
        <v>1915800</v>
      </c>
      <c r="J9160" s="10">
        <v>0.03580000000000001</v>
      </c>
    </row>
    <row r="9161" spans="1:10">
      <c r="A9161" s="7" t="s">
        <v>9195</v>
      </c>
      <c r="B9161" s="7" t="s">
        <v>11028</v>
      </c>
      <c r="C9161" s="8">
        <f>QS.CONTEXT.CREATE("market.9159",A9161,"USD","SOFR")</f>
        <v/>
      </c>
      <c r="D9161" s="8">
        <f>QS.CONTEXT.ADD.CURVE(C9161,"SOFR",$K$2:$K$7,$L$2:$L$7,,,"Actual360","LogLinear",TRUE)</f>
        <v/>
      </c>
      <c r="E9161" s="8">
        <f>QS.INSTRUMENT.SWAP("swap.9159",C9161,H9161,B9161,"USD","SOFR",I9161,J9161,0,"Actual360","Simple","Annual","Annual","Annual")</f>
        <v/>
      </c>
      <c r="F9161" s="8">
        <f>QS.TRADE.CREATE("trade.9159",C9161,E9161,A9161,"Receive")</f>
        <v/>
      </c>
      <c r="G9161" s="5"/>
      <c r="H9161" s="7" t="s">
        <v>9202</v>
      </c>
      <c r="I9161" s="9">
        <v>1915900</v>
      </c>
      <c r="J9161" s="10">
        <v>0.0359</v>
      </c>
    </row>
    <row r="9162" spans="1:10">
      <c r="A9162" s="7" t="s">
        <v>9196</v>
      </c>
      <c r="B9162" s="7" t="s">
        <v>11029</v>
      </c>
      <c r="C9162" s="8">
        <f>QS.CONTEXT.CREATE("market.9160",A9162,"USD","SOFR")</f>
        <v/>
      </c>
      <c r="D9162" s="8">
        <f>QS.CONTEXT.ADD.CURVE(C9162,"SOFR",$K$2:$K$7,$L$2:$L$7,,,"Actual360","LogLinear",TRUE)</f>
        <v/>
      </c>
      <c r="E9162" s="8">
        <f>QS.INSTRUMENT.SWAP("swap.9160",C9162,H9162,B9162,"USD","SOFR",I9162,J9162,0,"Actual360","Simple","Annual","Annual","Annual")</f>
        <v/>
      </c>
      <c r="F9162" s="8">
        <f>QS.TRADE.CREATE("trade.9160",C9162,E9162,A9162,"Receive")</f>
        <v/>
      </c>
      <c r="G9162" s="5"/>
      <c r="H9162" s="7" t="s">
        <v>9203</v>
      </c>
      <c r="I9162" s="9">
        <v>1916000</v>
      </c>
      <c r="J9162" s="10">
        <v>0.036</v>
      </c>
    </row>
    <row r="9163" spans="1:10">
      <c r="A9163" s="7" t="s">
        <v>9197</v>
      </c>
      <c r="B9163" s="7" t="s">
        <v>11030</v>
      </c>
      <c r="C9163" s="8">
        <f>QS.CONTEXT.CREATE("market.9161",A9163,"USD","SOFR")</f>
        <v/>
      </c>
      <c r="D9163" s="8">
        <f>QS.CONTEXT.ADD.CURVE(C9163,"SOFR",$K$2:$K$7,$L$2:$L$7,,,"Actual360","LogLinear",TRUE)</f>
        <v/>
      </c>
      <c r="E9163" s="8">
        <f>QS.INSTRUMENT.SWAP("swap.9161",C9163,H9163,B9163,"USD","SOFR",I9163,J9163,0,"Actual360","Simple","Annual","Annual","Annual")</f>
        <v/>
      </c>
      <c r="F9163" s="8">
        <f>QS.TRADE.CREATE("trade.9161",C9163,E9163,A9163,"Receive")</f>
        <v/>
      </c>
      <c r="G9163" s="5"/>
      <c r="H9163" s="7" t="s">
        <v>9204</v>
      </c>
      <c r="I9163" s="9">
        <v>1916100</v>
      </c>
      <c r="J9163" s="10">
        <v>0.0361</v>
      </c>
    </row>
    <row r="9164" spans="1:10">
      <c r="A9164" s="7" t="s">
        <v>9198</v>
      </c>
      <c r="B9164" s="7" t="s">
        <v>11031</v>
      </c>
      <c r="C9164" s="8">
        <f>QS.CONTEXT.CREATE("market.9162",A9164,"USD","SOFR")</f>
        <v/>
      </c>
      <c r="D9164" s="8">
        <f>QS.CONTEXT.ADD.CURVE(C9164,"SOFR",$K$2:$K$7,$L$2:$L$7,,,"Actual360","LogLinear",TRUE)</f>
        <v/>
      </c>
      <c r="E9164" s="8">
        <f>QS.INSTRUMENT.SWAP("swap.9162",C9164,H9164,B9164,"USD","SOFR",I9164,J9164,0,"Actual360","Simple","Annual","Annual","Annual")</f>
        <v/>
      </c>
      <c r="F9164" s="8">
        <f>QS.TRADE.CREATE("trade.9162",C9164,E9164,A9164,"Receive")</f>
        <v/>
      </c>
      <c r="G9164" s="5"/>
      <c r="H9164" s="7" t="s">
        <v>9205</v>
      </c>
      <c r="I9164" s="9">
        <v>1916200</v>
      </c>
      <c r="J9164" s="10">
        <v>0.0362</v>
      </c>
    </row>
    <row r="9165" spans="1:10">
      <c r="A9165" s="7" t="s">
        <v>9199</v>
      </c>
      <c r="B9165" s="7" t="s">
        <v>11032</v>
      </c>
      <c r="C9165" s="8">
        <f>QS.CONTEXT.CREATE("market.9163",A9165,"USD","SOFR")</f>
        <v/>
      </c>
      <c r="D9165" s="8">
        <f>QS.CONTEXT.ADD.CURVE(C9165,"SOFR",$K$2:$K$7,$L$2:$L$7,,,"Actual360","LogLinear",TRUE)</f>
        <v/>
      </c>
      <c r="E9165" s="8">
        <f>QS.INSTRUMENT.SWAP("swap.9163",C9165,H9165,B9165,"USD","SOFR",I9165,J9165,0,"Actual360","Simple","Annual","Annual","Annual")</f>
        <v/>
      </c>
      <c r="F9165" s="8">
        <f>QS.TRADE.CREATE("trade.9163",C9165,E9165,A9165,"Receive")</f>
        <v/>
      </c>
      <c r="G9165" s="5"/>
      <c r="H9165" s="7" t="s">
        <v>9206</v>
      </c>
      <c r="I9165" s="9">
        <v>1916300</v>
      </c>
      <c r="J9165" s="10">
        <v>0.03630000000000001</v>
      </c>
    </row>
    <row r="9166" spans="1:10">
      <c r="A9166" s="7" t="s">
        <v>9200</v>
      </c>
      <c r="B9166" s="7" t="s">
        <v>11033</v>
      </c>
      <c r="C9166" s="8">
        <f>QS.CONTEXT.CREATE("market.9164",A9166,"USD","SOFR")</f>
        <v/>
      </c>
      <c r="D9166" s="8">
        <f>QS.CONTEXT.ADD.CURVE(C9166,"SOFR",$K$2:$K$7,$L$2:$L$7,,,"Actual360","LogLinear",TRUE)</f>
        <v/>
      </c>
      <c r="E9166" s="8">
        <f>QS.INSTRUMENT.SWAP("swap.9164",C9166,H9166,B9166,"USD","SOFR",I9166,J9166,0,"Actual360","Simple","Annual","Annual","Annual")</f>
        <v/>
      </c>
      <c r="F9166" s="8">
        <f>QS.TRADE.CREATE("trade.9164",C9166,E9166,A9166,"Receive")</f>
        <v/>
      </c>
      <c r="G9166" s="5"/>
      <c r="H9166" s="7" t="s">
        <v>9207</v>
      </c>
      <c r="I9166" s="9">
        <v>1916400</v>
      </c>
      <c r="J9166" s="10">
        <v>0.0364</v>
      </c>
    </row>
    <row r="9167" spans="1:10">
      <c r="A9167" s="7" t="s">
        <v>9201</v>
      </c>
      <c r="B9167" s="7" t="s">
        <v>11034</v>
      </c>
      <c r="C9167" s="8">
        <f>QS.CONTEXT.CREATE("market.9165",A9167,"USD","SOFR")</f>
        <v/>
      </c>
      <c r="D9167" s="8">
        <f>QS.CONTEXT.ADD.CURVE(C9167,"SOFR",$K$2:$K$7,$L$2:$L$7,,,"Actual360","LogLinear",TRUE)</f>
        <v/>
      </c>
      <c r="E9167" s="8">
        <f>QS.INSTRUMENT.SWAP("swap.9165",C9167,H9167,B9167,"USD","SOFR",I9167,J9167,0,"Actual360","Simple","Annual","Annual","Annual")</f>
        <v/>
      </c>
      <c r="F9167" s="8">
        <f>QS.TRADE.CREATE("trade.9165",C9167,E9167,A9167,"Receive")</f>
        <v/>
      </c>
      <c r="G9167" s="5"/>
      <c r="H9167" s="7" t="s">
        <v>9208</v>
      </c>
      <c r="I9167" s="9">
        <v>1916500</v>
      </c>
      <c r="J9167" s="10">
        <v>0.0365</v>
      </c>
    </row>
    <row r="9168" spans="1:10">
      <c r="A9168" s="7" t="s">
        <v>9202</v>
      </c>
      <c r="B9168" s="7" t="s">
        <v>11035</v>
      </c>
      <c r="C9168" s="8">
        <f>QS.CONTEXT.CREATE("market.9166",A9168,"USD","SOFR")</f>
        <v/>
      </c>
      <c r="D9168" s="8">
        <f>QS.CONTEXT.ADD.CURVE(C9168,"SOFR",$K$2:$K$7,$L$2:$L$7,,,"Actual360","LogLinear",TRUE)</f>
        <v/>
      </c>
      <c r="E9168" s="8">
        <f>QS.INSTRUMENT.SWAP("swap.9166",C9168,H9168,B9168,"USD","SOFR",I9168,J9168,0,"Actual360","Simple","Annual","Annual","Annual")</f>
        <v/>
      </c>
      <c r="F9168" s="8">
        <f>QS.TRADE.CREATE("trade.9166",C9168,E9168,A9168,"Receive")</f>
        <v/>
      </c>
      <c r="G9168" s="5"/>
      <c r="H9168" s="7" t="s">
        <v>9209</v>
      </c>
      <c r="I9168" s="9">
        <v>1916600</v>
      </c>
      <c r="J9168" s="10">
        <v>0.0366</v>
      </c>
    </row>
    <row r="9169" spans="1:10">
      <c r="A9169" s="7" t="s">
        <v>9203</v>
      </c>
      <c r="B9169" s="7" t="s">
        <v>11036</v>
      </c>
      <c r="C9169" s="8">
        <f>QS.CONTEXT.CREATE("market.9167",A9169,"USD","SOFR")</f>
        <v/>
      </c>
      <c r="D9169" s="8">
        <f>QS.CONTEXT.ADD.CURVE(C9169,"SOFR",$K$2:$K$7,$L$2:$L$7,,,"Actual360","LogLinear",TRUE)</f>
        <v/>
      </c>
      <c r="E9169" s="8">
        <f>QS.INSTRUMENT.SWAP("swap.9167",C9169,H9169,B9169,"USD","SOFR",I9169,J9169,0,"Actual360","Simple","Annual","Annual","Annual")</f>
        <v/>
      </c>
      <c r="F9169" s="8">
        <f>QS.TRADE.CREATE("trade.9167",C9169,E9169,A9169,"Receive")</f>
        <v/>
      </c>
      <c r="G9169" s="5"/>
      <c r="H9169" s="7" t="s">
        <v>9210</v>
      </c>
      <c r="I9169" s="9">
        <v>1916700</v>
      </c>
      <c r="J9169" s="10">
        <v>0.0367</v>
      </c>
    </row>
    <row r="9170" spans="1:10">
      <c r="A9170" s="7" t="s">
        <v>9204</v>
      </c>
      <c r="B9170" s="7" t="s">
        <v>11037</v>
      </c>
      <c r="C9170" s="8">
        <f>QS.CONTEXT.CREATE("market.9168",A9170,"USD","SOFR")</f>
        <v/>
      </c>
      <c r="D9170" s="8">
        <f>QS.CONTEXT.ADD.CURVE(C9170,"SOFR",$K$2:$K$7,$L$2:$L$7,,,"Actual360","LogLinear",TRUE)</f>
        <v/>
      </c>
      <c r="E9170" s="8">
        <f>QS.INSTRUMENT.SWAP("swap.9168",C9170,H9170,B9170,"USD","SOFR",I9170,J9170,0,"Actual360","Simple","Annual","Annual","Annual")</f>
        <v/>
      </c>
      <c r="F9170" s="8">
        <f>QS.TRADE.CREATE("trade.9168",C9170,E9170,A9170,"Receive")</f>
        <v/>
      </c>
      <c r="G9170" s="5"/>
      <c r="H9170" s="7" t="s">
        <v>9211</v>
      </c>
      <c r="I9170" s="9">
        <v>1916800</v>
      </c>
      <c r="J9170" s="10">
        <v>0.03680000000000001</v>
      </c>
    </row>
    <row r="9171" spans="1:10">
      <c r="A9171" s="7" t="s">
        <v>9205</v>
      </c>
      <c r="B9171" s="7" t="s">
        <v>11038</v>
      </c>
      <c r="C9171" s="8">
        <f>QS.CONTEXT.CREATE("market.9169",A9171,"USD","SOFR")</f>
        <v/>
      </c>
      <c r="D9171" s="8">
        <f>QS.CONTEXT.ADD.CURVE(C9171,"SOFR",$K$2:$K$7,$L$2:$L$7,,,"Actual360","LogLinear",TRUE)</f>
        <v/>
      </c>
      <c r="E9171" s="8">
        <f>QS.INSTRUMENT.SWAP("swap.9169",C9171,H9171,B9171,"USD","SOFR",I9171,J9171,0,"Actual360","Simple","Annual","Annual","Annual")</f>
        <v/>
      </c>
      <c r="F9171" s="8">
        <f>QS.TRADE.CREATE("trade.9169",C9171,E9171,A9171,"Receive")</f>
        <v/>
      </c>
      <c r="G9171" s="5"/>
      <c r="H9171" s="7" t="s">
        <v>9212</v>
      </c>
      <c r="I9171" s="9">
        <v>1916900</v>
      </c>
      <c r="J9171" s="10">
        <v>0.0369</v>
      </c>
    </row>
    <row r="9172" spans="1:10">
      <c r="A9172" s="7" t="s">
        <v>9206</v>
      </c>
      <c r="B9172" s="7" t="s">
        <v>11039</v>
      </c>
      <c r="C9172" s="8">
        <f>QS.CONTEXT.CREATE("market.9170",A9172,"USD","SOFR")</f>
        <v/>
      </c>
      <c r="D9172" s="8">
        <f>QS.CONTEXT.ADD.CURVE(C9172,"SOFR",$K$2:$K$7,$L$2:$L$7,,,"Actual360","LogLinear",TRUE)</f>
        <v/>
      </c>
      <c r="E9172" s="8">
        <f>QS.INSTRUMENT.SWAP("swap.9170",C9172,H9172,B9172,"USD","SOFR",I9172,J9172,0,"Actual360","Simple","Annual","Annual","Annual")</f>
        <v/>
      </c>
      <c r="F9172" s="8">
        <f>QS.TRADE.CREATE("trade.9170",C9172,E9172,A9172,"Receive")</f>
        <v/>
      </c>
      <c r="G9172" s="5"/>
      <c r="H9172" s="7" t="s">
        <v>9213</v>
      </c>
      <c r="I9172" s="9">
        <v>1917000</v>
      </c>
      <c r="J9172" s="10">
        <v>0.03700000000000001</v>
      </c>
    </row>
    <row r="9173" spans="1:10">
      <c r="A9173" s="7" t="s">
        <v>9207</v>
      </c>
      <c r="B9173" s="7" t="s">
        <v>11040</v>
      </c>
      <c r="C9173" s="8">
        <f>QS.CONTEXT.CREATE("market.9171",A9173,"USD","SOFR")</f>
        <v/>
      </c>
      <c r="D9173" s="8">
        <f>QS.CONTEXT.ADD.CURVE(C9173,"SOFR",$K$2:$K$7,$L$2:$L$7,,,"Actual360","LogLinear",TRUE)</f>
        <v/>
      </c>
      <c r="E9173" s="8">
        <f>QS.INSTRUMENT.SWAP("swap.9171",C9173,H9173,B9173,"USD","SOFR",I9173,J9173,0,"Actual360","Simple","Annual","Annual","Annual")</f>
        <v/>
      </c>
      <c r="F9173" s="8">
        <f>QS.TRADE.CREATE("trade.9171",C9173,E9173,A9173,"Receive")</f>
        <v/>
      </c>
      <c r="G9173" s="5"/>
      <c r="H9173" s="7" t="s">
        <v>9214</v>
      </c>
      <c r="I9173" s="9">
        <v>1917100</v>
      </c>
      <c r="J9173" s="10">
        <v>0.0371</v>
      </c>
    </row>
    <row r="9174" spans="1:10">
      <c r="A9174" s="7" t="s">
        <v>9208</v>
      </c>
      <c r="B9174" s="7" t="s">
        <v>11041</v>
      </c>
      <c r="C9174" s="8">
        <f>QS.CONTEXT.CREATE("market.9172",A9174,"USD","SOFR")</f>
        <v/>
      </c>
      <c r="D9174" s="8">
        <f>QS.CONTEXT.ADD.CURVE(C9174,"SOFR",$K$2:$K$7,$L$2:$L$7,,,"Actual360","LogLinear",TRUE)</f>
        <v/>
      </c>
      <c r="E9174" s="8">
        <f>QS.INSTRUMENT.SWAP("swap.9172",C9174,H9174,B9174,"USD","SOFR",I9174,J9174,0,"Actual360","Simple","Annual","Annual","Annual")</f>
        <v/>
      </c>
      <c r="F9174" s="8">
        <f>QS.TRADE.CREATE("trade.9172",C9174,E9174,A9174,"Receive")</f>
        <v/>
      </c>
      <c r="G9174" s="5"/>
      <c r="H9174" s="7" t="s">
        <v>9215</v>
      </c>
      <c r="I9174" s="9">
        <v>1917200</v>
      </c>
      <c r="J9174" s="10">
        <v>0.0372</v>
      </c>
    </row>
    <row r="9175" spans="1:10">
      <c r="A9175" s="7" t="s">
        <v>9209</v>
      </c>
      <c r="B9175" s="7" t="s">
        <v>11042</v>
      </c>
      <c r="C9175" s="8">
        <f>QS.CONTEXT.CREATE("market.9173",A9175,"USD","SOFR")</f>
        <v/>
      </c>
      <c r="D9175" s="8">
        <f>QS.CONTEXT.ADD.CURVE(C9175,"SOFR",$K$2:$K$7,$L$2:$L$7,,,"Actual360","LogLinear",TRUE)</f>
        <v/>
      </c>
      <c r="E9175" s="8">
        <f>QS.INSTRUMENT.SWAP("swap.9173",C9175,H9175,B9175,"USD","SOFR",I9175,J9175,0,"Actual360","Simple","Annual","Annual","Annual")</f>
        <v/>
      </c>
      <c r="F9175" s="8">
        <f>QS.TRADE.CREATE("trade.9173",C9175,E9175,A9175,"Receive")</f>
        <v/>
      </c>
      <c r="G9175" s="5"/>
      <c r="H9175" s="7" t="s">
        <v>9216</v>
      </c>
      <c r="I9175" s="9">
        <v>1917300</v>
      </c>
      <c r="J9175" s="10">
        <v>0.0373</v>
      </c>
    </row>
    <row r="9176" spans="1:10">
      <c r="A9176" s="7" t="s">
        <v>9210</v>
      </c>
      <c r="B9176" s="7" t="s">
        <v>11043</v>
      </c>
      <c r="C9176" s="8">
        <f>QS.CONTEXT.CREATE("market.9174",A9176,"USD","SOFR")</f>
        <v/>
      </c>
      <c r="D9176" s="8">
        <f>QS.CONTEXT.ADD.CURVE(C9176,"SOFR",$K$2:$K$7,$L$2:$L$7,,,"Actual360","LogLinear",TRUE)</f>
        <v/>
      </c>
      <c r="E9176" s="8">
        <f>QS.INSTRUMENT.SWAP("swap.9174",C9176,H9176,B9176,"USD","SOFR",I9176,J9176,0,"Actual360","Simple","Annual","Annual","Annual")</f>
        <v/>
      </c>
      <c r="F9176" s="8">
        <f>QS.TRADE.CREATE("trade.9174",C9176,E9176,A9176,"Receive")</f>
        <v/>
      </c>
      <c r="G9176" s="5"/>
      <c r="H9176" s="7" t="s">
        <v>9217</v>
      </c>
      <c r="I9176" s="9">
        <v>1917400</v>
      </c>
      <c r="J9176" s="10">
        <v>0.0374</v>
      </c>
    </row>
    <row r="9177" spans="1:10">
      <c r="A9177" s="7" t="s">
        <v>9211</v>
      </c>
      <c r="B9177" s="7" t="s">
        <v>11044</v>
      </c>
      <c r="C9177" s="8">
        <f>QS.CONTEXT.CREATE("market.9175",A9177,"USD","SOFR")</f>
        <v/>
      </c>
      <c r="D9177" s="8">
        <f>QS.CONTEXT.ADD.CURVE(C9177,"SOFR",$K$2:$K$7,$L$2:$L$7,,,"Actual360","LogLinear",TRUE)</f>
        <v/>
      </c>
      <c r="E9177" s="8">
        <f>QS.INSTRUMENT.SWAP("swap.9175",C9177,H9177,B9177,"USD","SOFR",I9177,J9177,0,"Actual360","Simple","Annual","Annual","Annual")</f>
        <v/>
      </c>
      <c r="F9177" s="8">
        <f>QS.TRADE.CREATE("trade.9175",C9177,E9177,A9177,"Receive")</f>
        <v/>
      </c>
      <c r="G9177" s="5"/>
      <c r="H9177" s="7" t="s">
        <v>9218</v>
      </c>
      <c r="I9177" s="9">
        <v>1917500</v>
      </c>
      <c r="J9177" s="10">
        <v>0.03750000000000001</v>
      </c>
    </row>
    <row r="9178" spans="1:10">
      <c r="A9178" s="7" t="s">
        <v>9212</v>
      </c>
      <c r="B9178" s="7" t="s">
        <v>11045</v>
      </c>
      <c r="C9178" s="8">
        <f>QS.CONTEXT.CREATE("market.9176",A9178,"USD","SOFR")</f>
        <v/>
      </c>
      <c r="D9178" s="8">
        <f>QS.CONTEXT.ADD.CURVE(C9178,"SOFR",$K$2:$K$7,$L$2:$L$7,,,"Actual360","LogLinear",TRUE)</f>
        <v/>
      </c>
      <c r="E9178" s="8">
        <f>QS.INSTRUMENT.SWAP("swap.9176",C9178,H9178,B9178,"USD","SOFR",I9178,J9178,0,"Actual360","Simple","Annual","Annual","Annual")</f>
        <v/>
      </c>
      <c r="F9178" s="8">
        <f>QS.TRADE.CREATE("trade.9176",C9178,E9178,A9178,"Receive")</f>
        <v/>
      </c>
      <c r="G9178" s="5"/>
      <c r="H9178" s="7" t="s">
        <v>9219</v>
      </c>
      <c r="I9178" s="9">
        <v>1917600</v>
      </c>
      <c r="J9178" s="10">
        <v>0.0376</v>
      </c>
    </row>
    <row r="9179" spans="1:10">
      <c r="A9179" s="7" t="s">
        <v>9213</v>
      </c>
      <c r="B9179" s="7" t="s">
        <v>11046</v>
      </c>
      <c r="C9179" s="8">
        <f>QS.CONTEXT.CREATE("market.9177",A9179,"USD","SOFR")</f>
        <v/>
      </c>
      <c r="D9179" s="8">
        <f>QS.CONTEXT.ADD.CURVE(C9179,"SOFR",$K$2:$K$7,$L$2:$L$7,,,"Actual360","LogLinear",TRUE)</f>
        <v/>
      </c>
      <c r="E9179" s="8">
        <f>QS.INSTRUMENT.SWAP("swap.9177",C9179,H9179,B9179,"USD","SOFR",I9179,J9179,0,"Actual360","Simple","Annual","Annual","Annual")</f>
        <v/>
      </c>
      <c r="F9179" s="8">
        <f>QS.TRADE.CREATE("trade.9177",C9179,E9179,A9179,"Receive")</f>
        <v/>
      </c>
      <c r="G9179" s="5"/>
      <c r="H9179" s="7" t="s">
        <v>9220</v>
      </c>
      <c r="I9179" s="9">
        <v>1917700</v>
      </c>
      <c r="J9179" s="10">
        <v>0.0377</v>
      </c>
    </row>
    <row r="9180" spans="1:10">
      <c r="A9180" s="7" t="s">
        <v>9214</v>
      </c>
      <c r="B9180" s="7" t="s">
        <v>11047</v>
      </c>
      <c r="C9180" s="8">
        <f>QS.CONTEXT.CREATE("market.9178",A9180,"USD","SOFR")</f>
        <v/>
      </c>
      <c r="D9180" s="8">
        <f>QS.CONTEXT.ADD.CURVE(C9180,"SOFR",$K$2:$K$7,$L$2:$L$7,,,"Actual360","LogLinear",TRUE)</f>
        <v/>
      </c>
      <c r="E9180" s="8">
        <f>QS.INSTRUMENT.SWAP("swap.9178",C9180,H9180,B9180,"USD","SOFR",I9180,J9180,0,"Actual360","Simple","Annual","Annual","Annual")</f>
        <v/>
      </c>
      <c r="F9180" s="8">
        <f>QS.TRADE.CREATE("trade.9178",C9180,E9180,A9180,"Receive")</f>
        <v/>
      </c>
      <c r="G9180" s="5"/>
      <c r="H9180" s="7" t="s">
        <v>9221</v>
      </c>
      <c r="I9180" s="9">
        <v>1917800</v>
      </c>
      <c r="J9180" s="10">
        <v>0.0378</v>
      </c>
    </row>
    <row r="9181" spans="1:10">
      <c r="A9181" s="7" t="s">
        <v>9215</v>
      </c>
      <c r="B9181" s="7" t="s">
        <v>11048</v>
      </c>
      <c r="C9181" s="8">
        <f>QS.CONTEXT.CREATE("market.9179",A9181,"USD","SOFR")</f>
        <v/>
      </c>
      <c r="D9181" s="8">
        <f>QS.CONTEXT.ADD.CURVE(C9181,"SOFR",$K$2:$K$7,$L$2:$L$7,,,"Actual360","LogLinear",TRUE)</f>
        <v/>
      </c>
      <c r="E9181" s="8">
        <f>QS.INSTRUMENT.SWAP("swap.9179",C9181,H9181,B9181,"USD","SOFR",I9181,J9181,0,"Actual360","Simple","Annual","Annual","Annual")</f>
        <v/>
      </c>
      <c r="F9181" s="8">
        <f>QS.TRADE.CREATE("trade.9179",C9181,E9181,A9181,"Receive")</f>
        <v/>
      </c>
      <c r="G9181" s="5"/>
      <c r="H9181" s="7" t="s">
        <v>9222</v>
      </c>
      <c r="I9181" s="9">
        <v>1917900</v>
      </c>
      <c r="J9181" s="10">
        <v>0.0379</v>
      </c>
    </row>
    <row r="9182" spans="1:10">
      <c r="A9182" s="7" t="s">
        <v>9216</v>
      </c>
      <c r="B9182" s="7" t="s">
        <v>11049</v>
      </c>
      <c r="C9182" s="8">
        <f>QS.CONTEXT.CREATE("market.9180",A9182,"USD","SOFR")</f>
        <v/>
      </c>
      <c r="D9182" s="8">
        <f>QS.CONTEXT.ADD.CURVE(C9182,"SOFR",$K$2:$K$7,$L$2:$L$7,,,"Actual360","LogLinear",TRUE)</f>
        <v/>
      </c>
      <c r="E9182" s="8">
        <f>QS.INSTRUMENT.SWAP("swap.9180",C9182,H9182,B9182,"USD","SOFR",I9182,J9182,0,"Actual360","Simple","Annual","Annual","Annual")</f>
        <v/>
      </c>
      <c r="F9182" s="8">
        <f>QS.TRADE.CREATE("trade.9180",C9182,E9182,A9182,"Receive")</f>
        <v/>
      </c>
      <c r="G9182" s="5"/>
      <c r="H9182" s="7" t="s">
        <v>9223</v>
      </c>
      <c r="I9182" s="9">
        <v>1918000</v>
      </c>
      <c r="J9182" s="10">
        <v>0.03800000000000001</v>
      </c>
    </row>
    <row r="9183" spans="1:10">
      <c r="A9183" s="7" t="s">
        <v>9217</v>
      </c>
      <c r="B9183" s="7" t="s">
        <v>11050</v>
      </c>
      <c r="C9183" s="8">
        <f>QS.CONTEXT.CREATE("market.9181",A9183,"USD","SOFR")</f>
        <v/>
      </c>
      <c r="D9183" s="8">
        <f>QS.CONTEXT.ADD.CURVE(C9183,"SOFR",$K$2:$K$7,$L$2:$L$7,,,"Actual360","LogLinear",TRUE)</f>
        <v/>
      </c>
      <c r="E9183" s="8">
        <f>QS.INSTRUMENT.SWAP("swap.9181",C9183,H9183,B9183,"USD","SOFR",I9183,J9183,0,"Actual360","Simple","Annual","Annual","Annual")</f>
        <v/>
      </c>
      <c r="F9183" s="8">
        <f>QS.TRADE.CREATE("trade.9181",C9183,E9183,A9183,"Receive")</f>
        <v/>
      </c>
      <c r="G9183" s="5"/>
      <c r="H9183" s="7" t="s">
        <v>9224</v>
      </c>
      <c r="I9183" s="9">
        <v>1918100</v>
      </c>
      <c r="J9183" s="10">
        <v>0.0381</v>
      </c>
    </row>
    <row r="9184" spans="1:10">
      <c r="A9184" s="7" t="s">
        <v>9218</v>
      </c>
      <c r="B9184" s="7" t="s">
        <v>11051</v>
      </c>
      <c r="C9184" s="8">
        <f>QS.CONTEXT.CREATE("market.9182",A9184,"USD","SOFR")</f>
        <v/>
      </c>
      <c r="D9184" s="8">
        <f>QS.CONTEXT.ADD.CURVE(C9184,"SOFR",$K$2:$K$7,$L$2:$L$7,,,"Actual360","LogLinear",TRUE)</f>
        <v/>
      </c>
      <c r="E9184" s="8">
        <f>QS.INSTRUMENT.SWAP("swap.9182",C9184,H9184,B9184,"USD","SOFR",I9184,J9184,0,"Actual360","Simple","Annual","Annual","Annual")</f>
        <v/>
      </c>
      <c r="F9184" s="8">
        <f>QS.TRADE.CREATE("trade.9182",C9184,E9184,A9184,"Receive")</f>
        <v/>
      </c>
      <c r="G9184" s="5"/>
      <c r="H9184" s="7" t="s">
        <v>9225</v>
      </c>
      <c r="I9184" s="9">
        <v>1918200</v>
      </c>
      <c r="J9184" s="10">
        <v>0.0382</v>
      </c>
    </row>
    <row r="9185" spans="1:10">
      <c r="A9185" s="7" t="s">
        <v>9219</v>
      </c>
      <c r="B9185" s="7" t="s">
        <v>11052</v>
      </c>
      <c r="C9185" s="8">
        <f>QS.CONTEXT.CREATE("market.9183",A9185,"USD","SOFR")</f>
        <v/>
      </c>
      <c r="D9185" s="8">
        <f>QS.CONTEXT.ADD.CURVE(C9185,"SOFR",$K$2:$K$7,$L$2:$L$7,,,"Actual360","LogLinear",TRUE)</f>
        <v/>
      </c>
      <c r="E9185" s="8">
        <f>QS.INSTRUMENT.SWAP("swap.9183",C9185,H9185,B9185,"USD","SOFR",I9185,J9185,0,"Actual360","Simple","Annual","Annual","Annual")</f>
        <v/>
      </c>
      <c r="F9185" s="8">
        <f>QS.TRADE.CREATE("trade.9183",C9185,E9185,A9185,"Receive")</f>
        <v/>
      </c>
      <c r="G9185" s="5"/>
      <c r="H9185" s="7" t="s">
        <v>9226</v>
      </c>
      <c r="I9185" s="9">
        <v>1918300</v>
      </c>
      <c r="J9185" s="10">
        <v>0.0383</v>
      </c>
    </row>
    <row r="9186" spans="1:10">
      <c r="A9186" s="7" t="s">
        <v>9220</v>
      </c>
      <c r="B9186" s="7" t="s">
        <v>11053</v>
      </c>
      <c r="C9186" s="8">
        <f>QS.CONTEXT.CREATE("market.9184",A9186,"USD","SOFR")</f>
        <v/>
      </c>
      <c r="D9186" s="8">
        <f>QS.CONTEXT.ADD.CURVE(C9186,"SOFR",$K$2:$K$7,$L$2:$L$7,,,"Actual360","LogLinear",TRUE)</f>
        <v/>
      </c>
      <c r="E9186" s="8">
        <f>QS.INSTRUMENT.SWAP("swap.9184",C9186,H9186,B9186,"USD","SOFR",I9186,J9186,0,"Actual360","Simple","Annual","Annual","Annual")</f>
        <v/>
      </c>
      <c r="F9186" s="8">
        <f>QS.TRADE.CREATE("trade.9184",C9186,E9186,A9186,"Receive")</f>
        <v/>
      </c>
      <c r="G9186" s="5"/>
      <c r="H9186" s="7" t="s">
        <v>9227</v>
      </c>
      <c r="I9186" s="9">
        <v>1918400</v>
      </c>
      <c r="J9186" s="10">
        <v>0.0384</v>
      </c>
    </row>
    <row r="9187" spans="1:10">
      <c r="A9187" s="7" t="s">
        <v>9221</v>
      </c>
      <c r="B9187" s="7" t="s">
        <v>11054</v>
      </c>
      <c r="C9187" s="8">
        <f>QS.CONTEXT.CREATE("market.9185",A9187,"USD","SOFR")</f>
        <v/>
      </c>
      <c r="D9187" s="8">
        <f>QS.CONTEXT.ADD.CURVE(C9187,"SOFR",$K$2:$K$7,$L$2:$L$7,,,"Actual360","LogLinear",TRUE)</f>
        <v/>
      </c>
      <c r="E9187" s="8">
        <f>QS.INSTRUMENT.SWAP("swap.9185",C9187,H9187,B9187,"USD","SOFR",I9187,J9187,0,"Actual360","Simple","Annual","Annual","Annual")</f>
        <v/>
      </c>
      <c r="F9187" s="8">
        <f>QS.TRADE.CREATE("trade.9185",C9187,E9187,A9187,"Receive")</f>
        <v/>
      </c>
      <c r="G9187" s="5"/>
      <c r="H9187" s="7" t="s">
        <v>9228</v>
      </c>
      <c r="I9187" s="9">
        <v>1918500</v>
      </c>
      <c r="J9187" s="10">
        <v>0.03850000000000001</v>
      </c>
    </row>
    <row r="9188" spans="1:10">
      <c r="A9188" s="7" t="s">
        <v>9222</v>
      </c>
      <c r="B9188" s="7" t="s">
        <v>11055</v>
      </c>
      <c r="C9188" s="8">
        <f>QS.CONTEXT.CREATE("market.9186",A9188,"USD","SOFR")</f>
        <v/>
      </c>
      <c r="D9188" s="8">
        <f>QS.CONTEXT.ADD.CURVE(C9188,"SOFR",$K$2:$K$7,$L$2:$L$7,,,"Actual360","LogLinear",TRUE)</f>
        <v/>
      </c>
      <c r="E9188" s="8">
        <f>QS.INSTRUMENT.SWAP("swap.9186",C9188,H9188,B9188,"USD","SOFR",I9188,J9188,0,"Actual360","Simple","Annual","Annual","Annual")</f>
        <v/>
      </c>
      <c r="F9188" s="8">
        <f>QS.TRADE.CREATE("trade.9186",C9188,E9188,A9188,"Receive")</f>
        <v/>
      </c>
      <c r="G9188" s="5"/>
      <c r="H9188" s="7" t="s">
        <v>9229</v>
      </c>
      <c r="I9188" s="9">
        <v>1918600</v>
      </c>
      <c r="J9188" s="10">
        <v>0.0386</v>
      </c>
    </row>
    <row r="9189" spans="1:10">
      <c r="A9189" s="7" t="s">
        <v>9223</v>
      </c>
      <c r="B9189" s="7" t="s">
        <v>11056</v>
      </c>
      <c r="C9189" s="8">
        <f>QS.CONTEXT.CREATE("market.9187",A9189,"USD","SOFR")</f>
        <v/>
      </c>
      <c r="D9189" s="8">
        <f>QS.CONTEXT.ADD.CURVE(C9189,"SOFR",$K$2:$K$7,$L$2:$L$7,,,"Actual360","LogLinear",TRUE)</f>
        <v/>
      </c>
      <c r="E9189" s="8">
        <f>QS.INSTRUMENT.SWAP("swap.9187",C9189,H9189,B9189,"USD","SOFR",I9189,J9189,0,"Actual360","Simple","Annual","Annual","Annual")</f>
        <v/>
      </c>
      <c r="F9189" s="8">
        <f>QS.TRADE.CREATE("trade.9187",C9189,E9189,A9189,"Receive")</f>
        <v/>
      </c>
      <c r="G9189" s="5"/>
      <c r="H9189" s="7" t="s">
        <v>9230</v>
      </c>
      <c r="I9189" s="9">
        <v>1918700</v>
      </c>
      <c r="J9189" s="10">
        <v>0.03870000000000001</v>
      </c>
    </row>
    <row r="9190" spans="1:10">
      <c r="A9190" s="7" t="s">
        <v>9224</v>
      </c>
      <c r="B9190" s="7" t="s">
        <v>11057</v>
      </c>
      <c r="C9190" s="8">
        <f>QS.CONTEXT.CREATE("market.9188",A9190,"USD","SOFR")</f>
        <v/>
      </c>
      <c r="D9190" s="8">
        <f>QS.CONTEXT.ADD.CURVE(C9190,"SOFR",$K$2:$K$7,$L$2:$L$7,,,"Actual360","LogLinear",TRUE)</f>
        <v/>
      </c>
      <c r="E9190" s="8">
        <f>QS.INSTRUMENT.SWAP("swap.9188",C9190,H9190,B9190,"USD","SOFR",I9190,J9190,0,"Actual360","Simple","Annual","Annual","Annual")</f>
        <v/>
      </c>
      <c r="F9190" s="8">
        <f>QS.TRADE.CREATE("trade.9188",C9190,E9190,A9190,"Receive")</f>
        <v/>
      </c>
      <c r="G9190" s="5"/>
      <c r="H9190" s="7" t="s">
        <v>9231</v>
      </c>
      <c r="I9190" s="9">
        <v>1918800</v>
      </c>
      <c r="J9190" s="10">
        <v>0.0388</v>
      </c>
    </row>
    <row r="9191" spans="1:10">
      <c r="A9191" s="7" t="s">
        <v>9225</v>
      </c>
      <c r="B9191" s="7" t="s">
        <v>11058</v>
      </c>
      <c r="C9191" s="8">
        <f>QS.CONTEXT.CREATE("market.9189",A9191,"USD","SOFR")</f>
        <v/>
      </c>
      <c r="D9191" s="8">
        <f>QS.CONTEXT.ADD.CURVE(C9191,"SOFR",$K$2:$K$7,$L$2:$L$7,,,"Actual360","LogLinear",TRUE)</f>
        <v/>
      </c>
      <c r="E9191" s="8">
        <f>QS.INSTRUMENT.SWAP("swap.9189",C9191,H9191,B9191,"USD","SOFR",I9191,J9191,0,"Actual360","Simple","Annual","Annual","Annual")</f>
        <v/>
      </c>
      <c r="F9191" s="8">
        <f>QS.TRADE.CREATE("trade.9189",C9191,E9191,A9191,"Receive")</f>
        <v/>
      </c>
      <c r="G9191" s="5"/>
      <c r="H9191" s="7" t="s">
        <v>9232</v>
      </c>
      <c r="I9191" s="9">
        <v>1918900</v>
      </c>
      <c r="J9191" s="10">
        <v>0.0389</v>
      </c>
    </row>
    <row r="9192" spans="1:10">
      <c r="A9192" s="7" t="s">
        <v>9226</v>
      </c>
      <c r="B9192" s="7" t="s">
        <v>11059</v>
      </c>
      <c r="C9192" s="8">
        <f>QS.CONTEXT.CREATE("market.9190",A9192,"USD","SOFR")</f>
        <v/>
      </c>
      <c r="D9192" s="8">
        <f>QS.CONTEXT.ADD.CURVE(C9192,"SOFR",$K$2:$K$7,$L$2:$L$7,,,"Actual360","LogLinear",TRUE)</f>
        <v/>
      </c>
      <c r="E9192" s="8">
        <f>QS.INSTRUMENT.SWAP("swap.9190",C9192,H9192,B9192,"USD","SOFR",I9192,J9192,0,"Actual360","Simple","Annual","Annual","Annual")</f>
        <v/>
      </c>
      <c r="F9192" s="8">
        <f>QS.TRADE.CREATE("trade.9190",C9192,E9192,A9192,"Receive")</f>
        <v/>
      </c>
      <c r="G9192" s="5"/>
      <c r="H9192" s="7" t="s">
        <v>9233</v>
      </c>
      <c r="I9192" s="9">
        <v>1919000</v>
      </c>
      <c r="J9192" s="10">
        <v>0.03900000000000001</v>
      </c>
    </row>
    <row r="9193" spans="1:10">
      <c r="A9193" s="7" t="s">
        <v>9227</v>
      </c>
      <c r="B9193" s="7" t="s">
        <v>11060</v>
      </c>
      <c r="C9193" s="8">
        <f>QS.CONTEXT.CREATE("market.9191",A9193,"USD","SOFR")</f>
        <v/>
      </c>
      <c r="D9193" s="8">
        <f>QS.CONTEXT.ADD.CURVE(C9193,"SOFR",$K$2:$K$7,$L$2:$L$7,,,"Actual360","LogLinear",TRUE)</f>
        <v/>
      </c>
      <c r="E9193" s="8">
        <f>QS.INSTRUMENT.SWAP("swap.9191",C9193,H9193,B9193,"USD","SOFR",I9193,J9193,0,"Actual360","Simple","Annual","Annual","Annual")</f>
        <v/>
      </c>
      <c r="F9193" s="8">
        <f>QS.TRADE.CREATE("trade.9191",C9193,E9193,A9193,"Receive")</f>
        <v/>
      </c>
      <c r="G9193" s="5"/>
      <c r="H9193" s="7" t="s">
        <v>9234</v>
      </c>
      <c r="I9193" s="9">
        <v>1919100</v>
      </c>
      <c r="J9193" s="10">
        <v>0.0391</v>
      </c>
    </row>
    <row r="9194" spans="1:10">
      <c r="A9194" s="7" t="s">
        <v>9228</v>
      </c>
      <c r="B9194" s="7" t="s">
        <v>11061</v>
      </c>
      <c r="C9194" s="8">
        <f>QS.CONTEXT.CREATE("market.9192",A9194,"USD","SOFR")</f>
        <v/>
      </c>
      <c r="D9194" s="8">
        <f>QS.CONTEXT.ADD.CURVE(C9194,"SOFR",$K$2:$K$7,$L$2:$L$7,,,"Actual360","LogLinear",TRUE)</f>
        <v/>
      </c>
      <c r="E9194" s="8">
        <f>QS.INSTRUMENT.SWAP("swap.9192",C9194,H9194,B9194,"USD","SOFR",I9194,J9194,0,"Actual360","Simple","Annual","Annual","Annual")</f>
        <v/>
      </c>
      <c r="F9194" s="8">
        <f>QS.TRADE.CREATE("trade.9192",C9194,E9194,A9194,"Receive")</f>
        <v/>
      </c>
      <c r="G9194" s="5"/>
      <c r="H9194" s="7" t="s">
        <v>9235</v>
      </c>
      <c r="I9194" s="9">
        <v>1919200</v>
      </c>
      <c r="J9194" s="10">
        <v>0.03920000000000001</v>
      </c>
    </row>
    <row r="9195" spans="1:10">
      <c r="A9195" s="7" t="s">
        <v>9229</v>
      </c>
      <c r="B9195" s="7" t="s">
        <v>11062</v>
      </c>
      <c r="C9195" s="8">
        <f>QS.CONTEXT.CREATE("market.9193",A9195,"USD","SOFR")</f>
        <v/>
      </c>
      <c r="D9195" s="8">
        <f>QS.CONTEXT.ADD.CURVE(C9195,"SOFR",$K$2:$K$7,$L$2:$L$7,,,"Actual360","LogLinear",TRUE)</f>
        <v/>
      </c>
      <c r="E9195" s="8">
        <f>QS.INSTRUMENT.SWAP("swap.9193",C9195,H9195,B9195,"USD","SOFR",I9195,J9195,0,"Actual360","Simple","Annual","Annual","Annual")</f>
        <v/>
      </c>
      <c r="F9195" s="8">
        <f>QS.TRADE.CREATE("trade.9193",C9195,E9195,A9195,"Receive")</f>
        <v/>
      </c>
      <c r="G9195" s="5"/>
      <c r="H9195" s="7" t="s">
        <v>9236</v>
      </c>
      <c r="I9195" s="9">
        <v>1919300</v>
      </c>
      <c r="J9195" s="10">
        <v>0.0393</v>
      </c>
    </row>
    <row r="9196" spans="1:10">
      <c r="A9196" s="7" t="s">
        <v>9230</v>
      </c>
      <c r="B9196" s="7" t="s">
        <v>11063</v>
      </c>
      <c r="C9196" s="8">
        <f>QS.CONTEXT.CREATE("market.9194",A9196,"USD","SOFR")</f>
        <v/>
      </c>
      <c r="D9196" s="8">
        <f>QS.CONTEXT.ADD.CURVE(C9196,"SOFR",$K$2:$K$7,$L$2:$L$7,,,"Actual360","LogLinear",TRUE)</f>
        <v/>
      </c>
      <c r="E9196" s="8">
        <f>QS.INSTRUMENT.SWAP("swap.9194",C9196,H9196,B9196,"USD","SOFR",I9196,J9196,0,"Actual360","Simple","Annual","Annual","Annual")</f>
        <v/>
      </c>
      <c r="F9196" s="8">
        <f>QS.TRADE.CREATE("trade.9194",C9196,E9196,A9196,"Receive")</f>
        <v/>
      </c>
      <c r="G9196" s="5"/>
      <c r="H9196" s="7" t="s">
        <v>9237</v>
      </c>
      <c r="I9196" s="9">
        <v>1919400</v>
      </c>
      <c r="J9196" s="10">
        <v>0.0394</v>
      </c>
    </row>
    <row r="9197" spans="1:10">
      <c r="A9197" s="7" t="s">
        <v>9231</v>
      </c>
      <c r="B9197" s="7" t="s">
        <v>11064</v>
      </c>
      <c r="C9197" s="8">
        <f>QS.CONTEXT.CREATE("market.9195",A9197,"USD","SOFR")</f>
        <v/>
      </c>
      <c r="D9197" s="8">
        <f>QS.CONTEXT.ADD.CURVE(C9197,"SOFR",$K$2:$K$7,$L$2:$L$7,,,"Actual360","LogLinear",TRUE)</f>
        <v/>
      </c>
      <c r="E9197" s="8">
        <f>QS.INSTRUMENT.SWAP("swap.9195",C9197,H9197,B9197,"USD","SOFR",I9197,J9197,0,"Actual360","Simple","Annual","Annual","Annual")</f>
        <v/>
      </c>
      <c r="F9197" s="8">
        <f>QS.TRADE.CREATE("trade.9195",C9197,E9197,A9197,"Receive")</f>
        <v/>
      </c>
      <c r="G9197" s="5"/>
      <c r="H9197" s="7" t="s">
        <v>9238</v>
      </c>
      <c r="I9197" s="9">
        <v>1919500</v>
      </c>
      <c r="J9197" s="10">
        <v>0.03950000000000001</v>
      </c>
    </row>
    <row r="9198" spans="1:10">
      <c r="A9198" s="7" t="s">
        <v>9232</v>
      </c>
      <c r="B9198" s="7" t="s">
        <v>11065</v>
      </c>
      <c r="C9198" s="8">
        <f>QS.CONTEXT.CREATE("market.9196",A9198,"USD","SOFR")</f>
        <v/>
      </c>
      <c r="D9198" s="8">
        <f>QS.CONTEXT.ADD.CURVE(C9198,"SOFR",$K$2:$K$7,$L$2:$L$7,,,"Actual360","LogLinear",TRUE)</f>
        <v/>
      </c>
      <c r="E9198" s="8">
        <f>QS.INSTRUMENT.SWAP("swap.9196",C9198,H9198,B9198,"USD","SOFR",I9198,J9198,0,"Actual360","Simple","Annual","Annual","Annual")</f>
        <v/>
      </c>
      <c r="F9198" s="8">
        <f>QS.TRADE.CREATE("trade.9196",C9198,E9198,A9198,"Receive")</f>
        <v/>
      </c>
      <c r="G9198" s="5"/>
      <c r="H9198" s="7" t="s">
        <v>9239</v>
      </c>
      <c r="I9198" s="9">
        <v>1919600</v>
      </c>
      <c r="J9198" s="10">
        <v>0.0396</v>
      </c>
    </row>
    <row r="9199" spans="1:10">
      <c r="A9199" s="7" t="s">
        <v>9233</v>
      </c>
      <c r="B9199" s="7" t="s">
        <v>11066</v>
      </c>
      <c r="C9199" s="8">
        <f>QS.CONTEXT.CREATE("market.9197",A9199,"USD","SOFR")</f>
        <v/>
      </c>
      <c r="D9199" s="8">
        <f>QS.CONTEXT.ADD.CURVE(C9199,"SOFR",$K$2:$K$7,$L$2:$L$7,,,"Actual360","LogLinear",TRUE)</f>
        <v/>
      </c>
      <c r="E9199" s="8">
        <f>QS.INSTRUMENT.SWAP("swap.9197",C9199,H9199,B9199,"USD","SOFR",I9199,J9199,0,"Actual360","Simple","Annual","Annual","Annual")</f>
        <v/>
      </c>
      <c r="F9199" s="8">
        <f>QS.TRADE.CREATE("trade.9197",C9199,E9199,A9199,"Receive")</f>
        <v/>
      </c>
      <c r="G9199" s="5"/>
      <c r="H9199" s="7" t="s">
        <v>9240</v>
      </c>
      <c r="I9199" s="9">
        <v>1919700</v>
      </c>
      <c r="J9199" s="10">
        <v>0.03970000000000001</v>
      </c>
    </row>
    <row r="9200" spans="1:10">
      <c r="A9200" s="7" t="s">
        <v>9234</v>
      </c>
      <c r="B9200" s="7" t="s">
        <v>11067</v>
      </c>
      <c r="C9200" s="8">
        <f>QS.CONTEXT.CREATE("market.9198",A9200,"USD","SOFR")</f>
        <v/>
      </c>
      <c r="D9200" s="8">
        <f>QS.CONTEXT.ADD.CURVE(C9200,"SOFR",$K$2:$K$7,$L$2:$L$7,,,"Actual360","LogLinear",TRUE)</f>
        <v/>
      </c>
      <c r="E9200" s="8">
        <f>QS.INSTRUMENT.SWAP("swap.9198",C9200,H9200,B9200,"USD","SOFR",I9200,J9200,0,"Actual360","Simple","Annual","Annual","Annual")</f>
        <v/>
      </c>
      <c r="F9200" s="8">
        <f>QS.TRADE.CREATE("trade.9198",C9200,E9200,A9200,"Receive")</f>
        <v/>
      </c>
      <c r="G9200" s="5"/>
      <c r="H9200" s="7" t="s">
        <v>9241</v>
      </c>
      <c r="I9200" s="9">
        <v>1919800</v>
      </c>
      <c r="J9200" s="10">
        <v>0.0398</v>
      </c>
    </row>
    <row r="9201" spans="1:10">
      <c r="A9201" s="7" t="s">
        <v>9235</v>
      </c>
      <c r="B9201" s="7" t="s">
        <v>11068</v>
      </c>
      <c r="C9201" s="8">
        <f>QS.CONTEXT.CREATE("market.9199",A9201,"USD","SOFR")</f>
        <v/>
      </c>
      <c r="D9201" s="8">
        <f>QS.CONTEXT.ADD.CURVE(C9201,"SOFR",$K$2:$K$7,$L$2:$L$7,,,"Actual360","LogLinear",TRUE)</f>
        <v/>
      </c>
      <c r="E9201" s="8">
        <f>QS.INSTRUMENT.SWAP("swap.9199",C9201,H9201,B9201,"USD","SOFR",I9201,J9201,0,"Actual360","Simple","Annual","Annual","Annual")</f>
        <v/>
      </c>
      <c r="F9201" s="8">
        <f>QS.TRADE.CREATE("trade.9199",C9201,E9201,A9201,"Receive")</f>
        <v/>
      </c>
      <c r="G9201" s="5"/>
      <c r="H9201" s="7" t="s">
        <v>9242</v>
      </c>
      <c r="I9201" s="9">
        <v>1919900</v>
      </c>
      <c r="J9201" s="10">
        <v>0.0399</v>
      </c>
    </row>
    <row r="9202" spans="1:10">
      <c r="A9202" s="7" t="s">
        <v>9236</v>
      </c>
      <c r="B9202" s="7" t="s">
        <v>11069</v>
      </c>
      <c r="C9202" s="8">
        <f>QS.CONTEXT.CREATE("market.9200",A9202,"USD","SOFR")</f>
        <v/>
      </c>
      <c r="D9202" s="8">
        <f>QS.CONTEXT.ADD.CURVE(C9202,"SOFR",$K$2:$K$7,$L$2:$L$7,,,"Actual360","LogLinear",TRUE)</f>
        <v/>
      </c>
      <c r="E9202" s="8">
        <f>QS.INSTRUMENT.SWAP("swap.9200",C9202,H9202,B9202,"USD","SOFR",I9202,J9202,0,"Actual360","Simple","Annual","Annual","Annual")</f>
        <v/>
      </c>
      <c r="F9202" s="8">
        <f>QS.TRADE.CREATE("trade.9200",C9202,E9202,A9202,"Receive")</f>
        <v/>
      </c>
      <c r="G9202" s="5"/>
      <c r="H9202" s="7" t="s">
        <v>9243</v>
      </c>
      <c r="I9202" s="9">
        <v>1920000</v>
      </c>
      <c r="J9202" s="10">
        <v>0.035</v>
      </c>
    </row>
    <row r="9203" spans="1:10">
      <c r="A9203" s="7" t="s">
        <v>9237</v>
      </c>
      <c r="B9203" s="7" t="s">
        <v>11070</v>
      </c>
      <c r="C9203" s="8">
        <f>QS.CONTEXT.CREATE("market.9201",A9203,"USD","SOFR")</f>
        <v/>
      </c>
      <c r="D9203" s="8">
        <f>QS.CONTEXT.ADD.CURVE(C9203,"SOFR",$K$2:$K$7,$L$2:$L$7,,,"Actual360","LogLinear",TRUE)</f>
        <v/>
      </c>
      <c r="E9203" s="8">
        <f>QS.INSTRUMENT.SWAP("swap.9201",C9203,H9203,B9203,"USD","SOFR",I9203,J9203,0,"Actual360","Simple","Annual","Annual","Annual")</f>
        <v/>
      </c>
      <c r="F9203" s="8">
        <f>QS.TRADE.CREATE("trade.9201",C9203,E9203,A9203,"Receive")</f>
        <v/>
      </c>
      <c r="G9203" s="5"/>
      <c r="H9203" s="7" t="s">
        <v>9244</v>
      </c>
      <c r="I9203" s="9">
        <v>1920100</v>
      </c>
      <c r="J9203" s="10">
        <v>0.03510000000000001</v>
      </c>
    </row>
    <row r="9204" spans="1:10">
      <c r="A9204" s="7" t="s">
        <v>9238</v>
      </c>
      <c r="B9204" s="7" t="s">
        <v>11071</v>
      </c>
      <c r="C9204" s="8">
        <f>QS.CONTEXT.CREATE("market.9202",A9204,"USD","SOFR")</f>
        <v/>
      </c>
      <c r="D9204" s="8">
        <f>QS.CONTEXT.ADD.CURVE(C9204,"SOFR",$K$2:$K$7,$L$2:$L$7,,,"Actual360","LogLinear",TRUE)</f>
        <v/>
      </c>
      <c r="E9204" s="8">
        <f>QS.INSTRUMENT.SWAP("swap.9202",C9204,H9204,B9204,"USD","SOFR",I9204,J9204,0,"Actual360","Simple","Annual","Annual","Annual")</f>
        <v/>
      </c>
      <c r="F9204" s="8">
        <f>QS.TRADE.CREATE("trade.9202",C9204,E9204,A9204,"Receive")</f>
        <v/>
      </c>
      <c r="G9204" s="5"/>
      <c r="H9204" s="7" t="s">
        <v>9245</v>
      </c>
      <c r="I9204" s="9">
        <v>1920200</v>
      </c>
      <c r="J9204" s="10">
        <v>0.0352</v>
      </c>
    </row>
    <row r="9205" spans="1:10">
      <c r="A9205" s="7" t="s">
        <v>9239</v>
      </c>
      <c r="B9205" s="7" t="s">
        <v>11072</v>
      </c>
      <c r="C9205" s="8">
        <f>QS.CONTEXT.CREATE("market.9203",A9205,"USD","SOFR")</f>
        <v/>
      </c>
      <c r="D9205" s="8">
        <f>QS.CONTEXT.ADD.CURVE(C9205,"SOFR",$K$2:$K$7,$L$2:$L$7,,,"Actual360","LogLinear",TRUE)</f>
        <v/>
      </c>
      <c r="E9205" s="8">
        <f>QS.INSTRUMENT.SWAP("swap.9203",C9205,H9205,B9205,"USD","SOFR",I9205,J9205,0,"Actual360","Simple","Annual","Annual","Annual")</f>
        <v/>
      </c>
      <c r="F9205" s="8">
        <f>QS.TRADE.CREATE("trade.9203",C9205,E9205,A9205,"Receive")</f>
        <v/>
      </c>
      <c r="G9205" s="5"/>
      <c r="H9205" s="7" t="s">
        <v>9246</v>
      </c>
      <c r="I9205" s="9">
        <v>1920300</v>
      </c>
      <c r="J9205" s="10">
        <v>0.0353</v>
      </c>
    </row>
    <row r="9206" spans="1:10">
      <c r="A9206" s="7" t="s">
        <v>9240</v>
      </c>
      <c r="B9206" s="7" t="s">
        <v>11073</v>
      </c>
      <c r="C9206" s="8">
        <f>QS.CONTEXT.CREATE("market.9204",A9206,"USD","SOFR")</f>
        <v/>
      </c>
      <c r="D9206" s="8">
        <f>QS.CONTEXT.ADD.CURVE(C9206,"SOFR",$K$2:$K$7,$L$2:$L$7,,,"Actual360","LogLinear",TRUE)</f>
        <v/>
      </c>
      <c r="E9206" s="8">
        <f>QS.INSTRUMENT.SWAP("swap.9204",C9206,H9206,B9206,"USD","SOFR",I9206,J9206,0,"Actual360","Simple","Annual","Annual","Annual")</f>
        <v/>
      </c>
      <c r="F9206" s="8">
        <f>QS.TRADE.CREATE("trade.9204",C9206,E9206,A9206,"Receive")</f>
        <v/>
      </c>
      <c r="G9206" s="5"/>
      <c r="H9206" s="7" t="s">
        <v>9247</v>
      </c>
      <c r="I9206" s="9">
        <v>1920400</v>
      </c>
      <c r="J9206" s="10">
        <v>0.0354</v>
      </c>
    </row>
    <row r="9207" spans="1:10">
      <c r="A9207" s="7" t="s">
        <v>9241</v>
      </c>
      <c r="B9207" s="7" t="s">
        <v>11074</v>
      </c>
      <c r="C9207" s="8">
        <f>QS.CONTEXT.CREATE("market.9205",A9207,"USD","SOFR")</f>
        <v/>
      </c>
      <c r="D9207" s="8">
        <f>QS.CONTEXT.ADD.CURVE(C9207,"SOFR",$K$2:$K$7,$L$2:$L$7,,,"Actual360","LogLinear",TRUE)</f>
        <v/>
      </c>
      <c r="E9207" s="8">
        <f>QS.INSTRUMENT.SWAP("swap.9205",C9207,H9207,B9207,"USD","SOFR",I9207,J9207,0,"Actual360","Simple","Annual","Annual","Annual")</f>
        <v/>
      </c>
      <c r="F9207" s="8">
        <f>QS.TRADE.CREATE("trade.9205",C9207,E9207,A9207,"Receive")</f>
        <v/>
      </c>
      <c r="G9207" s="5"/>
      <c r="H9207" s="7" t="s">
        <v>9248</v>
      </c>
      <c r="I9207" s="9">
        <v>1920500</v>
      </c>
      <c r="J9207" s="10">
        <v>0.0355</v>
      </c>
    </row>
    <row r="9208" spans="1:10">
      <c r="A9208" s="7" t="s">
        <v>9242</v>
      </c>
      <c r="B9208" s="7" t="s">
        <v>11075</v>
      </c>
      <c r="C9208" s="8">
        <f>QS.CONTEXT.CREATE("market.9206",A9208,"USD","SOFR")</f>
        <v/>
      </c>
      <c r="D9208" s="8">
        <f>QS.CONTEXT.ADD.CURVE(C9208,"SOFR",$K$2:$K$7,$L$2:$L$7,,,"Actual360","LogLinear",TRUE)</f>
        <v/>
      </c>
      <c r="E9208" s="8">
        <f>QS.INSTRUMENT.SWAP("swap.9206",C9208,H9208,B9208,"USD","SOFR",I9208,J9208,0,"Actual360","Simple","Annual","Annual","Annual")</f>
        <v/>
      </c>
      <c r="F9208" s="8">
        <f>QS.TRADE.CREATE("trade.9206",C9208,E9208,A9208,"Receive")</f>
        <v/>
      </c>
      <c r="G9208" s="5"/>
      <c r="H9208" s="7" t="s">
        <v>9249</v>
      </c>
      <c r="I9208" s="9">
        <v>1920600</v>
      </c>
      <c r="J9208" s="10">
        <v>0.03560000000000001</v>
      </c>
    </row>
    <row r="9209" spans="1:10">
      <c r="A9209" s="7" t="s">
        <v>9243</v>
      </c>
      <c r="B9209" s="7" t="s">
        <v>11076</v>
      </c>
      <c r="C9209" s="8">
        <f>QS.CONTEXT.CREATE("market.9207",A9209,"USD","SOFR")</f>
        <v/>
      </c>
      <c r="D9209" s="8">
        <f>QS.CONTEXT.ADD.CURVE(C9209,"SOFR",$K$2:$K$7,$L$2:$L$7,,,"Actual360","LogLinear",TRUE)</f>
        <v/>
      </c>
      <c r="E9209" s="8">
        <f>QS.INSTRUMENT.SWAP("swap.9207",C9209,H9209,B9209,"USD","SOFR",I9209,J9209,0,"Actual360","Simple","Annual","Annual","Annual")</f>
        <v/>
      </c>
      <c r="F9209" s="8">
        <f>QS.TRADE.CREATE("trade.9207",C9209,E9209,A9209,"Receive")</f>
        <v/>
      </c>
      <c r="G9209" s="5"/>
      <c r="H9209" s="7" t="s">
        <v>9250</v>
      </c>
      <c r="I9209" s="9">
        <v>1920700</v>
      </c>
      <c r="J9209" s="10">
        <v>0.0357</v>
      </c>
    </row>
    <row r="9210" spans="1:10">
      <c r="A9210" s="7" t="s">
        <v>9244</v>
      </c>
      <c r="B9210" s="7" t="s">
        <v>11077</v>
      </c>
      <c r="C9210" s="8">
        <f>QS.CONTEXT.CREATE("market.9208",A9210,"USD","SOFR")</f>
        <v/>
      </c>
      <c r="D9210" s="8">
        <f>QS.CONTEXT.ADD.CURVE(C9210,"SOFR",$K$2:$K$7,$L$2:$L$7,,,"Actual360","LogLinear",TRUE)</f>
        <v/>
      </c>
      <c r="E9210" s="8">
        <f>QS.INSTRUMENT.SWAP("swap.9208",C9210,H9210,B9210,"USD","SOFR",I9210,J9210,0,"Actual360","Simple","Annual","Annual","Annual")</f>
        <v/>
      </c>
      <c r="F9210" s="8">
        <f>QS.TRADE.CREATE("trade.9208",C9210,E9210,A9210,"Receive")</f>
        <v/>
      </c>
      <c r="G9210" s="5"/>
      <c r="H9210" s="7" t="s">
        <v>9251</v>
      </c>
      <c r="I9210" s="9">
        <v>1920800</v>
      </c>
      <c r="J9210" s="10">
        <v>0.03580000000000001</v>
      </c>
    </row>
    <row r="9211" spans="1:10">
      <c r="A9211" s="7" t="s">
        <v>9245</v>
      </c>
      <c r="B9211" s="7" t="s">
        <v>11078</v>
      </c>
      <c r="C9211" s="8">
        <f>QS.CONTEXT.CREATE("market.9209",A9211,"USD","SOFR")</f>
        <v/>
      </c>
      <c r="D9211" s="8">
        <f>QS.CONTEXT.ADD.CURVE(C9211,"SOFR",$K$2:$K$7,$L$2:$L$7,,,"Actual360","LogLinear",TRUE)</f>
        <v/>
      </c>
      <c r="E9211" s="8">
        <f>QS.INSTRUMENT.SWAP("swap.9209",C9211,H9211,B9211,"USD","SOFR",I9211,J9211,0,"Actual360","Simple","Annual","Annual","Annual")</f>
        <v/>
      </c>
      <c r="F9211" s="8">
        <f>QS.TRADE.CREATE("trade.9209",C9211,E9211,A9211,"Receive")</f>
        <v/>
      </c>
      <c r="G9211" s="5"/>
      <c r="H9211" s="7" t="s">
        <v>9252</v>
      </c>
      <c r="I9211" s="9">
        <v>1920900</v>
      </c>
      <c r="J9211" s="10">
        <v>0.0359</v>
      </c>
    </row>
    <row r="9212" spans="1:10">
      <c r="A9212" s="7" t="s">
        <v>9246</v>
      </c>
      <c r="B9212" s="7" t="s">
        <v>11079</v>
      </c>
      <c r="C9212" s="8">
        <f>QS.CONTEXT.CREATE("market.9210",A9212,"USD","SOFR")</f>
        <v/>
      </c>
      <c r="D9212" s="8">
        <f>QS.CONTEXT.ADD.CURVE(C9212,"SOFR",$K$2:$K$7,$L$2:$L$7,,,"Actual360","LogLinear",TRUE)</f>
        <v/>
      </c>
      <c r="E9212" s="8">
        <f>QS.INSTRUMENT.SWAP("swap.9210",C9212,H9212,B9212,"USD","SOFR",I9212,J9212,0,"Actual360","Simple","Annual","Annual","Annual")</f>
        <v/>
      </c>
      <c r="F9212" s="8">
        <f>QS.TRADE.CREATE("trade.9210",C9212,E9212,A9212,"Receive")</f>
        <v/>
      </c>
      <c r="G9212" s="5"/>
      <c r="H9212" s="7" t="s">
        <v>9253</v>
      </c>
      <c r="I9212" s="9">
        <v>1921000</v>
      </c>
      <c r="J9212" s="10">
        <v>0.036</v>
      </c>
    </row>
    <row r="9213" spans="1:10">
      <c r="A9213" s="7" t="s">
        <v>9247</v>
      </c>
      <c r="B9213" s="7" t="s">
        <v>11080</v>
      </c>
      <c r="C9213" s="8">
        <f>QS.CONTEXT.CREATE("market.9211",A9213,"USD","SOFR")</f>
        <v/>
      </c>
      <c r="D9213" s="8">
        <f>QS.CONTEXT.ADD.CURVE(C9213,"SOFR",$K$2:$K$7,$L$2:$L$7,,,"Actual360","LogLinear",TRUE)</f>
        <v/>
      </c>
      <c r="E9213" s="8">
        <f>QS.INSTRUMENT.SWAP("swap.9211",C9213,H9213,B9213,"USD","SOFR",I9213,J9213,0,"Actual360","Simple","Annual","Annual","Annual")</f>
        <v/>
      </c>
      <c r="F9213" s="8">
        <f>QS.TRADE.CREATE("trade.9211",C9213,E9213,A9213,"Receive")</f>
        <v/>
      </c>
      <c r="G9213" s="5"/>
      <c r="H9213" s="7" t="s">
        <v>9254</v>
      </c>
      <c r="I9213" s="9">
        <v>1921100</v>
      </c>
      <c r="J9213" s="10">
        <v>0.0361</v>
      </c>
    </row>
    <row r="9214" spans="1:10">
      <c r="A9214" s="7" t="s">
        <v>9248</v>
      </c>
      <c r="B9214" s="7" t="s">
        <v>11081</v>
      </c>
      <c r="C9214" s="8">
        <f>QS.CONTEXT.CREATE("market.9212",A9214,"USD","SOFR")</f>
        <v/>
      </c>
      <c r="D9214" s="8">
        <f>QS.CONTEXT.ADD.CURVE(C9214,"SOFR",$K$2:$K$7,$L$2:$L$7,,,"Actual360","LogLinear",TRUE)</f>
        <v/>
      </c>
      <c r="E9214" s="8">
        <f>QS.INSTRUMENT.SWAP("swap.9212",C9214,H9214,B9214,"USD","SOFR",I9214,J9214,0,"Actual360","Simple","Annual","Annual","Annual")</f>
        <v/>
      </c>
      <c r="F9214" s="8">
        <f>QS.TRADE.CREATE("trade.9212",C9214,E9214,A9214,"Receive")</f>
        <v/>
      </c>
      <c r="G9214" s="5"/>
      <c r="H9214" s="7" t="s">
        <v>9255</v>
      </c>
      <c r="I9214" s="9">
        <v>1921200</v>
      </c>
      <c r="J9214" s="10">
        <v>0.0362</v>
      </c>
    </row>
    <row r="9215" spans="1:10">
      <c r="A9215" s="7" t="s">
        <v>9249</v>
      </c>
      <c r="B9215" s="7" t="s">
        <v>11082</v>
      </c>
      <c r="C9215" s="8">
        <f>QS.CONTEXT.CREATE("market.9213",A9215,"USD","SOFR")</f>
        <v/>
      </c>
      <c r="D9215" s="8">
        <f>QS.CONTEXT.ADD.CURVE(C9215,"SOFR",$K$2:$K$7,$L$2:$L$7,,,"Actual360","LogLinear",TRUE)</f>
        <v/>
      </c>
      <c r="E9215" s="8">
        <f>QS.INSTRUMENT.SWAP("swap.9213",C9215,H9215,B9215,"USD","SOFR",I9215,J9215,0,"Actual360","Simple","Annual","Annual","Annual")</f>
        <v/>
      </c>
      <c r="F9215" s="8">
        <f>QS.TRADE.CREATE("trade.9213",C9215,E9215,A9215,"Receive")</f>
        <v/>
      </c>
      <c r="G9215" s="5"/>
      <c r="H9215" s="7" t="s">
        <v>9256</v>
      </c>
      <c r="I9215" s="9">
        <v>1921300</v>
      </c>
      <c r="J9215" s="10">
        <v>0.03630000000000001</v>
      </c>
    </row>
    <row r="9216" spans="1:10">
      <c r="A9216" s="7" t="s">
        <v>9250</v>
      </c>
      <c r="B9216" s="7" t="s">
        <v>11083</v>
      </c>
      <c r="C9216" s="8">
        <f>QS.CONTEXT.CREATE("market.9214",A9216,"USD","SOFR")</f>
        <v/>
      </c>
      <c r="D9216" s="8">
        <f>QS.CONTEXT.ADD.CURVE(C9216,"SOFR",$K$2:$K$7,$L$2:$L$7,,,"Actual360","LogLinear",TRUE)</f>
        <v/>
      </c>
      <c r="E9216" s="8">
        <f>QS.INSTRUMENT.SWAP("swap.9214",C9216,H9216,B9216,"USD","SOFR",I9216,J9216,0,"Actual360","Simple","Annual","Annual","Annual")</f>
        <v/>
      </c>
      <c r="F9216" s="8">
        <f>QS.TRADE.CREATE("trade.9214",C9216,E9216,A9216,"Receive")</f>
        <v/>
      </c>
      <c r="G9216" s="5"/>
      <c r="H9216" s="7" t="s">
        <v>9257</v>
      </c>
      <c r="I9216" s="9">
        <v>1921400</v>
      </c>
      <c r="J9216" s="10">
        <v>0.0364</v>
      </c>
    </row>
    <row r="9217" spans="1:10">
      <c r="A9217" s="7" t="s">
        <v>9251</v>
      </c>
      <c r="B9217" s="7" t="s">
        <v>11084</v>
      </c>
      <c r="C9217" s="8">
        <f>QS.CONTEXT.CREATE("market.9215",A9217,"USD","SOFR")</f>
        <v/>
      </c>
      <c r="D9217" s="8">
        <f>QS.CONTEXT.ADD.CURVE(C9217,"SOFR",$K$2:$K$7,$L$2:$L$7,,,"Actual360","LogLinear",TRUE)</f>
        <v/>
      </c>
      <c r="E9217" s="8">
        <f>QS.INSTRUMENT.SWAP("swap.9215",C9217,H9217,B9217,"USD","SOFR",I9217,J9217,0,"Actual360","Simple","Annual","Annual","Annual")</f>
        <v/>
      </c>
      <c r="F9217" s="8">
        <f>QS.TRADE.CREATE("trade.9215",C9217,E9217,A9217,"Receive")</f>
        <v/>
      </c>
      <c r="G9217" s="5"/>
      <c r="H9217" s="7" t="s">
        <v>9258</v>
      </c>
      <c r="I9217" s="9">
        <v>1921500</v>
      </c>
      <c r="J9217" s="10">
        <v>0.0365</v>
      </c>
    </row>
    <row r="9218" spans="1:10">
      <c r="A9218" s="7" t="s">
        <v>9252</v>
      </c>
      <c r="B9218" s="7" t="s">
        <v>11085</v>
      </c>
      <c r="C9218" s="8">
        <f>QS.CONTEXT.CREATE("market.9216",A9218,"USD","SOFR")</f>
        <v/>
      </c>
      <c r="D9218" s="8">
        <f>QS.CONTEXT.ADD.CURVE(C9218,"SOFR",$K$2:$K$7,$L$2:$L$7,,,"Actual360","LogLinear",TRUE)</f>
        <v/>
      </c>
      <c r="E9218" s="8">
        <f>QS.INSTRUMENT.SWAP("swap.9216",C9218,H9218,B9218,"USD","SOFR",I9218,J9218,0,"Actual360","Simple","Annual","Annual","Annual")</f>
        <v/>
      </c>
      <c r="F9218" s="8">
        <f>QS.TRADE.CREATE("trade.9216",C9218,E9218,A9218,"Receive")</f>
        <v/>
      </c>
      <c r="G9218" s="5"/>
      <c r="H9218" s="7" t="s">
        <v>9259</v>
      </c>
      <c r="I9218" s="9">
        <v>1921600</v>
      </c>
      <c r="J9218" s="10">
        <v>0.0366</v>
      </c>
    </row>
    <row r="9219" spans="1:10">
      <c r="A9219" s="7" t="s">
        <v>9253</v>
      </c>
      <c r="B9219" s="7" t="s">
        <v>11086</v>
      </c>
      <c r="C9219" s="8">
        <f>QS.CONTEXT.CREATE("market.9217",A9219,"USD","SOFR")</f>
        <v/>
      </c>
      <c r="D9219" s="8">
        <f>QS.CONTEXT.ADD.CURVE(C9219,"SOFR",$K$2:$K$7,$L$2:$L$7,,,"Actual360","LogLinear",TRUE)</f>
        <v/>
      </c>
      <c r="E9219" s="8">
        <f>QS.INSTRUMENT.SWAP("swap.9217",C9219,H9219,B9219,"USD","SOFR",I9219,J9219,0,"Actual360","Simple","Annual","Annual","Annual")</f>
        <v/>
      </c>
      <c r="F9219" s="8">
        <f>QS.TRADE.CREATE("trade.9217",C9219,E9219,A9219,"Receive")</f>
        <v/>
      </c>
      <c r="G9219" s="5"/>
      <c r="H9219" s="7" t="s">
        <v>9260</v>
      </c>
      <c r="I9219" s="9">
        <v>1921700</v>
      </c>
      <c r="J9219" s="10">
        <v>0.0367</v>
      </c>
    </row>
    <row r="9220" spans="1:10">
      <c r="A9220" s="7" t="s">
        <v>9254</v>
      </c>
      <c r="B9220" s="7" t="s">
        <v>11087</v>
      </c>
      <c r="C9220" s="8">
        <f>QS.CONTEXT.CREATE("market.9218",A9220,"USD","SOFR")</f>
        <v/>
      </c>
      <c r="D9220" s="8">
        <f>QS.CONTEXT.ADD.CURVE(C9220,"SOFR",$K$2:$K$7,$L$2:$L$7,,,"Actual360","LogLinear",TRUE)</f>
        <v/>
      </c>
      <c r="E9220" s="8">
        <f>QS.INSTRUMENT.SWAP("swap.9218",C9220,H9220,B9220,"USD","SOFR",I9220,J9220,0,"Actual360","Simple","Annual","Annual","Annual")</f>
        <v/>
      </c>
      <c r="F9220" s="8">
        <f>QS.TRADE.CREATE("trade.9218",C9220,E9220,A9220,"Receive")</f>
        <v/>
      </c>
      <c r="G9220" s="5"/>
      <c r="H9220" s="7" t="s">
        <v>9261</v>
      </c>
      <c r="I9220" s="9">
        <v>1921800</v>
      </c>
      <c r="J9220" s="10">
        <v>0.03680000000000001</v>
      </c>
    </row>
    <row r="9221" spans="1:10">
      <c r="A9221" s="7" t="s">
        <v>9255</v>
      </c>
      <c r="B9221" s="7" t="s">
        <v>11088</v>
      </c>
      <c r="C9221" s="8">
        <f>QS.CONTEXT.CREATE("market.9219",A9221,"USD","SOFR")</f>
        <v/>
      </c>
      <c r="D9221" s="8">
        <f>QS.CONTEXT.ADD.CURVE(C9221,"SOFR",$K$2:$K$7,$L$2:$L$7,,,"Actual360","LogLinear",TRUE)</f>
        <v/>
      </c>
      <c r="E9221" s="8">
        <f>QS.INSTRUMENT.SWAP("swap.9219",C9221,H9221,B9221,"USD","SOFR",I9221,J9221,0,"Actual360","Simple","Annual","Annual","Annual")</f>
        <v/>
      </c>
      <c r="F9221" s="8">
        <f>QS.TRADE.CREATE("trade.9219",C9221,E9221,A9221,"Receive")</f>
        <v/>
      </c>
      <c r="G9221" s="5"/>
      <c r="H9221" s="7" t="s">
        <v>9262</v>
      </c>
      <c r="I9221" s="9">
        <v>1921900</v>
      </c>
      <c r="J9221" s="10">
        <v>0.0369</v>
      </c>
    </row>
    <row r="9222" spans="1:10">
      <c r="A9222" s="7" t="s">
        <v>9256</v>
      </c>
      <c r="B9222" s="7" t="s">
        <v>11089</v>
      </c>
      <c r="C9222" s="8">
        <f>QS.CONTEXT.CREATE("market.9220",A9222,"USD","SOFR")</f>
        <v/>
      </c>
      <c r="D9222" s="8">
        <f>QS.CONTEXT.ADD.CURVE(C9222,"SOFR",$K$2:$K$7,$L$2:$L$7,,,"Actual360","LogLinear",TRUE)</f>
        <v/>
      </c>
      <c r="E9222" s="8">
        <f>QS.INSTRUMENT.SWAP("swap.9220",C9222,H9222,B9222,"USD","SOFR",I9222,J9222,0,"Actual360","Simple","Annual","Annual","Annual")</f>
        <v/>
      </c>
      <c r="F9222" s="8">
        <f>QS.TRADE.CREATE("trade.9220",C9222,E9222,A9222,"Receive")</f>
        <v/>
      </c>
      <c r="G9222" s="5"/>
      <c r="H9222" s="7" t="s">
        <v>9263</v>
      </c>
      <c r="I9222" s="9">
        <v>1922000</v>
      </c>
      <c r="J9222" s="10">
        <v>0.03700000000000001</v>
      </c>
    </row>
    <row r="9223" spans="1:10">
      <c r="A9223" s="7" t="s">
        <v>9257</v>
      </c>
      <c r="B9223" s="7" t="s">
        <v>11090</v>
      </c>
      <c r="C9223" s="8">
        <f>QS.CONTEXT.CREATE("market.9221",A9223,"USD","SOFR")</f>
        <v/>
      </c>
      <c r="D9223" s="8">
        <f>QS.CONTEXT.ADD.CURVE(C9223,"SOFR",$K$2:$K$7,$L$2:$L$7,,,"Actual360","LogLinear",TRUE)</f>
        <v/>
      </c>
      <c r="E9223" s="8">
        <f>QS.INSTRUMENT.SWAP("swap.9221",C9223,H9223,B9223,"USD","SOFR",I9223,J9223,0,"Actual360","Simple","Annual","Annual","Annual")</f>
        <v/>
      </c>
      <c r="F9223" s="8">
        <f>QS.TRADE.CREATE("trade.9221",C9223,E9223,A9223,"Receive")</f>
        <v/>
      </c>
      <c r="G9223" s="5"/>
      <c r="H9223" s="7" t="s">
        <v>9264</v>
      </c>
      <c r="I9223" s="9">
        <v>1922100</v>
      </c>
      <c r="J9223" s="10">
        <v>0.0371</v>
      </c>
    </row>
    <row r="9224" spans="1:10">
      <c r="A9224" s="7" t="s">
        <v>9258</v>
      </c>
      <c r="B9224" s="7" t="s">
        <v>11091</v>
      </c>
      <c r="C9224" s="8">
        <f>QS.CONTEXT.CREATE("market.9222",A9224,"USD","SOFR")</f>
        <v/>
      </c>
      <c r="D9224" s="8">
        <f>QS.CONTEXT.ADD.CURVE(C9224,"SOFR",$K$2:$K$7,$L$2:$L$7,,,"Actual360","LogLinear",TRUE)</f>
        <v/>
      </c>
      <c r="E9224" s="8">
        <f>QS.INSTRUMENT.SWAP("swap.9222",C9224,H9224,B9224,"USD","SOFR",I9224,J9224,0,"Actual360","Simple","Annual","Annual","Annual")</f>
        <v/>
      </c>
      <c r="F9224" s="8">
        <f>QS.TRADE.CREATE("trade.9222",C9224,E9224,A9224,"Receive")</f>
        <v/>
      </c>
      <c r="G9224" s="5"/>
      <c r="H9224" s="7" t="s">
        <v>9265</v>
      </c>
      <c r="I9224" s="9">
        <v>1922200</v>
      </c>
      <c r="J9224" s="10">
        <v>0.0372</v>
      </c>
    </row>
    <row r="9225" spans="1:10">
      <c r="A9225" s="7" t="s">
        <v>9259</v>
      </c>
      <c r="B9225" s="7" t="s">
        <v>11092</v>
      </c>
      <c r="C9225" s="8">
        <f>QS.CONTEXT.CREATE("market.9223",A9225,"USD","SOFR")</f>
        <v/>
      </c>
      <c r="D9225" s="8">
        <f>QS.CONTEXT.ADD.CURVE(C9225,"SOFR",$K$2:$K$7,$L$2:$L$7,,,"Actual360","LogLinear",TRUE)</f>
        <v/>
      </c>
      <c r="E9225" s="8">
        <f>QS.INSTRUMENT.SWAP("swap.9223",C9225,H9225,B9225,"USD","SOFR",I9225,J9225,0,"Actual360","Simple","Annual","Annual","Annual")</f>
        <v/>
      </c>
      <c r="F9225" s="8">
        <f>QS.TRADE.CREATE("trade.9223",C9225,E9225,A9225,"Receive")</f>
        <v/>
      </c>
      <c r="G9225" s="5"/>
      <c r="H9225" s="7" t="s">
        <v>9266</v>
      </c>
      <c r="I9225" s="9">
        <v>1922300</v>
      </c>
      <c r="J9225" s="10">
        <v>0.0373</v>
      </c>
    </row>
    <row r="9226" spans="1:10">
      <c r="A9226" s="7" t="s">
        <v>9260</v>
      </c>
      <c r="B9226" s="7" t="s">
        <v>11093</v>
      </c>
      <c r="C9226" s="8">
        <f>QS.CONTEXT.CREATE("market.9224",A9226,"USD","SOFR")</f>
        <v/>
      </c>
      <c r="D9226" s="8">
        <f>QS.CONTEXT.ADD.CURVE(C9226,"SOFR",$K$2:$K$7,$L$2:$L$7,,,"Actual360","LogLinear",TRUE)</f>
        <v/>
      </c>
      <c r="E9226" s="8">
        <f>QS.INSTRUMENT.SWAP("swap.9224",C9226,H9226,B9226,"USD","SOFR",I9226,J9226,0,"Actual360","Simple","Annual","Annual","Annual")</f>
        <v/>
      </c>
      <c r="F9226" s="8">
        <f>QS.TRADE.CREATE("trade.9224",C9226,E9226,A9226,"Receive")</f>
        <v/>
      </c>
      <c r="G9226" s="5"/>
      <c r="H9226" s="7" t="s">
        <v>9267</v>
      </c>
      <c r="I9226" s="9">
        <v>1922400</v>
      </c>
      <c r="J9226" s="10">
        <v>0.0374</v>
      </c>
    </row>
    <row r="9227" spans="1:10">
      <c r="A9227" s="7" t="s">
        <v>9261</v>
      </c>
      <c r="B9227" s="7" t="s">
        <v>11094</v>
      </c>
      <c r="C9227" s="8">
        <f>QS.CONTEXT.CREATE("market.9225",A9227,"USD","SOFR")</f>
        <v/>
      </c>
      <c r="D9227" s="8">
        <f>QS.CONTEXT.ADD.CURVE(C9227,"SOFR",$K$2:$K$7,$L$2:$L$7,,,"Actual360","LogLinear",TRUE)</f>
        <v/>
      </c>
      <c r="E9227" s="8">
        <f>QS.INSTRUMENT.SWAP("swap.9225",C9227,H9227,B9227,"USD","SOFR",I9227,J9227,0,"Actual360","Simple","Annual","Annual","Annual")</f>
        <v/>
      </c>
      <c r="F9227" s="8">
        <f>QS.TRADE.CREATE("trade.9225",C9227,E9227,A9227,"Receive")</f>
        <v/>
      </c>
      <c r="G9227" s="5"/>
      <c r="H9227" s="7" t="s">
        <v>9268</v>
      </c>
      <c r="I9227" s="9">
        <v>1922500</v>
      </c>
      <c r="J9227" s="10">
        <v>0.03750000000000001</v>
      </c>
    </row>
    <row r="9228" spans="1:10">
      <c r="A9228" s="7" t="s">
        <v>9262</v>
      </c>
      <c r="B9228" s="7" t="s">
        <v>11095</v>
      </c>
      <c r="C9228" s="8">
        <f>QS.CONTEXT.CREATE("market.9226",A9228,"USD","SOFR")</f>
        <v/>
      </c>
      <c r="D9228" s="8">
        <f>QS.CONTEXT.ADD.CURVE(C9228,"SOFR",$K$2:$K$7,$L$2:$L$7,,,"Actual360","LogLinear",TRUE)</f>
        <v/>
      </c>
      <c r="E9228" s="8">
        <f>QS.INSTRUMENT.SWAP("swap.9226",C9228,H9228,B9228,"USD","SOFR",I9228,J9228,0,"Actual360","Simple","Annual","Annual","Annual")</f>
        <v/>
      </c>
      <c r="F9228" s="8">
        <f>QS.TRADE.CREATE("trade.9226",C9228,E9228,A9228,"Receive")</f>
        <v/>
      </c>
      <c r="G9228" s="5"/>
      <c r="H9228" s="7" t="s">
        <v>9269</v>
      </c>
      <c r="I9228" s="9">
        <v>1922600</v>
      </c>
      <c r="J9228" s="10">
        <v>0.0376</v>
      </c>
    </row>
    <row r="9229" spans="1:10">
      <c r="A9229" s="7" t="s">
        <v>9263</v>
      </c>
      <c r="B9229" s="7" t="s">
        <v>11096</v>
      </c>
      <c r="C9229" s="8">
        <f>QS.CONTEXT.CREATE("market.9227",A9229,"USD","SOFR")</f>
        <v/>
      </c>
      <c r="D9229" s="8">
        <f>QS.CONTEXT.ADD.CURVE(C9229,"SOFR",$K$2:$K$7,$L$2:$L$7,,,"Actual360","LogLinear",TRUE)</f>
        <v/>
      </c>
      <c r="E9229" s="8">
        <f>QS.INSTRUMENT.SWAP("swap.9227",C9229,H9229,B9229,"USD","SOFR",I9229,J9229,0,"Actual360","Simple","Annual","Annual","Annual")</f>
        <v/>
      </c>
      <c r="F9229" s="8">
        <f>QS.TRADE.CREATE("trade.9227",C9229,E9229,A9229,"Receive")</f>
        <v/>
      </c>
      <c r="G9229" s="5"/>
      <c r="H9229" s="7" t="s">
        <v>9270</v>
      </c>
      <c r="I9229" s="9">
        <v>1922700</v>
      </c>
      <c r="J9229" s="10">
        <v>0.0377</v>
      </c>
    </row>
    <row r="9230" spans="1:10">
      <c r="A9230" s="7" t="s">
        <v>9264</v>
      </c>
      <c r="B9230" s="7" t="s">
        <v>11097</v>
      </c>
      <c r="C9230" s="8">
        <f>QS.CONTEXT.CREATE("market.9228",A9230,"USD","SOFR")</f>
        <v/>
      </c>
      <c r="D9230" s="8">
        <f>QS.CONTEXT.ADD.CURVE(C9230,"SOFR",$K$2:$K$7,$L$2:$L$7,,,"Actual360","LogLinear",TRUE)</f>
        <v/>
      </c>
      <c r="E9230" s="8">
        <f>QS.INSTRUMENT.SWAP("swap.9228",C9230,H9230,B9230,"USD","SOFR",I9230,J9230,0,"Actual360","Simple","Annual","Annual","Annual")</f>
        <v/>
      </c>
      <c r="F9230" s="8">
        <f>QS.TRADE.CREATE("trade.9228",C9230,E9230,A9230,"Receive")</f>
        <v/>
      </c>
      <c r="G9230" s="5"/>
      <c r="H9230" s="7" t="s">
        <v>9271</v>
      </c>
      <c r="I9230" s="9">
        <v>1922800</v>
      </c>
      <c r="J9230" s="10">
        <v>0.0378</v>
      </c>
    </row>
    <row r="9231" spans="1:10">
      <c r="A9231" s="7" t="s">
        <v>9265</v>
      </c>
      <c r="B9231" s="7" t="s">
        <v>11098</v>
      </c>
      <c r="C9231" s="8">
        <f>QS.CONTEXT.CREATE("market.9229",A9231,"USD","SOFR")</f>
        <v/>
      </c>
      <c r="D9231" s="8">
        <f>QS.CONTEXT.ADD.CURVE(C9231,"SOFR",$K$2:$K$7,$L$2:$L$7,,,"Actual360","LogLinear",TRUE)</f>
        <v/>
      </c>
      <c r="E9231" s="8">
        <f>QS.INSTRUMENT.SWAP("swap.9229",C9231,H9231,B9231,"USD","SOFR",I9231,J9231,0,"Actual360","Simple","Annual","Annual","Annual")</f>
        <v/>
      </c>
      <c r="F9231" s="8">
        <f>QS.TRADE.CREATE("trade.9229",C9231,E9231,A9231,"Receive")</f>
        <v/>
      </c>
      <c r="G9231" s="5"/>
      <c r="H9231" s="7" t="s">
        <v>9272</v>
      </c>
      <c r="I9231" s="9">
        <v>1922900</v>
      </c>
      <c r="J9231" s="10">
        <v>0.0379</v>
      </c>
    </row>
    <row r="9232" spans="1:10">
      <c r="A9232" s="7" t="s">
        <v>9266</v>
      </c>
      <c r="B9232" s="7" t="s">
        <v>11099</v>
      </c>
      <c r="C9232" s="8">
        <f>QS.CONTEXT.CREATE("market.9230",A9232,"USD","SOFR")</f>
        <v/>
      </c>
      <c r="D9232" s="8">
        <f>QS.CONTEXT.ADD.CURVE(C9232,"SOFR",$K$2:$K$7,$L$2:$L$7,,,"Actual360","LogLinear",TRUE)</f>
        <v/>
      </c>
      <c r="E9232" s="8">
        <f>QS.INSTRUMENT.SWAP("swap.9230",C9232,H9232,B9232,"USD","SOFR",I9232,J9232,0,"Actual360","Simple","Annual","Annual","Annual")</f>
        <v/>
      </c>
      <c r="F9232" s="8">
        <f>QS.TRADE.CREATE("trade.9230",C9232,E9232,A9232,"Receive")</f>
        <v/>
      </c>
      <c r="G9232" s="5"/>
      <c r="H9232" s="7" t="s">
        <v>9273</v>
      </c>
      <c r="I9232" s="9">
        <v>1923000</v>
      </c>
      <c r="J9232" s="10">
        <v>0.03800000000000001</v>
      </c>
    </row>
    <row r="9233" spans="1:10">
      <c r="A9233" s="7" t="s">
        <v>9267</v>
      </c>
      <c r="B9233" s="7" t="s">
        <v>11100</v>
      </c>
      <c r="C9233" s="8">
        <f>QS.CONTEXT.CREATE("market.9231",A9233,"USD","SOFR")</f>
        <v/>
      </c>
      <c r="D9233" s="8">
        <f>QS.CONTEXT.ADD.CURVE(C9233,"SOFR",$K$2:$K$7,$L$2:$L$7,,,"Actual360","LogLinear",TRUE)</f>
        <v/>
      </c>
      <c r="E9233" s="8">
        <f>QS.INSTRUMENT.SWAP("swap.9231",C9233,H9233,B9233,"USD","SOFR",I9233,J9233,0,"Actual360","Simple","Annual","Annual","Annual")</f>
        <v/>
      </c>
      <c r="F9233" s="8">
        <f>QS.TRADE.CREATE("trade.9231",C9233,E9233,A9233,"Receive")</f>
        <v/>
      </c>
      <c r="G9233" s="5"/>
      <c r="H9233" s="7" t="s">
        <v>9274</v>
      </c>
      <c r="I9233" s="9">
        <v>1923100</v>
      </c>
      <c r="J9233" s="10">
        <v>0.0381</v>
      </c>
    </row>
    <row r="9234" spans="1:10">
      <c r="A9234" s="7" t="s">
        <v>9268</v>
      </c>
      <c r="B9234" s="7" t="s">
        <v>11101</v>
      </c>
      <c r="C9234" s="8">
        <f>QS.CONTEXT.CREATE("market.9232",A9234,"USD","SOFR")</f>
        <v/>
      </c>
      <c r="D9234" s="8">
        <f>QS.CONTEXT.ADD.CURVE(C9234,"SOFR",$K$2:$K$7,$L$2:$L$7,,,"Actual360","LogLinear",TRUE)</f>
        <v/>
      </c>
      <c r="E9234" s="8">
        <f>QS.INSTRUMENT.SWAP("swap.9232",C9234,H9234,B9234,"USD","SOFR",I9234,J9234,0,"Actual360","Simple","Annual","Annual","Annual")</f>
        <v/>
      </c>
      <c r="F9234" s="8">
        <f>QS.TRADE.CREATE("trade.9232",C9234,E9234,A9234,"Receive")</f>
        <v/>
      </c>
      <c r="G9234" s="5"/>
      <c r="H9234" s="7" t="s">
        <v>9275</v>
      </c>
      <c r="I9234" s="9">
        <v>1923200</v>
      </c>
      <c r="J9234" s="10">
        <v>0.0382</v>
      </c>
    </row>
    <row r="9235" spans="1:10">
      <c r="A9235" s="7" t="s">
        <v>9269</v>
      </c>
      <c r="B9235" s="7" t="s">
        <v>11102</v>
      </c>
      <c r="C9235" s="8">
        <f>QS.CONTEXT.CREATE("market.9233",A9235,"USD","SOFR")</f>
        <v/>
      </c>
      <c r="D9235" s="8">
        <f>QS.CONTEXT.ADD.CURVE(C9235,"SOFR",$K$2:$K$7,$L$2:$L$7,,,"Actual360","LogLinear",TRUE)</f>
        <v/>
      </c>
      <c r="E9235" s="8">
        <f>QS.INSTRUMENT.SWAP("swap.9233",C9235,H9235,B9235,"USD","SOFR",I9235,J9235,0,"Actual360","Simple","Annual","Annual","Annual")</f>
        <v/>
      </c>
      <c r="F9235" s="8">
        <f>QS.TRADE.CREATE("trade.9233",C9235,E9235,A9235,"Receive")</f>
        <v/>
      </c>
      <c r="G9235" s="5"/>
      <c r="H9235" s="7" t="s">
        <v>9276</v>
      </c>
      <c r="I9235" s="9">
        <v>1923300</v>
      </c>
      <c r="J9235" s="10">
        <v>0.0383</v>
      </c>
    </row>
    <row r="9236" spans="1:10">
      <c r="A9236" s="7" t="s">
        <v>9270</v>
      </c>
      <c r="B9236" s="7" t="s">
        <v>11103</v>
      </c>
      <c r="C9236" s="8">
        <f>QS.CONTEXT.CREATE("market.9234",A9236,"USD","SOFR")</f>
        <v/>
      </c>
      <c r="D9236" s="8">
        <f>QS.CONTEXT.ADD.CURVE(C9236,"SOFR",$K$2:$K$7,$L$2:$L$7,,,"Actual360","LogLinear",TRUE)</f>
        <v/>
      </c>
      <c r="E9236" s="8">
        <f>QS.INSTRUMENT.SWAP("swap.9234",C9236,H9236,B9236,"USD","SOFR",I9236,J9236,0,"Actual360","Simple","Annual","Annual","Annual")</f>
        <v/>
      </c>
      <c r="F9236" s="8">
        <f>QS.TRADE.CREATE("trade.9234",C9236,E9236,A9236,"Receive")</f>
        <v/>
      </c>
      <c r="G9236" s="5"/>
      <c r="H9236" s="7" t="s">
        <v>9277</v>
      </c>
      <c r="I9236" s="9">
        <v>1923400</v>
      </c>
      <c r="J9236" s="10">
        <v>0.0384</v>
      </c>
    </row>
    <row r="9237" spans="1:10">
      <c r="A9237" s="7" t="s">
        <v>9271</v>
      </c>
      <c r="B9237" s="7" t="s">
        <v>11104</v>
      </c>
      <c r="C9237" s="8">
        <f>QS.CONTEXT.CREATE("market.9235",A9237,"USD","SOFR")</f>
        <v/>
      </c>
      <c r="D9237" s="8">
        <f>QS.CONTEXT.ADD.CURVE(C9237,"SOFR",$K$2:$K$7,$L$2:$L$7,,,"Actual360","LogLinear",TRUE)</f>
        <v/>
      </c>
      <c r="E9237" s="8">
        <f>QS.INSTRUMENT.SWAP("swap.9235",C9237,H9237,B9237,"USD","SOFR",I9237,J9237,0,"Actual360","Simple","Annual","Annual","Annual")</f>
        <v/>
      </c>
      <c r="F9237" s="8">
        <f>QS.TRADE.CREATE("trade.9235",C9237,E9237,A9237,"Receive")</f>
        <v/>
      </c>
      <c r="G9237" s="5"/>
      <c r="H9237" s="7" t="s">
        <v>9278</v>
      </c>
      <c r="I9237" s="9">
        <v>1923500</v>
      </c>
      <c r="J9237" s="10">
        <v>0.03850000000000001</v>
      </c>
    </row>
    <row r="9238" spans="1:10">
      <c r="A9238" s="7" t="s">
        <v>9272</v>
      </c>
      <c r="B9238" s="7" t="s">
        <v>11105</v>
      </c>
      <c r="C9238" s="8">
        <f>QS.CONTEXT.CREATE("market.9236",A9238,"USD","SOFR")</f>
        <v/>
      </c>
      <c r="D9238" s="8">
        <f>QS.CONTEXT.ADD.CURVE(C9238,"SOFR",$K$2:$K$7,$L$2:$L$7,,,"Actual360","LogLinear",TRUE)</f>
        <v/>
      </c>
      <c r="E9238" s="8">
        <f>QS.INSTRUMENT.SWAP("swap.9236",C9238,H9238,B9238,"USD","SOFR",I9238,J9238,0,"Actual360","Simple","Annual","Annual","Annual")</f>
        <v/>
      </c>
      <c r="F9238" s="8">
        <f>QS.TRADE.CREATE("trade.9236",C9238,E9238,A9238,"Receive")</f>
        <v/>
      </c>
      <c r="G9238" s="5"/>
      <c r="H9238" s="7" t="s">
        <v>9279</v>
      </c>
      <c r="I9238" s="9">
        <v>1923600</v>
      </c>
      <c r="J9238" s="10">
        <v>0.0386</v>
      </c>
    </row>
    <row r="9239" spans="1:10">
      <c r="A9239" s="7" t="s">
        <v>9273</v>
      </c>
      <c r="B9239" s="7" t="s">
        <v>11106</v>
      </c>
      <c r="C9239" s="8">
        <f>QS.CONTEXT.CREATE("market.9237",A9239,"USD","SOFR")</f>
        <v/>
      </c>
      <c r="D9239" s="8">
        <f>QS.CONTEXT.ADD.CURVE(C9239,"SOFR",$K$2:$K$7,$L$2:$L$7,,,"Actual360","LogLinear",TRUE)</f>
        <v/>
      </c>
      <c r="E9239" s="8">
        <f>QS.INSTRUMENT.SWAP("swap.9237",C9239,H9239,B9239,"USD","SOFR",I9239,J9239,0,"Actual360","Simple","Annual","Annual","Annual")</f>
        <v/>
      </c>
      <c r="F9239" s="8">
        <f>QS.TRADE.CREATE("trade.9237",C9239,E9239,A9239,"Receive")</f>
        <v/>
      </c>
      <c r="G9239" s="5"/>
      <c r="H9239" s="7" t="s">
        <v>9280</v>
      </c>
      <c r="I9239" s="9">
        <v>1923700</v>
      </c>
      <c r="J9239" s="10">
        <v>0.03870000000000001</v>
      </c>
    </row>
    <row r="9240" spans="1:10">
      <c r="A9240" s="7" t="s">
        <v>9274</v>
      </c>
      <c r="B9240" s="7" t="s">
        <v>11107</v>
      </c>
      <c r="C9240" s="8">
        <f>QS.CONTEXT.CREATE("market.9238",A9240,"USD","SOFR")</f>
        <v/>
      </c>
      <c r="D9240" s="8">
        <f>QS.CONTEXT.ADD.CURVE(C9240,"SOFR",$K$2:$K$7,$L$2:$L$7,,,"Actual360","LogLinear",TRUE)</f>
        <v/>
      </c>
      <c r="E9240" s="8">
        <f>QS.INSTRUMENT.SWAP("swap.9238",C9240,H9240,B9240,"USD","SOFR",I9240,J9240,0,"Actual360","Simple","Annual","Annual","Annual")</f>
        <v/>
      </c>
      <c r="F9240" s="8">
        <f>QS.TRADE.CREATE("trade.9238",C9240,E9240,A9240,"Receive")</f>
        <v/>
      </c>
      <c r="G9240" s="5"/>
      <c r="H9240" s="7" t="s">
        <v>9281</v>
      </c>
      <c r="I9240" s="9">
        <v>1923800</v>
      </c>
      <c r="J9240" s="10">
        <v>0.0388</v>
      </c>
    </row>
    <row r="9241" spans="1:10">
      <c r="A9241" s="7" t="s">
        <v>9275</v>
      </c>
      <c r="B9241" s="7" t="s">
        <v>11108</v>
      </c>
      <c r="C9241" s="8">
        <f>QS.CONTEXT.CREATE("market.9239",A9241,"USD","SOFR")</f>
        <v/>
      </c>
      <c r="D9241" s="8">
        <f>QS.CONTEXT.ADD.CURVE(C9241,"SOFR",$K$2:$K$7,$L$2:$L$7,,,"Actual360","LogLinear",TRUE)</f>
        <v/>
      </c>
      <c r="E9241" s="8">
        <f>QS.INSTRUMENT.SWAP("swap.9239",C9241,H9241,B9241,"USD","SOFR",I9241,J9241,0,"Actual360","Simple","Annual","Annual","Annual")</f>
        <v/>
      </c>
      <c r="F9241" s="8">
        <f>QS.TRADE.CREATE("trade.9239",C9241,E9241,A9241,"Receive")</f>
        <v/>
      </c>
      <c r="G9241" s="5"/>
      <c r="H9241" s="7" t="s">
        <v>9282</v>
      </c>
      <c r="I9241" s="9">
        <v>1923900</v>
      </c>
      <c r="J9241" s="10">
        <v>0.0389</v>
      </c>
    </row>
    <row r="9242" spans="1:10">
      <c r="A9242" s="7" t="s">
        <v>9276</v>
      </c>
      <c r="B9242" s="7" t="s">
        <v>11109</v>
      </c>
      <c r="C9242" s="8">
        <f>QS.CONTEXT.CREATE("market.9240",A9242,"USD","SOFR")</f>
        <v/>
      </c>
      <c r="D9242" s="8">
        <f>QS.CONTEXT.ADD.CURVE(C9242,"SOFR",$K$2:$K$7,$L$2:$L$7,,,"Actual360","LogLinear",TRUE)</f>
        <v/>
      </c>
      <c r="E9242" s="8">
        <f>QS.INSTRUMENT.SWAP("swap.9240",C9242,H9242,B9242,"USD","SOFR",I9242,J9242,0,"Actual360","Simple","Annual","Annual","Annual")</f>
        <v/>
      </c>
      <c r="F9242" s="8">
        <f>QS.TRADE.CREATE("trade.9240",C9242,E9242,A9242,"Receive")</f>
        <v/>
      </c>
      <c r="G9242" s="5"/>
      <c r="H9242" s="7" t="s">
        <v>9283</v>
      </c>
      <c r="I9242" s="9">
        <v>1924000</v>
      </c>
      <c r="J9242" s="10">
        <v>0.03900000000000001</v>
      </c>
    </row>
    <row r="9243" spans="1:10">
      <c r="A9243" s="7" t="s">
        <v>9277</v>
      </c>
      <c r="B9243" s="7" t="s">
        <v>11110</v>
      </c>
      <c r="C9243" s="8">
        <f>QS.CONTEXT.CREATE("market.9241",A9243,"USD","SOFR")</f>
        <v/>
      </c>
      <c r="D9243" s="8">
        <f>QS.CONTEXT.ADD.CURVE(C9243,"SOFR",$K$2:$K$7,$L$2:$L$7,,,"Actual360","LogLinear",TRUE)</f>
        <v/>
      </c>
      <c r="E9243" s="8">
        <f>QS.INSTRUMENT.SWAP("swap.9241",C9243,H9243,B9243,"USD","SOFR",I9243,J9243,0,"Actual360","Simple","Annual","Annual","Annual")</f>
        <v/>
      </c>
      <c r="F9243" s="8">
        <f>QS.TRADE.CREATE("trade.9241",C9243,E9243,A9243,"Receive")</f>
        <v/>
      </c>
      <c r="G9243" s="5"/>
      <c r="H9243" s="7" t="s">
        <v>9284</v>
      </c>
      <c r="I9243" s="9">
        <v>1924100</v>
      </c>
      <c r="J9243" s="10">
        <v>0.0391</v>
      </c>
    </row>
    <row r="9244" spans="1:10">
      <c r="A9244" s="7" t="s">
        <v>9278</v>
      </c>
      <c r="B9244" s="7" t="s">
        <v>11111</v>
      </c>
      <c r="C9244" s="8">
        <f>QS.CONTEXT.CREATE("market.9242",A9244,"USD","SOFR")</f>
        <v/>
      </c>
      <c r="D9244" s="8">
        <f>QS.CONTEXT.ADD.CURVE(C9244,"SOFR",$K$2:$K$7,$L$2:$L$7,,,"Actual360","LogLinear",TRUE)</f>
        <v/>
      </c>
      <c r="E9244" s="8">
        <f>QS.INSTRUMENT.SWAP("swap.9242",C9244,H9244,B9244,"USD","SOFR",I9244,J9244,0,"Actual360","Simple","Annual","Annual","Annual")</f>
        <v/>
      </c>
      <c r="F9244" s="8">
        <f>QS.TRADE.CREATE("trade.9242",C9244,E9244,A9244,"Receive")</f>
        <v/>
      </c>
      <c r="G9244" s="5"/>
      <c r="H9244" s="7" t="s">
        <v>9285</v>
      </c>
      <c r="I9244" s="9">
        <v>1924200</v>
      </c>
      <c r="J9244" s="10">
        <v>0.03920000000000001</v>
      </c>
    </row>
    <row r="9245" spans="1:10">
      <c r="A9245" s="7" t="s">
        <v>9279</v>
      </c>
      <c r="B9245" s="7" t="s">
        <v>11112</v>
      </c>
      <c r="C9245" s="8">
        <f>QS.CONTEXT.CREATE("market.9243",A9245,"USD","SOFR")</f>
        <v/>
      </c>
      <c r="D9245" s="8">
        <f>QS.CONTEXT.ADD.CURVE(C9245,"SOFR",$K$2:$K$7,$L$2:$L$7,,,"Actual360","LogLinear",TRUE)</f>
        <v/>
      </c>
      <c r="E9245" s="8">
        <f>QS.INSTRUMENT.SWAP("swap.9243",C9245,H9245,B9245,"USD","SOFR",I9245,J9245,0,"Actual360","Simple","Annual","Annual","Annual")</f>
        <v/>
      </c>
      <c r="F9245" s="8">
        <f>QS.TRADE.CREATE("trade.9243",C9245,E9245,A9245,"Receive")</f>
        <v/>
      </c>
      <c r="G9245" s="5"/>
      <c r="H9245" s="7" t="s">
        <v>9286</v>
      </c>
      <c r="I9245" s="9">
        <v>1924300</v>
      </c>
      <c r="J9245" s="10">
        <v>0.0393</v>
      </c>
    </row>
    <row r="9246" spans="1:10">
      <c r="A9246" s="7" t="s">
        <v>9280</v>
      </c>
      <c r="B9246" s="7" t="s">
        <v>11113</v>
      </c>
      <c r="C9246" s="8">
        <f>QS.CONTEXT.CREATE("market.9244",A9246,"USD","SOFR")</f>
        <v/>
      </c>
      <c r="D9246" s="8">
        <f>QS.CONTEXT.ADD.CURVE(C9246,"SOFR",$K$2:$K$7,$L$2:$L$7,,,"Actual360","LogLinear",TRUE)</f>
        <v/>
      </c>
      <c r="E9246" s="8">
        <f>QS.INSTRUMENT.SWAP("swap.9244",C9246,H9246,B9246,"USD","SOFR",I9246,J9246,0,"Actual360","Simple","Annual","Annual","Annual")</f>
        <v/>
      </c>
      <c r="F9246" s="8">
        <f>QS.TRADE.CREATE("trade.9244",C9246,E9246,A9246,"Receive")</f>
        <v/>
      </c>
      <c r="G9246" s="5"/>
      <c r="H9246" s="7" t="s">
        <v>9287</v>
      </c>
      <c r="I9246" s="9">
        <v>1924400</v>
      </c>
      <c r="J9246" s="10">
        <v>0.0394</v>
      </c>
    </row>
    <row r="9247" spans="1:10">
      <c r="A9247" s="7" t="s">
        <v>9281</v>
      </c>
      <c r="B9247" s="7" t="s">
        <v>11114</v>
      </c>
      <c r="C9247" s="8">
        <f>QS.CONTEXT.CREATE("market.9245",A9247,"USD","SOFR")</f>
        <v/>
      </c>
      <c r="D9247" s="8">
        <f>QS.CONTEXT.ADD.CURVE(C9247,"SOFR",$K$2:$K$7,$L$2:$L$7,,,"Actual360","LogLinear",TRUE)</f>
        <v/>
      </c>
      <c r="E9247" s="8">
        <f>QS.INSTRUMENT.SWAP("swap.9245",C9247,H9247,B9247,"USD","SOFR",I9247,J9247,0,"Actual360","Simple","Annual","Annual","Annual")</f>
        <v/>
      </c>
      <c r="F9247" s="8">
        <f>QS.TRADE.CREATE("trade.9245",C9247,E9247,A9247,"Receive")</f>
        <v/>
      </c>
      <c r="G9247" s="5"/>
      <c r="H9247" s="7" t="s">
        <v>9288</v>
      </c>
      <c r="I9247" s="9">
        <v>1924500</v>
      </c>
      <c r="J9247" s="10">
        <v>0.03950000000000001</v>
      </c>
    </row>
    <row r="9248" spans="1:10">
      <c r="A9248" s="7" t="s">
        <v>9282</v>
      </c>
      <c r="B9248" s="7" t="s">
        <v>11115</v>
      </c>
      <c r="C9248" s="8">
        <f>QS.CONTEXT.CREATE("market.9246",A9248,"USD","SOFR")</f>
        <v/>
      </c>
      <c r="D9248" s="8">
        <f>QS.CONTEXT.ADD.CURVE(C9248,"SOFR",$K$2:$K$7,$L$2:$L$7,,,"Actual360","LogLinear",TRUE)</f>
        <v/>
      </c>
      <c r="E9248" s="8">
        <f>QS.INSTRUMENT.SWAP("swap.9246",C9248,H9248,B9248,"USD","SOFR",I9248,J9248,0,"Actual360","Simple","Annual","Annual","Annual")</f>
        <v/>
      </c>
      <c r="F9248" s="8">
        <f>QS.TRADE.CREATE("trade.9246",C9248,E9248,A9248,"Receive")</f>
        <v/>
      </c>
      <c r="G9248" s="5"/>
      <c r="H9248" s="7" t="s">
        <v>9289</v>
      </c>
      <c r="I9248" s="9">
        <v>1924600</v>
      </c>
      <c r="J9248" s="10">
        <v>0.0396</v>
      </c>
    </row>
    <row r="9249" spans="1:10">
      <c r="A9249" s="7" t="s">
        <v>9283</v>
      </c>
      <c r="B9249" s="7" t="s">
        <v>11116</v>
      </c>
      <c r="C9249" s="8">
        <f>QS.CONTEXT.CREATE("market.9247",A9249,"USD","SOFR")</f>
        <v/>
      </c>
      <c r="D9249" s="8">
        <f>QS.CONTEXT.ADD.CURVE(C9249,"SOFR",$K$2:$K$7,$L$2:$L$7,,,"Actual360","LogLinear",TRUE)</f>
        <v/>
      </c>
      <c r="E9249" s="8">
        <f>QS.INSTRUMENT.SWAP("swap.9247",C9249,H9249,B9249,"USD","SOFR",I9249,J9249,0,"Actual360","Simple","Annual","Annual","Annual")</f>
        <v/>
      </c>
      <c r="F9249" s="8">
        <f>QS.TRADE.CREATE("trade.9247",C9249,E9249,A9249,"Receive")</f>
        <v/>
      </c>
      <c r="G9249" s="5"/>
      <c r="H9249" s="7" t="s">
        <v>9290</v>
      </c>
      <c r="I9249" s="9">
        <v>1924700</v>
      </c>
      <c r="J9249" s="10">
        <v>0.03970000000000001</v>
      </c>
    </row>
    <row r="9250" spans="1:10">
      <c r="A9250" s="7" t="s">
        <v>9284</v>
      </c>
      <c r="B9250" s="7" t="s">
        <v>11117</v>
      </c>
      <c r="C9250" s="8">
        <f>QS.CONTEXT.CREATE("market.9248",A9250,"USD","SOFR")</f>
        <v/>
      </c>
      <c r="D9250" s="8">
        <f>QS.CONTEXT.ADD.CURVE(C9250,"SOFR",$K$2:$K$7,$L$2:$L$7,,,"Actual360","LogLinear",TRUE)</f>
        <v/>
      </c>
      <c r="E9250" s="8">
        <f>QS.INSTRUMENT.SWAP("swap.9248",C9250,H9250,B9250,"USD","SOFR",I9250,J9250,0,"Actual360","Simple","Annual","Annual","Annual")</f>
        <v/>
      </c>
      <c r="F9250" s="8">
        <f>QS.TRADE.CREATE("trade.9248",C9250,E9250,A9250,"Receive")</f>
        <v/>
      </c>
      <c r="G9250" s="5"/>
      <c r="H9250" s="7" t="s">
        <v>9291</v>
      </c>
      <c r="I9250" s="9">
        <v>1924800</v>
      </c>
      <c r="J9250" s="10">
        <v>0.0398</v>
      </c>
    </row>
    <row r="9251" spans="1:10">
      <c r="A9251" s="7" t="s">
        <v>9285</v>
      </c>
      <c r="B9251" s="7" t="s">
        <v>11118</v>
      </c>
      <c r="C9251" s="8">
        <f>QS.CONTEXT.CREATE("market.9249",A9251,"USD","SOFR")</f>
        <v/>
      </c>
      <c r="D9251" s="8">
        <f>QS.CONTEXT.ADD.CURVE(C9251,"SOFR",$K$2:$K$7,$L$2:$L$7,,,"Actual360","LogLinear",TRUE)</f>
        <v/>
      </c>
      <c r="E9251" s="8">
        <f>QS.INSTRUMENT.SWAP("swap.9249",C9251,H9251,B9251,"USD","SOFR",I9251,J9251,0,"Actual360","Simple","Annual","Annual","Annual")</f>
        <v/>
      </c>
      <c r="F9251" s="8">
        <f>QS.TRADE.CREATE("trade.9249",C9251,E9251,A9251,"Receive")</f>
        <v/>
      </c>
      <c r="G9251" s="5"/>
      <c r="H9251" s="7" t="s">
        <v>9292</v>
      </c>
      <c r="I9251" s="9">
        <v>1924900</v>
      </c>
      <c r="J9251" s="10">
        <v>0.0399</v>
      </c>
    </row>
    <row r="9252" spans="1:10">
      <c r="A9252" s="7" t="s">
        <v>9286</v>
      </c>
      <c r="B9252" s="7" t="s">
        <v>11119</v>
      </c>
      <c r="C9252" s="8">
        <f>QS.CONTEXT.CREATE("market.9250",A9252,"USD","SOFR")</f>
        <v/>
      </c>
      <c r="D9252" s="8">
        <f>QS.CONTEXT.ADD.CURVE(C9252,"SOFR",$K$2:$K$7,$L$2:$L$7,,,"Actual360","LogLinear",TRUE)</f>
        <v/>
      </c>
      <c r="E9252" s="8">
        <f>QS.INSTRUMENT.SWAP("swap.9250",C9252,H9252,B9252,"USD","SOFR",I9252,J9252,0,"Actual360","Simple","Annual","Annual","Annual")</f>
        <v/>
      </c>
      <c r="F9252" s="8">
        <f>QS.TRADE.CREATE("trade.9250",C9252,E9252,A9252,"Receive")</f>
        <v/>
      </c>
      <c r="G9252" s="5"/>
      <c r="H9252" s="7" t="s">
        <v>9293</v>
      </c>
      <c r="I9252" s="9">
        <v>1925000</v>
      </c>
      <c r="J9252" s="10">
        <v>0.035</v>
      </c>
    </row>
    <row r="9253" spans="1:10">
      <c r="A9253" s="7" t="s">
        <v>9287</v>
      </c>
      <c r="B9253" s="7" t="s">
        <v>11120</v>
      </c>
      <c r="C9253" s="8">
        <f>QS.CONTEXT.CREATE("market.9251",A9253,"USD","SOFR")</f>
        <v/>
      </c>
      <c r="D9253" s="8">
        <f>QS.CONTEXT.ADD.CURVE(C9253,"SOFR",$K$2:$K$7,$L$2:$L$7,,,"Actual360","LogLinear",TRUE)</f>
        <v/>
      </c>
      <c r="E9253" s="8">
        <f>QS.INSTRUMENT.SWAP("swap.9251",C9253,H9253,B9253,"USD","SOFR",I9253,J9253,0,"Actual360","Simple","Annual","Annual","Annual")</f>
        <v/>
      </c>
      <c r="F9253" s="8">
        <f>QS.TRADE.CREATE("trade.9251",C9253,E9253,A9253,"Receive")</f>
        <v/>
      </c>
      <c r="G9253" s="5"/>
      <c r="H9253" s="7" t="s">
        <v>9294</v>
      </c>
      <c r="I9253" s="9">
        <v>1925100</v>
      </c>
      <c r="J9253" s="10">
        <v>0.03510000000000001</v>
      </c>
    </row>
    <row r="9254" spans="1:10">
      <c r="A9254" s="7" t="s">
        <v>9288</v>
      </c>
      <c r="B9254" s="7" t="s">
        <v>11121</v>
      </c>
      <c r="C9254" s="8">
        <f>QS.CONTEXT.CREATE("market.9252",A9254,"USD","SOFR")</f>
        <v/>
      </c>
      <c r="D9254" s="8">
        <f>QS.CONTEXT.ADD.CURVE(C9254,"SOFR",$K$2:$K$7,$L$2:$L$7,,,"Actual360","LogLinear",TRUE)</f>
        <v/>
      </c>
      <c r="E9254" s="8">
        <f>QS.INSTRUMENT.SWAP("swap.9252",C9254,H9254,B9254,"USD","SOFR",I9254,J9254,0,"Actual360","Simple","Annual","Annual","Annual")</f>
        <v/>
      </c>
      <c r="F9254" s="8">
        <f>QS.TRADE.CREATE("trade.9252",C9254,E9254,A9254,"Receive")</f>
        <v/>
      </c>
      <c r="G9254" s="5"/>
      <c r="H9254" s="7" t="s">
        <v>9295</v>
      </c>
      <c r="I9254" s="9">
        <v>1925200</v>
      </c>
      <c r="J9254" s="10">
        <v>0.0352</v>
      </c>
    </row>
    <row r="9255" spans="1:10">
      <c r="A9255" s="7" t="s">
        <v>9289</v>
      </c>
      <c r="B9255" s="7" t="s">
        <v>11122</v>
      </c>
      <c r="C9255" s="8">
        <f>QS.CONTEXT.CREATE("market.9253",A9255,"USD","SOFR")</f>
        <v/>
      </c>
      <c r="D9255" s="8">
        <f>QS.CONTEXT.ADD.CURVE(C9255,"SOFR",$K$2:$K$7,$L$2:$L$7,,,"Actual360","LogLinear",TRUE)</f>
        <v/>
      </c>
      <c r="E9255" s="8">
        <f>QS.INSTRUMENT.SWAP("swap.9253",C9255,H9255,B9255,"USD","SOFR",I9255,J9255,0,"Actual360","Simple","Annual","Annual","Annual")</f>
        <v/>
      </c>
      <c r="F9255" s="8">
        <f>QS.TRADE.CREATE("trade.9253",C9255,E9255,A9255,"Receive")</f>
        <v/>
      </c>
      <c r="G9255" s="5"/>
      <c r="H9255" s="7" t="s">
        <v>9296</v>
      </c>
      <c r="I9255" s="9">
        <v>1925300</v>
      </c>
      <c r="J9255" s="10">
        <v>0.0353</v>
      </c>
    </row>
    <row r="9256" spans="1:10">
      <c r="A9256" s="7" t="s">
        <v>9290</v>
      </c>
      <c r="B9256" s="7" t="s">
        <v>11123</v>
      </c>
      <c r="C9256" s="8">
        <f>QS.CONTEXT.CREATE("market.9254",A9256,"USD","SOFR")</f>
        <v/>
      </c>
      <c r="D9256" s="8">
        <f>QS.CONTEXT.ADD.CURVE(C9256,"SOFR",$K$2:$K$7,$L$2:$L$7,,,"Actual360","LogLinear",TRUE)</f>
        <v/>
      </c>
      <c r="E9256" s="8">
        <f>QS.INSTRUMENT.SWAP("swap.9254",C9256,H9256,B9256,"USD","SOFR",I9256,J9256,0,"Actual360","Simple","Annual","Annual","Annual")</f>
        <v/>
      </c>
      <c r="F9256" s="8">
        <f>QS.TRADE.CREATE("trade.9254",C9256,E9256,A9256,"Receive")</f>
        <v/>
      </c>
      <c r="G9256" s="5"/>
      <c r="H9256" s="7" t="s">
        <v>9297</v>
      </c>
      <c r="I9256" s="9">
        <v>1925400</v>
      </c>
      <c r="J9256" s="10">
        <v>0.0354</v>
      </c>
    </row>
    <row r="9257" spans="1:10">
      <c r="A9257" s="7" t="s">
        <v>9291</v>
      </c>
      <c r="B9257" s="7" t="s">
        <v>11124</v>
      </c>
      <c r="C9257" s="8">
        <f>QS.CONTEXT.CREATE("market.9255",A9257,"USD","SOFR")</f>
        <v/>
      </c>
      <c r="D9257" s="8">
        <f>QS.CONTEXT.ADD.CURVE(C9257,"SOFR",$K$2:$K$7,$L$2:$L$7,,,"Actual360","LogLinear",TRUE)</f>
        <v/>
      </c>
      <c r="E9257" s="8">
        <f>QS.INSTRUMENT.SWAP("swap.9255",C9257,H9257,B9257,"USD","SOFR",I9257,J9257,0,"Actual360","Simple","Annual","Annual","Annual")</f>
        <v/>
      </c>
      <c r="F9257" s="8">
        <f>QS.TRADE.CREATE("trade.9255",C9257,E9257,A9257,"Receive")</f>
        <v/>
      </c>
      <c r="G9257" s="5"/>
      <c r="H9257" s="7" t="s">
        <v>9298</v>
      </c>
      <c r="I9257" s="9">
        <v>1925500</v>
      </c>
      <c r="J9257" s="10">
        <v>0.0355</v>
      </c>
    </row>
    <row r="9258" spans="1:10">
      <c r="A9258" s="7" t="s">
        <v>9292</v>
      </c>
      <c r="B9258" s="7" t="s">
        <v>11125</v>
      </c>
      <c r="C9258" s="8">
        <f>QS.CONTEXT.CREATE("market.9256",A9258,"USD","SOFR")</f>
        <v/>
      </c>
      <c r="D9258" s="8">
        <f>QS.CONTEXT.ADD.CURVE(C9258,"SOFR",$K$2:$K$7,$L$2:$L$7,,,"Actual360","LogLinear",TRUE)</f>
        <v/>
      </c>
      <c r="E9258" s="8">
        <f>QS.INSTRUMENT.SWAP("swap.9256",C9258,H9258,B9258,"USD","SOFR",I9258,J9258,0,"Actual360","Simple","Annual","Annual","Annual")</f>
        <v/>
      </c>
      <c r="F9258" s="8">
        <f>QS.TRADE.CREATE("trade.9256",C9258,E9258,A9258,"Receive")</f>
        <v/>
      </c>
      <c r="G9258" s="5"/>
      <c r="H9258" s="7" t="s">
        <v>9299</v>
      </c>
      <c r="I9258" s="9">
        <v>1925600</v>
      </c>
      <c r="J9258" s="10">
        <v>0.03560000000000001</v>
      </c>
    </row>
    <row r="9259" spans="1:10">
      <c r="A9259" s="7" t="s">
        <v>9293</v>
      </c>
      <c r="B9259" s="7" t="s">
        <v>11126</v>
      </c>
      <c r="C9259" s="8">
        <f>QS.CONTEXT.CREATE("market.9257",A9259,"USD","SOFR")</f>
        <v/>
      </c>
      <c r="D9259" s="8">
        <f>QS.CONTEXT.ADD.CURVE(C9259,"SOFR",$K$2:$K$7,$L$2:$L$7,,,"Actual360","LogLinear",TRUE)</f>
        <v/>
      </c>
      <c r="E9259" s="8">
        <f>QS.INSTRUMENT.SWAP("swap.9257",C9259,H9259,B9259,"USD","SOFR",I9259,J9259,0,"Actual360","Simple","Annual","Annual","Annual")</f>
        <v/>
      </c>
      <c r="F9259" s="8">
        <f>QS.TRADE.CREATE("trade.9257",C9259,E9259,A9259,"Receive")</f>
        <v/>
      </c>
      <c r="G9259" s="5"/>
      <c r="H9259" s="7" t="s">
        <v>9300</v>
      </c>
      <c r="I9259" s="9">
        <v>1925700</v>
      </c>
      <c r="J9259" s="10">
        <v>0.0357</v>
      </c>
    </row>
    <row r="9260" spans="1:10">
      <c r="A9260" s="7" t="s">
        <v>9294</v>
      </c>
      <c r="B9260" s="7" t="s">
        <v>11127</v>
      </c>
      <c r="C9260" s="8">
        <f>QS.CONTEXT.CREATE("market.9258",A9260,"USD","SOFR")</f>
        <v/>
      </c>
      <c r="D9260" s="8">
        <f>QS.CONTEXT.ADD.CURVE(C9260,"SOFR",$K$2:$K$7,$L$2:$L$7,,,"Actual360","LogLinear",TRUE)</f>
        <v/>
      </c>
      <c r="E9260" s="8">
        <f>QS.INSTRUMENT.SWAP("swap.9258",C9260,H9260,B9260,"USD","SOFR",I9260,J9260,0,"Actual360","Simple","Annual","Annual","Annual")</f>
        <v/>
      </c>
      <c r="F9260" s="8">
        <f>QS.TRADE.CREATE("trade.9258",C9260,E9260,A9260,"Receive")</f>
        <v/>
      </c>
      <c r="G9260" s="5"/>
      <c r="H9260" s="7" t="s">
        <v>9301</v>
      </c>
      <c r="I9260" s="9">
        <v>1925800</v>
      </c>
      <c r="J9260" s="10">
        <v>0.03580000000000001</v>
      </c>
    </row>
    <row r="9261" spans="1:10">
      <c r="A9261" s="7" t="s">
        <v>9295</v>
      </c>
      <c r="B9261" s="7" t="s">
        <v>11128</v>
      </c>
      <c r="C9261" s="8">
        <f>QS.CONTEXT.CREATE("market.9259",A9261,"USD","SOFR")</f>
        <v/>
      </c>
      <c r="D9261" s="8">
        <f>QS.CONTEXT.ADD.CURVE(C9261,"SOFR",$K$2:$K$7,$L$2:$L$7,,,"Actual360","LogLinear",TRUE)</f>
        <v/>
      </c>
      <c r="E9261" s="8">
        <f>QS.INSTRUMENT.SWAP("swap.9259",C9261,H9261,B9261,"USD","SOFR",I9261,J9261,0,"Actual360","Simple","Annual","Annual","Annual")</f>
        <v/>
      </c>
      <c r="F9261" s="8">
        <f>QS.TRADE.CREATE("trade.9259",C9261,E9261,A9261,"Receive")</f>
        <v/>
      </c>
      <c r="G9261" s="5"/>
      <c r="H9261" s="7" t="s">
        <v>9302</v>
      </c>
      <c r="I9261" s="9">
        <v>1925900</v>
      </c>
      <c r="J9261" s="10">
        <v>0.0359</v>
      </c>
    </row>
    <row r="9262" spans="1:10">
      <c r="A9262" s="7" t="s">
        <v>9296</v>
      </c>
      <c r="B9262" s="7" t="s">
        <v>11129</v>
      </c>
      <c r="C9262" s="8">
        <f>QS.CONTEXT.CREATE("market.9260",A9262,"USD","SOFR")</f>
        <v/>
      </c>
      <c r="D9262" s="8">
        <f>QS.CONTEXT.ADD.CURVE(C9262,"SOFR",$K$2:$K$7,$L$2:$L$7,,,"Actual360","LogLinear",TRUE)</f>
        <v/>
      </c>
      <c r="E9262" s="8">
        <f>QS.INSTRUMENT.SWAP("swap.9260",C9262,H9262,B9262,"USD","SOFR",I9262,J9262,0,"Actual360","Simple","Annual","Annual","Annual")</f>
        <v/>
      </c>
      <c r="F9262" s="8">
        <f>QS.TRADE.CREATE("trade.9260",C9262,E9262,A9262,"Receive")</f>
        <v/>
      </c>
      <c r="G9262" s="5"/>
      <c r="H9262" s="7" t="s">
        <v>9303</v>
      </c>
      <c r="I9262" s="9">
        <v>1926000</v>
      </c>
      <c r="J9262" s="10">
        <v>0.036</v>
      </c>
    </row>
    <row r="9263" spans="1:10">
      <c r="A9263" s="7" t="s">
        <v>9297</v>
      </c>
      <c r="B9263" s="7" t="s">
        <v>11130</v>
      </c>
      <c r="C9263" s="8">
        <f>QS.CONTEXT.CREATE("market.9261",A9263,"USD","SOFR")</f>
        <v/>
      </c>
      <c r="D9263" s="8">
        <f>QS.CONTEXT.ADD.CURVE(C9263,"SOFR",$K$2:$K$7,$L$2:$L$7,,,"Actual360","LogLinear",TRUE)</f>
        <v/>
      </c>
      <c r="E9263" s="8">
        <f>QS.INSTRUMENT.SWAP("swap.9261",C9263,H9263,B9263,"USD","SOFR",I9263,J9263,0,"Actual360","Simple","Annual","Annual","Annual")</f>
        <v/>
      </c>
      <c r="F9263" s="8">
        <f>QS.TRADE.CREATE("trade.9261",C9263,E9263,A9263,"Receive")</f>
        <v/>
      </c>
      <c r="G9263" s="5"/>
      <c r="H9263" s="7" t="s">
        <v>9304</v>
      </c>
      <c r="I9263" s="9">
        <v>1926100</v>
      </c>
      <c r="J9263" s="10">
        <v>0.0361</v>
      </c>
    </row>
    <row r="9264" spans="1:10">
      <c r="A9264" s="7" t="s">
        <v>9298</v>
      </c>
      <c r="B9264" s="7" t="s">
        <v>11131</v>
      </c>
      <c r="C9264" s="8">
        <f>QS.CONTEXT.CREATE("market.9262",A9264,"USD","SOFR")</f>
        <v/>
      </c>
      <c r="D9264" s="8">
        <f>QS.CONTEXT.ADD.CURVE(C9264,"SOFR",$K$2:$K$7,$L$2:$L$7,,,"Actual360","LogLinear",TRUE)</f>
        <v/>
      </c>
      <c r="E9264" s="8">
        <f>QS.INSTRUMENT.SWAP("swap.9262",C9264,H9264,B9264,"USD","SOFR",I9264,J9264,0,"Actual360","Simple","Annual","Annual","Annual")</f>
        <v/>
      </c>
      <c r="F9264" s="8">
        <f>QS.TRADE.CREATE("trade.9262",C9264,E9264,A9264,"Receive")</f>
        <v/>
      </c>
      <c r="G9264" s="5"/>
      <c r="H9264" s="7" t="s">
        <v>9305</v>
      </c>
      <c r="I9264" s="9">
        <v>1926200</v>
      </c>
      <c r="J9264" s="10">
        <v>0.0362</v>
      </c>
    </row>
    <row r="9265" spans="1:10">
      <c r="A9265" s="7" t="s">
        <v>9299</v>
      </c>
      <c r="B9265" s="7" t="s">
        <v>11132</v>
      </c>
      <c r="C9265" s="8">
        <f>QS.CONTEXT.CREATE("market.9263",A9265,"USD","SOFR")</f>
        <v/>
      </c>
      <c r="D9265" s="8">
        <f>QS.CONTEXT.ADD.CURVE(C9265,"SOFR",$K$2:$K$7,$L$2:$L$7,,,"Actual360","LogLinear",TRUE)</f>
        <v/>
      </c>
      <c r="E9265" s="8">
        <f>QS.INSTRUMENT.SWAP("swap.9263",C9265,H9265,B9265,"USD","SOFR",I9265,J9265,0,"Actual360","Simple","Annual","Annual","Annual")</f>
        <v/>
      </c>
      <c r="F9265" s="8">
        <f>QS.TRADE.CREATE("trade.9263",C9265,E9265,A9265,"Receive")</f>
        <v/>
      </c>
      <c r="G9265" s="5"/>
      <c r="H9265" s="7" t="s">
        <v>9306</v>
      </c>
      <c r="I9265" s="9">
        <v>1926300</v>
      </c>
      <c r="J9265" s="10">
        <v>0.03630000000000001</v>
      </c>
    </row>
    <row r="9266" spans="1:10">
      <c r="A9266" s="7" t="s">
        <v>9300</v>
      </c>
      <c r="B9266" s="7" t="s">
        <v>11133</v>
      </c>
      <c r="C9266" s="8">
        <f>QS.CONTEXT.CREATE("market.9264",A9266,"USD","SOFR")</f>
        <v/>
      </c>
      <c r="D9266" s="8">
        <f>QS.CONTEXT.ADD.CURVE(C9266,"SOFR",$K$2:$K$7,$L$2:$L$7,,,"Actual360","LogLinear",TRUE)</f>
        <v/>
      </c>
      <c r="E9266" s="8">
        <f>QS.INSTRUMENT.SWAP("swap.9264",C9266,H9266,B9266,"USD","SOFR",I9266,J9266,0,"Actual360","Simple","Annual","Annual","Annual")</f>
        <v/>
      </c>
      <c r="F9266" s="8">
        <f>QS.TRADE.CREATE("trade.9264",C9266,E9266,A9266,"Receive")</f>
        <v/>
      </c>
      <c r="G9266" s="5"/>
      <c r="H9266" s="7" t="s">
        <v>9307</v>
      </c>
      <c r="I9266" s="9">
        <v>1926400</v>
      </c>
      <c r="J9266" s="10">
        <v>0.0364</v>
      </c>
    </row>
    <row r="9267" spans="1:10">
      <c r="A9267" s="7" t="s">
        <v>9301</v>
      </c>
      <c r="B9267" s="7" t="s">
        <v>11134</v>
      </c>
      <c r="C9267" s="8">
        <f>QS.CONTEXT.CREATE("market.9265",A9267,"USD","SOFR")</f>
        <v/>
      </c>
      <c r="D9267" s="8">
        <f>QS.CONTEXT.ADD.CURVE(C9267,"SOFR",$K$2:$K$7,$L$2:$L$7,,,"Actual360","LogLinear",TRUE)</f>
        <v/>
      </c>
      <c r="E9267" s="8">
        <f>QS.INSTRUMENT.SWAP("swap.9265",C9267,H9267,B9267,"USD","SOFR",I9267,J9267,0,"Actual360","Simple","Annual","Annual","Annual")</f>
        <v/>
      </c>
      <c r="F9267" s="8">
        <f>QS.TRADE.CREATE("trade.9265",C9267,E9267,A9267,"Receive")</f>
        <v/>
      </c>
      <c r="G9267" s="5"/>
      <c r="H9267" s="7" t="s">
        <v>9308</v>
      </c>
      <c r="I9267" s="9">
        <v>1926500</v>
      </c>
      <c r="J9267" s="10">
        <v>0.0365</v>
      </c>
    </row>
    <row r="9268" spans="1:10">
      <c r="A9268" s="7" t="s">
        <v>9302</v>
      </c>
      <c r="B9268" s="7" t="s">
        <v>11135</v>
      </c>
      <c r="C9268" s="8">
        <f>QS.CONTEXT.CREATE("market.9266",A9268,"USD","SOFR")</f>
        <v/>
      </c>
      <c r="D9268" s="8">
        <f>QS.CONTEXT.ADD.CURVE(C9268,"SOFR",$K$2:$K$7,$L$2:$L$7,,,"Actual360","LogLinear",TRUE)</f>
        <v/>
      </c>
      <c r="E9268" s="8">
        <f>QS.INSTRUMENT.SWAP("swap.9266",C9268,H9268,B9268,"USD","SOFR",I9268,J9268,0,"Actual360","Simple","Annual","Annual","Annual")</f>
        <v/>
      </c>
      <c r="F9268" s="8">
        <f>QS.TRADE.CREATE("trade.9266",C9268,E9268,A9268,"Receive")</f>
        <v/>
      </c>
      <c r="G9268" s="5"/>
      <c r="H9268" s="7" t="s">
        <v>9309</v>
      </c>
      <c r="I9268" s="9">
        <v>1926600</v>
      </c>
      <c r="J9268" s="10">
        <v>0.0366</v>
      </c>
    </row>
    <row r="9269" spans="1:10">
      <c r="A9269" s="7" t="s">
        <v>9303</v>
      </c>
      <c r="B9269" s="7" t="s">
        <v>11136</v>
      </c>
      <c r="C9269" s="8">
        <f>QS.CONTEXT.CREATE("market.9267",A9269,"USD","SOFR")</f>
        <v/>
      </c>
      <c r="D9269" s="8">
        <f>QS.CONTEXT.ADD.CURVE(C9269,"SOFR",$K$2:$K$7,$L$2:$L$7,,,"Actual360","LogLinear",TRUE)</f>
        <v/>
      </c>
      <c r="E9269" s="8">
        <f>QS.INSTRUMENT.SWAP("swap.9267",C9269,H9269,B9269,"USD","SOFR",I9269,J9269,0,"Actual360","Simple","Annual","Annual","Annual")</f>
        <v/>
      </c>
      <c r="F9269" s="8">
        <f>QS.TRADE.CREATE("trade.9267",C9269,E9269,A9269,"Receive")</f>
        <v/>
      </c>
      <c r="G9269" s="5"/>
      <c r="H9269" s="7" t="s">
        <v>9310</v>
      </c>
      <c r="I9269" s="9">
        <v>1926700</v>
      </c>
      <c r="J9269" s="10">
        <v>0.0367</v>
      </c>
    </row>
    <row r="9270" spans="1:10">
      <c r="A9270" s="7" t="s">
        <v>9304</v>
      </c>
      <c r="B9270" s="7" t="s">
        <v>11137</v>
      </c>
      <c r="C9270" s="8">
        <f>QS.CONTEXT.CREATE("market.9268",A9270,"USD","SOFR")</f>
        <v/>
      </c>
      <c r="D9270" s="8">
        <f>QS.CONTEXT.ADD.CURVE(C9270,"SOFR",$K$2:$K$7,$L$2:$L$7,,,"Actual360","LogLinear",TRUE)</f>
        <v/>
      </c>
      <c r="E9270" s="8">
        <f>QS.INSTRUMENT.SWAP("swap.9268",C9270,H9270,B9270,"USD","SOFR",I9270,J9270,0,"Actual360","Simple","Annual","Annual","Annual")</f>
        <v/>
      </c>
      <c r="F9270" s="8">
        <f>QS.TRADE.CREATE("trade.9268",C9270,E9270,A9270,"Receive")</f>
        <v/>
      </c>
      <c r="G9270" s="5"/>
      <c r="H9270" s="7" t="s">
        <v>9311</v>
      </c>
      <c r="I9270" s="9">
        <v>1926800</v>
      </c>
      <c r="J9270" s="10">
        <v>0.03680000000000001</v>
      </c>
    </row>
    <row r="9271" spans="1:10">
      <c r="A9271" s="7" t="s">
        <v>9305</v>
      </c>
      <c r="B9271" s="7" t="s">
        <v>11138</v>
      </c>
      <c r="C9271" s="8">
        <f>QS.CONTEXT.CREATE("market.9269",A9271,"USD","SOFR")</f>
        <v/>
      </c>
      <c r="D9271" s="8">
        <f>QS.CONTEXT.ADD.CURVE(C9271,"SOFR",$K$2:$K$7,$L$2:$L$7,,,"Actual360","LogLinear",TRUE)</f>
        <v/>
      </c>
      <c r="E9271" s="8">
        <f>QS.INSTRUMENT.SWAP("swap.9269",C9271,H9271,B9271,"USD","SOFR",I9271,J9271,0,"Actual360","Simple","Annual","Annual","Annual")</f>
        <v/>
      </c>
      <c r="F9271" s="8">
        <f>QS.TRADE.CREATE("trade.9269",C9271,E9271,A9271,"Receive")</f>
        <v/>
      </c>
      <c r="G9271" s="5"/>
      <c r="H9271" s="7" t="s">
        <v>9312</v>
      </c>
      <c r="I9271" s="9">
        <v>1926900</v>
      </c>
      <c r="J9271" s="10">
        <v>0.0369</v>
      </c>
    </row>
    <row r="9272" spans="1:10">
      <c r="A9272" s="7" t="s">
        <v>9306</v>
      </c>
      <c r="B9272" s="7" t="s">
        <v>11139</v>
      </c>
      <c r="C9272" s="8">
        <f>QS.CONTEXT.CREATE("market.9270",A9272,"USD","SOFR")</f>
        <v/>
      </c>
      <c r="D9272" s="8">
        <f>QS.CONTEXT.ADD.CURVE(C9272,"SOFR",$K$2:$K$7,$L$2:$L$7,,,"Actual360","LogLinear",TRUE)</f>
        <v/>
      </c>
      <c r="E9272" s="8">
        <f>QS.INSTRUMENT.SWAP("swap.9270",C9272,H9272,B9272,"USD","SOFR",I9272,J9272,0,"Actual360","Simple","Annual","Annual","Annual")</f>
        <v/>
      </c>
      <c r="F9272" s="8">
        <f>QS.TRADE.CREATE("trade.9270",C9272,E9272,A9272,"Receive")</f>
        <v/>
      </c>
      <c r="G9272" s="5"/>
      <c r="H9272" s="7" t="s">
        <v>9313</v>
      </c>
      <c r="I9272" s="9">
        <v>1927000</v>
      </c>
      <c r="J9272" s="10">
        <v>0.03700000000000001</v>
      </c>
    </row>
    <row r="9273" spans="1:10">
      <c r="A9273" s="7" t="s">
        <v>9307</v>
      </c>
      <c r="B9273" s="7" t="s">
        <v>11140</v>
      </c>
      <c r="C9273" s="8">
        <f>QS.CONTEXT.CREATE("market.9271",A9273,"USD","SOFR")</f>
        <v/>
      </c>
      <c r="D9273" s="8">
        <f>QS.CONTEXT.ADD.CURVE(C9273,"SOFR",$K$2:$K$7,$L$2:$L$7,,,"Actual360","LogLinear",TRUE)</f>
        <v/>
      </c>
      <c r="E9273" s="8">
        <f>QS.INSTRUMENT.SWAP("swap.9271",C9273,H9273,B9273,"USD","SOFR",I9273,J9273,0,"Actual360","Simple","Annual","Annual","Annual")</f>
        <v/>
      </c>
      <c r="F9273" s="8">
        <f>QS.TRADE.CREATE("trade.9271",C9273,E9273,A9273,"Receive")</f>
        <v/>
      </c>
      <c r="G9273" s="5"/>
      <c r="H9273" s="7" t="s">
        <v>9314</v>
      </c>
      <c r="I9273" s="9">
        <v>1927100</v>
      </c>
      <c r="J9273" s="10">
        <v>0.0371</v>
      </c>
    </row>
    <row r="9274" spans="1:10">
      <c r="A9274" s="7" t="s">
        <v>9308</v>
      </c>
      <c r="B9274" s="7" t="s">
        <v>11141</v>
      </c>
      <c r="C9274" s="8">
        <f>QS.CONTEXT.CREATE("market.9272",A9274,"USD","SOFR")</f>
        <v/>
      </c>
      <c r="D9274" s="8">
        <f>QS.CONTEXT.ADD.CURVE(C9274,"SOFR",$K$2:$K$7,$L$2:$L$7,,,"Actual360","LogLinear",TRUE)</f>
        <v/>
      </c>
      <c r="E9274" s="8">
        <f>QS.INSTRUMENT.SWAP("swap.9272",C9274,H9274,B9274,"USD","SOFR",I9274,J9274,0,"Actual360","Simple","Annual","Annual","Annual")</f>
        <v/>
      </c>
      <c r="F9274" s="8">
        <f>QS.TRADE.CREATE("trade.9272",C9274,E9274,A9274,"Receive")</f>
        <v/>
      </c>
      <c r="G9274" s="5"/>
      <c r="H9274" s="7" t="s">
        <v>9315</v>
      </c>
      <c r="I9274" s="9">
        <v>1927200</v>
      </c>
      <c r="J9274" s="10">
        <v>0.0372</v>
      </c>
    </row>
    <row r="9275" spans="1:10">
      <c r="A9275" s="7" t="s">
        <v>9309</v>
      </c>
      <c r="B9275" s="7" t="s">
        <v>11142</v>
      </c>
      <c r="C9275" s="8">
        <f>QS.CONTEXT.CREATE("market.9273",A9275,"USD","SOFR")</f>
        <v/>
      </c>
      <c r="D9275" s="8">
        <f>QS.CONTEXT.ADD.CURVE(C9275,"SOFR",$K$2:$K$7,$L$2:$L$7,,,"Actual360","LogLinear",TRUE)</f>
        <v/>
      </c>
      <c r="E9275" s="8">
        <f>QS.INSTRUMENT.SWAP("swap.9273",C9275,H9275,B9275,"USD","SOFR",I9275,J9275,0,"Actual360","Simple","Annual","Annual","Annual")</f>
        <v/>
      </c>
      <c r="F9275" s="8">
        <f>QS.TRADE.CREATE("trade.9273",C9275,E9275,A9275,"Receive")</f>
        <v/>
      </c>
      <c r="G9275" s="5"/>
      <c r="H9275" s="7" t="s">
        <v>9316</v>
      </c>
      <c r="I9275" s="9">
        <v>1927300</v>
      </c>
      <c r="J9275" s="10">
        <v>0.0373</v>
      </c>
    </row>
    <row r="9276" spans="1:10">
      <c r="A9276" s="7" t="s">
        <v>9310</v>
      </c>
      <c r="B9276" s="7" t="s">
        <v>11143</v>
      </c>
      <c r="C9276" s="8">
        <f>QS.CONTEXT.CREATE("market.9274",A9276,"USD","SOFR")</f>
        <v/>
      </c>
      <c r="D9276" s="8">
        <f>QS.CONTEXT.ADD.CURVE(C9276,"SOFR",$K$2:$K$7,$L$2:$L$7,,,"Actual360","LogLinear",TRUE)</f>
        <v/>
      </c>
      <c r="E9276" s="8">
        <f>QS.INSTRUMENT.SWAP("swap.9274",C9276,H9276,B9276,"USD","SOFR",I9276,J9276,0,"Actual360","Simple","Annual","Annual","Annual")</f>
        <v/>
      </c>
      <c r="F9276" s="8">
        <f>QS.TRADE.CREATE("trade.9274",C9276,E9276,A9276,"Receive")</f>
        <v/>
      </c>
      <c r="G9276" s="5"/>
      <c r="H9276" s="7" t="s">
        <v>9317</v>
      </c>
      <c r="I9276" s="9">
        <v>1927400</v>
      </c>
      <c r="J9276" s="10">
        <v>0.0374</v>
      </c>
    </row>
    <row r="9277" spans="1:10">
      <c r="A9277" s="7" t="s">
        <v>9311</v>
      </c>
      <c r="B9277" s="7" t="s">
        <v>11144</v>
      </c>
      <c r="C9277" s="8">
        <f>QS.CONTEXT.CREATE("market.9275",A9277,"USD","SOFR")</f>
        <v/>
      </c>
      <c r="D9277" s="8">
        <f>QS.CONTEXT.ADD.CURVE(C9277,"SOFR",$K$2:$K$7,$L$2:$L$7,,,"Actual360","LogLinear",TRUE)</f>
        <v/>
      </c>
      <c r="E9277" s="8">
        <f>QS.INSTRUMENT.SWAP("swap.9275",C9277,H9277,B9277,"USD","SOFR",I9277,J9277,0,"Actual360","Simple","Annual","Annual","Annual")</f>
        <v/>
      </c>
      <c r="F9277" s="8">
        <f>QS.TRADE.CREATE("trade.9275",C9277,E9277,A9277,"Receive")</f>
        <v/>
      </c>
      <c r="G9277" s="5"/>
      <c r="H9277" s="7" t="s">
        <v>9318</v>
      </c>
      <c r="I9277" s="9">
        <v>1927500</v>
      </c>
      <c r="J9277" s="10">
        <v>0.03750000000000001</v>
      </c>
    </row>
    <row r="9278" spans="1:10">
      <c r="A9278" s="7" t="s">
        <v>9312</v>
      </c>
      <c r="B9278" s="7" t="s">
        <v>11145</v>
      </c>
      <c r="C9278" s="8">
        <f>QS.CONTEXT.CREATE("market.9276",A9278,"USD","SOFR")</f>
        <v/>
      </c>
      <c r="D9278" s="8">
        <f>QS.CONTEXT.ADD.CURVE(C9278,"SOFR",$K$2:$K$7,$L$2:$L$7,,,"Actual360","LogLinear",TRUE)</f>
        <v/>
      </c>
      <c r="E9278" s="8">
        <f>QS.INSTRUMENT.SWAP("swap.9276",C9278,H9278,B9278,"USD","SOFR",I9278,J9278,0,"Actual360","Simple","Annual","Annual","Annual")</f>
        <v/>
      </c>
      <c r="F9278" s="8">
        <f>QS.TRADE.CREATE("trade.9276",C9278,E9278,A9278,"Receive")</f>
        <v/>
      </c>
      <c r="G9278" s="5"/>
      <c r="H9278" s="7" t="s">
        <v>9319</v>
      </c>
      <c r="I9278" s="9">
        <v>1927600</v>
      </c>
      <c r="J9278" s="10">
        <v>0.0376</v>
      </c>
    </row>
    <row r="9279" spans="1:10">
      <c r="A9279" s="7" t="s">
        <v>9313</v>
      </c>
      <c r="B9279" s="7" t="s">
        <v>11146</v>
      </c>
      <c r="C9279" s="8">
        <f>QS.CONTEXT.CREATE("market.9277",A9279,"USD","SOFR")</f>
        <v/>
      </c>
      <c r="D9279" s="8">
        <f>QS.CONTEXT.ADD.CURVE(C9279,"SOFR",$K$2:$K$7,$L$2:$L$7,,,"Actual360","LogLinear",TRUE)</f>
        <v/>
      </c>
      <c r="E9279" s="8">
        <f>QS.INSTRUMENT.SWAP("swap.9277",C9279,H9279,B9279,"USD","SOFR",I9279,J9279,0,"Actual360","Simple","Annual","Annual","Annual")</f>
        <v/>
      </c>
      <c r="F9279" s="8">
        <f>QS.TRADE.CREATE("trade.9277",C9279,E9279,A9279,"Receive")</f>
        <v/>
      </c>
      <c r="G9279" s="5"/>
      <c r="H9279" s="7" t="s">
        <v>9320</v>
      </c>
      <c r="I9279" s="9">
        <v>1927700</v>
      </c>
      <c r="J9279" s="10">
        <v>0.0377</v>
      </c>
    </row>
    <row r="9280" spans="1:10">
      <c r="A9280" s="7" t="s">
        <v>9314</v>
      </c>
      <c r="B9280" s="7" t="s">
        <v>11147</v>
      </c>
      <c r="C9280" s="8">
        <f>QS.CONTEXT.CREATE("market.9278",A9280,"USD","SOFR")</f>
        <v/>
      </c>
      <c r="D9280" s="8">
        <f>QS.CONTEXT.ADD.CURVE(C9280,"SOFR",$K$2:$K$7,$L$2:$L$7,,,"Actual360","LogLinear",TRUE)</f>
        <v/>
      </c>
      <c r="E9280" s="8">
        <f>QS.INSTRUMENT.SWAP("swap.9278",C9280,H9280,B9280,"USD","SOFR",I9280,J9280,0,"Actual360","Simple","Annual","Annual","Annual")</f>
        <v/>
      </c>
      <c r="F9280" s="8">
        <f>QS.TRADE.CREATE("trade.9278",C9280,E9280,A9280,"Receive")</f>
        <v/>
      </c>
      <c r="G9280" s="5"/>
      <c r="H9280" s="7" t="s">
        <v>9321</v>
      </c>
      <c r="I9280" s="9">
        <v>1927800</v>
      </c>
      <c r="J9280" s="10">
        <v>0.0378</v>
      </c>
    </row>
    <row r="9281" spans="1:10">
      <c r="A9281" s="7" t="s">
        <v>9315</v>
      </c>
      <c r="B9281" s="7" t="s">
        <v>11148</v>
      </c>
      <c r="C9281" s="8">
        <f>QS.CONTEXT.CREATE("market.9279",A9281,"USD","SOFR")</f>
        <v/>
      </c>
      <c r="D9281" s="8">
        <f>QS.CONTEXT.ADD.CURVE(C9281,"SOFR",$K$2:$K$7,$L$2:$L$7,,,"Actual360","LogLinear",TRUE)</f>
        <v/>
      </c>
      <c r="E9281" s="8">
        <f>QS.INSTRUMENT.SWAP("swap.9279",C9281,H9281,B9281,"USD","SOFR",I9281,J9281,0,"Actual360","Simple","Annual","Annual","Annual")</f>
        <v/>
      </c>
      <c r="F9281" s="8">
        <f>QS.TRADE.CREATE("trade.9279",C9281,E9281,A9281,"Receive")</f>
        <v/>
      </c>
      <c r="G9281" s="5"/>
      <c r="H9281" s="7" t="s">
        <v>9322</v>
      </c>
      <c r="I9281" s="9">
        <v>1927900</v>
      </c>
      <c r="J9281" s="10">
        <v>0.0379</v>
      </c>
    </row>
    <row r="9282" spans="1:10">
      <c r="A9282" s="7" t="s">
        <v>9316</v>
      </c>
      <c r="B9282" s="7" t="s">
        <v>11149</v>
      </c>
      <c r="C9282" s="8">
        <f>QS.CONTEXT.CREATE("market.9280",A9282,"USD","SOFR")</f>
        <v/>
      </c>
      <c r="D9282" s="8">
        <f>QS.CONTEXT.ADD.CURVE(C9282,"SOFR",$K$2:$K$7,$L$2:$L$7,,,"Actual360","LogLinear",TRUE)</f>
        <v/>
      </c>
      <c r="E9282" s="8">
        <f>QS.INSTRUMENT.SWAP("swap.9280",C9282,H9282,B9282,"USD","SOFR",I9282,J9282,0,"Actual360","Simple","Annual","Annual","Annual")</f>
        <v/>
      </c>
      <c r="F9282" s="8">
        <f>QS.TRADE.CREATE("trade.9280",C9282,E9282,A9282,"Receive")</f>
        <v/>
      </c>
      <c r="G9282" s="5"/>
      <c r="H9282" s="7" t="s">
        <v>9323</v>
      </c>
      <c r="I9282" s="9">
        <v>1928000</v>
      </c>
      <c r="J9282" s="10">
        <v>0.03800000000000001</v>
      </c>
    </row>
    <row r="9283" spans="1:10">
      <c r="A9283" s="7" t="s">
        <v>9317</v>
      </c>
      <c r="B9283" s="7" t="s">
        <v>11150</v>
      </c>
      <c r="C9283" s="8">
        <f>QS.CONTEXT.CREATE("market.9281",A9283,"USD","SOFR")</f>
        <v/>
      </c>
      <c r="D9283" s="8">
        <f>QS.CONTEXT.ADD.CURVE(C9283,"SOFR",$K$2:$K$7,$L$2:$L$7,,,"Actual360","LogLinear",TRUE)</f>
        <v/>
      </c>
      <c r="E9283" s="8">
        <f>QS.INSTRUMENT.SWAP("swap.9281",C9283,H9283,B9283,"USD","SOFR",I9283,J9283,0,"Actual360","Simple","Annual","Annual","Annual")</f>
        <v/>
      </c>
      <c r="F9283" s="8">
        <f>QS.TRADE.CREATE("trade.9281",C9283,E9283,A9283,"Receive")</f>
        <v/>
      </c>
      <c r="G9283" s="5"/>
      <c r="H9283" s="7" t="s">
        <v>9324</v>
      </c>
      <c r="I9283" s="9">
        <v>1928100</v>
      </c>
      <c r="J9283" s="10">
        <v>0.0381</v>
      </c>
    </row>
    <row r="9284" spans="1:10">
      <c r="A9284" s="7" t="s">
        <v>9318</v>
      </c>
      <c r="B9284" s="7" t="s">
        <v>11151</v>
      </c>
      <c r="C9284" s="8">
        <f>QS.CONTEXT.CREATE("market.9282",A9284,"USD","SOFR")</f>
        <v/>
      </c>
      <c r="D9284" s="8">
        <f>QS.CONTEXT.ADD.CURVE(C9284,"SOFR",$K$2:$K$7,$L$2:$L$7,,,"Actual360","LogLinear",TRUE)</f>
        <v/>
      </c>
      <c r="E9284" s="8">
        <f>QS.INSTRUMENT.SWAP("swap.9282",C9284,H9284,B9284,"USD","SOFR",I9284,J9284,0,"Actual360","Simple","Annual","Annual","Annual")</f>
        <v/>
      </c>
      <c r="F9284" s="8">
        <f>QS.TRADE.CREATE("trade.9282",C9284,E9284,A9284,"Receive")</f>
        <v/>
      </c>
      <c r="G9284" s="5"/>
      <c r="H9284" s="7" t="s">
        <v>9325</v>
      </c>
      <c r="I9284" s="9">
        <v>1928200</v>
      </c>
      <c r="J9284" s="10">
        <v>0.0382</v>
      </c>
    </row>
    <row r="9285" spans="1:10">
      <c r="A9285" s="7" t="s">
        <v>9319</v>
      </c>
      <c r="B9285" s="7" t="s">
        <v>11152</v>
      </c>
      <c r="C9285" s="8">
        <f>QS.CONTEXT.CREATE("market.9283",A9285,"USD","SOFR")</f>
        <v/>
      </c>
      <c r="D9285" s="8">
        <f>QS.CONTEXT.ADD.CURVE(C9285,"SOFR",$K$2:$K$7,$L$2:$L$7,,,"Actual360","LogLinear",TRUE)</f>
        <v/>
      </c>
      <c r="E9285" s="8">
        <f>QS.INSTRUMENT.SWAP("swap.9283",C9285,H9285,B9285,"USD","SOFR",I9285,J9285,0,"Actual360","Simple","Annual","Annual","Annual")</f>
        <v/>
      </c>
      <c r="F9285" s="8">
        <f>QS.TRADE.CREATE("trade.9283",C9285,E9285,A9285,"Receive")</f>
        <v/>
      </c>
      <c r="G9285" s="5"/>
      <c r="H9285" s="7" t="s">
        <v>9326</v>
      </c>
      <c r="I9285" s="9">
        <v>1928300</v>
      </c>
      <c r="J9285" s="10">
        <v>0.0383</v>
      </c>
    </row>
    <row r="9286" spans="1:10">
      <c r="A9286" s="7" t="s">
        <v>9320</v>
      </c>
      <c r="B9286" s="7" t="s">
        <v>11153</v>
      </c>
      <c r="C9286" s="8">
        <f>QS.CONTEXT.CREATE("market.9284",A9286,"USD","SOFR")</f>
        <v/>
      </c>
      <c r="D9286" s="8">
        <f>QS.CONTEXT.ADD.CURVE(C9286,"SOFR",$K$2:$K$7,$L$2:$L$7,,,"Actual360","LogLinear",TRUE)</f>
        <v/>
      </c>
      <c r="E9286" s="8">
        <f>QS.INSTRUMENT.SWAP("swap.9284",C9286,H9286,B9286,"USD","SOFR",I9286,J9286,0,"Actual360","Simple","Annual","Annual","Annual")</f>
        <v/>
      </c>
      <c r="F9286" s="8">
        <f>QS.TRADE.CREATE("trade.9284",C9286,E9286,A9286,"Receive")</f>
        <v/>
      </c>
      <c r="G9286" s="5"/>
      <c r="H9286" s="7" t="s">
        <v>9327</v>
      </c>
      <c r="I9286" s="9">
        <v>1928400</v>
      </c>
      <c r="J9286" s="10">
        <v>0.0384</v>
      </c>
    </row>
    <row r="9287" spans="1:10">
      <c r="A9287" s="7" t="s">
        <v>9321</v>
      </c>
      <c r="B9287" s="7" t="s">
        <v>11154</v>
      </c>
      <c r="C9287" s="8">
        <f>QS.CONTEXT.CREATE("market.9285",A9287,"USD","SOFR")</f>
        <v/>
      </c>
      <c r="D9287" s="8">
        <f>QS.CONTEXT.ADD.CURVE(C9287,"SOFR",$K$2:$K$7,$L$2:$L$7,,,"Actual360","LogLinear",TRUE)</f>
        <v/>
      </c>
      <c r="E9287" s="8">
        <f>QS.INSTRUMENT.SWAP("swap.9285",C9287,H9287,B9287,"USD","SOFR",I9287,J9287,0,"Actual360","Simple","Annual","Annual","Annual")</f>
        <v/>
      </c>
      <c r="F9287" s="8">
        <f>QS.TRADE.CREATE("trade.9285",C9287,E9287,A9287,"Receive")</f>
        <v/>
      </c>
      <c r="G9287" s="5"/>
      <c r="H9287" s="7" t="s">
        <v>9328</v>
      </c>
      <c r="I9287" s="9">
        <v>1928500</v>
      </c>
      <c r="J9287" s="10">
        <v>0.03850000000000001</v>
      </c>
    </row>
    <row r="9288" spans="1:10">
      <c r="A9288" s="7" t="s">
        <v>9322</v>
      </c>
      <c r="B9288" s="7" t="s">
        <v>11155</v>
      </c>
      <c r="C9288" s="8">
        <f>QS.CONTEXT.CREATE("market.9286",A9288,"USD","SOFR")</f>
        <v/>
      </c>
      <c r="D9288" s="8">
        <f>QS.CONTEXT.ADD.CURVE(C9288,"SOFR",$K$2:$K$7,$L$2:$L$7,,,"Actual360","LogLinear",TRUE)</f>
        <v/>
      </c>
      <c r="E9288" s="8">
        <f>QS.INSTRUMENT.SWAP("swap.9286",C9288,H9288,B9288,"USD","SOFR",I9288,J9288,0,"Actual360","Simple","Annual","Annual","Annual")</f>
        <v/>
      </c>
      <c r="F9288" s="8">
        <f>QS.TRADE.CREATE("trade.9286",C9288,E9288,A9288,"Receive")</f>
        <v/>
      </c>
      <c r="G9288" s="5"/>
      <c r="H9288" s="7" t="s">
        <v>9329</v>
      </c>
      <c r="I9288" s="9">
        <v>1928600</v>
      </c>
      <c r="J9288" s="10">
        <v>0.0386</v>
      </c>
    </row>
    <row r="9289" spans="1:10">
      <c r="A9289" s="7" t="s">
        <v>9323</v>
      </c>
      <c r="B9289" s="7" t="s">
        <v>11156</v>
      </c>
      <c r="C9289" s="8">
        <f>QS.CONTEXT.CREATE("market.9287",A9289,"USD","SOFR")</f>
        <v/>
      </c>
      <c r="D9289" s="8">
        <f>QS.CONTEXT.ADD.CURVE(C9289,"SOFR",$K$2:$K$7,$L$2:$L$7,,,"Actual360","LogLinear",TRUE)</f>
        <v/>
      </c>
      <c r="E9289" s="8">
        <f>QS.INSTRUMENT.SWAP("swap.9287",C9289,H9289,B9289,"USD","SOFR",I9289,J9289,0,"Actual360","Simple","Annual","Annual","Annual")</f>
        <v/>
      </c>
      <c r="F9289" s="8">
        <f>QS.TRADE.CREATE("trade.9287",C9289,E9289,A9289,"Receive")</f>
        <v/>
      </c>
      <c r="G9289" s="5"/>
      <c r="H9289" s="7" t="s">
        <v>9330</v>
      </c>
      <c r="I9289" s="9">
        <v>1928700</v>
      </c>
      <c r="J9289" s="10">
        <v>0.03870000000000001</v>
      </c>
    </row>
    <row r="9290" spans="1:10">
      <c r="A9290" s="7" t="s">
        <v>9324</v>
      </c>
      <c r="B9290" s="7" t="s">
        <v>11157</v>
      </c>
      <c r="C9290" s="8">
        <f>QS.CONTEXT.CREATE("market.9288",A9290,"USD","SOFR")</f>
        <v/>
      </c>
      <c r="D9290" s="8">
        <f>QS.CONTEXT.ADD.CURVE(C9290,"SOFR",$K$2:$K$7,$L$2:$L$7,,,"Actual360","LogLinear",TRUE)</f>
        <v/>
      </c>
      <c r="E9290" s="8">
        <f>QS.INSTRUMENT.SWAP("swap.9288",C9290,H9290,B9290,"USD","SOFR",I9290,J9290,0,"Actual360","Simple","Annual","Annual","Annual")</f>
        <v/>
      </c>
      <c r="F9290" s="8">
        <f>QS.TRADE.CREATE("trade.9288",C9290,E9290,A9290,"Receive")</f>
        <v/>
      </c>
      <c r="G9290" s="5"/>
      <c r="H9290" s="7" t="s">
        <v>9331</v>
      </c>
      <c r="I9290" s="9">
        <v>1928800</v>
      </c>
      <c r="J9290" s="10">
        <v>0.0388</v>
      </c>
    </row>
    <row r="9291" spans="1:10">
      <c r="A9291" s="7" t="s">
        <v>9325</v>
      </c>
      <c r="B9291" s="7" t="s">
        <v>11158</v>
      </c>
      <c r="C9291" s="8">
        <f>QS.CONTEXT.CREATE("market.9289",A9291,"USD","SOFR")</f>
        <v/>
      </c>
      <c r="D9291" s="8">
        <f>QS.CONTEXT.ADD.CURVE(C9291,"SOFR",$K$2:$K$7,$L$2:$L$7,,,"Actual360","LogLinear",TRUE)</f>
        <v/>
      </c>
      <c r="E9291" s="8">
        <f>QS.INSTRUMENT.SWAP("swap.9289",C9291,H9291,B9291,"USD","SOFR",I9291,J9291,0,"Actual360","Simple","Annual","Annual","Annual")</f>
        <v/>
      </c>
      <c r="F9291" s="8">
        <f>QS.TRADE.CREATE("trade.9289",C9291,E9291,A9291,"Receive")</f>
        <v/>
      </c>
      <c r="G9291" s="5"/>
      <c r="H9291" s="7" t="s">
        <v>9332</v>
      </c>
      <c r="I9291" s="9">
        <v>1928900</v>
      </c>
      <c r="J9291" s="10">
        <v>0.0389</v>
      </c>
    </row>
    <row r="9292" spans="1:10">
      <c r="A9292" s="7" t="s">
        <v>9326</v>
      </c>
      <c r="B9292" s="7" t="s">
        <v>11159</v>
      </c>
      <c r="C9292" s="8">
        <f>QS.CONTEXT.CREATE("market.9290",A9292,"USD","SOFR")</f>
        <v/>
      </c>
      <c r="D9292" s="8">
        <f>QS.CONTEXT.ADD.CURVE(C9292,"SOFR",$K$2:$K$7,$L$2:$L$7,,,"Actual360","LogLinear",TRUE)</f>
        <v/>
      </c>
      <c r="E9292" s="8">
        <f>QS.INSTRUMENT.SWAP("swap.9290",C9292,H9292,B9292,"USD","SOFR",I9292,J9292,0,"Actual360","Simple","Annual","Annual","Annual")</f>
        <v/>
      </c>
      <c r="F9292" s="8">
        <f>QS.TRADE.CREATE("trade.9290",C9292,E9292,A9292,"Receive")</f>
        <v/>
      </c>
      <c r="G9292" s="5"/>
      <c r="H9292" s="7" t="s">
        <v>9333</v>
      </c>
      <c r="I9292" s="9">
        <v>1929000</v>
      </c>
      <c r="J9292" s="10">
        <v>0.03900000000000001</v>
      </c>
    </row>
    <row r="9293" spans="1:10">
      <c r="A9293" s="7" t="s">
        <v>9327</v>
      </c>
      <c r="B9293" s="7" t="s">
        <v>11160</v>
      </c>
      <c r="C9293" s="8">
        <f>QS.CONTEXT.CREATE("market.9291",A9293,"USD","SOFR")</f>
        <v/>
      </c>
      <c r="D9293" s="8">
        <f>QS.CONTEXT.ADD.CURVE(C9293,"SOFR",$K$2:$K$7,$L$2:$L$7,,,"Actual360","LogLinear",TRUE)</f>
        <v/>
      </c>
      <c r="E9293" s="8">
        <f>QS.INSTRUMENT.SWAP("swap.9291",C9293,H9293,B9293,"USD","SOFR",I9293,J9293,0,"Actual360","Simple","Annual","Annual","Annual")</f>
        <v/>
      </c>
      <c r="F9293" s="8">
        <f>QS.TRADE.CREATE("trade.9291",C9293,E9293,A9293,"Receive")</f>
        <v/>
      </c>
      <c r="G9293" s="5"/>
      <c r="H9293" s="7" t="s">
        <v>9334</v>
      </c>
      <c r="I9293" s="9">
        <v>1929100</v>
      </c>
      <c r="J9293" s="10">
        <v>0.0391</v>
      </c>
    </row>
    <row r="9294" spans="1:10">
      <c r="A9294" s="7" t="s">
        <v>9328</v>
      </c>
      <c r="B9294" s="7" t="s">
        <v>11161</v>
      </c>
      <c r="C9294" s="8">
        <f>QS.CONTEXT.CREATE("market.9292",A9294,"USD","SOFR")</f>
        <v/>
      </c>
      <c r="D9294" s="8">
        <f>QS.CONTEXT.ADD.CURVE(C9294,"SOFR",$K$2:$K$7,$L$2:$L$7,,,"Actual360","LogLinear",TRUE)</f>
        <v/>
      </c>
      <c r="E9294" s="8">
        <f>QS.INSTRUMENT.SWAP("swap.9292",C9294,H9294,B9294,"USD","SOFR",I9294,J9294,0,"Actual360","Simple","Annual","Annual","Annual")</f>
        <v/>
      </c>
      <c r="F9294" s="8">
        <f>QS.TRADE.CREATE("trade.9292",C9294,E9294,A9294,"Receive")</f>
        <v/>
      </c>
      <c r="G9294" s="5"/>
      <c r="H9294" s="7" t="s">
        <v>9335</v>
      </c>
      <c r="I9294" s="9">
        <v>1929200</v>
      </c>
      <c r="J9294" s="10">
        <v>0.03920000000000001</v>
      </c>
    </row>
    <row r="9295" spans="1:10">
      <c r="A9295" s="7" t="s">
        <v>9329</v>
      </c>
      <c r="B9295" s="7" t="s">
        <v>11162</v>
      </c>
      <c r="C9295" s="8">
        <f>QS.CONTEXT.CREATE("market.9293",A9295,"USD","SOFR")</f>
        <v/>
      </c>
      <c r="D9295" s="8">
        <f>QS.CONTEXT.ADD.CURVE(C9295,"SOFR",$K$2:$K$7,$L$2:$L$7,,,"Actual360","LogLinear",TRUE)</f>
        <v/>
      </c>
      <c r="E9295" s="8">
        <f>QS.INSTRUMENT.SWAP("swap.9293",C9295,H9295,B9295,"USD","SOFR",I9295,J9295,0,"Actual360","Simple","Annual","Annual","Annual")</f>
        <v/>
      </c>
      <c r="F9295" s="8">
        <f>QS.TRADE.CREATE("trade.9293",C9295,E9295,A9295,"Receive")</f>
        <v/>
      </c>
      <c r="G9295" s="5"/>
      <c r="H9295" s="7" t="s">
        <v>9336</v>
      </c>
      <c r="I9295" s="9">
        <v>1929300</v>
      </c>
      <c r="J9295" s="10">
        <v>0.0393</v>
      </c>
    </row>
    <row r="9296" spans="1:10">
      <c r="A9296" s="7" t="s">
        <v>9330</v>
      </c>
      <c r="B9296" s="7" t="s">
        <v>11163</v>
      </c>
      <c r="C9296" s="8">
        <f>QS.CONTEXT.CREATE("market.9294",A9296,"USD","SOFR")</f>
        <v/>
      </c>
      <c r="D9296" s="8">
        <f>QS.CONTEXT.ADD.CURVE(C9296,"SOFR",$K$2:$K$7,$L$2:$L$7,,,"Actual360","LogLinear",TRUE)</f>
        <v/>
      </c>
      <c r="E9296" s="8">
        <f>QS.INSTRUMENT.SWAP("swap.9294",C9296,H9296,B9296,"USD","SOFR",I9296,J9296,0,"Actual360","Simple","Annual","Annual","Annual")</f>
        <v/>
      </c>
      <c r="F9296" s="8">
        <f>QS.TRADE.CREATE("trade.9294",C9296,E9296,A9296,"Receive")</f>
        <v/>
      </c>
      <c r="G9296" s="5"/>
      <c r="H9296" s="7" t="s">
        <v>9337</v>
      </c>
      <c r="I9296" s="9">
        <v>1929400</v>
      </c>
      <c r="J9296" s="10">
        <v>0.0394</v>
      </c>
    </row>
    <row r="9297" spans="1:10">
      <c r="A9297" s="7" t="s">
        <v>9331</v>
      </c>
      <c r="B9297" s="7" t="s">
        <v>11164</v>
      </c>
      <c r="C9297" s="8">
        <f>QS.CONTEXT.CREATE("market.9295",A9297,"USD","SOFR")</f>
        <v/>
      </c>
      <c r="D9297" s="8">
        <f>QS.CONTEXT.ADD.CURVE(C9297,"SOFR",$K$2:$K$7,$L$2:$L$7,,,"Actual360","LogLinear",TRUE)</f>
        <v/>
      </c>
      <c r="E9297" s="8">
        <f>QS.INSTRUMENT.SWAP("swap.9295",C9297,H9297,B9297,"USD","SOFR",I9297,J9297,0,"Actual360","Simple","Annual","Annual","Annual")</f>
        <v/>
      </c>
      <c r="F9297" s="8">
        <f>QS.TRADE.CREATE("trade.9295",C9297,E9297,A9297,"Receive")</f>
        <v/>
      </c>
      <c r="G9297" s="5"/>
      <c r="H9297" s="7" t="s">
        <v>9338</v>
      </c>
      <c r="I9297" s="9">
        <v>1929500</v>
      </c>
      <c r="J9297" s="10">
        <v>0.03950000000000001</v>
      </c>
    </row>
    <row r="9298" spans="1:10">
      <c r="A9298" s="7" t="s">
        <v>9332</v>
      </c>
      <c r="B9298" s="7" t="s">
        <v>11165</v>
      </c>
      <c r="C9298" s="8">
        <f>QS.CONTEXT.CREATE("market.9296",A9298,"USD","SOFR")</f>
        <v/>
      </c>
      <c r="D9298" s="8">
        <f>QS.CONTEXT.ADD.CURVE(C9298,"SOFR",$K$2:$K$7,$L$2:$L$7,,,"Actual360","LogLinear",TRUE)</f>
        <v/>
      </c>
      <c r="E9298" s="8">
        <f>QS.INSTRUMENT.SWAP("swap.9296",C9298,H9298,B9298,"USD","SOFR",I9298,J9298,0,"Actual360","Simple","Annual","Annual","Annual")</f>
        <v/>
      </c>
      <c r="F9298" s="8">
        <f>QS.TRADE.CREATE("trade.9296",C9298,E9298,A9298,"Receive")</f>
        <v/>
      </c>
      <c r="G9298" s="5"/>
      <c r="H9298" s="7" t="s">
        <v>9339</v>
      </c>
      <c r="I9298" s="9">
        <v>1929600</v>
      </c>
      <c r="J9298" s="10">
        <v>0.0396</v>
      </c>
    </row>
    <row r="9299" spans="1:10">
      <c r="A9299" s="7" t="s">
        <v>9333</v>
      </c>
      <c r="B9299" s="7" t="s">
        <v>11166</v>
      </c>
      <c r="C9299" s="8">
        <f>QS.CONTEXT.CREATE("market.9297",A9299,"USD","SOFR")</f>
        <v/>
      </c>
      <c r="D9299" s="8">
        <f>QS.CONTEXT.ADD.CURVE(C9299,"SOFR",$K$2:$K$7,$L$2:$L$7,,,"Actual360","LogLinear",TRUE)</f>
        <v/>
      </c>
      <c r="E9299" s="8">
        <f>QS.INSTRUMENT.SWAP("swap.9297",C9299,H9299,B9299,"USD","SOFR",I9299,J9299,0,"Actual360","Simple","Annual","Annual","Annual")</f>
        <v/>
      </c>
      <c r="F9299" s="8">
        <f>QS.TRADE.CREATE("trade.9297",C9299,E9299,A9299,"Receive")</f>
        <v/>
      </c>
      <c r="G9299" s="5"/>
      <c r="H9299" s="7" t="s">
        <v>9340</v>
      </c>
      <c r="I9299" s="9">
        <v>1929700</v>
      </c>
      <c r="J9299" s="10">
        <v>0.03970000000000001</v>
      </c>
    </row>
    <row r="9300" spans="1:10">
      <c r="A9300" s="7" t="s">
        <v>9334</v>
      </c>
      <c r="B9300" s="7" t="s">
        <v>11167</v>
      </c>
      <c r="C9300" s="8">
        <f>QS.CONTEXT.CREATE("market.9298",A9300,"USD","SOFR")</f>
        <v/>
      </c>
      <c r="D9300" s="8">
        <f>QS.CONTEXT.ADD.CURVE(C9300,"SOFR",$K$2:$K$7,$L$2:$L$7,,,"Actual360","LogLinear",TRUE)</f>
        <v/>
      </c>
      <c r="E9300" s="8">
        <f>QS.INSTRUMENT.SWAP("swap.9298",C9300,H9300,B9300,"USD","SOFR",I9300,J9300,0,"Actual360","Simple","Annual","Annual","Annual")</f>
        <v/>
      </c>
      <c r="F9300" s="8">
        <f>QS.TRADE.CREATE("trade.9298",C9300,E9300,A9300,"Receive")</f>
        <v/>
      </c>
      <c r="G9300" s="5"/>
      <c r="H9300" s="7" t="s">
        <v>9341</v>
      </c>
      <c r="I9300" s="9">
        <v>1929800</v>
      </c>
      <c r="J9300" s="10">
        <v>0.0398</v>
      </c>
    </row>
    <row r="9301" spans="1:10">
      <c r="A9301" s="7" t="s">
        <v>9335</v>
      </c>
      <c r="B9301" s="7" t="s">
        <v>11168</v>
      </c>
      <c r="C9301" s="8">
        <f>QS.CONTEXT.CREATE("market.9299",A9301,"USD","SOFR")</f>
        <v/>
      </c>
      <c r="D9301" s="8">
        <f>QS.CONTEXT.ADD.CURVE(C9301,"SOFR",$K$2:$K$7,$L$2:$L$7,,,"Actual360","LogLinear",TRUE)</f>
        <v/>
      </c>
      <c r="E9301" s="8">
        <f>QS.INSTRUMENT.SWAP("swap.9299",C9301,H9301,B9301,"USD","SOFR",I9301,J9301,0,"Actual360","Simple","Annual","Annual","Annual")</f>
        <v/>
      </c>
      <c r="F9301" s="8">
        <f>QS.TRADE.CREATE("trade.9299",C9301,E9301,A9301,"Receive")</f>
        <v/>
      </c>
      <c r="G9301" s="5"/>
      <c r="H9301" s="7" t="s">
        <v>9342</v>
      </c>
      <c r="I9301" s="9">
        <v>1929900</v>
      </c>
      <c r="J9301" s="10">
        <v>0.0399</v>
      </c>
    </row>
    <row r="9302" spans="1:10">
      <c r="A9302" s="7" t="s">
        <v>9336</v>
      </c>
      <c r="B9302" s="7" t="s">
        <v>11169</v>
      </c>
      <c r="C9302" s="8">
        <f>QS.CONTEXT.CREATE("market.9300",A9302,"USD","SOFR")</f>
        <v/>
      </c>
      <c r="D9302" s="8">
        <f>QS.CONTEXT.ADD.CURVE(C9302,"SOFR",$K$2:$K$7,$L$2:$L$7,,,"Actual360","LogLinear",TRUE)</f>
        <v/>
      </c>
      <c r="E9302" s="8">
        <f>QS.INSTRUMENT.SWAP("swap.9300",C9302,H9302,B9302,"USD","SOFR",I9302,J9302,0,"Actual360","Simple","Annual","Annual","Annual")</f>
        <v/>
      </c>
      <c r="F9302" s="8">
        <f>QS.TRADE.CREATE("trade.9300",C9302,E9302,A9302,"Receive")</f>
        <v/>
      </c>
      <c r="G9302" s="5"/>
      <c r="H9302" s="7" t="s">
        <v>9343</v>
      </c>
      <c r="I9302" s="9">
        <v>1930000</v>
      </c>
      <c r="J9302" s="10">
        <v>0.035</v>
      </c>
    </row>
    <row r="9303" spans="1:10">
      <c r="A9303" s="7" t="s">
        <v>9337</v>
      </c>
      <c r="B9303" s="7" t="s">
        <v>11170</v>
      </c>
      <c r="C9303" s="8">
        <f>QS.CONTEXT.CREATE("market.9301",A9303,"USD","SOFR")</f>
        <v/>
      </c>
      <c r="D9303" s="8">
        <f>QS.CONTEXT.ADD.CURVE(C9303,"SOFR",$K$2:$K$7,$L$2:$L$7,,,"Actual360","LogLinear",TRUE)</f>
        <v/>
      </c>
      <c r="E9303" s="8">
        <f>QS.INSTRUMENT.SWAP("swap.9301",C9303,H9303,B9303,"USD","SOFR",I9303,J9303,0,"Actual360","Simple","Annual","Annual","Annual")</f>
        <v/>
      </c>
      <c r="F9303" s="8">
        <f>QS.TRADE.CREATE("trade.9301",C9303,E9303,A9303,"Receive")</f>
        <v/>
      </c>
      <c r="G9303" s="5"/>
      <c r="H9303" s="7" t="s">
        <v>9344</v>
      </c>
      <c r="I9303" s="9">
        <v>1930100</v>
      </c>
      <c r="J9303" s="10">
        <v>0.03510000000000001</v>
      </c>
    </row>
    <row r="9304" spans="1:10">
      <c r="A9304" s="7" t="s">
        <v>9338</v>
      </c>
      <c r="B9304" s="7" t="s">
        <v>11171</v>
      </c>
      <c r="C9304" s="8">
        <f>QS.CONTEXT.CREATE("market.9302",A9304,"USD","SOFR")</f>
        <v/>
      </c>
      <c r="D9304" s="8">
        <f>QS.CONTEXT.ADD.CURVE(C9304,"SOFR",$K$2:$K$7,$L$2:$L$7,,,"Actual360","LogLinear",TRUE)</f>
        <v/>
      </c>
      <c r="E9304" s="8">
        <f>QS.INSTRUMENT.SWAP("swap.9302",C9304,H9304,B9304,"USD","SOFR",I9304,J9304,0,"Actual360","Simple","Annual","Annual","Annual")</f>
        <v/>
      </c>
      <c r="F9304" s="8">
        <f>QS.TRADE.CREATE("trade.9302",C9304,E9304,A9304,"Receive")</f>
        <v/>
      </c>
      <c r="G9304" s="5"/>
      <c r="H9304" s="7" t="s">
        <v>9345</v>
      </c>
      <c r="I9304" s="9">
        <v>1930200</v>
      </c>
      <c r="J9304" s="10">
        <v>0.0352</v>
      </c>
    </row>
    <row r="9305" spans="1:10">
      <c r="A9305" s="7" t="s">
        <v>9339</v>
      </c>
      <c r="B9305" s="7" t="s">
        <v>11172</v>
      </c>
      <c r="C9305" s="8">
        <f>QS.CONTEXT.CREATE("market.9303",A9305,"USD","SOFR")</f>
        <v/>
      </c>
      <c r="D9305" s="8">
        <f>QS.CONTEXT.ADD.CURVE(C9305,"SOFR",$K$2:$K$7,$L$2:$L$7,,,"Actual360","LogLinear",TRUE)</f>
        <v/>
      </c>
      <c r="E9305" s="8">
        <f>QS.INSTRUMENT.SWAP("swap.9303",C9305,H9305,B9305,"USD","SOFR",I9305,J9305,0,"Actual360","Simple","Annual","Annual","Annual")</f>
        <v/>
      </c>
      <c r="F9305" s="8">
        <f>QS.TRADE.CREATE("trade.9303",C9305,E9305,A9305,"Receive")</f>
        <v/>
      </c>
      <c r="G9305" s="5"/>
      <c r="H9305" s="7" t="s">
        <v>9346</v>
      </c>
      <c r="I9305" s="9">
        <v>1930300</v>
      </c>
      <c r="J9305" s="10">
        <v>0.0353</v>
      </c>
    </row>
    <row r="9306" spans="1:10">
      <c r="A9306" s="7" t="s">
        <v>9340</v>
      </c>
      <c r="B9306" s="7" t="s">
        <v>11173</v>
      </c>
      <c r="C9306" s="8">
        <f>QS.CONTEXT.CREATE("market.9304",A9306,"USD","SOFR")</f>
        <v/>
      </c>
      <c r="D9306" s="8">
        <f>QS.CONTEXT.ADD.CURVE(C9306,"SOFR",$K$2:$K$7,$L$2:$L$7,,,"Actual360","LogLinear",TRUE)</f>
        <v/>
      </c>
      <c r="E9306" s="8">
        <f>QS.INSTRUMENT.SWAP("swap.9304",C9306,H9306,B9306,"USD","SOFR",I9306,J9306,0,"Actual360","Simple","Annual","Annual","Annual")</f>
        <v/>
      </c>
      <c r="F9306" s="8">
        <f>QS.TRADE.CREATE("trade.9304",C9306,E9306,A9306,"Receive")</f>
        <v/>
      </c>
      <c r="G9306" s="5"/>
      <c r="H9306" s="7" t="s">
        <v>9347</v>
      </c>
      <c r="I9306" s="9">
        <v>1930400</v>
      </c>
      <c r="J9306" s="10">
        <v>0.0354</v>
      </c>
    </row>
    <row r="9307" spans="1:10">
      <c r="A9307" s="7" t="s">
        <v>9341</v>
      </c>
      <c r="B9307" s="7" t="s">
        <v>11174</v>
      </c>
      <c r="C9307" s="8">
        <f>QS.CONTEXT.CREATE("market.9305",A9307,"USD","SOFR")</f>
        <v/>
      </c>
      <c r="D9307" s="8">
        <f>QS.CONTEXT.ADD.CURVE(C9307,"SOFR",$K$2:$K$7,$L$2:$L$7,,,"Actual360","LogLinear",TRUE)</f>
        <v/>
      </c>
      <c r="E9307" s="8">
        <f>QS.INSTRUMENT.SWAP("swap.9305",C9307,H9307,B9307,"USD","SOFR",I9307,J9307,0,"Actual360","Simple","Annual","Annual","Annual")</f>
        <v/>
      </c>
      <c r="F9307" s="8">
        <f>QS.TRADE.CREATE("trade.9305",C9307,E9307,A9307,"Receive")</f>
        <v/>
      </c>
      <c r="G9307" s="5"/>
      <c r="H9307" s="7" t="s">
        <v>9348</v>
      </c>
      <c r="I9307" s="9">
        <v>1930500</v>
      </c>
      <c r="J9307" s="10">
        <v>0.0355</v>
      </c>
    </row>
    <row r="9308" spans="1:10">
      <c r="A9308" s="7" t="s">
        <v>9342</v>
      </c>
      <c r="B9308" s="7" t="s">
        <v>11175</v>
      </c>
      <c r="C9308" s="8">
        <f>QS.CONTEXT.CREATE("market.9306",A9308,"USD","SOFR")</f>
        <v/>
      </c>
      <c r="D9308" s="8">
        <f>QS.CONTEXT.ADD.CURVE(C9308,"SOFR",$K$2:$K$7,$L$2:$L$7,,,"Actual360","LogLinear",TRUE)</f>
        <v/>
      </c>
      <c r="E9308" s="8">
        <f>QS.INSTRUMENT.SWAP("swap.9306",C9308,H9308,B9308,"USD","SOFR",I9308,J9308,0,"Actual360","Simple","Annual","Annual","Annual")</f>
        <v/>
      </c>
      <c r="F9308" s="8">
        <f>QS.TRADE.CREATE("trade.9306",C9308,E9308,A9308,"Receive")</f>
        <v/>
      </c>
      <c r="G9308" s="5"/>
      <c r="H9308" s="7" t="s">
        <v>9349</v>
      </c>
      <c r="I9308" s="9">
        <v>1930600</v>
      </c>
      <c r="J9308" s="10">
        <v>0.03560000000000001</v>
      </c>
    </row>
    <row r="9309" spans="1:10">
      <c r="A9309" s="7" t="s">
        <v>9343</v>
      </c>
      <c r="B9309" s="7" t="s">
        <v>11176</v>
      </c>
      <c r="C9309" s="8">
        <f>QS.CONTEXT.CREATE("market.9307",A9309,"USD","SOFR")</f>
        <v/>
      </c>
      <c r="D9309" s="8">
        <f>QS.CONTEXT.ADD.CURVE(C9309,"SOFR",$K$2:$K$7,$L$2:$L$7,,,"Actual360","LogLinear",TRUE)</f>
        <v/>
      </c>
      <c r="E9309" s="8">
        <f>QS.INSTRUMENT.SWAP("swap.9307",C9309,H9309,B9309,"USD","SOFR",I9309,J9309,0,"Actual360","Simple","Annual","Annual","Annual")</f>
        <v/>
      </c>
      <c r="F9309" s="8">
        <f>QS.TRADE.CREATE("trade.9307",C9309,E9309,A9309,"Receive")</f>
        <v/>
      </c>
      <c r="G9309" s="5"/>
      <c r="H9309" s="7" t="s">
        <v>9350</v>
      </c>
      <c r="I9309" s="9">
        <v>1930700</v>
      </c>
      <c r="J9309" s="10">
        <v>0.0357</v>
      </c>
    </row>
    <row r="9310" spans="1:10">
      <c r="A9310" s="7" t="s">
        <v>9344</v>
      </c>
      <c r="B9310" s="7" t="s">
        <v>11177</v>
      </c>
      <c r="C9310" s="8">
        <f>QS.CONTEXT.CREATE("market.9308",A9310,"USD","SOFR")</f>
        <v/>
      </c>
      <c r="D9310" s="8">
        <f>QS.CONTEXT.ADD.CURVE(C9310,"SOFR",$K$2:$K$7,$L$2:$L$7,,,"Actual360","LogLinear",TRUE)</f>
        <v/>
      </c>
      <c r="E9310" s="8">
        <f>QS.INSTRUMENT.SWAP("swap.9308",C9310,H9310,B9310,"USD","SOFR",I9310,J9310,0,"Actual360","Simple","Annual","Annual","Annual")</f>
        <v/>
      </c>
      <c r="F9310" s="8">
        <f>QS.TRADE.CREATE("trade.9308",C9310,E9310,A9310,"Receive")</f>
        <v/>
      </c>
      <c r="G9310" s="5"/>
      <c r="H9310" s="7" t="s">
        <v>9351</v>
      </c>
      <c r="I9310" s="9">
        <v>1930800</v>
      </c>
      <c r="J9310" s="10">
        <v>0.03580000000000001</v>
      </c>
    </row>
    <row r="9311" spans="1:10">
      <c r="A9311" s="7" t="s">
        <v>9345</v>
      </c>
      <c r="B9311" s="7" t="s">
        <v>11178</v>
      </c>
      <c r="C9311" s="8">
        <f>QS.CONTEXT.CREATE("market.9309",A9311,"USD","SOFR")</f>
        <v/>
      </c>
      <c r="D9311" s="8">
        <f>QS.CONTEXT.ADD.CURVE(C9311,"SOFR",$K$2:$K$7,$L$2:$L$7,,,"Actual360","LogLinear",TRUE)</f>
        <v/>
      </c>
      <c r="E9311" s="8">
        <f>QS.INSTRUMENT.SWAP("swap.9309",C9311,H9311,B9311,"USD","SOFR",I9311,J9311,0,"Actual360","Simple","Annual","Annual","Annual")</f>
        <v/>
      </c>
      <c r="F9311" s="8">
        <f>QS.TRADE.CREATE("trade.9309",C9311,E9311,A9311,"Receive")</f>
        <v/>
      </c>
      <c r="G9311" s="5"/>
      <c r="H9311" s="7" t="s">
        <v>9352</v>
      </c>
      <c r="I9311" s="9">
        <v>1930900</v>
      </c>
      <c r="J9311" s="10">
        <v>0.0359</v>
      </c>
    </row>
    <row r="9312" spans="1:10">
      <c r="A9312" s="7" t="s">
        <v>9346</v>
      </c>
      <c r="B9312" s="7" t="s">
        <v>11179</v>
      </c>
      <c r="C9312" s="8">
        <f>QS.CONTEXT.CREATE("market.9310",A9312,"USD","SOFR")</f>
        <v/>
      </c>
      <c r="D9312" s="8">
        <f>QS.CONTEXT.ADD.CURVE(C9312,"SOFR",$K$2:$K$7,$L$2:$L$7,,,"Actual360","LogLinear",TRUE)</f>
        <v/>
      </c>
      <c r="E9312" s="8">
        <f>QS.INSTRUMENT.SWAP("swap.9310",C9312,H9312,B9312,"USD","SOFR",I9312,J9312,0,"Actual360","Simple","Annual","Annual","Annual")</f>
        <v/>
      </c>
      <c r="F9312" s="8">
        <f>QS.TRADE.CREATE("trade.9310",C9312,E9312,A9312,"Receive")</f>
        <v/>
      </c>
      <c r="G9312" s="5"/>
      <c r="H9312" s="7" t="s">
        <v>9353</v>
      </c>
      <c r="I9312" s="9">
        <v>1931000</v>
      </c>
      <c r="J9312" s="10">
        <v>0.036</v>
      </c>
    </row>
    <row r="9313" spans="1:10">
      <c r="A9313" s="7" t="s">
        <v>9347</v>
      </c>
      <c r="B9313" s="7" t="s">
        <v>11180</v>
      </c>
      <c r="C9313" s="8">
        <f>QS.CONTEXT.CREATE("market.9311",A9313,"USD","SOFR")</f>
        <v/>
      </c>
      <c r="D9313" s="8">
        <f>QS.CONTEXT.ADD.CURVE(C9313,"SOFR",$K$2:$K$7,$L$2:$L$7,,,"Actual360","LogLinear",TRUE)</f>
        <v/>
      </c>
      <c r="E9313" s="8">
        <f>QS.INSTRUMENT.SWAP("swap.9311",C9313,H9313,B9313,"USD","SOFR",I9313,J9313,0,"Actual360","Simple","Annual","Annual","Annual")</f>
        <v/>
      </c>
      <c r="F9313" s="8">
        <f>QS.TRADE.CREATE("trade.9311",C9313,E9313,A9313,"Receive")</f>
        <v/>
      </c>
      <c r="G9313" s="5"/>
      <c r="H9313" s="7" t="s">
        <v>9354</v>
      </c>
      <c r="I9313" s="9">
        <v>1931100</v>
      </c>
      <c r="J9313" s="10">
        <v>0.0361</v>
      </c>
    </row>
    <row r="9314" spans="1:10">
      <c r="A9314" s="7" t="s">
        <v>9348</v>
      </c>
      <c r="B9314" s="7" t="s">
        <v>11181</v>
      </c>
      <c r="C9314" s="8">
        <f>QS.CONTEXT.CREATE("market.9312",A9314,"USD","SOFR")</f>
        <v/>
      </c>
      <c r="D9314" s="8">
        <f>QS.CONTEXT.ADD.CURVE(C9314,"SOFR",$K$2:$K$7,$L$2:$L$7,,,"Actual360","LogLinear",TRUE)</f>
        <v/>
      </c>
      <c r="E9314" s="8">
        <f>QS.INSTRUMENT.SWAP("swap.9312",C9314,H9314,B9314,"USD","SOFR",I9314,J9314,0,"Actual360","Simple","Annual","Annual","Annual")</f>
        <v/>
      </c>
      <c r="F9314" s="8">
        <f>QS.TRADE.CREATE("trade.9312",C9314,E9314,A9314,"Receive")</f>
        <v/>
      </c>
      <c r="G9314" s="5"/>
      <c r="H9314" s="7" t="s">
        <v>9355</v>
      </c>
      <c r="I9314" s="9">
        <v>1931200</v>
      </c>
      <c r="J9314" s="10">
        <v>0.0362</v>
      </c>
    </row>
    <row r="9315" spans="1:10">
      <c r="A9315" s="7" t="s">
        <v>9349</v>
      </c>
      <c r="B9315" s="7" t="s">
        <v>11182</v>
      </c>
      <c r="C9315" s="8">
        <f>QS.CONTEXT.CREATE("market.9313",A9315,"USD","SOFR")</f>
        <v/>
      </c>
      <c r="D9315" s="8">
        <f>QS.CONTEXT.ADD.CURVE(C9315,"SOFR",$K$2:$K$7,$L$2:$L$7,,,"Actual360","LogLinear",TRUE)</f>
        <v/>
      </c>
      <c r="E9315" s="8">
        <f>QS.INSTRUMENT.SWAP("swap.9313",C9315,H9315,B9315,"USD","SOFR",I9315,J9315,0,"Actual360","Simple","Annual","Annual","Annual")</f>
        <v/>
      </c>
      <c r="F9315" s="8">
        <f>QS.TRADE.CREATE("trade.9313",C9315,E9315,A9315,"Receive")</f>
        <v/>
      </c>
      <c r="G9315" s="5"/>
      <c r="H9315" s="7" t="s">
        <v>9356</v>
      </c>
      <c r="I9315" s="9">
        <v>1931300</v>
      </c>
      <c r="J9315" s="10">
        <v>0.03630000000000001</v>
      </c>
    </row>
    <row r="9316" spans="1:10">
      <c r="A9316" s="7" t="s">
        <v>9350</v>
      </c>
      <c r="B9316" s="7" t="s">
        <v>11183</v>
      </c>
      <c r="C9316" s="8">
        <f>QS.CONTEXT.CREATE("market.9314",A9316,"USD","SOFR")</f>
        <v/>
      </c>
      <c r="D9316" s="8">
        <f>QS.CONTEXT.ADD.CURVE(C9316,"SOFR",$K$2:$K$7,$L$2:$L$7,,,"Actual360","LogLinear",TRUE)</f>
        <v/>
      </c>
      <c r="E9316" s="8">
        <f>QS.INSTRUMENT.SWAP("swap.9314",C9316,H9316,B9316,"USD","SOFR",I9316,J9316,0,"Actual360","Simple","Annual","Annual","Annual")</f>
        <v/>
      </c>
      <c r="F9316" s="8">
        <f>QS.TRADE.CREATE("trade.9314",C9316,E9316,A9316,"Receive")</f>
        <v/>
      </c>
      <c r="G9316" s="5"/>
      <c r="H9316" s="7" t="s">
        <v>9357</v>
      </c>
      <c r="I9316" s="9">
        <v>1931400</v>
      </c>
      <c r="J9316" s="10">
        <v>0.0364</v>
      </c>
    </row>
    <row r="9317" spans="1:10">
      <c r="A9317" s="7" t="s">
        <v>9351</v>
      </c>
      <c r="B9317" s="7" t="s">
        <v>11184</v>
      </c>
      <c r="C9317" s="8">
        <f>QS.CONTEXT.CREATE("market.9315",A9317,"USD","SOFR")</f>
        <v/>
      </c>
      <c r="D9317" s="8">
        <f>QS.CONTEXT.ADD.CURVE(C9317,"SOFR",$K$2:$K$7,$L$2:$L$7,,,"Actual360","LogLinear",TRUE)</f>
        <v/>
      </c>
      <c r="E9317" s="8">
        <f>QS.INSTRUMENT.SWAP("swap.9315",C9317,H9317,B9317,"USD","SOFR",I9317,J9317,0,"Actual360","Simple","Annual","Annual","Annual")</f>
        <v/>
      </c>
      <c r="F9317" s="8">
        <f>QS.TRADE.CREATE("trade.9315",C9317,E9317,A9317,"Receive")</f>
        <v/>
      </c>
      <c r="G9317" s="5"/>
      <c r="H9317" s="7" t="s">
        <v>9358</v>
      </c>
      <c r="I9317" s="9">
        <v>1931500</v>
      </c>
      <c r="J9317" s="10">
        <v>0.0365</v>
      </c>
    </row>
    <row r="9318" spans="1:10">
      <c r="A9318" s="7" t="s">
        <v>9352</v>
      </c>
      <c r="B9318" s="7" t="s">
        <v>11185</v>
      </c>
      <c r="C9318" s="8">
        <f>QS.CONTEXT.CREATE("market.9316",A9318,"USD","SOFR")</f>
        <v/>
      </c>
      <c r="D9318" s="8">
        <f>QS.CONTEXT.ADD.CURVE(C9318,"SOFR",$K$2:$K$7,$L$2:$L$7,,,"Actual360","LogLinear",TRUE)</f>
        <v/>
      </c>
      <c r="E9318" s="8">
        <f>QS.INSTRUMENT.SWAP("swap.9316",C9318,H9318,B9318,"USD","SOFR",I9318,J9318,0,"Actual360","Simple","Annual","Annual","Annual")</f>
        <v/>
      </c>
      <c r="F9318" s="8">
        <f>QS.TRADE.CREATE("trade.9316",C9318,E9318,A9318,"Receive")</f>
        <v/>
      </c>
      <c r="G9318" s="5"/>
      <c r="H9318" s="7" t="s">
        <v>9359</v>
      </c>
      <c r="I9318" s="9">
        <v>1931600</v>
      </c>
      <c r="J9318" s="10">
        <v>0.0366</v>
      </c>
    </row>
    <row r="9319" spans="1:10">
      <c r="A9319" s="7" t="s">
        <v>9353</v>
      </c>
      <c r="B9319" s="7" t="s">
        <v>11186</v>
      </c>
      <c r="C9319" s="8">
        <f>QS.CONTEXT.CREATE("market.9317",A9319,"USD","SOFR")</f>
        <v/>
      </c>
      <c r="D9319" s="8">
        <f>QS.CONTEXT.ADD.CURVE(C9319,"SOFR",$K$2:$K$7,$L$2:$L$7,,,"Actual360","LogLinear",TRUE)</f>
        <v/>
      </c>
      <c r="E9319" s="8">
        <f>QS.INSTRUMENT.SWAP("swap.9317",C9319,H9319,B9319,"USD","SOFR",I9319,J9319,0,"Actual360","Simple","Annual","Annual","Annual")</f>
        <v/>
      </c>
      <c r="F9319" s="8">
        <f>QS.TRADE.CREATE("trade.9317",C9319,E9319,A9319,"Receive")</f>
        <v/>
      </c>
      <c r="G9319" s="5"/>
      <c r="H9319" s="7" t="s">
        <v>9360</v>
      </c>
      <c r="I9319" s="9">
        <v>1931700</v>
      </c>
      <c r="J9319" s="10">
        <v>0.0367</v>
      </c>
    </row>
    <row r="9320" spans="1:10">
      <c r="A9320" s="7" t="s">
        <v>9354</v>
      </c>
      <c r="B9320" s="7" t="s">
        <v>11187</v>
      </c>
      <c r="C9320" s="8">
        <f>QS.CONTEXT.CREATE("market.9318",A9320,"USD","SOFR")</f>
        <v/>
      </c>
      <c r="D9320" s="8">
        <f>QS.CONTEXT.ADD.CURVE(C9320,"SOFR",$K$2:$K$7,$L$2:$L$7,,,"Actual360","LogLinear",TRUE)</f>
        <v/>
      </c>
      <c r="E9320" s="8">
        <f>QS.INSTRUMENT.SWAP("swap.9318",C9320,H9320,B9320,"USD","SOFR",I9320,J9320,0,"Actual360","Simple","Annual","Annual","Annual")</f>
        <v/>
      </c>
      <c r="F9320" s="8">
        <f>QS.TRADE.CREATE("trade.9318",C9320,E9320,A9320,"Receive")</f>
        <v/>
      </c>
      <c r="G9320" s="5"/>
      <c r="H9320" s="7" t="s">
        <v>9361</v>
      </c>
      <c r="I9320" s="9">
        <v>1931800</v>
      </c>
      <c r="J9320" s="10">
        <v>0.03680000000000001</v>
      </c>
    </row>
    <row r="9321" spans="1:10">
      <c r="A9321" s="7" t="s">
        <v>9355</v>
      </c>
      <c r="B9321" s="7" t="s">
        <v>11188</v>
      </c>
      <c r="C9321" s="8">
        <f>QS.CONTEXT.CREATE("market.9319",A9321,"USD","SOFR")</f>
        <v/>
      </c>
      <c r="D9321" s="8">
        <f>QS.CONTEXT.ADD.CURVE(C9321,"SOFR",$K$2:$K$7,$L$2:$L$7,,,"Actual360","LogLinear",TRUE)</f>
        <v/>
      </c>
      <c r="E9321" s="8">
        <f>QS.INSTRUMENT.SWAP("swap.9319",C9321,H9321,B9321,"USD","SOFR",I9321,J9321,0,"Actual360","Simple","Annual","Annual","Annual")</f>
        <v/>
      </c>
      <c r="F9321" s="8">
        <f>QS.TRADE.CREATE("trade.9319",C9321,E9321,A9321,"Receive")</f>
        <v/>
      </c>
      <c r="G9321" s="5"/>
      <c r="H9321" s="7" t="s">
        <v>9362</v>
      </c>
      <c r="I9321" s="9">
        <v>1931900</v>
      </c>
      <c r="J9321" s="10">
        <v>0.0369</v>
      </c>
    </row>
    <row r="9322" spans="1:10">
      <c r="A9322" s="7" t="s">
        <v>9356</v>
      </c>
      <c r="B9322" s="7" t="s">
        <v>11189</v>
      </c>
      <c r="C9322" s="8">
        <f>QS.CONTEXT.CREATE("market.9320",A9322,"USD","SOFR")</f>
        <v/>
      </c>
      <c r="D9322" s="8">
        <f>QS.CONTEXT.ADD.CURVE(C9322,"SOFR",$K$2:$K$7,$L$2:$L$7,,,"Actual360","LogLinear",TRUE)</f>
        <v/>
      </c>
      <c r="E9322" s="8">
        <f>QS.INSTRUMENT.SWAP("swap.9320",C9322,H9322,B9322,"USD","SOFR",I9322,J9322,0,"Actual360","Simple","Annual","Annual","Annual")</f>
        <v/>
      </c>
      <c r="F9322" s="8">
        <f>QS.TRADE.CREATE("trade.9320",C9322,E9322,A9322,"Receive")</f>
        <v/>
      </c>
      <c r="G9322" s="5"/>
      <c r="H9322" s="7" t="s">
        <v>9363</v>
      </c>
      <c r="I9322" s="9">
        <v>1932000</v>
      </c>
      <c r="J9322" s="10">
        <v>0.03700000000000001</v>
      </c>
    </row>
    <row r="9323" spans="1:10">
      <c r="A9323" s="7" t="s">
        <v>9357</v>
      </c>
      <c r="B9323" s="7" t="s">
        <v>11190</v>
      </c>
      <c r="C9323" s="8">
        <f>QS.CONTEXT.CREATE("market.9321",A9323,"USD","SOFR")</f>
        <v/>
      </c>
      <c r="D9323" s="8">
        <f>QS.CONTEXT.ADD.CURVE(C9323,"SOFR",$K$2:$K$7,$L$2:$L$7,,,"Actual360","LogLinear",TRUE)</f>
        <v/>
      </c>
      <c r="E9323" s="8">
        <f>QS.INSTRUMENT.SWAP("swap.9321",C9323,H9323,B9323,"USD","SOFR",I9323,J9323,0,"Actual360","Simple","Annual","Annual","Annual")</f>
        <v/>
      </c>
      <c r="F9323" s="8">
        <f>QS.TRADE.CREATE("trade.9321",C9323,E9323,A9323,"Receive")</f>
        <v/>
      </c>
      <c r="G9323" s="5"/>
      <c r="H9323" s="7" t="s">
        <v>9364</v>
      </c>
      <c r="I9323" s="9">
        <v>1932100</v>
      </c>
      <c r="J9323" s="10">
        <v>0.0371</v>
      </c>
    </row>
    <row r="9324" spans="1:10">
      <c r="A9324" s="7" t="s">
        <v>9358</v>
      </c>
      <c r="B9324" s="7" t="s">
        <v>11191</v>
      </c>
      <c r="C9324" s="8">
        <f>QS.CONTEXT.CREATE("market.9322",A9324,"USD","SOFR")</f>
        <v/>
      </c>
      <c r="D9324" s="8">
        <f>QS.CONTEXT.ADD.CURVE(C9324,"SOFR",$K$2:$K$7,$L$2:$L$7,,,"Actual360","LogLinear",TRUE)</f>
        <v/>
      </c>
      <c r="E9324" s="8">
        <f>QS.INSTRUMENT.SWAP("swap.9322",C9324,H9324,B9324,"USD","SOFR",I9324,J9324,0,"Actual360","Simple","Annual","Annual","Annual")</f>
        <v/>
      </c>
      <c r="F9324" s="8">
        <f>QS.TRADE.CREATE("trade.9322",C9324,E9324,A9324,"Receive")</f>
        <v/>
      </c>
      <c r="G9324" s="5"/>
      <c r="H9324" s="7" t="s">
        <v>9365</v>
      </c>
      <c r="I9324" s="9">
        <v>1932200</v>
      </c>
      <c r="J9324" s="10">
        <v>0.0372</v>
      </c>
    </row>
    <row r="9325" spans="1:10">
      <c r="A9325" s="7" t="s">
        <v>9359</v>
      </c>
      <c r="B9325" s="7" t="s">
        <v>11192</v>
      </c>
      <c r="C9325" s="8">
        <f>QS.CONTEXT.CREATE("market.9323",A9325,"USD","SOFR")</f>
        <v/>
      </c>
      <c r="D9325" s="8">
        <f>QS.CONTEXT.ADD.CURVE(C9325,"SOFR",$K$2:$K$7,$L$2:$L$7,,,"Actual360","LogLinear",TRUE)</f>
        <v/>
      </c>
      <c r="E9325" s="8">
        <f>QS.INSTRUMENT.SWAP("swap.9323",C9325,H9325,B9325,"USD","SOFR",I9325,J9325,0,"Actual360","Simple","Annual","Annual","Annual")</f>
        <v/>
      </c>
      <c r="F9325" s="8">
        <f>QS.TRADE.CREATE("trade.9323",C9325,E9325,A9325,"Receive")</f>
        <v/>
      </c>
      <c r="G9325" s="5"/>
      <c r="H9325" s="7" t="s">
        <v>9366</v>
      </c>
      <c r="I9325" s="9">
        <v>1932300</v>
      </c>
      <c r="J9325" s="10">
        <v>0.0373</v>
      </c>
    </row>
    <row r="9326" spans="1:10">
      <c r="A9326" s="7" t="s">
        <v>9360</v>
      </c>
      <c r="B9326" s="7" t="s">
        <v>11193</v>
      </c>
      <c r="C9326" s="8">
        <f>QS.CONTEXT.CREATE("market.9324",A9326,"USD","SOFR")</f>
        <v/>
      </c>
      <c r="D9326" s="8">
        <f>QS.CONTEXT.ADD.CURVE(C9326,"SOFR",$K$2:$K$7,$L$2:$L$7,,,"Actual360","LogLinear",TRUE)</f>
        <v/>
      </c>
      <c r="E9326" s="8">
        <f>QS.INSTRUMENT.SWAP("swap.9324",C9326,H9326,B9326,"USD","SOFR",I9326,J9326,0,"Actual360","Simple","Annual","Annual","Annual")</f>
        <v/>
      </c>
      <c r="F9326" s="8">
        <f>QS.TRADE.CREATE("trade.9324",C9326,E9326,A9326,"Receive")</f>
        <v/>
      </c>
      <c r="G9326" s="5"/>
      <c r="H9326" s="7" t="s">
        <v>9367</v>
      </c>
      <c r="I9326" s="9">
        <v>1932400</v>
      </c>
      <c r="J9326" s="10">
        <v>0.0374</v>
      </c>
    </row>
    <row r="9327" spans="1:10">
      <c r="A9327" s="7" t="s">
        <v>9361</v>
      </c>
      <c r="B9327" s="7" t="s">
        <v>11194</v>
      </c>
      <c r="C9327" s="8">
        <f>QS.CONTEXT.CREATE("market.9325",A9327,"USD","SOFR")</f>
        <v/>
      </c>
      <c r="D9327" s="8">
        <f>QS.CONTEXT.ADD.CURVE(C9327,"SOFR",$K$2:$K$7,$L$2:$L$7,,,"Actual360","LogLinear",TRUE)</f>
        <v/>
      </c>
      <c r="E9327" s="8">
        <f>QS.INSTRUMENT.SWAP("swap.9325",C9327,H9327,B9327,"USD","SOFR",I9327,J9327,0,"Actual360","Simple","Annual","Annual","Annual")</f>
        <v/>
      </c>
      <c r="F9327" s="8">
        <f>QS.TRADE.CREATE("trade.9325",C9327,E9327,A9327,"Receive")</f>
        <v/>
      </c>
      <c r="G9327" s="5"/>
      <c r="H9327" s="7" t="s">
        <v>9368</v>
      </c>
      <c r="I9327" s="9">
        <v>1932500</v>
      </c>
      <c r="J9327" s="10">
        <v>0.03750000000000001</v>
      </c>
    </row>
    <row r="9328" spans="1:10">
      <c r="A9328" s="7" t="s">
        <v>9362</v>
      </c>
      <c r="B9328" s="7" t="s">
        <v>11195</v>
      </c>
      <c r="C9328" s="8">
        <f>QS.CONTEXT.CREATE("market.9326",A9328,"USD","SOFR")</f>
        <v/>
      </c>
      <c r="D9328" s="8">
        <f>QS.CONTEXT.ADD.CURVE(C9328,"SOFR",$K$2:$K$7,$L$2:$L$7,,,"Actual360","LogLinear",TRUE)</f>
        <v/>
      </c>
      <c r="E9328" s="8">
        <f>QS.INSTRUMENT.SWAP("swap.9326",C9328,H9328,B9328,"USD","SOFR",I9328,J9328,0,"Actual360","Simple","Annual","Annual","Annual")</f>
        <v/>
      </c>
      <c r="F9328" s="8">
        <f>QS.TRADE.CREATE("trade.9326",C9328,E9328,A9328,"Receive")</f>
        <v/>
      </c>
      <c r="G9328" s="5"/>
      <c r="H9328" s="7" t="s">
        <v>9369</v>
      </c>
      <c r="I9328" s="9">
        <v>1932600</v>
      </c>
      <c r="J9328" s="10">
        <v>0.0376</v>
      </c>
    </row>
    <row r="9329" spans="1:10">
      <c r="A9329" s="7" t="s">
        <v>9363</v>
      </c>
      <c r="B9329" s="7" t="s">
        <v>11196</v>
      </c>
      <c r="C9329" s="8">
        <f>QS.CONTEXT.CREATE("market.9327",A9329,"USD","SOFR")</f>
        <v/>
      </c>
      <c r="D9329" s="8">
        <f>QS.CONTEXT.ADD.CURVE(C9329,"SOFR",$K$2:$K$7,$L$2:$L$7,,,"Actual360","LogLinear",TRUE)</f>
        <v/>
      </c>
      <c r="E9329" s="8">
        <f>QS.INSTRUMENT.SWAP("swap.9327",C9329,H9329,B9329,"USD","SOFR",I9329,J9329,0,"Actual360","Simple","Annual","Annual","Annual")</f>
        <v/>
      </c>
      <c r="F9329" s="8">
        <f>QS.TRADE.CREATE("trade.9327",C9329,E9329,A9329,"Receive")</f>
        <v/>
      </c>
      <c r="G9329" s="5"/>
      <c r="H9329" s="7" t="s">
        <v>9370</v>
      </c>
      <c r="I9329" s="9">
        <v>1932700</v>
      </c>
      <c r="J9329" s="10">
        <v>0.0377</v>
      </c>
    </row>
    <row r="9330" spans="1:10">
      <c r="A9330" s="7" t="s">
        <v>9364</v>
      </c>
      <c r="B9330" s="7" t="s">
        <v>11197</v>
      </c>
      <c r="C9330" s="8">
        <f>QS.CONTEXT.CREATE("market.9328",A9330,"USD","SOFR")</f>
        <v/>
      </c>
      <c r="D9330" s="8">
        <f>QS.CONTEXT.ADD.CURVE(C9330,"SOFR",$K$2:$K$7,$L$2:$L$7,,,"Actual360","LogLinear",TRUE)</f>
        <v/>
      </c>
      <c r="E9330" s="8">
        <f>QS.INSTRUMENT.SWAP("swap.9328",C9330,H9330,B9330,"USD","SOFR",I9330,J9330,0,"Actual360","Simple","Annual","Annual","Annual")</f>
        <v/>
      </c>
      <c r="F9330" s="8">
        <f>QS.TRADE.CREATE("trade.9328",C9330,E9330,A9330,"Receive")</f>
        <v/>
      </c>
      <c r="G9330" s="5"/>
      <c r="H9330" s="7" t="s">
        <v>9371</v>
      </c>
      <c r="I9330" s="9">
        <v>1932800</v>
      </c>
      <c r="J9330" s="10">
        <v>0.0378</v>
      </c>
    </row>
    <row r="9331" spans="1:10">
      <c r="A9331" s="7" t="s">
        <v>9365</v>
      </c>
      <c r="B9331" s="7" t="s">
        <v>11198</v>
      </c>
      <c r="C9331" s="8">
        <f>QS.CONTEXT.CREATE("market.9329",A9331,"USD","SOFR")</f>
        <v/>
      </c>
      <c r="D9331" s="8">
        <f>QS.CONTEXT.ADD.CURVE(C9331,"SOFR",$K$2:$K$7,$L$2:$L$7,,,"Actual360","LogLinear",TRUE)</f>
        <v/>
      </c>
      <c r="E9331" s="8">
        <f>QS.INSTRUMENT.SWAP("swap.9329",C9331,H9331,B9331,"USD","SOFR",I9331,J9331,0,"Actual360","Simple","Annual","Annual","Annual")</f>
        <v/>
      </c>
      <c r="F9331" s="8">
        <f>QS.TRADE.CREATE("trade.9329",C9331,E9331,A9331,"Receive")</f>
        <v/>
      </c>
      <c r="G9331" s="5"/>
      <c r="H9331" s="7" t="s">
        <v>9372</v>
      </c>
      <c r="I9331" s="9">
        <v>1932900</v>
      </c>
      <c r="J9331" s="10">
        <v>0.0379</v>
      </c>
    </row>
    <row r="9332" spans="1:10">
      <c r="A9332" s="7" t="s">
        <v>9366</v>
      </c>
      <c r="B9332" s="7" t="s">
        <v>11199</v>
      </c>
      <c r="C9332" s="8">
        <f>QS.CONTEXT.CREATE("market.9330",A9332,"USD","SOFR")</f>
        <v/>
      </c>
      <c r="D9332" s="8">
        <f>QS.CONTEXT.ADD.CURVE(C9332,"SOFR",$K$2:$K$7,$L$2:$L$7,,,"Actual360","LogLinear",TRUE)</f>
        <v/>
      </c>
      <c r="E9332" s="8">
        <f>QS.INSTRUMENT.SWAP("swap.9330",C9332,H9332,B9332,"USD","SOFR",I9332,J9332,0,"Actual360","Simple","Annual","Annual","Annual")</f>
        <v/>
      </c>
      <c r="F9332" s="8">
        <f>QS.TRADE.CREATE("trade.9330",C9332,E9332,A9332,"Receive")</f>
        <v/>
      </c>
      <c r="G9332" s="5"/>
      <c r="H9332" s="7" t="s">
        <v>9373</v>
      </c>
      <c r="I9332" s="9">
        <v>1933000</v>
      </c>
      <c r="J9332" s="10">
        <v>0.03800000000000001</v>
      </c>
    </row>
    <row r="9333" spans="1:10">
      <c r="A9333" s="7" t="s">
        <v>9367</v>
      </c>
      <c r="B9333" s="7" t="s">
        <v>11200</v>
      </c>
      <c r="C9333" s="8">
        <f>QS.CONTEXT.CREATE("market.9331",A9333,"USD","SOFR")</f>
        <v/>
      </c>
      <c r="D9333" s="8">
        <f>QS.CONTEXT.ADD.CURVE(C9333,"SOFR",$K$2:$K$7,$L$2:$L$7,,,"Actual360","LogLinear",TRUE)</f>
        <v/>
      </c>
      <c r="E9333" s="8">
        <f>QS.INSTRUMENT.SWAP("swap.9331",C9333,H9333,B9333,"USD","SOFR",I9333,J9333,0,"Actual360","Simple","Annual","Annual","Annual")</f>
        <v/>
      </c>
      <c r="F9333" s="8">
        <f>QS.TRADE.CREATE("trade.9331",C9333,E9333,A9333,"Receive")</f>
        <v/>
      </c>
      <c r="G9333" s="5"/>
      <c r="H9333" s="7" t="s">
        <v>9374</v>
      </c>
      <c r="I9333" s="9">
        <v>1933100</v>
      </c>
      <c r="J9333" s="10">
        <v>0.0381</v>
      </c>
    </row>
    <row r="9334" spans="1:10">
      <c r="A9334" s="7" t="s">
        <v>9368</v>
      </c>
      <c r="B9334" s="7" t="s">
        <v>11201</v>
      </c>
      <c r="C9334" s="8">
        <f>QS.CONTEXT.CREATE("market.9332",A9334,"USD","SOFR")</f>
        <v/>
      </c>
      <c r="D9334" s="8">
        <f>QS.CONTEXT.ADD.CURVE(C9334,"SOFR",$K$2:$K$7,$L$2:$L$7,,,"Actual360","LogLinear",TRUE)</f>
        <v/>
      </c>
      <c r="E9334" s="8">
        <f>QS.INSTRUMENT.SWAP("swap.9332",C9334,H9334,B9334,"USD","SOFR",I9334,J9334,0,"Actual360","Simple","Annual","Annual","Annual")</f>
        <v/>
      </c>
      <c r="F9334" s="8">
        <f>QS.TRADE.CREATE("trade.9332",C9334,E9334,A9334,"Receive")</f>
        <v/>
      </c>
      <c r="G9334" s="5"/>
      <c r="H9334" s="7" t="s">
        <v>9375</v>
      </c>
      <c r="I9334" s="9">
        <v>1933200</v>
      </c>
      <c r="J9334" s="10">
        <v>0.0382</v>
      </c>
    </row>
    <row r="9335" spans="1:10">
      <c r="A9335" s="7" t="s">
        <v>9369</v>
      </c>
      <c r="B9335" s="7" t="s">
        <v>11202</v>
      </c>
      <c r="C9335" s="8">
        <f>QS.CONTEXT.CREATE("market.9333",A9335,"USD","SOFR")</f>
        <v/>
      </c>
      <c r="D9335" s="8">
        <f>QS.CONTEXT.ADD.CURVE(C9335,"SOFR",$K$2:$K$7,$L$2:$L$7,,,"Actual360","LogLinear",TRUE)</f>
        <v/>
      </c>
      <c r="E9335" s="8">
        <f>QS.INSTRUMENT.SWAP("swap.9333",C9335,H9335,B9335,"USD","SOFR",I9335,J9335,0,"Actual360","Simple","Annual","Annual","Annual")</f>
        <v/>
      </c>
      <c r="F9335" s="8">
        <f>QS.TRADE.CREATE("trade.9333",C9335,E9335,A9335,"Receive")</f>
        <v/>
      </c>
      <c r="G9335" s="5"/>
      <c r="H9335" s="7" t="s">
        <v>9376</v>
      </c>
      <c r="I9335" s="9">
        <v>1933300</v>
      </c>
      <c r="J9335" s="10">
        <v>0.0383</v>
      </c>
    </row>
    <row r="9336" spans="1:10">
      <c r="A9336" s="7" t="s">
        <v>9370</v>
      </c>
      <c r="B9336" s="7" t="s">
        <v>11203</v>
      </c>
      <c r="C9336" s="8">
        <f>QS.CONTEXT.CREATE("market.9334",A9336,"USD","SOFR")</f>
        <v/>
      </c>
      <c r="D9336" s="8">
        <f>QS.CONTEXT.ADD.CURVE(C9336,"SOFR",$K$2:$K$7,$L$2:$L$7,,,"Actual360","LogLinear",TRUE)</f>
        <v/>
      </c>
      <c r="E9336" s="8">
        <f>QS.INSTRUMENT.SWAP("swap.9334",C9336,H9336,B9336,"USD","SOFR",I9336,J9336,0,"Actual360","Simple","Annual","Annual","Annual")</f>
        <v/>
      </c>
      <c r="F9336" s="8">
        <f>QS.TRADE.CREATE("trade.9334",C9336,E9336,A9336,"Receive")</f>
        <v/>
      </c>
      <c r="G9336" s="5"/>
      <c r="H9336" s="7" t="s">
        <v>9377</v>
      </c>
      <c r="I9336" s="9">
        <v>1933400</v>
      </c>
      <c r="J9336" s="10">
        <v>0.0384</v>
      </c>
    </row>
    <row r="9337" spans="1:10">
      <c r="A9337" s="7" t="s">
        <v>9371</v>
      </c>
      <c r="B9337" s="7" t="s">
        <v>11204</v>
      </c>
      <c r="C9337" s="8">
        <f>QS.CONTEXT.CREATE("market.9335",A9337,"USD","SOFR")</f>
        <v/>
      </c>
      <c r="D9337" s="8">
        <f>QS.CONTEXT.ADD.CURVE(C9337,"SOFR",$K$2:$K$7,$L$2:$L$7,,,"Actual360","LogLinear",TRUE)</f>
        <v/>
      </c>
      <c r="E9337" s="8">
        <f>QS.INSTRUMENT.SWAP("swap.9335",C9337,H9337,B9337,"USD","SOFR",I9337,J9337,0,"Actual360","Simple","Annual","Annual","Annual")</f>
        <v/>
      </c>
      <c r="F9337" s="8">
        <f>QS.TRADE.CREATE("trade.9335",C9337,E9337,A9337,"Receive")</f>
        <v/>
      </c>
      <c r="G9337" s="5"/>
      <c r="H9337" s="7" t="s">
        <v>9378</v>
      </c>
      <c r="I9337" s="9">
        <v>1933500</v>
      </c>
      <c r="J9337" s="10">
        <v>0.03850000000000001</v>
      </c>
    </row>
    <row r="9338" spans="1:10">
      <c r="A9338" s="7" t="s">
        <v>9372</v>
      </c>
      <c r="B9338" s="7" t="s">
        <v>11205</v>
      </c>
      <c r="C9338" s="8">
        <f>QS.CONTEXT.CREATE("market.9336",A9338,"USD","SOFR")</f>
        <v/>
      </c>
      <c r="D9338" s="8">
        <f>QS.CONTEXT.ADD.CURVE(C9338,"SOFR",$K$2:$K$7,$L$2:$L$7,,,"Actual360","LogLinear",TRUE)</f>
        <v/>
      </c>
      <c r="E9338" s="8">
        <f>QS.INSTRUMENT.SWAP("swap.9336",C9338,H9338,B9338,"USD","SOFR",I9338,J9338,0,"Actual360","Simple","Annual","Annual","Annual")</f>
        <v/>
      </c>
      <c r="F9338" s="8">
        <f>QS.TRADE.CREATE("trade.9336",C9338,E9338,A9338,"Receive")</f>
        <v/>
      </c>
      <c r="G9338" s="5"/>
      <c r="H9338" s="7" t="s">
        <v>9379</v>
      </c>
      <c r="I9338" s="9">
        <v>1933600</v>
      </c>
      <c r="J9338" s="10">
        <v>0.0386</v>
      </c>
    </row>
    <row r="9339" spans="1:10">
      <c r="A9339" s="7" t="s">
        <v>9373</v>
      </c>
      <c r="B9339" s="7" t="s">
        <v>11206</v>
      </c>
      <c r="C9339" s="8">
        <f>QS.CONTEXT.CREATE("market.9337",A9339,"USD","SOFR")</f>
        <v/>
      </c>
      <c r="D9339" s="8">
        <f>QS.CONTEXT.ADD.CURVE(C9339,"SOFR",$K$2:$K$7,$L$2:$L$7,,,"Actual360","LogLinear",TRUE)</f>
        <v/>
      </c>
      <c r="E9339" s="8">
        <f>QS.INSTRUMENT.SWAP("swap.9337",C9339,H9339,B9339,"USD","SOFR",I9339,J9339,0,"Actual360","Simple","Annual","Annual","Annual")</f>
        <v/>
      </c>
      <c r="F9339" s="8">
        <f>QS.TRADE.CREATE("trade.9337",C9339,E9339,A9339,"Receive")</f>
        <v/>
      </c>
      <c r="G9339" s="5"/>
      <c r="H9339" s="7" t="s">
        <v>9380</v>
      </c>
      <c r="I9339" s="9">
        <v>1933700</v>
      </c>
      <c r="J9339" s="10">
        <v>0.03870000000000001</v>
      </c>
    </row>
    <row r="9340" spans="1:10">
      <c r="A9340" s="7" t="s">
        <v>9374</v>
      </c>
      <c r="B9340" s="7" t="s">
        <v>11207</v>
      </c>
      <c r="C9340" s="8">
        <f>QS.CONTEXT.CREATE("market.9338",A9340,"USD","SOFR")</f>
        <v/>
      </c>
      <c r="D9340" s="8">
        <f>QS.CONTEXT.ADD.CURVE(C9340,"SOFR",$K$2:$K$7,$L$2:$L$7,,,"Actual360","LogLinear",TRUE)</f>
        <v/>
      </c>
      <c r="E9340" s="8">
        <f>QS.INSTRUMENT.SWAP("swap.9338",C9340,H9340,B9340,"USD","SOFR",I9340,J9340,0,"Actual360","Simple","Annual","Annual","Annual")</f>
        <v/>
      </c>
      <c r="F9340" s="8">
        <f>QS.TRADE.CREATE("trade.9338",C9340,E9340,A9340,"Receive")</f>
        <v/>
      </c>
      <c r="G9340" s="5"/>
      <c r="H9340" s="7" t="s">
        <v>9381</v>
      </c>
      <c r="I9340" s="9">
        <v>1933800</v>
      </c>
      <c r="J9340" s="10">
        <v>0.0388</v>
      </c>
    </row>
    <row r="9341" spans="1:10">
      <c r="A9341" s="7" t="s">
        <v>9375</v>
      </c>
      <c r="B9341" s="7" t="s">
        <v>11208</v>
      </c>
      <c r="C9341" s="8">
        <f>QS.CONTEXT.CREATE("market.9339",A9341,"USD","SOFR")</f>
        <v/>
      </c>
      <c r="D9341" s="8">
        <f>QS.CONTEXT.ADD.CURVE(C9341,"SOFR",$K$2:$K$7,$L$2:$L$7,,,"Actual360","LogLinear",TRUE)</f>
        <v/>
      </c>
      <c r="E9341" s="8">
        <f>QS.INSTRUMENT.SWAP("swap.9339",C9341,H9341,B9341,"USD","SOFR",I9341,J9341,0,"Actual360","Simple","Annual","Annual","Annual")</f>
        <v/>
      </c>
      <c r="F9341" s="8">
        <f>QS.TRADE.CREATE("trade.9339",C9341,E9341,A9341,"Receive")</f>
        <v/>
      </c>
      <c r="G9341" s="5"/>
      <c r="H9341" s="7" t="s">
        <v>9382</v>
      </c>
      <c r="I9341" s="9">
        <v>1933900</v>
      </c>
      <c r="J9341" s="10">
        <v>0.0389</v>
      </c>
    </row>
    <row r="9342" spans="1:10">
      <c r="A9342" s="7" t="s">
        <v>9376</v>
      </c>
      <c r="B9342" s="7" t="s">
        <v>11209</v>
      </c>
      <c r="C9342" s="8">
        <f>QS.CONTEXT.CREATE("market.9340",A9342,"USD","SOFR")</f>
        <v/>
      </c>
      <c r="D9342" s="8">
        <f>QS.CONTEXT.ADD.CURVE(C9342,"SOFR",$K$2:$K$7,$L$2:$L$7,,,"Actual360","LogLinear",TRUE)</f>
        <v/>
      </c>
      <c r="E9342" s="8">
        <f>QS.INSTRUMENT.SWAP("swap.9340",C9342,H9342,B9342,"USD","SOFR",I9342,J9342,0,"Actual360","Simple","Annual","Annual","Annual")</f>
        <v/>
      </c>
      <c r="F9342" s="8">
        <f>QS.TRADE.CREATE("trade.9340",C9342,E9342,A9342,"Receive")</f>
        <v/>
      </c>
      <c r="G9342" s="5"/>
      <c r="H9342" s="7" t="s">
        <v>9383</v>
      </c>
      <c r="I9342" s="9">
        <v>1934000</v>
      </c>
      <c r="J9342" s="10">
        <v>0.03900000000000001</v>
      </c>
    </row>
    <row r="9343" spans="1:10">
      <c r="A9343" s="7" t="s">
        <v>9377</v>
      </c>
      <c r="B9343" s="7" t="s">
        <v>11210</v>
      </c>
      <c r="C9343" s="8">
        <f>QS.CONTEXT.CREATE("market.9341",A9343,"USD","SOFR")</f>
        <v/>
      </c>
      <c r="D9343" s="8">
        <f>QS.CONTEXT.ADD.CURVE(C9343,"SOFR",$K$2:$K$7,$L$2:$L$7,,,"Actual360","LogLinear",TRUE)</f>
        <v/>
      </c>
      <c r="E9343" s="8">
        <f>QS.INSTRUMENT.SWAP("swap.9341",C9343,H9343,B9343,"USD","SOFR",I9343,J9343,0,"Actual360","Simple","Annual","Annual","Annual")</f>
        <v/>
      </c>
      <c r="F9343" s="8">
        <f>QS.TRADE.CREATE("trade.9341",C9343,E9343,A9343,"Receive")</f>
        <v/>
      </c>
      <c r="G9343" s="5"/>
      <c r="H9343" s="7" t="s">
        <v>9384</v>
      </c>
      <c r="I9343" s="9">
        <v>1934100</v>
      </c>
      <c r="J9343" s="10">
        <v>0.0391</v>
      </c>
    </row>
    <row r="9344" spans="1:10">
      <c r="A9344" s="7" t="s">
        <v>9378</v>
      </c>
      <c r="B9344" s="7" t="s">
        <v>11211</v>
      </c>
      <c r="C9344" s="8">
        <f>QS.CONTEXT.CREATE("market.9342",A9344,"USD","SOFR")</f>
        <v/>
      </c>
      <c r="D9344" s="8">
        <f>QS.CONTEXT.ADD.CURVE(C9344,"SOFR",$K$2:$K$7,$L$2:$L$7,,,"Actual360","LogLinear",TRUE)</f>
        <v/>
      </c>
      <c r="E9344" s="8">
        <f>QS.INSTRUMENT.SWAP("swap.9342",C9344,H9344,B9344,"USD","SOFR",I9344,J9344,0,"Actual360","Simple","Annual","Annual","Annual")</f>
        <v/>
      </c>
      <c r="F9344" s="8">
        <f>QS.TRADE.CREATE("trade.9342",C9344,E9344,A9344,"Receive")</f>
        <v/>
      </c>
      <c r="G9344" s="5"/>
      <c r="H9344" s="7" t="s">
        <v>9385</v>
      </c>
      <c r="I9344" s="9">
        <v>1934200</v>
      </c>
      <c r="J9344" s="10">
        <v>0.03920000000000001</v>
      </c>
    </row>
    <row r="9345" spans="1:10">
      <c r="A9345" s="7" t="s">
        <v>9379</v>
      </c>
      <c r="B9345" s="7" t="s">
        <v>11212</v>
      </c>
      <c r="C9345" s="8">
        <f>QS.CONTEXT.CREATE("market.9343",A9345,"USD","SOFR")</f>
        <v/>
      </c>
      <c r="D9345" s="8">
        <f>QS.CONTEXT.ADD.CURVE(C9345,"SOFR",$K$2:$K$7,$L$2:$L$7,,,"Actual360","LogLinear",TRUE)</f>
        <v/>
      </c>
      <c r="E9345" s="8">
        <f>QS.INSTRUMENT.SWAP("swap.9343",C9345,H9345,B9345,"USD","SOFR",I9345,J9345,0,"Actual360","Simple","Annual","Annual","Annual")</f>
        <v/>
      </c>
      <c r="F9345" s="8">
        <f>QS.TRADE.CREATE("trade.9343",C9345,E9345,A9345,"Receive")</f>
        <v/>
      </c>
      <c r="G9345" s="5"/>
      <c r="H9345" s="7" t="s">
        <v>9386</v>
      </c>
      <c r="I9345" s="9">
        <v>1934300</v>
      </c>
      <c r="J9345" s="10">
        <v>0.0393</v>
      </c>
    </row>
    <row r="9346" spans="1:10">
      <c r="A9346" s="7" t="s">
        <v>9380</v>
      </c>
      <c r="B9346" s="7" t="s">
        <v>11213</v>
      </c>
      <c r="C9346" s="8">
        <f>QS.CONTEXT.CREATE("market.9344",A9346,"USD","SOFR")</f>
        <v/>
      </c>
      <c r="D9346" s="8">
        <f>QS.CONTEXT.ADD.CURVE(C9346,"SOFR",$K$2:$K$7,$L$2:$L$7,,,"Actual360","LogLinear",TRUE)</f>
        <v/>
      </c>
      <c r="E9346" s="8">
        <f>QS.INSTRUMENT.SWAP("swap.9344",C9346,H9346,B9346,"USD","SOFR",I9346,J9346,0,"Actual360","Simple","Annual","Annual","Annual")</f>
        <v/>
      </c>
      <c r="F9346" s="8">
        <f>QS.TRADE.CREATE("trade.9344",C9346,E9346,A9346,"Receive")</f>
        <v/>
      </c>
      <c r="G9346" s="5"/>
      <c r="H9346" s="7" t="s">
        <v>9387</v>
      </c>
      <c r="I9346" s="9">
        <v>1934400</v>
      </c>
      <c r="J9346" s="10">
        <v>0.0394</v>
      </c>
    </row>
    <row r="9347" spans="1:10">
      <c r="A9347" s="7" t="s">
        <v>9381</v>
      </c>
      <c r="B9347" s="7" t="s">
        <v>11214</v>
      </c>
      <c r="C9347" s="8">
        <f>QS.CONTEXT.CREATE("market.9345",A9347,"USD","SOFR")</f>
        <v/>
      </c>
      <c r="D9347" s="8">
        <f>QS.CONTEXT.ADD.CURVE(C9347,"SOFR",$K$2:$K$7,$L$2:$L$7,,,"Actual360","LogLinear",TRUE)</f>
        <v/>
      </c>
      <c r="E9347" s="8">
        <f>QS.INSTRUMENT.SWAP("swap.9345",C9347,H9347,B9347,"USD","SOFR",I9347,J9347,0,"Actual360","Simple","Annual","Annual","Annual")</f>
        <v/>
      </c>
      <c r="F9347" s="8">
        <f>QS.TRADE.CREATE("trade.9345",C9347,E9347,A9347,"Receive")</f>
        <v/>
      </c>
      <c r="G9347" s="5"/>
      <c r="H9347" s="7" t="s">
        <v>9388</v>
      </c>
      <c r="I9347" s="9">
        <v>1934500</v>
      </c>
      <c r="J9347" s="10">
        <v>0.03950000000000001</v>
      </c>
    </row>
    <row r="9348" spans="1:10">
      <c r="A9348" s="7" t="s">
        <v>9382</v>
      </c>
      <c r="B9348" s="7" t="s">
        <v>11215</v>
      </c>
      <c r="C9348" s="8">
        <f>QS.CONTEXT.CREATE("market.9346",A9348,"USD","SOFR")</f>
        <v/>
      </c>
      <c r="D9348" s="8">
        <f>QS.CONTEXT.ADD.CURVE(C9348,"SOFR",$K$2:$K$7,$L$2:$L$7,,,"Actual360","LogLinear",TRUE)</f>
        <v/>
      </c>
      <c r="E9348" s="8">
        <f>QS.INSTRUMENT.SWAP("swap.9346",C9348,H9348,B9348,"USD","SOFR",I9348,J9348,0,"Actual360","Simple","Annual","Annual","Annual")</f>
        <v/>
      </c>
      <c r="F9348" s="8">
        <f>QS.TRADE.CREATE("trade.9346",C9348,E9348,A9348,"Receive")</f>
        <v/>
      </c>
      <c r="G9348" s="5"/>
      <c r="H9348" s="7" t="s">
        <v>9389</v>
      </c>
      <c r="I9348" s="9">
        <v>1934600</v>
      </c>
      <c r="J9348" s="10">
        <v>0.0396</v>
      </c>
    </row>
    <row r="9349" spans="1:10">
      <c r="A9349" s="7" t="s">
        <v>9383</v>
      </c>
      <c r="B9349" s="7" t="s">
        <v>11216</v>
      </c>
      <c r="C9349" s="8">
        <f>QS.CONTEXT.CREATE("market.9347",A9349,"USD","SOFR")</f>
        <v/>
      </c>
      <c r="D9349" s="8">
        <f>QS.CONTEXT.ADD.CURVE(C9349,"SOFR",$K$2:$K$7,$L$2:$L$7,,,"Actual360","LogLinear",TRUE)</f>
        <v/>
      </c>
      <c r="E9349" s="8">
        <f>QS.INSTRUMENT.SWAP("swap.9347",C9349,H9349,B9349,"USD","SOFR",I9349,J9349,0,"Actual360","Simple","Annual","Annual","Annual")</f>
        <v/>
      </c>
      <c r="F9349" s="8">
        <f>QS.TRADE.CREATE("trade.9347",C9349,E9349,A9349,"Receive")</f>
        <v/>
      </c>
      <c r="G9349" s="5"/>
      <c r="H9349" s="7" t="s">
        <v>9390</v>
      </c>
      <c r="I9349" s="9">
        <v>1934700</v>
      </c>
      <c r="J9349" s="10">
        <v>0.03970000000000001</v>
      </c>
    </row>
    <row r="9350" spans="1:10">
      <c r="A9350" s="7" t="s">
        <v>9384</v>
      </c>
      <c r="B9350" s="7" t="s">
        <v>11217</v>
      </c>
      <c r="C9350" s="8">
        <f>QS.CONTEXT.CREATE("market.9348",A9350,"USD","SOFR")</f>
        <v/>
      </c>
      <c r="D9350" s="8">
        <f>QS.CONTEXT.ADD.CURVE(C9350,"SOFR",$K$2:$K$7,$L$2:$L$7,,,"Actual360","LogLinear",TRUE)</f>
        <v/>
      </c>
      <c r="E9350" s="8">
        <f>QS.INSTRUMENT.SWAP("swap.9348",C9350,H9350,B9350,"USD","SOFR",I9350,J9350,0,"Actual360","Simple","Annual","Annual","Annual")</f>
        <v/>
      </c>
      <c r="F9350" s="8">
        <f>QS.TRADE.CREATE("trade.9348",C9350,E9350,A9350,"Receive")</f>
        <v/>
      </c>
      <c r="G9350" s="5"/>
      <c r="H9350" s="7" t="s">
        <v>9391</v>
      </c>
      <c r="I9350" s="9">
        <v>1934800</v>
      </c>
      <c r="J9350" s="10">
        <v>0.0398</v>
      </c>
    </row>
    <row r="9351" spans="1:10">
      <c r="A9351" s="7" t="s">
        <v>9385</v>
      </c>
      <c r="B9351" s="7" t="s">
        <v>11218</v>
      </c>
      <c r="C9351" s="8">
        <f>QS.CONTEXT.CREATE("market.9349",A9351,"USD","SOFR")</f>
        <v/>
      </c>
      <c r="D9351" s="8">
        <f>QS.CONTEXT.ADD.CURVE(C9351,"SOFR",$K$2:$K$7,$L$2:$L$7,,,"Actual360","LogLinear",TRUE)</f>
        <v/>
      </c>
      <c r="E9351" s="8">
        <f>QS.INSTRUMENT.SWAP("swap.9349",C9351,H9351,B9351,"USD","SOFR",I9351,J9351,0,"Actual360","Simple","Annual","Annual","Annual")</f>
        <v/>
      </c>
      <c r="F9351" s="8">
        <f>QS.TRADE.CREATE("trade.9349",C9351,E9351,A9351,"Receive")</f>
        <v/>
      </c>
      <c r="G9351" s="5"/>
      <c r="H9351" s="7" t="s">
        <v>9392</v>
      </c>
      <c r="I9351" s="9">
        <v>1934900</v>
      </c>
      <c r="J9351" s="10">
        <v>0.0399</v>
      </c>
    </row>
    <row r="9352" spans="1:10">
      <c r="A9352" s="7" t="s">
        <v>9386</v>
      </c>
      <c r="B9352" s="7" t="s">
        <v>11219</v>
      </c>
      <c r="C9352" s="8">
        <f>QS.CONTEXT.CREATE("market.9350",A9352,"USD","SOFR")</f>
        <v/>
      </c>
      <c r="D9352" s="8">
        <f>QS.CONTEXT.ADD.CURVE(C9352,"SOFR",$K$2:$K$7,$L$2:$L$7,,,"Actual360","LogLinear",TRUE)</f>
        <v/>
      </c>
      <c r="E9352" s="8">
        <f>QS.INSTRUMENT.SWAP("swap.9350",C9352,H9352,B9352,"USD","SOFR",I9352,J9352,0,"Actual360","Simple","Annual","Annual","Annual")</f>
        <v/>
      </c>
      <c r="F9352" s="8">
        <f>QS.TRADE.CREATE("trade.9350",C9352,E9352,A9352,"Receive")</f>
        <v/>
      </c>
      <c r="G9352" s="5"/>
      <c r="H9352" s="7" t="s">
        <v>9393</v>
      </c>
      <c r="I9352" s="9">
        <v>1935000</v>
      </c>
      <c r="J9352" s="10">
        <v>0.035</v>
      </c>
    </row>
    <row r="9353" spans="1:10">
      <c r="A9353" s="7" t="s">
        <v>9387</v>
      </c>
      <c r="B9353" s="7" t="s">
        <v>11220</v>
      </c>
      <c r="C9353" s="8">
        <f>QS.CONTEXT.CREATE("market.9351",A9353,"USD","SOFR")</f>
        <v/>
      </c>
      <c r="D9353" s="8">
        <f>QS.CONTEXT.ADD.CURVE(C9353,"SOFR",$K$2:$K$7,$L$2:$L$7,,,"Actual360","LogLinear",TRUE)</f>
        <v/>
      </c>
      <c r="E9353" s="8">
        <f>QS.INSTRUMENT.SWAP("swap.9351",C9353,H9353,B9353,"USD","SOFR",I9353,J9353,0,"Actual360","Simple","Annual","Annual","Annual")</f>
        <v/>
      </c>
      <c r="F9353" s="8">
        <f>QS.TRADE.CREATE("trade.9351",C9353,E9353,A9353,"Receive")</f>
        <v/>
      </c>
      <c r="G9353" s="5"/>
      <c r="H9353" s="7" t="s">
        <v>9394</v>
      </c>
      <c r="I9353" s="9">
        <v>1935100</v>
      </c>
      <c r="J9353" s="10">
        <v>0.03510000000000001</v>
      </c>
    </row>
    <row r="9354" spans="1:10">
      <c r="A9354" s="7" t="s">
        <v>9388</v>
      </c>
      <c r="B9354" s="7" t="s">
        <v>11221</v>
      </c>
      <c r="C9354" s="8">
        <f>QS.CONTEXT.CREATE("market.9352",A9354,"USD","SOFR")</f>
        <v/>
      </c>
      <c r="D9354" s="8">
        <f>QS.CONTEXT.ADD.CURVE(C9354,"SOFR",$K$2:$K$7,$L$2:$L$7,,,"Actual360","LogLinear",TRUE)</f>
        <v/>
      </c>
      <c r="E9354" s="8">
        <f>QS.INSTRUMENT.SWAP("swap.9352",C9354,H9354,B9354,"USD","SOFR",I9354,J9354,0,"Actual360","Simple","Annual","Annual","Annual")</f>
        <v/>
      </c>
      <c r="F9354" s="8">
        <f>QS.TRADE.CREATE("trade.9352",C9354,E9354,A9354,"Receive")</f>
        <v/>
      </c>
      <c r="G9354" s="5"/>
      <c r="H9354" s="7" t="s">
        <v>9395</v>
      </c>
      <c r="I9354" s="9">
        <v>1935200</v>
      </c>
      <c r="J9354" s="10">
        <v>0.0352</v>
      </c>
    </row>
    <row r="9355" spans="1:10">
      <c r="A9355" s="7" t="s">
        <v>9389</v>
      </c>
      <c r="B9355" s="7" t="s">
        <v>11222</v>
      </c>
      <c r="C9355" s="8">
        <f>QS.CONTEXT.CREATE("market.9353",A9355,"USD","SOFR")</f>
        <v/>
      </c>
      <c r="D9355" s="8">
        <f>QS.CONTEXT.ADD.CURVE(C9355,"SOFR",$K$2:$K$7,$L$2:$L$7,,,"Actual360","LogLinear",TRUE)</f>
        <v/>
      </c>
      <c r="E9355" s="8">
        <f>QS.INSTRUMENT.SWAP("swap.9353",C9355,H9355,B9355,"USD","SOFR",I9355,J9355,0,"Actual360","Simple","Annual","Annual","Annual")</f>
        <v/>
      </c>
      <c r="F9355" s="8">
        <f>QS.TRADE.CREATE("trade.9353",C9355,E9355,A9355,"Receive")</f>
        <v/>
      </c>
      <c r="G9355" s="5"/>
      <c r="H9355" s="7" t="s">
        <v>9396</v>
      </c>
      <c r="I9355" s="9">
        <v>1935300</v>
      </c>
      <c r="J9355" s="10">
        <v>0.0353</v>
      </c>
    </row>
    <row r="9356" spans="1:10">
      <c r="A9356" s="7" t="s">
        <v>9390</v>
      </c>
      <c r="B9356" s="7" t="s">
        <v>11223</v>
      </c>
      <c r="C9356" s="8">
        <f>QS.CONTEXT.CREATE("market.9354",A9356,"USD","SOFR")</f>
        <v/>
      </c>
      <c r="D9356" s="8">
        <f>QS.CONTEXT.ADD.CURVE(C9356,"SOFR",$K$2:$K$7,$L$2:$L$7,,,"Actual360","LogLinear",TRUE)</f>
        <v/>
      </c>
      <c r="E9356" s="8">
        <f>QS.INSTRUMENT.SWAP("swap.9354",C9356,H9356,B9356,"USD","SOFR",I9356,J9356,0,"Actual360","Simple","Annual","Annual","Annual")</f>
        <v/>
      </c>
      <c r="F9356" s="8">
        <f>QS.TRADE.CREATE("trade.9354",C9356,E9356,A9356,"Receive")</f>
        <v/>
      </c>
      <c r="G9356" s="5"/>
      <c r="H9356" s="7" t="s">
        <v>9397</v>
      </c>
      <c r="I9356" s="9">
        <v>1935400</v>
      </c>
      <c r="J9356" s="10">
        <v>0.0354</v>
      </c>
    </row>
    <row r="9357" spans="1:10">
      <c r="A9357" s="7" t="s">
        <v>9391</v>
      </c>
      <c r="B9357" s="7" t="s">
        <v>11224</v>
      </c>
      <c r="C9357" s="8">
        <f>QS.CONTEXT.CREATE("market.9355",A9357,"USD","SOFR")</f>
        <v/>
      </c>
      <c r="D9357" s="8">
        <f>QS.CONTEXT.ADD.CURVE(C9357,"SOFR",$K$2:$K$7,$L$2:$L$7,,,"Actual360","LogLinear",TRUE)</f>
        <v/>
      </c>
      <c r="E9357" s="8">
        <f>QS.INSTRUMENT.SWAP("swap.9355",C9357,H9357,B9357,"USD","SOFR",I9357,J9357,0,"Actual360","Simple","Annual","Annual","Annual")</f>
        <v/>
      </c>
      <c r="F9357" s="8">
        <f>QS.TRADE.CREATE("trade.9355",C9357,E9357,A9357,"Receive")</f>
        <v/>
      </c>
      <c r="G9357" s="5"/>
      <c r="H9357" s="7" t="s">
        <v>9398</v>
      </c>
      <c r="I9357" s="9">
        <v>1935500</v>
      </c>
      <c r="J9357" s="10">
        <v>0.0355</v>
      </c>
    </row>
    <row r="9358" spans="1:10">
      <c r="A9358" s="7" t="s">
        <v>9392</v>
      </c>
      <c r="B9358" s="7" t="s">
        <v>11225</v>
      </c>
      <c r="C9358" s="8">
        <f>QS.CONTEXT.CREATE("market.9356",A9358,"USD","SOFR")</f>
        <v/>
      </c>
      <c r="D9358" s="8">
        <f>QS.CONTEXT.ADD.CURVE(C9358,"SOFR",$K$2:$K$7,$L$2:$L$7,,,"Actual360","LogLinear",TRUE)</f>
        <v/>
      </c>
      <c r="E9358" s="8">
        <f>QS.INSTRUMENT.SWAP("swap.9356",C9358,H9358,B9358,"USD","SOFR",I9358,J9358,0,"Actual360","Simple","Annual","Annual","Annual")</f>
        <v/>
      </c>
      <c r="F9358" s="8">
        <f>QS.TRADE.CREATE("trade.9356",C9358,E9358,A9358,"Receive")</f>
        <v/>
      </c>
      <c r="G9358" s="5"/>
      <c r="H9358" s="7" t="s">
        <v>9399</v>
      </c>
      <c r="I9358" s="9">
        <v>1935600</v>
      </c>
      <c r="J9358" s="10">
        <v>0.03560000000000001</v>
      </c>
    </row>
    <row r="9359" spans="1:10">
      <c r="A9359" s="7" t="s">
        <v>9393</v>
      </c>
      <c r="B9359" s="7" t="s">
        <v>11226</v>
      </c>
      <c r="C9359" s="8">
        <f>QS.CONTEXT.CREATE("market.9357",A9359,"USD","SOFR")</f>
        <v/>
      </c>
      <c r="D9359" s="8">
        <f>QS.CONTEXT.ADD.CURVE(C9359,"SOFR",$K$2:$K$7,$L$2:$L$7,,,"Actual360","LogLinear",TRUE)</f>
        <v/>
      </c>
      <c r="E9359" s="8">
        <f>QS.INSTRUMENT.SWAP("swap.9357",C9359,H9359,B9359,"USD","SOFR",I9359,J9359,0,"Actual360","Simple","Annual","Annual","Annual")</f>
        <v/>
      </c>
      <c r="F9359" s="8">
        <f>QS.TRADE.CREATE("trade.9357",C9359,E9359,A9359,"Receive")</f>
        <v/>
      </c>
      <c r="G9359" s="5"/>
      <c r="H9359" s="7" t="s">
        <v>9400</v>
      </c>
      <c r="I9359" s="9">
        <v>1935700</v>
      </c>
      <c r="J9359" s="10">
        <v>0.0357</v>
      </c>
    </row>
    <row r="9360" spans="1:10">
      <c r="A9360" s="7" t="s">
        <v>9394</v>
      </c>
      <c r="B9360" s="7" t="s">
        <v>11227</v>
      </c>
      <c r="C9360" s="8">
        <f>QS.CONTEXT.CREATE("market.9358",A9360,"USD","SOFR")</f>
        <v/>
      </c>
      <c r="D9360" s="8">
        <f>QS.CONTEXT.ADD.CURVE(C9360,"SOFR",$K$2:$K$7,$L$2:$L$7,,,"Actual360","LogLinear",TRUE)</f>
        <v/>
      </c>
      <c r="E9360" s="8">
        <f>QS.INSTRUMENT.SWAP("swap.9358",C9360,H9360,B9360,"USD","SOFR",I9360,J9360,0,"Actual360","Simple","Annual","Annual","Annual")</f>
        <v/>
      </c>
      <c r="F9360" s="8">
        <f>QS.TRADE.CREATE("trade.9358",C9360,E9360,A9360,"Receive")</f>
        <v/>
      </c>
      <c r="G9360" s="5"/>
      <c r="H9360" s="7" t="s">
        <v>9401</v>
      </c>
      <c r="I9360" s="9">
        <v>1935800</v>
      </c>
      <c r="J9360" s="10">
        <v>0.03580000000000001</v>
      </c>
    </row>
    <row r="9361" spans="1:10">
      <c r="A9361" s="7" t="s">
        <v>9395</v>
      </c>
      <c r="B9361" s="7" t="s">
        <v>11228</v>
      </c>
      <c r="C9361" s="8">
        <f>QS.CONTEXT.CREATE("market.9359",A9361,"USD","SOFR")</f>
        <v/>
      </c>
      <c r="D9361" s="8">
        <f>QS.CONTEXT.ADD.CURVE(C9361,"SOFR",$K$2:$K$7,$L$2:$L$7,,,"Actual360","LogLinear",TRUE)</f>
        <v/>
      </c>
      <c r="E9361" s="8">
        <f>QS.INSTRUMENT.SWAP("swap.9359",C9361,H9361,B9361,"USD","SOFR",I9361,J9361,0,"Actual360","Simple","Annual","Annual","Annual")</f>
        <v/>
      </c>
      <c r="F9361" s="8">
        <f>QS.TRADE.CREATE("trade.9359",C9361,E9361,A9361,"Receive")</f>
        <v/>
      </c>
      <c r="G9361" s="5"/>
      <c r="H9361" s="7" t="s">
        <v>9402</v>
      </c>
      <c r="I9361" s="9">
        <v>1935900</v>
      </c>
      <c r="J9361" s="10">
        <v>0.0359</v>
      </c>
    </row>
    <row r="9362" spans="1:10">
      <c r="A9362" s="7" t="s">
        <v>9396</v>
      </c>
      <c r="B9362" s="7" t="s">
        <v>11229</v>
      </c>
      <c r="C9362" s="8">
        <f>QS.CONTEXT.CREATE("market.9360",A9362,"USD","SOFR")</f>
        <v/>
      </c>
      <c r="D9362" s="8">
        <f>QS.CONTEXT.ADD.CURVE(C9362,"SOFR",$K$2:$K$7,$L$2:$L$7,,,"Actual360","LogLinear",TRUE)</f>
        <v/>
      </c>
      <c r="E9362" s="8">
        <f>QS.INSTRUMENT.SWAP("swap.9360",C9362,H9362,B9362,"USD","SOFR",I9362,J9362,0,"Actual360","Simple","Annual","Annual","Annual")</f>
        <v/>
      </c>
      <c r="F9362" s="8">
        <f>QS.TRADE.CREATE("trade.9360",C9362,E9362,A9362,"Receive")</f>
        <v/>
      </c>
      <c r="G9362" s="5"/>
      <c r="H9362" s="7" t="s">
        <v>9403</v>
      </c>
      <c r="I9362" s="9">
        <v>1936000</v>
      </c>
      <c r="J9362" s="10">
        <v>0.036</v>
      </c>
    </row>
    <row r="9363" spans="1:10">
      <c r="A9363" s="7" t="s">
        <v>9397</v>
      </c>
      <c r="B9363" s="7" t="s">
        <v>11230</v>
      </c>
      <c r="C9363" s="8">
        <f>QS.CONTEXT.CREATE("market.9361",A9363,"USD","SOFR")</f>
        <v/>
      </c>
      <c r="D9363" s="8">
        <f>QS.CONTEXT.ADD.CURVE(C9363,"SOFR",$K$2:$K$7,$L$2:$L$7,,,"Actual360","LogLinear",TRUE)</f>
        <v/>
      </c>
      <c r="E9363" s="8">
        <f>QS.INSTRUMENT.SWAP("swap.9361",C9363,H9363,B9363,"USD","SOFR",I9363,J9363,0,"Actual360","Simple","Annual","Annual","Annual")</f>
        <v/>
      </c>
      <c r="F9363" s="8">
        <f>QS.TRADE.CREATE("trade.9361",C9363,E9363,A9363,"Receive")</f>
        <v/>
      </c>
      <c r="G9363" s="5"/>
      <c r="H9363" s="7" t="s">
        <v>9404</v>
      </c>
      <c r="I9363" s="9">
        <v>1936100</v>
      </c>
      <c r="J9363" s="10">
        <v>0.0361</v>
      </c>
    </row>
    <row r="9364" spans="1:10">
      <c r="A9364" s="7" t="s">
        <v>9398</v>
      </c>
      <c r="B9364" s="7" t="s">
        <v>11231</v>
      </c>
      <c r="C9364" s="8">
        <f>QS.CONTEXT.CREATE("market.9362",A9364,"USD","SOFR")</f>
        <v/>
      </c>
      <c r="D9364" s="8">
        <f>QS.CONTEXT.ADD.CURVE(C9364,"SOFR",$K$2:$K$7,$L$2:$L$7,,,"Actual360","LogLinear",TRUE)</f>
        <v/>
      </c>
      <c r="E9364" s="8">
        <f>QS.INSTRUMENT.SWAP("swap.9362",C9364,H9364,B9364,"USD","SOFR",I9364,J9364,0,"Actual360","Simple","Annual","Annual","Annual")</f>
        <v/>
      </c>
      <c r="F9364" s="8">
        <f>QS.TRADE.CREATE("trade.9362",C9364,E9364,A9364,"Receive")</f>
        <v/>
      </c>
      <c r="G9364" s="5"/>
      <c r="H9364" s="7" t="s">
        <v>9405</v>
      </c>
      <c r="I9364" s="9">
        <v>1936200</v>
      </c>
      <c r="J9364" s="10">
        <v>0.0362</v>
      </c>
    </row>
    <row r="9365" spans="1:10">
      <c r="A9365" s="7" t="s">
        <v>9399</v>
      </c>
      <c r="B9365" s="7" t="s">
        <v>11232</v>
      </c>
      <c r="C9365" s="8">
        <f>QS.CONTEXT.CREATE("market.9363",A9365,"USD","SOFR")</f>
        <v/>
      </c>
      <c r="D9365" s="8">
        <f>QS.CONTEXT.ADD.CURVE(C9365,"SOFR",$K$2:$K$7,$L$2:$L$7,,,"Actual360","LogLinear",TRUE)</f>
        <v/>
      </c>
      <c r="E9365" s="8">
        <f>QS.INSTRUMENT.SWAP("swap.9363",C9365,H9365,B9365,"USD","SOFR",I9365,J9365,0,"Actual360","Simple","Annual","Annual","Annual")</f>
        <v/>
      </c>
      <c r="F9365" s="8">
        <f>QS.TRADE.CREATE("trade.9363",C9365,E9365,A9365,"Receive")</f>
        <v/>
      </c>
      <c r="G9365" s="5"/>
      <c r="H9365" s="7" t="s">
        <v>9406</v>
      </c>
      <c r="I9365" s="9">
        <v>1936300</v>
      </c>
      <c r="J9365" s="10">
        <v>0.03630000000000001</v>
      </c>
    </row>
    <row r="9366" spans="1:10">
      <c r="A9366" s="7" t="s">
        <v>9400</v>
      </c>
      <c r="B9366" s="7" t="s">
        <v>11233</v>
      </c>
      <c r="C9366" s="8">
        <f>QS.CONTEXT.CREATE("market.9364",A9366,"USD","SOFR")</f>
        <v/>
      </c>
      <c r="D9366" s="8">
        <f>QS.CONTEXT.ADD.CURVE(C9366,"SOFR",$K$2:$K$7,$L$2:$L$7,,,"Actual360","LogLinear",TRUE)</f>
        <v/>
      </c>
      <c r="E9366" s="8">
        <f>QS.INSTRUMENT.SWAP("swap.9364",C9366,H9366,B9366,"USD","SOFR",I9366,J9366,0,"Actual360","Simple","Annual","Annual","Annual")</f>
        <v/>
      </c>
      <c r="F9366" s="8">
        <f>QS.TRADE.CREATE("trade.9364",C9366,E9366,A9366,"Receive")</f>
        <v/>
      </c>
      <c r="G9366" s="5"/>
      <c r="H9366" s="7" t="s">
        <v>9407</v>
      </c>
      <c r="I9366" s="9">
        <v>1936400</v>
      </c>
      <c r="J9366" s="10">
        <v>0.0364</v>
      </c>
    </row>
    <row r="9367" spans="1:10">
      <c r="A9367" s="7" t="s">
        <v>9401</v>
      </c>
      <c r="B9367" s="7" t="s">
        <v>11234</v>
      </c>
      <c r="C9367" s="8">
        <f>QS.CONTEXT.CREATE("market.9365",A9367,"USD","SOFR")</f>
        <v/>
      </c>
      <c r="D9367" s="8">
        <f>QS.CONTEXT.ADD.CURVE(C9367,"SOFR",$K$2:$K$7,$L$2:$L$7,,,"Actual360","LogLinear",TRUE)</f>
        <v/>
      </c>
      <c r="E9367" s="8">
        <f>QS.INSTRUMENT.SWAP("swap.9365",C9367,H9367,B9367,"USD","SOFR",I9367,J9367,0,"Actual360","Simple","Annual","Annual","Annual")</f>
        <v/>
      </c>
      <c r="F9367" s="8">
        <f>QS.TRADE.CREATE("trade.9365",C9367,E9367,A9367,"Receive")</f>
        <v/>
      </c>
      <c r="G9367" s="5"/>
      <c r="H9367" s="7" t="s">
        <v>9408</v>
      </c>
      <c r="I9367" s="9">
        <v>1936500</v>
      </c>
      <c r="J9367" s="10">
        <v>0.0365</v>
      </c>
    </row>
    <row r="9368" spans="1:10">
      <c r="A9368" s="7" t="s">
        <v>9402</v>
      </c>
      <c r="B9368" s="7" t="s">
        <v>11235</v>
      </c>
      <c r="C9368" s="8">
        <f>QS.CONTEXT.CREATE("market.9366",A9368,"USD","SOFR")</f>
        <v/>
      </c>
      <c r="D9368" s="8">
        <f>QS.CONTEXT.ADD.CURVE(C9368,"SOFR",$K$2:$K$7,$L$2:$L$7,,,"Actual360","LogLinear",TRUE)</f>
        <v/>
      </c>
      <c r="E9368" s="8">
        <f>QS.INSTRUMENT.SWAP("swap.9366",C9368,H9368,B9368,"USD","SOFR",I9368,J9368,0,"Actual360","Simple","Annual","Annual","Annual")</f>
        <v/>
      </c>
      <c r="F9368" s="8">
        <f>QS.TRADE.CREATE("trade.9366",C9368,E9368,A9368,"Receive")</f>
        <v/>
      </c>
      <c r="G9368" s="5"/>
      <c r="H9368" s="7" t="s">
        <v>9409</v>
      </c>
      <c r="I9368" s="9">
        <v>1936600</v>
      </c>
      <c r="J9368" s="10">
        <v>0.0366</v>
      </c>
    </row>
    <row r="9369" spans="1:10">
      <c r="A9369" s="7" t="s">
        <v>9403</v>
      </c>
      <c r="B9369" s="7" t="s">
        <v>11236</v>
      </c>
      <c r="C9369" s="8">
        <f>QS.CONTEXT.CREATE("market.9367",A9369,"USD","SOFR")</f>
        <v/>
      </c>
      <c r="D9369" s="8">
        <f>QS.CONTEXT.ADD.CURVE(C9369,"SOFR",$K$2:$K$7,$L$2:$L$7,,,"Actual360","LogLinear",TRUE)</f>
        <v/>
      </c>
      <c r="E9369" s="8">
        <f>QS.INSTRUMENT.SWAP("swap.9367",C9369,H9369,B9369,"USD","SOFR",I9369,J9369,0,"Actual360","Simple","Annual","Annual","Annual")</f>
        <v/>
      </c>
      <c r="F9369" s="8">
        <f>QS.TRADE.CREATE("trade.9367",C9369,E9369,A9369,"Receive")</f>
        <v/>
      </c>
      <c r="G9369" s="5"/>
      <c r="H9369" s="7" t="s">
        <v>9410</v>
      </c>
      <c r="I9369" s="9">
        <v>1936700</v>
      </c>
      <c r="J9369" s="10">
        <v>0.0367</v>
      </c>
    </row>
    <row r="9370" spans="1:10">
      <c r="A9370" s="7" t="s">
        <v>9404</v>
      </c>
      <c r="B9370" s="7" t="s">
        <v>11237</v>
      </c>
      <c r="C9370" s="8">
        <f>QS.CONTEXT.CREATE("market.9368",A9370,"USD","SOFR")</f>
        <v/>
      </c>
      <c r="D9370" s="8">
        <f>QS.CONTEXT.ADD.CURVE(C9370,"SOFR",$K$2:$K$7,$L$2:$L$7,,,"Actual360","LogLinear",TRUE)</f>
        <v/>
      </c>
      <c r="E9370" s="8">
        <f>QS.INSTRUMENT.SWAP("swap.9368",C9370,H9370,B9370,"USD","SOFR",I9370,J9370,0,"Actual360","Simple","Annual","Annual","Annual")</f>
        <v/>
      </c>
      <c r="F9370" s="8">
        <f>QS.TRADE.CREATE("trade.9368",C9370,E9370,A9370,"Receive")</f>
        <v/>
      </c>
      <c r="G9370" s="5"/>
      <c r="H9370" s="7" t="s">
        <v>9411</v>
      </c>
      <c r="I9370" s="9">
        <v>1936800</v>
      </c>
      <c r="J9370" s="10">
        <v>0.03680000000000001</v>
      </c>
    </row>
    <row r="9371" spans="1:10">
      <c r="A9371" s="7" t="s">
        <v>9405</v>
      </c>
      <c r="B9371" s="7" t="s">
        <v>11238</v>
      </c>
      <c r="C9371" s="8">
        <f>QS.CONTEXT.CREATE("market.9369",A9371,"USD","SOFR")</f>
        <v/>
      </c>
      <c r="D9371" s="8">
        <f>QS.CONTEXT.ADD.CURVE(C9371,"SOFR",$K$2:$K$7,$L$2:$L$7,,,"Actual360","LogLinear",TRUE)</f>
        <v/>
      </c>
      <c r="E9371" s="8">
        <f>QS.INSTRUMENT.SWAP("swap.9369",C9371,H9371,B9371,"USD","SOFR",I9371,J9371,0,"Actual360","Simple","Annual","Annual","Annual")</f>
        <v/>
      </c>
      <c r="F9371" s="8">
        <f>QS.TRADE.CREATE("trade.9369",C9371,E9371,A9371,"Receive")</f>
        <v/>
      </c>
      <c r="G9371" s="5"/>
      <c r="H9371" s="7" t="s">
        <v>9412</v>
      </c>
      <c r="I9371" s="9">
        <v>1936900</v>
      </c>
      <c r="J9371" s="10">
        <v>0.0369</v>
      </c>
    </row>
    <row r="9372" spans="1:10">
      <c r="A9372" s="7" t="s">
        <v>9406</v>
      </c>
      <c r="B9372" s="7" t="s">
        <v>11239</v>
      </c>
      <c r="C9372" s="8">
        <f>QS.CONTEXT.CREATE("market.9370",A9372,"USD","SOFR")</f>
        <v/>
      </c>
      <c r="D9372" s="8">
        <f>QS.CONTEXT.ADD.CURVE(C9372,"SOFR",$K$2:$K$7,$L$2:$L$7,,,"Actual360","LogLinear",TRUE)</f>
        <v/>
      </c>
      <c r="E9372" s="8">
        <f>QS.INSTRUMENT.SWAP("swap.9370",C9372,H9372,B9372,"USD","SOFR",I9372,J9372,0,"Actual360","Simple","Annual","Annual","Annual")</f>
        <v/>
      </c>
      <c r="F9372" s="8">
        <f>QS.TRADE.CREATE("trade.9370",C9372,E9372,A9372,"Receive")</f>
        <v/>
      </c>
      <c r="G9372" s="5"/>
      <c r="H9372" s="7" t="s">
        <v>9413</v>
      </c>
      <c r="I9372" s="9">
        <v>1937000</v>
      </c>
      <c r="J9372" s="10">
        <v>0.03700000000000001</v>
      </c>
    </row>
    <row r="9373" spans="1:10">
      <c r="A9373" s="7" t="s">
        <v>9407</v>
      </c>
      <c r="B9373" s="7" t="s">
        <v>11240</v>
      </c>
      <c r="C9373" s="8">
        <f>QS.CONTEXT.CREATE("market.9371",A9373,"USD","SOFR")</f>
        <v/>
      </c>
      <c r="D9373" s="8">
        <f>QS.CONTEXT.ADD.CURVE(C9373,"SOFR",$K$2:$K$7,$L$2:$L$7,,,"Actual360","LogLinear",TRUE)</f>
        <v/>
      </c>
      <c r="E9373" s="8">
        <f>QS.INSTRUMENT.SWAP("swap.9371",C9373,H9373,B9373,"USD","SOFR",I9373,J9373,0,"Actual360","Simple","Annual","Annual","Annual")</f>
        <v/>
      </c>
      <c r="F9373" s="8">
        <f>QS.TRADE.CREATE("trade.9371",C9373,E9373,A9373,"Receive")</f>
        <v/>
      </c>
      <c r="G9373" s="5"/>
      <c r="H9373" s="7" t="s">
        <v>9414</v>
      </c>
      <c r="I9373" s="9">
        <v>1937100</v>
      </c>
      <c r="J9373" s="10">
        <v>0.0371</v>
      </c>
    </row>
    <row r="9374" spans="1:10">
      <c r="A9374" s="7" t="s">
        <v>9408</v>
      </c>
      <c r="B9374" s="7" t="s">
        <v>11241</v>
      </c>
      <c r="C9374" s="8">
        <f>QS.CONTEXT.CREATE("market.9372",A9374,"USD","SOFR")</f>
        <v/>
      </c>
      <c r="D9374" s="8">
        <f>QS.CONTEXT.ADD.CURVE(C9374,"SOFR",$K$2:$K$7,$L$2:$L$7,,,"Actual360","LogLinear",TRUE)</f>
        <v/>
      </c>
      <c r="E9374" s="8">
        <f>QS.INSTRUMENT.SWAP("swap.9372",C9374,H9374,B9374,"USD","SOFR",I9374,J9374,0,"Actual360","Simple","Annual","Annual","Annual")</f>
        <v/>
      </c>
      <c r="F9374" s="8">
        <f>QS.TRADE.CREATE("trade.9372",C9374,E9374,A9374,"Receive")</f>
        <v/>
      </c>
      <c r="G9374" s="5"/>
      <c r="H9374" s="7" t="s">
        <v>9415</v>
      </c>
      <c r="I9374" s="9">
        <v>1937200</v>
      </c>
      <c r="J9374" s="10">
        <v>0.0372</v>
      </c>
    </row>
    <row r="9375" spans="1:10">
      <c r="A9375" s="7" t="s">
        <v>9409</v>
      </c>
      <c r="B9375" s="7" t="s">
        <v>11242</v>
      </c>
      <c r="C9375" s="8">
        <f>QS.CONTEXT.CREATE("market.9373",A9375,"USD","SOFR")</f>
        <v/>
      </c>
      <c r="D9375" s="8">
        <f>QS.CONTEXT.ADD.CURVE(C9375,"SOFR",$K$2:$K$7,$L$2:$L$7,,,"Actual360","LogLinear",TRUE)</f>
        <v/>
      </c>
      <c r="E9375" s="8">
        <f>QS.INSTRUMENT.SWAP("swap.9373",C9375,H9375,B9375,"USD","SOFR",I9375,J9375,0,"Actual360","Simple","Annual","Annual","Annual")</f>
        <v/>
      </c>
      <c r="F9375" s="8">
        <f>QS.TRADE.CREATE("trade.9373",C9375,E9375,A9375,"Receive")</f>
        <v/>
      </c>
      <c r="G9375" s="5"/>
      <c r="H9375" s="7" t="s">
        <v>9416</v>
      </c>
      <c r="I9375" s="9">
        <v>1937300</v>
      </c>
      <c r="J9375" s="10">
        <v>0.0373</v>
      </c>
    </row>
    <row r="9376" spans="1:10">
      <c r="A9376" s="7" t="s">
        <v>9410</v>
      </c>
      <c r="B9376" s="7" t="s">
        <v>11243</v>
      </c>
      <c r="C9376" s="8">
        <f>QS.CONTEXT.CREATE("market.9374",A9376,"USD","SOFR")</f>
        <v/>
      </c>
      <c r="D9376" s="8">
        <f>QS.CONTEXT.ADD.CURVE(C9376,"SOFR",$K$2:$K$7,$L$2:$L$7,,,"Actual360","LogLinear",TRUE)</f>
        <v/>
      </c>
      <c r="E9376" s="8">
        <f>QS.INSTRUMENT.SWAP("swap.9374",C9376,H9376,B9376,"USD","SOFR",I9376,J9376,0,"Actual360","Simple","Annual","Annual","Annual")</f>
        <v/>
      </c>
      <c r="F9376" s="8">
        <f>QS.TRADE.CREATE("trade.9374",C9376,E9376,A9376,"Receive")</f>
        <v/>
      </c>
      <c r="G9376" s="5"/>
      <c r="H9376" s="7" t="s">
        <v>9417</v>
      </c>
      <c r="I9376" s="9">
        <v>1937400</v>
      </c>
      <c r="J9376" s="10">
        <v>0.0374</v>
      </c>
    </row>
    <row r="9377" spans="1:10">
      <c r="A9377" s="7" t="s">
        <v>9411</v>
      </c>
      <c r="B9377" s="7" t="s">
        <v>11244</v>
      </c>
      <c r="C9377" s="8">
        <f>QS.CONTEXT.CREATE("market.9375",A9377,"USD","SOFR")</f>
        <v/>
      </c>
      <c r="D9377" s="8">
        <f>QS.CONTEXT.ADD.CURVE(C9377,"SOFR",$K$2:$K$7,$L$2:$L$7,,,"Actual360","LogLinear",TRUE)</f>
        <v/>
      </c>
      <c r="E9377" s="8">
        <f>QS.INSTRUMENT.SWAP("swap.9375",C9377,H9377,B9377,"USD","SOFR",I9377,J9377,0,"Actual360","Simple","Annual","Annual","Annual")</f>
        <v/>
      </c>
      <c r="F9377" s="8">
        <f>QS.TRADE.CREATE("trade.9375",C9377,E9377,A9377,"Receive")</f>
        <v/>
      </c>
      <c r="G9377" s="5"/>
      <c r="H9377" s="7" t="s">
        <v>9418</v>
      </c>
      <c r="I9377" s="9">
        <v>1937500</v>
      </c>
      <c r="J9377" s="10">
        <v>0.03750000000000001</v>
      </c>
    </row>
    <row r="9378" spans="1:10">
      <c r="A9378" s="7" t="s">
        <v>9412</v>
      </c>
      <c r="B9378" s="7" t="s">
        <v>11245</v>
      </c>
      <c r="C9378" s="8">
        <f>QS.CONTEXT.CREATE("market.9376",A9378,"USD","SOFR")</f>
        <v/>
      </c>
      <c r="D9378" s="8">
        <f>QS.CONTEXT.ADD.CURVE(C9378,"SOFR",$K$2:$K$7,$L$2:$L$7,,,"Actual360","LogLinear",TRUE)</f>
        <v/>
      </c>
      <c r="E9378" s="8">
        <f>QS.INSTRUMENT.SWAP("swap.9376",C9378,H9378,B9378,"USD","SOFR",I9378,J9378,0,"Actual360","Simple","Annual","Annual","Annual")</f>
        <v/>
      </c>
      <c r="F9378" s="8">
        <f>QS.TRADE.CREATE("trade.9376",C9378,E9378,A9378,"Receive")</f>
        <v/>
      </c>
      <c r="G9378" s="5"/>
      <c r="H9378" s="7" t="s">
        <v>9419</v>
      </c>
      <c r="I9378" s="9">
        <v>1937600</v>
      </c>
      <c r="J9378" s="10">
        <v>0.0376</v>
      </c>
    </row>
    <row r="9379" spans="1:10">
      <c r="A9379" s="7" t="s">
        <v>9413</v>
      </c>
      <c r="B9379" s="7" t="s">
        <v>11246</v>
      </c>
      <c r="C9379" s="8">
        <f>QS.CONTEXT.CREATE("market.9377",A9379,"USD","SOFR")</f>
        <v/>
      </c>
      <c r="D9379" s="8">
        <f>QS.CONTEXT.ADD.CURVE(C9379,"SOFR",$K$2:$K$7,$L$2:$L$7,,,"Actual360","LogLinear",TRUE)</f>
        <v/>
      </c>
      <c r="E9379" s="8">
        <f>QS.INSTRUMENT.SWAP("swap.9377",C9379,H9379,B9379,"USD","SOFR",I9379,J9379,0,"Actual360","Simple","Annual","Annual","Annual")</f>
        <v/>
      </c>
      <c r="F9379" s="8">
        <f>QS.TRADE.CREATE("trade.9377",C9379,E9379,A9379,"Receive")</f>
        <v/>
      </c>
      <c r="G9379" s="5"/>
      <c r="H9379" s="7" t="s">
        <v>9420</v>
      </c>
      <c r="I9379" s="9">
        <v>1937700</v>
      </c>
      <c r="J9379" s="10">
        <v>0.0377</v>
      </c>
    </row>
    <row r="9380" spans="1:10">
      <c r="A9380" s="7" t="s">
        <v>9414</v>
      </c>
      <c r="B9380" s="7" t="s">
        <v>11247</v>
      </c>
      <c r="C9380" s="8">
        <f>QS.CONTEXT.CREATE("market.9378",A9380,"USD","SOFR")</f>
        <v/>
      </c>
      <c r="D9380" s="8">
        <f>QS.CONTEXT.ADD.CURVE(C9380,"SOFR",$K$2:$K$7,$L$2:$L$7,,,"Actual360","LogLinear",TRUE)</f>
        <v/>
      </c>
      <c r="E9380" s="8">
        <f>QS.INSTRUMENT.SWAP("swap.9378",C9380,H9380,B9380,"USD","SOFR",I9380,J9380,0,"Actual360","Simple","Annual","Annual","Annual")</f>
        <v/>
      </c>
      <c r="F9380" s="8">
        <f>QS.TRADE.CREATE("trade.9378",C9380,E9380,A9380,"Receive")</f>
        <v/>
      </c>
      <c r="G9380" s="5"/>
      <c r="H9380" s="7" t="s">
        <v>9421</v>
      </c>
      <c r="I9380" s="9">
        <v>1937800</v>
      </c>
      <c r="J9380" s="10">
        <v>0.0378</v>
      </c>
    </row>
    <row r="9381" spans="1:10">
      <c r="A9381" s="7" t="s">
        <v>9415</v>
      </c>
      <c r="B9381" s="7" t="s">
        <v>11248</v>
      </c>
      <c r="C9381" s="8">
        <f>QS.CONTEXT.CREATE("market.9379",A9381,"USD","SOFR")</f>
        <v/>
      </c>
      <c r="D9381" s="8">
        <f>QS.CONTEXT.ADD.CURVE(C9381,"SOFR",$K$2:$K$7,$L$2:$L$7,,,"Actual360","LogLinear",TRUE)</f>
        <v/>
      </c>
      <c r="E9381" s="8">
        <f>QS.INSTRUMENT.SWAP("swap.9379",C9381,H9381,B9381,"USD","SOFR",I9381,J9381,0,"Actual360","Simple","Annual","Annual","Annual")</f>
        <v/>
      </c>
      <c r="F9381" s="8">
        <f>QS.TRADE.CREATE("trade.9379",C9381,E9381,A9381,"Receive")</f>
        <v/>
      </c>
      <c r="G9381" s="5"/>
      <c r="H9381" s="7" t="s">
        <v>9422</v>
      </c>
      <c r="I9381" s="9">
        <v>1937900</v>
      </c>
      <c r="J9381" s="10">
        <v>0.0379</v>
      </c>
    </row>
    <row r="9382" spans="1:10">
      <c r="A9382" s="7" t="s">
        <v>9416</v>
      </c>
      <c r="B9382" s="7" t="s">
        <v>11249</v>
      </c>
      <c r="C9382" s="8">
        <f>QS.CONTEXT.CREATE("market.9380",A9382,"USD","SOFR")</f>
        <v/>
      </c>
      <c r="D9382" s="8">
        <f>QS.CONTEXT.ADD.CURVE(C9382,"SOFR",$K$2:$K$7,$L$2:$L$7,,,"Actual360","LogLinear",TRUE)</f>
        <v/>
      </c>
      <c r="E9382" s="8">
        <f>QS.INSTRUMENT.SWAP("swap.9380",C9382,H9382,B9382,"USD","SOFR",I9382,J9382,0,"Actual360","Simple","Annual","Annual","Annual")</f>
        <v/>
      </c>
      <c r="F9382" s="8">
        <f>QS.TRADE.CREATE("trade.9380",C9382,E9382,A9382,"Receive")</f>
        <v/>
      </c>
      <c r="G9382" s="5"/>
      <c r="H9382" s="7" t="s">
        <v>9423</v>
      </c>
      <c r="I9382" s="9">
        <v>1938000</v>
      </c>
      <c r="J9382" s="10">
        <v>0.03800000000000001</v>
      </c>
    </row>
    <row r="9383" spans="1:10">
      <c r="A9383" s="7" t="s">
        <v>9417</v>
      </c>
      <c r="B9383" s="7" t="s">
        <v>11250</v>
      </c>
      <c r="C9383" s="8">
        <f>QS.CONTEXT.CREATE("market.9381",A9383,"USD","SOFR")</f>
        <v/>
      </c>
      <c r="D9383" s="8">
        <f>QS.CONTEXT.ADD.CURVE(C9383,"SOFR",$K$2:$K$7,$L$2:$L$7,,,"Actual360","LogLinear",TRUE)</f>
        <v/>
      </c>
      <c r="E9383" s="8">
        <f>QS.INSTRUMENT.SWAP("swap.9381",C9383,H9383,B9383,"USD","SOFR",I9383,J9383,0,"Actual360","Simple","Annual","Annual","Annual")</f>
        <v/>
      </c>
      <c r="F9383" s="8">
        <f>QS.TRADE.CREATE("trade.9381",C9383,E9383,A9383,"Receive")</f>
        <v/>
      </c>
      <c r="G9383" s="5"/>
      <c r="H9383" s="7" t="s">
        <v>9424</v>
      </c>
      <c r="I9383" s="9">
        <v>1938100</v>
      </c>
      <c r="J9383" s="10">
        <v>0.0381</v>
      </c>
    </row>
    <row r="9384" spans="1:10">
      <c r="A9384" s="7" t="s">
        <v>9418</v>
      </c>
      <c r="B9384" s="7" t="s">
        <v>11251</v>
      </c>
      <c r="C9384" s="8">
        <f>QS.CONTEXT.CREATE("market.9382",A9384,"USD","SOFR")</f>
        <v/>
      </c>
      <c r="D9384" s="8">
        <f>QS.CONTEXT.ADD.CURVE(C9384,"SOFR",$K$2:$K$7,$L$2:$L$7,,,"Actual360","LogLinear",TRUE)</f>
        <v/>
      </c>
      <c r="E9384" s="8">
        <f>QS.INSTRUMENT.SWAP("swap.9382",C9384,H9384,B9384,"USD","SOFR",I9384,J9384,0,"Actual360","Simple","Annual","Annual","Annual")</f>
        <v/>
      </c>
      <c r="F9384" s="8">
        <f>QS.TRADE.CREATE("trade.9382",C9384,E9384,A9384,"Receive")</f>
        <v/>
      </c>
      <c r="G9384" s="5"/>
      <c r="H9384" s="7" t="s">
        <v>9425</v>
      </c>
      <c r="I9384" s="9">
        <v>1938200</v>
      </c>
      <c r="J9384" s="10">
        <v>0.0382</v>
      </c>
    </row>
    <row r="9385" spans="1:10">
      <c r="A9385" s="7" t="s">
        <v>9419</v>
      </c>
      <c r="B9385" s="7" t="s">
        <v>11252</v>
      </c>
      <c r="C9385" s="8">
        <f>QS.CONTEXT.CREATE("market.9383",A9385,"USD","SOFR")</f>
        <v/>
      </c>
      <c r="D9385" s="8">
        <f>QS.CONTEXT.ADD.CURVE(C9385,"SOFR",$K$2:$K$7,$L$2:$L$7,,,"Actual360","LogLinear",TRUE)</f>
        <v/>
      </c>
      <c r="E9385" s="8">
        <f>QS.INSTRUMENT.SWAP("swap.9383",C9385,H9385,B9385,"USD","SOFR",I9385,J9385,0,"Actual360","Simple","Annual","Annual","Annual")</f>
        <v/>
      </c>
      <c r="F9385" s="8">
        <f>QS.TRADE.CREATE("trade.9383",C9385,E9385,A9385,"Receive")</f>
        <v/>
      </c>
      <c r="G9385" s="5"/>
      <c r="H9385" s="7" t="s">
        <v>9426</v>
      </c>
      <c r="I9385" s="9">
        <v>1938300</v>
      </c>
      <c r="J9385" s="10">
        <v>0.0383</v>
      </c>
    </row>
    <row r="9386" spans="1:10">
      <c r="A9386" s="7" t="s">
        <v>9420</v>
      </c>
      <c r="B9386" s="7" t="s">
        <v>11253</v>
      </c>
      <c r="C9386" s="8">
        <f>QS.CONTEXT.CREATE("market.9384",A9386,"USD","SOFR")</f>
        <v/>
      </c>
      <c r="D9386" s="8">
        <f>QS.CONTEXT.ADD.CURVE(C9386,"SOFR",$K$2:$K$7,$L$2:$L$7,,,"Actual360","LogLinear",TRUE)</f>
        <v/>
      </c>
      <c r="E9386" s="8">
        <f>QS.INSTRUMENT.SWAP("swap.9384",C9386,H9386,B9386,"USD","SOFR",I9386,J9386,0,"Actual360","Simple","Annual","Annual","Annual")</f>
        <v/>
      </c>
      <c r="F9386" s="8">
        <f>QS.TRADE.CREATE("trade.9384",C9386,E9386,A9386,"Receive")</f>
        <v/>
      </c>
      <c r="G9386" s="5"/>
      <c r="H9386" s="7" t="s">
        <v>9427</v>
      </c>
      <c r="I9386" s="9">
        <v>1938400</v>
      </c>
      <c r="J9386" s="10">
        <v>0.0384</v>
      </c>
    </row>
    <row r="9387" spans="1:10">
      <c r="A9387" s="7" t="s">
        <v>9421</v>
      </c>
      <c r="B9387" s="7" t="s">
        <v>11254</v>
      </c>
      <c r="C9387" s="8">
        <f>QS.CONTEXT.CREATE("market.9385",A9387,"USD","SOFR")</f>
        <v/>
      </c>
      <c r="D9387" s="8">
        <f>QS.CONTEXT.ADD.CURVE(C9387,"SOFR",$K$2:$K$7,$L$2:$L$7,,,"Actual360","LogLinear",TRUE)</f>
        <v/>
      </c>
      <c r="E9387" s="8">
        <f>QS.INSTRUMENT.SWAP("swap.9385",C9387,H9387,B9387,"USD","SOFR",I9387,J9387,0,"Actual360","Simple","Annual","Annual","Annual")</f>
        <v/>
      </c>
      <c r="F9387" s="8">
        <f>QS.TRADE.CREATE("trade.9385",C9387,E9387,A9387,"Receive")</f>
        <v/>
      </c>
      <c r="G9387" s="5"/>
      <c r="H9387" s="7" t="s">
        <v>9428</v>
      </c>
      <c r="I9387" s="9">
        <v>1938500</v>
      </c>
      <c r="J9387" s="10">
        <v>0.03850000000000001</v>
      </c>
    </row>
    <row r="9388" spans="1:10">
      <c r="A9388" s="7" t="s">
        <v>9422</v>
      </c>
      <c r="B9388" s="7" t="s">
        <v>11255</v>
      </c>
      <c r="C9388" s="8">
        <f>QS.CONTEXT.CREATE("market.9386",A9388,"USD","SOFR")</f>
        <v/>
      </c>
      <c r="D9388" s="8">
        <f>QS.CONTEXT.ADD.CURVE(C9388,"SOFR",$K$2:$K$7,$L$2:$L$7,,,"Actual360","LogLinear",TRUE)</f>
        <v/>
      </c>
      <c r="E9388" s="8">
        <f>QS.INSTRUMENT.SWAP("swap.9386",C9388,H9388,B9388,"USD","SOFR",I9388,J9388,0,"Actual360","Simple","Annual","Annual","Annual")</f>
        <v/>
      </c>
      <c r="F9388" s="8">
        <f>QS.TRADE.CREATE("trade.9386",C9388,E9388,A9388,"Receive")</f>
        <v/>
      </c>
      <c r="G9388" s="5"/>
      <c r="H9388" s="7" t="s">
        <v>9429</v>
      </c>
      <c r="I9388" s="9">
        <v>1938600</v>
      </c>
      <c r="J9388" s="10">
        <v>0.0386</v>
      </c>
    </row>
    <row r="9389" spans="1:10">
      <c r="A9389" s="7" t="s">
        <v>9423</v>
      </c>
      <c r="B9389" s="7" t="s">
        <v>11256</v>
      </c>
      <c r="C9389" s="8">
        <f>QS.CONTEXT.CREATE("market.9387",A9389,"USD","SOFR")</f>
        <v/>
      </c>
      <c r="D9389" s="8">
        <f>QS.CONTEXT.ADD.CURVE(C9389,"SOFR",$K$2:$K$7,$L$2:$L$7,,,"Actual360","LogLinear",TRUE)</f>
        <v/>
      </c>
      <c r="E9389" s="8">
        <f>QS.INSTRUMENT.SWAP("swap.9387",C9389,H9389,B9389,"USD","SOFR",I9389,J9389,0,"Actual360","Simple","Annual","Annual","Annual")</f>
        <v/>
      </c>
      <c r="F9389" s="8">
        <f>QS.TRADE.CREATE("trade.9387",C9389,E9389,A9389,"Receive")</f>
        <v/>
      </c>
      <c r="G9389" s="5"/>
      <c r="H9389" s="7" t="s">
        <v>9430</v>
      </c>
      <c r="I9389" s="9">
        <v>1938700</v>
      </c>
      <c r="J9389" s="10">
        <v>0.03870000000000001</v>
      </c>
    </row>
    <row r="9390" spans="1:10">
      <c r="A9390" s="7" t="s">
        <v>9424</v>
      </c>
      <c r="B9390" s="7" t="s">
        <v>11257</v>
      </c>
      <c r="C9390" s="8">
        <f>QS.CONTEXT.CREATE("market.9388",A9390,"USD","SOFR")</f>
        <v/>
      </c>
      <c r="D9390" s="8">
        <f>QS.CONTEXT.ADD.CURVE(C9390,"SOFR",$K$2:$K$7,$L$2:$L$7,,,"Actual360","LogLinear",TRUE)</f>
        <v/>
      </c>
      <c r="E9390" s="8">
        <f>QS.INSTRUMENT.SWAP("swap.9388",C9390,H9390,B9390,"USD","SOFR",I9390,J9390,0,"Actual360","Simple","Annual","Annual","Annual")</f>
        <v/>
      </c>
      <c r="F9390" s="8">
        <f>QS.TRADE.CREATE("trade.9388",C9390,E9390,A9390,"Receive")</f>
        <v/>
      </c>
      <c r="G9390" s="5"/>
      <c r="H9390" s="7" t="s">
        <v>9431</v>
      </c>
      <c r="I9390" s="9">
        <v>1938800</v>
      </c>
      <c r="J9390" s="10">
        <v>0.0388</v>
      </c>
    </row>
    <row r="9391" spans="1:10">
      <c r="A9391" s="7" t="s">
        <v>9425</v>
      </c>
      <c r="B9391" s="7" t="s">
        <v>11258</v>
      </c>
      <c r="C9391" s="8">
        <f>QS.CONTEXT.CREATE("market.9389",A9391,"USD","SOFR")</f>
        <v/>
      </c>
      <c r="D9391" s="8">
        <f>QS.CONTEXT.ADD.CURVE(C9391,"SOFR",$K$2:$K$7,$L$2:$L$7,,,"Actual360","LogLinear",TRUE)</f>
        <v/>
      </c>
      <c r="E9391" s="8">
        <f>QS.INSTRUMENT.SWAP("swap.9389",C9391,H9391,B9391,"USD","SOFR",I9391,J9391,0,"Actual360","Simple","Annual","Annual","Annual")</f>
        <v/>
      </c>
      <c r="F9391" s="8">
        <f>QS.TRADE.CREATE("trade.9389",C9391,E9391,A9391,"Receive")</f>
        <v/>
      </c>
      <c r="G9391" s="5"/>
      <c r="H9391" s="7" t="s">
        <v>9432</v>
      </c>
      <c r="I9391" s="9">
        <v>1938900</v>
      </c>
      <c r="J9391" s="10">
        <v>0.0389</v>
      </c>
    </row>
    <row r="9392" spans="1:10">
      <c r="A9392" s="7" t="s">
        <v>9426</v>
      </c>
      <c r="B9392" s="7" t="s">
        <v>11259</v>
      </c>
      <c r="C9392" s="8">
        <f>QS.CONTEXT.CREATE("market.9390",A9392,"USD","SOFR")</f>
        <v/>
      </c>
      <c r="D9392" s="8">
        <f>QS.CONTEXT.ADD.CURVE(C9392,"SOFR",$K$2:$K$7,$L$2:$L$7,,,"Actual360","LogLinear",TRUE)</f>
        <v/>
      </c>
      <c r="E9392" s="8">
        <f>QS.INSTRUMENT.SWAP("swap.9390",C9392,H9392,B9392,"USD","SOFR",I9392,J9392,0,"Actual360","Simple","Annual","Annual","Annual")</f>
        <v/>
      </c>
      <c r="F9392" s="8">
        <f>QS.TRADE.CREATE("trade.9390",C9392,E9392,A9392,"Receive")</f>
        <v/>
      </c>
      <c r="G9392" s="5"/>
      <c r="H9392" s="7" t="s">
        <v>9433</v>
      </c>
      <c r="I9392" s="9">
        <v>1939000</v>
      </c>
      <c r="J9392" s="10">
        <v>0.03900000000000001</v>
      </c>
    </row>
    <row r="9393" spans="1:10">
      <c r="A9393" s="7" t="s">
        <v>9427</v>
      </c>
      <c r="B9393" s="7" t="s">
        <v>11260</v>
      </c>
      <c r="C9393" s="8">
        <f>QS.CONTEXT.CREATE("market.9391",A9393,"USD","SOFR")</f>
        <v/>
      </c>
      <c r="D9393" s="8">
        <f>QS.CONTEXT.ADD.CURVE(C9393,"SOFR",$K$2:$K$7,$L$2:$L$7,,,"Actual360","LogLinear",TRUE)</f>
        <v/>
      </c>
      <c r="E9393" s="8">
        <f>QS.INSTRUMENT.SWAP("swap.9391",C9393,H9393,B9393,"USD","SOFR",I9393,J9393,0,"Actual360","Simple","Annual","Annual","Annual")</f>
        <v/>
      </c>
      <c r="F9393" s="8">
        <f>QS.TRADE.CREATE("trade.9391",C9393,E9393,A9393,"Receive")</f>
        <v/>
      </c>
      <c r="G9393" s="5"/>
      <c r="H9393" s="7" t="s">
        <v>9434</v>
      </c>
      <c r="I9393" s="9">
        <v>1939100</v>
      </c>
      <c r="J9393" s="10">
        <v>0.0391</v>
      </c>
    </row>
    <row r="9394" spans="1:10">
      <c r="A9394" s="7" t="s">
        <v>9428</v>
      </c>
      <c r="B9394" s="7" t="s">
        <v>11261</v>
      </c>
      <c r="C9394" s="8">
        <f>QS.CONTEXT.CREATE("market.9392",A9394,"USD","SOFR")</f>
        <v/>
      </c>
      <c r="D9394" s="8">
        <f>QS.CONTEXT.ADD.CURVE(C9394,"SOFR",$K$2:$K$7,$L$2:$L$7,,,"Actual360","LogLinear",TRUE)</f>
        <v/>
      </c>
      <c r="E9394" s="8">
        <f>QS.INSTRUMENT.SWAP("swap.9392",C9394,H9394,B9394,"USD","SOFR",I9394,J9394,0,"Actual360","Simple","Annual","Annual","Annual")</f>
        <v/>
      </c>
      <c r="F9394" s="8">
        <f>QS.TRADE.CREATE("trade.9392",C9394,E9394,A9394,"Receive")</f>
        <v/>
      </c>
      <c r="G9394" s="5"/>
      <c r="H9394" s="7" t="s">
        <v>9435</v>
      </c>
      <c r="I9394" s="9">
        <v>1939200</v>
      </c>
      <c r="J9394" s="10">
        <v>0.03920000000000001</v>
      </c>
    </row>
    <row r="9395" spans="1:10">
      <c r="A9395" s="7" t="s">
        <v>9429</v>
      </c>
      <c r="B9395" s="7" t="s">
        <v>11262</v>
      </c>
      <c r="C9395" s="8">
        <f>QS.CONTEXT.CREATE("market.9393",A9395,"USD","SOFR")</f>
        <v/>
      </c>
      <c r="D9395" s="8">
        <f>QS.CONTEXT.ADD.CURVE(C9395,"SOFR",$K$2:$K$7,$L$2:$L$7,,,"Actual360","LogLinear",TRUE)</f>
        <v/>
      </c>
      <c r="E9395" s="8">
        <f>QS.INSTRUMENT.SWAP("swap.9393",C9395,H9395,B9395,"USD","SOFR",I9395,J9395,0,"Actual360","Simple","Annual","Annual","Annual")</f>
        <v/>
      </c>
      <c r="F9395" s="8">
        <f>QS.TRADE.CREATE("trade.9393",C9395,E9395,A9395,"Receive")</f>
        <v/>
      </c>
      <c r="G9395" s="5"/>
      <c r="H9395" s="7" t="s">
        <v>9436</v>
      </c>
      <c r="I9395" s="9">
        <v>1939300</v>
      </c>
      <c r="J9395" s="10">
        <v>0.0393</v>
      </c>
    </row>
    <row r="9396" spans="1:10">
      <c r="A9396" s="7" t="s">
        <v>9430</v>
      </c>
      <c r="B9396" s="7" t="s">
        <v>11263</v>
      </c>
      <c r="C9396" s="8">
        <f>QS.CONTEXT.CREATE("market.9394",A9396,"USD","SOFR")</f>
        <v/>
      </c>
      <c r="D9396" s="8">
        <f>QS.CONTEXT.ADD.CURVE(C9396,"SOFR",$K$2:$K$7,$L$2:$L$7,,,"Actual360","LogLinear",TRUE)</f>
        <v/>
      </c>
      <c r="E9396" s="8">
        <f>QS.INSTRUMENT.SWAP("swap.9394",C9396,H9396,B9396,"USD","SOFR",I9396,J9396,0,"Actual360","Simple","Annual","Annual","Annual")</f>
        <v/>
      </c>
      <c r="F9396" s="8">
        <f>QS.TRADE.CREATE("trade.9394",C9396,E9396,A9396,"Receive")</f>
        <v/>
      </c>
      <c r="G9396" s="5"/>
      <c r="H9396" s="7" t="s">
        <v>9437</v>
      </c>
      <c r="I9396" s="9">
        <v>1939400</v>
      </c>
      <c r="J9396" s="10">
        <v>0.0394</v>
      </c>
    </row>
    <row r="9397" spans="1:10">
      <c r="A9397" s="7" t="s">
        <v>9431</v>
      </c>
      <c r="B9397" s="7" t="s">
        <v>11264</v>
      </c>
      <c r="C9397" s="8">
        <f>QS.CONTEXT.CREATE("market.9395",A9397,"USD","SOFR")</f>
        <v/>
      </c>
      <c r="D9397" s="8">
        <f>QS.CONTEXT.ADD.CURVE(C9397,"SOFR",$K$2:$K$7,$L$2:$L$7,,,"Actual360","LogLinear",TRUE)</f>
        <v/>
      </c>
      <c r="E9397" s="8">
        <f>QS.INSTRUMENT.SWAP("swap.9395",C9397,H9397,B9397,"USD","SOFR",I9397,J9397,0,"Actual360","Simple","Annual","Annual","Annual")</f>
        <v/>
      </c>
      <c r="F9397" s="8">
        <f>QS.TRADE.CREATE("trade.9395",C9397,E9397,A9397,"Receive")</f>
        <v/>
      </c>
      <c r="G9397" s="5"/>
      <c r="H9397" s="7" t="s">
        <v>9438</v>
      </c>
      <c r="I9397" s="9">
        <v>1939500</v>
      </c>
      <c r="J9397" s="10">
        <v>0.03950000000000001</v>
      </c>
    </row>
    <row r="9398" spans="1:10">
      <c r="A9398" s="7" t="s">
        <v>9432</v>
      </c>
      <c r="B9398" s="7" t="s">
        <v>11265</v>
      </c>
      <c r="C9398" s="8">
        <f>QS.CONTEXT.CREATE("market.9396",A9398,"USD","SOFR")</f>
        <v/>
      </c>
      <c r="D9398" s="8">
        <f>QS.CONTEXT.ADD.CURVE(C9398,"SOFR",$K$2:$K$7,$L$2:$L$7,,,"Actual360","LogLinear",TRUE)</f>
        <v/>
      </c>
      <c r="E9398" s="8">
        <f>QS.INSTRUMENT.SWAP("swap.9396",C9398,H9398,B9398,"USD","SOFR",I9398,J9398,0,"Actual360","Simple","Annual","Annual","Annual")</f>
        <v/>
      </c>
      <c r="F9398" s="8">
        <f>QS.TRADE.CREATE("trade.9396",C9398,E9398,A9398,"Receive")</f>
        <v/>
      </c>
      <c r="G9398" s="5"/>
      <c r="H9398" s="7" t="s">
        <v>9439</v>
      </c>
      <c r="I9398" s="9">
        <v>1939600</v>
      </c>
      <c r="J9398" s="10">
        <v>0.0396</v>
      </c>
    </row>
    <row r="9399" spans="1:10">
      <c r="A9399" s="7" t="s">
        <v>9433</v>
      </c>
      <c r="B9399" s="7" t="s">
        <v>11266</v>
      </c>
      <c r="C9399" s="8">
        <f>QS.CONTEXT.CREATE("market.9397",A9399,"USD","SOFR")</f>
        <v/>
      </c>
      <c r="D9399" s="8">
        <f>QS.CONTEXT.ADD.CURVE(C9399,"SOFR",$K$2:$K$7,$L$2:$L$7,,,"Actual360","LogLinear",TRUE)</f>
        <v/>
      </c>
      <c r="E9399" s="8">
        <f>QS.INSTRUMENT.SWAP("swap.9397",C9399,H9399,B9399,"USD","SOFR",I9399,J9399,0,"Actual360","Simple","Annual","Annual","Annual")</f>
        <v/>
      </c>
      <c r="F9399" s="8">
        <f>QS.TRADE.CREATE("trade.9397",C9399,E9399,A9399,"Receive")</f>
        <v/>
      </c>
      <c r="G9399" s="5"/>
      <c r="H9399" s="7" t="s">
        <v>9440</v>
      </c>
      <c r="I9399" s="9">
        <v>1939700</v>
      </c>
      <c r="J9399" s="10">
        <v>0.03970000000000001</v>
      </c>
    </row>
    <row r="9400" spans="1:10">
      <c r="A9400" s="7" t="s">
        <v>9434</v>
      </c>
      <c r="B9400" s="7" t="s">
        <v>11267</v>
      </c>
      <c r="C9400" s="8">
        <f>QS.CONTEXT.CREATE("market.9398",A9400,"USD","SOFR")</f>
        <v/>
      </c>
      <c r="D9400" s="8">
        <f>QS.CONTEXT.ADD.CURVE(C9400,"SOFR",$K$2:$K$7,$L$2:$L$7,,,"Actual360","LogLinear",TRUE)</f>
        <v/>
      </c>
      <c r="E9400" s="8">
        <f>QS.INSTRUMENT.SWAP("swap.9398",C9400,H9400,B9400,"USD","SOFR",I9400,J9400,0,"Actual360","Simple","Annual","Annual","Annual")</f>
        <v/>
      </c>
      <c r="F9400" s="8">
        <f>QS.TRADE.CREATE("trade.9398",C9400,E9400,A9400,"Receive")</f>
        <v/>
      </c>
      <c r="G9400" s="5"/>
      <c r="H9400" s="7" t="s">
        <v>9441</v>
      </c>
      <c r="I9400" s="9">
        <v>1939800</v>
      </c>
      <c r="J9400" s="10">
        <v>0.0398</v>
      </c>
    </row>
    <row r="9401" spans="1:10">
      <c r="A9401" s="7" t="s">
        <v>9435</v>
      </c>
      <c r="B9401" s="7" t="s">
        <v>11268</v>
      </c>
      <c r="C9401" s="8">
        <f>QS.CONTEXT.CREATE("market.9399",A9401,"USD","SOFR")</f>
        <v/>
      </c>
      <c r="D9401" s="8">
        <f>QS.CONTEXT.ADD.CURVE(C9401,"SOFR",$K$2:$K$7,$L$2:$L$7,,,"Actual360","LogLinear",TRUE)</f>
        <v/>
      </c>
      <c r="E9401" s="8">
        <f>QS.INSTRUMENT.SWAP("swap.9399",C9401,H9401,B9401,"USD","SOFR",I9401,J9401,0,"Actual360","Simple","Annual","Annual","Annual")</f>
        <v/>
      </c>
      <c r="F9401" s="8">
        <f>QS.TRADE.CREATE("trade.9399",C9401,E9401,A9401,"Receive")</f>
        <v/>
      </c>
      <c r="G9401" s="5"/>
      <c r="H9401" s="7" t="s">
        <v>9442</v>
      </c>
      <c r="I9401" s="9">
        <v>1939900</v>
      </c>
      <c r="J9401" s="10">
        <v>0.0399</v>
      </c>
    </row>
    <row r="9402" spans="1:10">
      <c r="A9402" s="7" t="s">
        <v>9436</v>
      </c>
      <c r="B9402" s="7" t="s">
        <v>11269</v>
      </c>
      <c r="C9402" s="8">
        <f>QS.CONTEXT.CREATE("market.9400",A9402,"USD","SOFR")</f>
        <v/>
      </c>
      <c r="D9402" s="8">
        <f>QS.CONTEXT.ADD.CURVE(C9402,"SOFR",$K$2:$K$7,$L$2:$L$7,,,"Actual360","LogLinear",TRUE)</f>
        <v/>
      </c>
      <c r="E9402" s="8">
        <f>QS.INSTRUMENT.SWAP("swap.9400",C9402,H9402,B9402,"USD","SOFR",I9402,J9402,0,"Actual360","Simple","Annual","Annual","Annual")</f>
        <v/>
      </c>
      <c r="F9402" s="8">
        <f>QS.TRADE.CREATE("trade.9400",C9402,E9402,A9402,"Receive")</f>
        <v/>
      </c>
      <c r="G9402" s="5"/>
      <c r="H9402" s="7" t="s">
        <v>9443</v>
      </c>
      <c r="I9402" s="9">
        <v>1940000</v>
      </c>
      <c r="J9402" s="10">
        <v>0.035</v>
      </c>
    </row>
    <row r="9403" spans="1:10">
      <c r="A9403" s="7" t="s">
        <v>9437</v>
      </c>
      <c r="B9403" s="7" t="s">
        <v>11270</v>
      </c>
      <c r="C9403" s="8">
        <f>QS.CONTEXT.CREATE("market.9401",A9403,"USD","SOFR")</f>
        <v/>
      </c>
      <c r="D9403" s="8">
        <f>QS.CONTEXT.ADD.CURVE(C9403,"SOFR",$K$2:$K$7,$L$2:$L$7,,,"Actual360","LogLinear",TRUE)</f>
        <v/>
      </c>
      <c r="E9403" s="8">
        <f>QS.INSTRUMENT.SWAP("swap.9401",C9403,H9403,B9403,"USD","SOFR",I9403,J9403,0,"Actual360","Simple","Annual","Annual","Annual")</f>
        <v/>
      </c>
      <c r="F9403" s="8">
        <f>QS.TRADE.CREATE("trade.9401",C9403,E9403,A9403,"Receive")</f>
        <v/>
      </c>
      <c r="G9403" s="5"/>
      <c r="H9403" s="7" t="s">
        <v>9444</v>
      </c>
      <c r="I9403" s="9">
        <v>1940100</v>
      </c>
      <c r="J9403" s="10">
        <v>0.03510000000000001</v>
      </c>
    </row>
    <row r="9404" spans="1:10">
      <c r="A9404" s="7" t="s">
        <v>9438</v>
      </c>
      <c r="B9404" s="7" t="s">
        <v>11271</v>
      </c>
      <c r="C9404" s="8">
        <f>QS.CONTEXT.CREATE("market.9402",A9404,"USD","SOFR")</f>
        <v/>
      </c>
      <c r="D9404" s="8">
        <f>QS.CONTEXT.ADD.CURVE(C9404,"SOFR",$K$2:$K$7,$L$2:$L$7,,,"Actual360","LogLinear",TRUE)</f>
        <v/>
      </c>
      <c r="E9404" s="8">
        <f>QS.INSTRUMENT.SWAP("swap.9402",C9404,H9404,B9404,"USD","SOFR",I9404,J9404,0,"Actual360","Simple","Annual","Annual","Annual")</f>
        <v/>
      </c>
      <c r="F9404" s="8">
        <f>QS.TRADE.CREATE("trade.9402",C9404,E9404,A9404,"Receive")</f>
        <v/>
      </c>
      <c r="G9404" s="5"/>
      <c r="H9404" s="7" t="s">
        <v>9445</v>
      </c>
      <c r="I9404" s="9">
        <v>1940200</v>
      </c>
      <c r="J9404" s="10">
        <v>0.0352</v>
      </c>
    </row>
    <row r="9405" spans="1:10">
      <c r="A9405" s="7" t="s">
        <v>9439</v>
      </c>
      <c r="B9405" s="7" t="s">
        <v>11272</v>
      </c>
      <c r="C9405" s="8">
        <f>QS.CONTEXT.CREATE("market.9403",A9405,"USD","SOFR")</f>
        <v/>
      </c>
      <c r="D9405" s="8">
        <f>QS.CONTEXT.ADD.CURVE(C9405,"SOFR",$K$2:$K$7,$L$2:$L$7,,,"Actual360","LogLinear",TRUE)</f>
        <v/>
      </c>
      <c r="E9405" s="8">
        <f>QS.INSTRUMENT.SWAP("swap.9403",C9405,H9405,B9405,"USD","SOFR",I9405,J9405,0,"Actual360","Simple","Annual","Annual","Annual")</f>
        <v/>
      </c>
      <c r="F9405" s="8">
        <f>QS.TRADE.CREATE("trade.9403",C9405,E9405,A9405,"Receive")</f>
        <v/>
      </c>
      <c r="G9405" s="5"/>
      <c r="H9405" s="7" t="s">
        <v>9446</v>
      </c>
      <c r="I9405" s="9">
        <v>1940300</v>
      </c>
      <c r="J9405" s="10">
        <v>0.0353</v>
      </c>
    </row>
    <row r="9406" spans="1:10">
      <c r="A9406" s="7" t="s">
        <v>9440</v>
      </c>
      <c r="B9406" s="7" t="s">
        <v>11273</v>
      </c>
      <c r="C9406" s="8">
        <f>QS.CONTEXT.CREATE("market.9404",A9406,"USD","SOFR")</f>
        <v/>
      </c>
      <c r="D9406" s="8">
        <f>QS.CONTEXT.ADD.CURVE(C9406,"SOFR",$K$2:$K$7,$L$2:$L$7,,,"Actual360","LogLinear",TRUE)</f>
        <v/>
      </c>
      <c r="E9406" s="8">
        <f>QS.INSTRUMENT.SWAP("swap.9404",C9406,H9406,B9406,"USD","SOFR",I9406,J9406,0,"Actual360","Simple","Annual","Annual","Annual")</f>
        <v/>
      </c>
      <c r="F9406" s="8">
        <f>QS.TRADE.CREATE("trade.9404",C9406,E9406,A9406,"Receive")</f>
        <v/>
      </c>
      <c r="G9406" s="5"/>
      <c r="H9406" s="7" t="s">
        <v>9447</v>
      </c>
      <c r="I9406" s="9">
        <v>1940400</v>
      </c>
      <c r="J9406" s="10">
        <v>0.0354</v>
      </c>
    </row>
    <row r="9407" spans="1:10">
      <c r="A9407" s="7" t="s">
        <v>9441</v>
      </c>
      <c r="B9407" s="7" t="s">
        <v>11274</v>
      </c>
      <c r="C9407" s="8">
        <f>QS.CONTEXT.CREATE("market.9405",A9407,"USD","SOFR")</f>
        <v/>
      </c>
      <c r="D9407" s="8">
        <f>QS.CONTEXT.ADD.CURVE(C9407,"SOFR",$K$2:$K$7,$L$2:$L$7,,,"Actual360","LogLinear",TRUE)</f>
        <v/>
      </c>
      <c r="E9407" s="8">
        <f>QS.INSTRUMENT.SWAP("swap.9405",C9407,H9407,B9407,"USD","SOFR",I9407,J9407,0,"Actual360","Simple","Annual","Annual","Annual")</f>
        <v/>
      </c>
      <c r="F9407" s="8">
        <f>QS.TRADE.CREATE("trade.9405",C9407,E9407,A9407,"Receive")</f>
        <v/>
      </c>
      <c r="G9407" s="5"/>
      <c r="H9407" s="7" t="s">
        <v>9448</v>
      </c>
      <c r="I9407" s="9">
        <v>1940500</v>
      </c>
      <c r="J9407" s="10">
        <v>0.0355</v>
      </c>
    </row>
    <row r="9408" spans="1:10">
      <c r="A9408" s="7" t="s">
        <v>9442</v>
      </c>
      <c r="B9408" s="7" t="s">
        <v>11275</v>
      </c>
      <c r="C9408" s="8">
        <f>QS.CONTEXT.CREATE("market.9406",A9408,"USD","SOFR")</f>
        <v/>
      </c>
      <c r="D9408" s="8">
        <f>QS.CONTEXT.ADD.CURVE(C9408,"SOFR",$K$2:$K$7,$L$2:$L$7,,,"Actual360","LogLinear",TRUE)</f>
        <v/>
      </c>
      <c r="E9408" s="8">
        <f>QS.INSTRUMENT.SWAP("swap.9406",C9408,H9408,B9408,"USD","SOFR",I9408,J9408,0,"Actual360","Simple","Annual","Annual","Annual")</f>
        <v/>
      </c>
      <c r="F9408" s="8">
        <f>QS.TRADE.CREATE("trade.9406",C9408,E9408,A9408,"Receive")</f>
        <v/>
      </c>
      <c r="G9408" s="5"/>
      <c r="H9408" s="7" t="s">
        <v>9449</v>
      </c>
      <c r="I9408" s="9">
        <v>1940600</v>
      </c>
      <c r="J9408" s="10">
        <v>0.03560000000000001</v>
      </c>
    </row>
    <row r="9409" spans="1:10">
      <c r="A9409" s="7" t="s">
        <v>9443</v>
      </c>
      <c r="B9409" s="7" t="s">
        <v>11276</v>
      </c>
      <c r="C9409" s="8">
        <f>QS.CONTEXT.CREATE("market.9407",A9409,"USD","SOFR")</f>
        <v/>
      </c>
      <c r="D9409" s="8">
        <f>QS.CONTEXT.ADD.CURVE(C9409,"SOFR",$K$2:$K$7,$L$2:$L$7,,,"Actual360","LogLinear",TRUE)</f>
        <v/>
      </c>
      <c r="E9409" s="8">
        <f>QS.INSTRUMENT.SWAP("swap.9407",C9409,H9409,B9409,"USD","SOFR",I9409,J9409,0,"Actual360","Simple","Annual","Annual","Annual")</f>
        <v/>
      </c>
      <c r="F9409" s="8">
        <f>QS.TRADE.CREATE("trade.9407",C9409,E9409,A9409,"Receive")</f>
        <v/>
      </c>
      <c r="G9409" s="5"/>
      <c r="H9409" s="7" t="s">
        <v>9450</v>
      </c>
      <c r="I9409" s="9">
        <v>1940700</v>
      </c>
      <c r="J9409" s="10">
        <v>0.0357</v>
      </c>
    </row>
    <row r="9410" spans="1:10">
      <c r="A9410" s="7" t="s">
        <v>9444</v>
      </c>
      <c r="B9410" s="7" t="s">
        <v>11277</v>
      </c>
      <c r="C9410" s="8">
        <f>QS.CONTEXT.CREATE("market.9408",A9410,"USD","SOFR")</f>
        <v/>
      </c>
      <c r="D9410" s="8">
        <f>QS.CONTEXT.ADD.CURVE(C9410,"SOFR",$K$2:$K$7,$L$2:$L$7,,,"Actual360","LogLinear",TRUE)</f>
        <v/>
      </c>
      <c r="E9410" s="8">
        <f>QS.INSTRUMENT.SWAP("swap.9408",C9410,H9410,B9410,"USD","SOFR",I9410,J9410,0,"Actual360","Simple","Annual","Annual","Annual")</f>
        <v/>
      </c>
      <c r="F9410" s="8">
        <f>QS.TRADE.CREATE("trade.9408",C9410,E9410,A9410,"Receive")</f>
        <v/>
      </c>
      <c r="G9410" s="5"/>
      <c r="H9410" s="7" t="s">
        <v>9451</v>
      </c>
      <c r="I9410" s="9">
        <v>1940800</v>
      </c>
      <c r="J9410" s="10">
        <v>0.03580000000000001</v>
      </c>
    </row>
    <row r="9411" spans="1:10">
      <c r="A9411" s="7" t="s">
        <v>9445</v>
      </c>
      <c r="B9411" s="7" t="s">
        <v>11278</v>
      </c>
      <c r="C9411" s="8">
        <f>QS.CONTEXT.CREATE("market.9409",A9411,"USD","SOFR")</f>
        <v/>
      </c>
      <c r="D9411" s="8">
        <f>QS.CONTEXT.ADD.CURVE(C9411,"SOFR",$K$2:$K$7,$L$2:$L$7,,,"Actual360","LogLinear",TRUE)</f>
        <v/>
      </c>
      <c r="E9411" s="8">
        <f>QS.INSTRUMENT.SWAP("swap.9409",C9411,H9411,B9411,"USD","SOFR",I9411,J9411,0,"Actual360","Simple","Annual","Annual","Annual")</f>
        <v/>
      </c>
      <c r="F9411" s="8">
        <f>QS.TRADE.CREATE("trade.9409",C9411,E9411,A9411,"Receive")</f>
        <v/>
      </c>
      <c r="G9411" s="5"/>
      <c r="H9411" s="7" t="s">
        <v>9452</v>
      </c>
      <c r="I9411" s="9">
        <v>1940900</v>
      </c>
      <c r="J9411" s="10">
        <v>0.0359</v>
      </c>
    </row>
    <row r="9412" spans="1:10">
      <c r="A9412" s="7" t="s">
        <v>9446</v>
      </c>
      <c r="B9412" s="7" t="s">
        <v>11279</v>
      </c>
      <c r="C9412" s="8">
        <f>QS.CONTEXT.CREATE("market.9410",A9412,"USD","SOFR")</f>
        <v/>
      </c>
      <c r="D9412" s="8">
        <f>QS.CONTEXT.ADD.CURVE(C9412,"SOFR",$K$2:$K$7,$L$2:$L$7,,,"Actual360","LogLinear",TRUE)</f>
        <v/>
      </c>
      <c r="E9412" s="8">
        <f>QS.INSTRUMENT.SWAP("swap.9410",C9412,H9412,B9412,"USD","SOFR",I9412,J9412,0,"Actual360","Simple","Annual","Annual","Annual")</f>
        <v/>
      </c>
      <c r="F9412" s="8">
        <f>QS.TRADE.CREATE("trade.9410",C9412,E9412,A9412,"Receive")</f>
        <v/>
      </c>
      <c r="G9412" s="5"/>
      <c r="H9412" s="7" t="s">
        <v>9453</v>
      </c>
      <c r="I9412" s="9">
        <v>1941000</v>
      </c>
      <c r="J9412" s="10">
        <v>0.036</v>
      </c>
    </row>
    <row r="9413" spans="1:10">
      <c r="A9413" s="7" t="s">
        <v>9447</v>
      </c>
      <c r="B9413" s="7" t="s">
        <v>11280</v>
      </c>
      <c r="C9413" s="8">
        <f>QS.CONTEXT.CREATE("market.9411",A9413,"USD","SOFR")</f>
        <v/>
      </c>
      <c r="D9413" s="8">
        <f>QS.CONTEXT.ADD.CURVE(C9413,"SOFR",$K$2:$K$7,$L$2:$L$7,,,"Actual360","LogLinear",TRUE)</f>
        <v/>
      </c>
      <c r="E9413" s="8">
        <f>QS.INSTRUMENT.SWAP("swap.9411",C9413,H9413,B9413,"USD","SOFR",I9413,J9413,0,"Actual360","Simple","Annual","Annual","Annual")</f>
        <v/>
      </c>
      <c r="F9413" s="8">
        <f>QS.TRADE.CREATE("trade.9411",C9413,E9413,A9413,"Receive")</f>
        <v/>
      </c>
      <c r="G9413" s="5"/>
      <c r="H9413" s="7" t="s">
        <v>9454</v>
      </c>
      <c r="I9413" s="9">
        <v>1941100</v>
      </c>
      <c r="J9413" s="10">
        <v>0.0361</v>
      </c>
    </row>
    <row r="9414" spans="1:10">
      <c r="A9414" s="7" t="s">
        <v>9448</v>
      </c>
      <c r="B9414" s="7" t="s">
        <v>11281</v>
      </c>
      <c r="C9414" s="8">
        <f>QS.CONTEXT.CREATE("market.9412",A9414,"USD","SOFR")</f>
        <v/>
      </c>
      <c r="D9414" s="8">
        <f>QS.CONTEXT.ADD.CURVE(C9414,"SOFR",$K$2:$K$7,$L$2:$L$7,,,"Actual360","LogLinear",TRUE)</f>
        <v/>
      </c>
      <c r="E9414" s="8">
        <f>QS.INSTRUMENT.SWAP("swap.9412",C9414,H9414,B9414,"USD","SOFR",I9414,J9414,0,"Actual360","Simple","Annual","Annual","Annual")</f>
        <v/>
      </c>
      <c r="F9414" s="8">
        <f>QS.TRADE.CREATE("trade.9412",C9414,E9414,A9414,"Receive")</f>
        <v/>
      </c>
      <c r="G9414" s="5"/>
      <c r="H9414" s="7" t="s">
        <v>9455</v>
      </c>
      <c r="I9414" s="9">
        <v>1941200</v>
      </c>
      <c r="J9414" s="10">
        <v>0.0362</v>
      </c>
    </row>
    <row r="9415" spans="1:10">
      <c r="A9415" s="7" t="s">
        <v>9449</v>
      </c>
      <c r="B9415" s="7" t="s">
        <v>11282</v>
      </c>
      <c r="C9415" s="8">
        <f>QS.CONTEXT.CREATE("market.9413",A9415,"USD","SOFR")</f>
        <v/>
      </c>
      <c r="D9415" s="8">
        <f>QS.CONTEXT.ADD.CURVE(C9415,"SOFR",$K$2:$K$7,$L$2:$L$7,,,"Actual360","LogLinear",TRUE)</f>
        <v/>
      </c>
      <c r="E9415" s="8">
        <f>QS.INSTRUMENT.SWAP("swap.9413",C9415,H9415,B9415,"USD","SOFR",I9415,J9415,0,"Actual360","Simple","Annual","Annual","Annual")</f>
        <v/>
      </c>
      <c r="F9415" s="8">
        <f>QS.TRADE.CREATE("trade.9413",C9415,E9415,A9415,"Receive")</f>
        <v/>
      </c>
      <c r="G9415" s="5"/>
      <c r="H9415" s="7" t="s">
        <v>9456</v>
      </c>
      <c r="I9415" s="9">
        <v>1941300</v>
      </c>
      <c r="J9415" s="10">
        <v>0.03630000000000001</v>
      </c>
    </row>
    <row r="9416" spans="1:10">
      <c r="A9416" s="7" t="s">
        <v>9450</v>
      </c>
      <c r="B9416" s="7" t="s">
        <v>11283</v>
      </c>
      <c r="C9416" s="8">
        <f>QS.CONTEXT.CREATE("market.9414",A9416,"USD","SOFR")</f>
        <v/>
      </c>
      <c r="D9416" s="8">
        <f>QS.CONTEXT.ADD.CURVE(C9416,"SOFR",$K$2:$K$7,$L$2:$L$7,,,"Actual360","LogLinear",TRUE)</f>
        <v/>
      </c>
      <c r="E9416" s="8">
        <f>QS.INSTRUMENT.SWAP("swap.9414",C9416,H9416,B9416,"USD","SOFR",I9416,J9416,0,"Actual360","Simple","Annual","Annual","Annual")</f>
        <v/>
      </c>
      <c r="F9416" s="8">
        <f>QS.TRADE.CREATE("trade.9414",C9416,E9416,A9416,"Receive")</f>
        <v/>
      </c>
      <c r="G9416" s="5"/>
      <c r="H9416" s="7" t="s">
        <v>9457</v>
      </c>
      <c r="I9416" s="9">
        <v>1941400</v>
      </c>
      <c r="J9416" s="10">
        <v>0.0364</v>
      </c>
    </row>
    <row r="9417" spans="1:10">
      <c r="A9417" s="7" t="s">
        <v>9451</v>
      </c>
      <c r="B9417" s="7" t="s">
        <v>11284</v>
      </c>
      <c r="C9417" s="8">
        <f>QS.CONTEXT.CREATE("market.9415",A9417,"USD","SOFR")</f>
        <v/>
      </c>
      <c r="D9417" s="8">
        <f>QS.CONTEXT.ADD.CURVE(C9417,"SOFR",$K$2:$K$7,$L$2:$L$7,,,"Actual360","LogLinear",TRUE)</f>
        <v/>
      </c>
      <c r="E9417" s="8">
        <f>QS.INSTRUMENT.SWAP("swap.9415",C9417,H9417,B9417,"USD","SOFR",I9417,J9417,0,"Actual360","Simple","Annual","Annual","Annual")</f>
        <v/>
      </c>
      <c r="F9417" s="8">
        <f>QS.TRADE.CREATE("trade.9415",C9417,E9417,A9417,"Receive")</f>
        <v/>
      </c>
      <c r="G9417" s="5"/>
      <c r="H9417" s="7" t="s">
        <v>9458</v>
      </c>
      <c r="I9417" s="9">
        <v>1941500</v>
      </c>
      <c r="J9417" s="10">
        <v>0.0365</v>
      </c>
    </row>
    <row r="9418" spans="1:10">
      <c r="A9418" s="7" t="s">
        <v>9452</v>
      </c>
      <c r="B9418" s="7" t="s">
        <v>11285</v>
      </c>
      <c r="C9418" s="8">
        <f>QS.CONTEXT.CREATE("market.9416",A9418,"USD","SOFR")</f>
        <v/>
      </c>
      <c r="D9418" s="8">
        <f>QS.CONTEXT.ADD.CURVE(C9418,"SOFR",$K$2:$K$7,$L$2:$L$7,,,"Actual360","LogLinear",TRUE)</f>
        <v/>
      </c>
      <c r="E9418" s="8">
        <f>QS.INSTRUMENT.SWAP("swap.9416",C9418,H9418,B9418,"USD","SOFR",I9418,J9418,0,"Actual360","Simple","Annual","Annual","Annual")</f>
        <v/>
      </c>
      <c r="F9418" s="8">
        <f>QS.TRADE.CREATE("trade.9416",C9418,E9418,A9418,"Receive")</f>
        <v/>
      </c>
      <c r="G9418" s="5"/>
      <c r="H9418" s="7" t="s">
        <v>9459</v>
      </c>
      <c r="I9418" s="9">
        <v>1941600</v>
      </c>
      <c r="J9418" s="10">
        <v>0.0366</v>
      </c>
    </row>
    <row r="9419" spans="1:10">
      <c r="A9419" s="7" t="s">
        <v>9453</v>
      </c>
      <c r="B9419" s="7" t="s">
        <v>11286</v>
      </c>
      <c r="C9419" s="8">
        <f>QS.CONTEXT.CREATE("market.9417",A9419,"USD","SOFR")</f>
        <v/>
      </c>
      <c r="D9419" s="8">
        <f>QS.CONTEXT.ADD.CURVE(C9419,"SOFR",$K$2:$K$7,$L$2:$L$7,,,"Actual360","LogLinear",TRUE)</f>
        <v/>
      </c>
      <c r="E9419" s="8">
        <f>QS.INSTRUMENT.SWAP("swap.9417",C9419,H9419,B9419,"USD","SOFR",I9419,J9419,0,"Actual360","Simple","Annual","Annual","Annual")</f>
        <v/>
      </c>
      <c r="F9419" s="8">
        <f>QS.TRADE.CREATE("trade.9417",C9419,E9419,A9419,"Receive")</f>
        <v/>
      </c>
      <c r="G9419" s="5"/>
      <c r="H9419" s="7" t="s">
        <v>9460</v>
      </c>
      <c r="I9419" s="9">
        <v>1941700</v>
      </c>
      <c r="J9419" s="10">
        <v>0.0367</v>
      </c>
    </row>
    <row r="9420" spans="1:10">
      <c r="A9420" s="7" t="s">
        <v>9454</v>
      </c>
      <c r="B9420" s="7" t="s">
        <v>11287</v>
      </c>
      <c r="C9420" s="8">
        <f>QS.CONTEXT.CREATE("market.9418",A9420,"USD","SOFR")</f>
        <v/>
      </c>
      <c r="D9420" s="8">
        <f>QS.CONTEXT.ADD.CURVE(C9420,"SOFR",$K$2:$K$7,$L$2:$L$7,,,"Actual360","LogLinear",TRUE)</f>
        <v/>
      </c>
      <c r="E9420" s="8">
        <f>QS.INSTRUMENT.SWAP("swap.9418",C9420,H9420,B9420,"USD","SOFR",I9420,J9420,0,"Actual360","Simple","Annual","Annual","Annual")</f>
        <v/>
      </c>
      <c r="F9420" s="8">
        <f>QS.TRADE.CREATE("trade.9418",C9420,E9420,A9420,"Receive")</f>
        <v/>
      </c>
      <c r="G9420" s="5"/>
      <c r="H9420" s="7" t="s">
        <v>9461</v>
      </c>
      <c r="I9420" s="9">
        <v>1941800</v>
      </c>
      <c r="J9420" s="10">
        <v>0.03680000000000001</v>
      </c>
    </row>
    <row r="9421" spans="1:10">
      <c r="A9421" s="7" t="s">
        <v>9455</v>
      </c>
      <c r="B9421" s="7" t="s">
        <v>11288</v>
      </c>
      <c r="C9421" s="8">
        <f>QS.CONTEXT.CREATE("market.9419",A9421,"USD","SOFR")</f>
        <v/>
      </c>
      <c r="D9421" s="8">
        <f>QS.CONTEXT.ADD.CURVE(C9421,"SOFR",$K$2:$K$7,$L$2:$L$7,,,"Actual360","LogLinear",TRUE)</f>
        <v/>
      </c>
      <c r="E9421" s="8">
        <f>QS.INSTRUMENT.SWAP("swap.9419",C9421,H9421,B9421,"USD","SOFR",I9421,J9421,0,"Actual360","Simple","Annual","Annual","Annual")</f>
        <v/>
      </c>
      <c r="F9421" s="8">
        <f>QS.TRADE.CREATE("trade.9419",C9421,E9421,A9421,"Receive")</f>
        <v/>
      </c>
      <c r="G9421" s="5"/>
      <c r="H9421" s="7" t="s">
        <v>9462</v>
      </c>
      <c r="I9421" s="9">
        <v>1941900</v>
      </c>
      <c r="J9421" s="10">
        <v>0.0369</v>
      </c>
    </row>
    <row r="9422" spans="1:10">
      <c r="A9422" s="7" t="s">
        <v>9456</v>
      </c>
      <c r="B9422" s="7" t="s">
        <v>11289</v>
      </c>
      <c r="C9422" s="8">
        <f>QS.CONTEXT.CREATE("market.9420",A9422,"USD","SOFR")</f>
        <v/>
      </c>
      <c r="D9422" s="8">
        <f>QS.CONTEXT.ADD.CURVE(C9422,"SOFR",$K$2:$K$7,$L$2:$L$7,,,"Actual360","LogLinear",TRUE)</f>
        <v/>
      </c>
      <c r="E9422" s="8">
        <f>QS.INSTRUMENT.SWAP("swap.9420",C9422,H9422,B9422,"USD","SOFR",I9422,J9422,0,"Actual360","Simple","Annual","Annual","Annual")</f>
        <v/>
      </c>
      <c r="F9422" s="8">
        <f>QS.TRADE.CREATE("trade.9420",C9422,E9422,A9422,"Receive")</f>
        <v/>
      </c>
      <c r="G9422" s="5"/>
      <c r="H9422" s="7" t="s">
        <v>9463</v>
      </c>
      <c r="I9422" s="9">
        <v>1942000</v>
      </c>
      <c r="J9422" s="10">
        <v>0.03700000000000001</v>
      </c>
    </row>
    <row r="9423" spans="1:10">
      <c r="A9423" s="7" t="s">
        <v>9457</v>
      </c>
      <c r="B9423" s="7" t="s">
        <v>11290</v>
      </c>
      <c r="C9423" s="8">
        <f>QS.CONTEXT.CREATE("market.9421",A9423,"USD","SOFR")</f>
        <v/>
      </c>
      <c r="D9423" s="8">
        <f>QS.CONTEXT.ADD.CURVE(C9423,"SOFR",$K$2:$K$7,$L$2:$L$7,,,"Actual360","LogLinear",TRUE)</f>
        <v/>
      </c>
      <c r="E9423" s="8">
        <f>QS.INSTRUMENT.SWAP("swap.9421",C9423,H9423,B9423,"USD","SOFR",I9423,J9423,0,"Actual360","Simple","Annual","Annual","Annual")</f>
        <v/>
      </c>
      <c r="F9423" s="8">
        <f>QS.TRADE.CREATE("trade.9421",C9423,E9423,A9423,"Receive")</f>
        <v/>
      </c>
      <c r="G9423" s="5"/>
      <c r="H9423" s="7" t="s">
        <v>9464</v>
      </c>
      <c r="I9423" s="9">
        <v>1942100</v>
      </c>
      <c r="J9423" s="10">
        <v>0.0371</v>
      </c>
    </row>
    <row r="9424" spans="1:10">
      <c r="A9424" s="7" t="s">
        <v>9458</v>
      </c>
      <c r="B9424" s="7" t="s">
        <v>11291</v>
      </c>
      <c r="C9424" s="8">
        <f>QS.CONTEXT.CREATE("market.9422",A9424,"USD","SOFR")</f>
        <v/>
      </c>
      <c r="D9424" s="8">
        <f>QS.CONTEXT.ADD.CURVE(C9424,"SOFR",$K$2:$K$7,$L$2:$L$7,,,"Actual360","LogLinear",TRUE)</f>
        <v/>
      </c>
      <c r="E9424" s="8">
        <f>QS.INSTRUMENT.SWAP("swap.9422",C9424,H9424,B9424,"USD","SOFR",I9424,J9424,0,"Actual360","Simple","Annual","Annual","Annual")</f>
        <v/>
      </c>
      <c r="F9424" s="8">
        <f>QS.TRADE.CREATE("trade.9422",C9424,E9424,A9424,"Receive")</f>
        <v/>
      </c>
      <c r="G9424" s="5"/>
      <c r="H9424" s="7" t="s">
        <v>9465</v>
      </c>
      <c r="I9424" s="9">
        <v>1942200</v>
      </c>
      <c r="J9424" s="10">
        <v>0.0372</v>
      </c>
    </row>
    <row r="9425" spans="1:10">
      <c r="A9425" s="7" t="s">
        <v>9459</v>
      </c>
      <c r="B9425" s="7" t="s">
        <v>11292</v>
      </c>
      <c r="C9425" s="8">
        <f>QS.CONTEXT.CREATE("market.9423",A9425,"USD","SOFR")</f>
        <v/>
      </c>
      <c r="D9425" s="8">
        <f>QS.CONTEXT.ADD.CURVE(C9425,"SOFR",$K$2:$K$7,$L$2:$L$7,,,"Actual360","LogLinear",TRUE)</f>
        <v/>
      </c>
      <c r="E9425" s="8">
        <f>QS.INSTRUMENT.SWAP("swap.9423",C9425,H9425,B9425,"USD","SOFR",I9425,J9425,0,"Actual360","Simple","Annual","Annual","Annual")</f>
        <v/>
      </c>
      <c r="F9425" s="8">
        <f>QS.TRADE.CREATE("trade.9423",C9425,E9425,A9425,"Receive")</f>
        <v/>
      </c>
      <c r="G9425" s="5"/>
      <c r="H9425" s="7" t="s">
        <v>9466</v>
      </c>
      <c r="I9425" s="9">
        <v>1942300</v>
      </c>
      <c r="J9425" s="10">
        <v>0.0373</v>
      </c>
    </row>
    <row r="9426" spans="1:10">
      <c r="A9426" s="7" t="s">
        <v>9460</v>
      </c>
      <c r="B9426" s="7" t="s">
        <v>11293</v>
      </c>
      <c r="C9426" s="8">
        <f>QS.CONTEXT.CREATE("market.9424",A9426,"USD","SOFR")</f>
        <v/>
      </c>
      <c r="D9426" s="8">
        <f>QS.CONTEXT.ADD.CURVE(C9426,"SOFR",$K$2:$K$7,$L$2:$L$7,,,"Actual360","LogLinear",TRUE)</f>
        <v/>
      </c>
      <c r="E9426" s="8">
        <f>QS.INSTRUMENT.SWAP("swap.9424",C9426,H9426,B9426,"USD","SOFR",I9426,J9426,0,"Actual360","Simple","Annual","Annual","Annual")</f>
        <v/>
      </c>
      <c r="F9426" s="8">
        <f>QS.TRADE.CREATE("trade.9424",C9426,E9426,A9426,"Receive")</f>
        <v/>
      </c>
      <c r="G9426" s="5"/>
      <c r="H9426" s="7" t="s">
        <v>9467</v>
      </c>
      <c r="I9426" s="9">
        <v>1942400</v>
      </c>
      <c r="J9426" s="10">
        <v>0.0374</v>
      </c>
    </row>
    <row r="9427" spans="1:10">
      <c r="A9427" s="7" t="s">
        <v>9461</v>
      </c>
      <c r="B9427" s="7" t="s">
        <v>11294</v>
      </c>
      <c r="C9427" s="8">
        <f>QS.CONTEXT.CREATE("market.9425",A9427,"USD","SOFR")</f>
        <v/>
      </c>
      <c r="D9427" s="8">
        <f>QS.CONTEXT.ADD.CURVE(C9427,"SOFR",$K$2:$K$7,$L$2:$L$7,,,"Actual360","LogLinear",TRUE)</f>
        <v/>
      </c>
      <c r="E9427" s="8">
        <f>QS.INSTRUMENT.SWAP("swap.9425",C9427,H9427,B9427,"USD","SOFR",I9427,J9427,0,"Actual360","Simple","Annual","Annual","Annual")</f>
        <v/>
      </c>
      <c r="F9427" s="8">
        <f>QS.TRADE.CREATE("trade.9425",C9427,E9427,A9427,"Receive")</f>
        <v/>
      </c>
      <c r="G9427" s="5"/>
      <c r="H9427" s="7" t="s">
        <v>9468</v>
      </c>
      <c r="I9427" s="9">
        <v>1942500</v>
      </c>
      <c r="J9427" s="10">
        <v>0.03750000000000001</v>
      </c>
    </row>
    <row r="9428" spans="1:10">
      <c r="A9428" s="7" t="s">
        <v>9462</v>
      </c>
      <c r="B9428" s="7" t="s">
        <v>11295</v>
      </c>
      <c r="C9428" s="8">
        <f>QS.CONTEXT.CREATE("market.9426",A9428,"USD","SOFR")</f>
        <v/>
      </c>
      <c r="D9428" s="8">
        <f>QS.CONTEXT.ADD.CURVE(C9428,"SOFR",$K$2:$K$7,$L$2:$L$7,,,"Actual360","LogLinear",TRUE)</f>
        <v/>
      </c>
      <c r="E9428" s="8">
        <f>QS.INSTRUMENT.SWAP("swap.9426",C9428,H9428,B9428,"USD","SOFR",I9428,J9428,0,"Actual360","Simple","Annual","Annual","Annual")</f>
        <v/>
      </c>
      <c r="F9428" s="8">
        <f>QS.TRADE.CREATE("trade.9426",C9428,E9428,A9428,"Receive")</f>
        <v/>
      </c>
      <c r="G9428" s="5"/>
      <c r="H9428" s="7" t="s">
        <v>9469</v>
      </c>
      <c r="I9428" s="9">
        <v>1942600</v>
      </c>
      <c r="J9428" s="10">
        <v>0.0376</v>
      </c>
    </row>
    <row r="9429" spans="1:10">
      <c r="A9429" s="7" t="s">
        <v>9463</v>
      </c>
      <c r="B9429" s="7" t="s">
        <v>11296</v>
      </c>
      <c r="C9429" s="8">
        <f>QS.CONTEXT.CREATE("market.9427",A9429,"USD","SOFR")</f>
        <v/>
      </c>
      <c r="D9429" s="8">
        <f>QS.CONTEXT.ADD.CURVE(C9429,"SOFR",$K$2:$K$7,$L$2:$L$7,,,"Actual360","LogLinear",TRUE)</f>
        <v/>
      </c>
      <c r="E9429" s="8">
        <f>QS.INSTRUMENT.SWAP("swap.9427",C9429,H9429,B9429,"USD","SOFR",I9429,J9429,0,"Actual360","Simple","Annual","Annual","Annual")</f>
        <v/>
      </c>
      <c r="F9429" s="8">
        <f>QS.TRADE.CREATE("trade.9427",C9429,E9429,A9429,"Receive")</f>
        <v/>
      </c>
      <c r="G9429" s="5"/>
      <c r="H9429" s="7" t="s">
        <v>9470</v>
      </c>
      <c r="I9429" s="9">
        <v>1942700</v>
      </c>
      <c r="J9429" s="10">
        <v>0.0377</v>
      </c>
    </row>
    <row r="9430" spans="1:10">
      <c r="A9430" s="7" t="s">
        <v>9464</v>
      </c>
      <c r="B9430" s="7" t="s">
        <v>11297</v>
      </c>
      <c r="C9430" s="8">
        <f>QS.CONTEXT.CREATE("market.9428",A9430,"USD","SOFR")</f>
        <v/>
      </c>
      <c r="D9430" s="8">
        <f>QS.CONTEXT.ADD.CURVE(C9430,"SOFR",$K$2:$K$7,$L$2:$L$7,,,"Actual360","LogLinear",TRUE)</f>
        <v/>
      </c>
      <c r="E9430" s="8">
        <f>QS.INSTRUMENT.SWAP("swap.9428",C9430,H9430,B9430,"USD","SOFR",I9430,J9430,0,"Actual360","Simple","Annual","Annual","Annual")</f>
        <v/>
      </c>
      <c r="F9430" s="8">
        <f>QS.TRADE.CREATE("trade.9428",C9430,E9430,A9430,"Receive")</f>
        <v/>
      </c>
      <c r="G9430" s="5"/>
      <c r="H9430" s="7" t="s">
        <v>9471</v>
      </c>
      <c r="I9430" s="9">
        <v>1942800</v>
      </c>
      <c r="J9430" s="10">
        <v>0.0378</v>
      </c>
    </row>
    <row r="9431" spans="1:10">
      <c r="A9431" s="7" t="s">
        <v>9465</v>
      </c>
      <c r="B9431" s="7" t="s">
        <v>11298</v>
      </c>
      <c r="C9431" s="8">
        <f>QS.CONTEXT.CREATE("market.9429",A9431,"USD","SOFR")</f>
        <v/>
      </c>
      <c r="D9431" s="8">
        <f>QS.CONTEXT.ADD.CURVE(C9431,"SOFR",$K$2:$K$7,$L$2:$L$7,,,"Actual360","LogLinear",TRUE)</f>
        <v/>
      </c>
      <c r="E9431" s="8">
        <f>QS.INSTRUMENT.SWAP("swap.9429",C9431,H9431,B9431,"USD","SOFR",I9431,J9431,0,"Actual360","Simple","Annual","Annual","Annual")</f>
        <v/>
      </c>
      <c r="F9431" s="8">
        <f>QS.TRADE.CREATE("trade.9429",C9431,E9431,A9431,"Receive")</f>
        <v/>
      </c>
      <c r="G9431" s="5"/>
      <c r="H9431" s="7" t="s">
        <v>9472</v>
      </c>
      <c r="I9431" s="9">
        <v>1942900</v>
      </c>
      <c r="J9431" s="10">
        <v>0.0379</v>
      </c>
    </row>
    <row r="9432" spans="1:10">
      <c r="A9432" s="7" t="s">
        <v>9466</v>
      </c>
      <c r="B9432" s="7" t="s">
        <v>11299</v>
      </c>
      <c r="C9432" s="8">
        <f>QS.CONTEXT.CREATE("market.9430",A9432,"USD","SOFR")</f>
        <v/>
      </c>
      <c r="D9432" s="8">
        <f>QS.CONTEXT.ADD.CURVE(C9432,"SOFR",$K$2:$K$7,$L$2:$L$7,,,"Actual360","LogLinear",TRUE)</f>
        <v/>
      </c>
      <c r="E9432" s="8">
        <f>QS.INSTRUMENT.SWAP("swap.9430",C9432,H9432,B9432,"USD","SOFR",I9432,J9432,0,"Actual360","Simple","Annual","Annual","Annual")</f>
        <v/>
      </c>
      <c r="F9432" s="8">
        <f>QS.TRADE.CREATE("trade.9430",C9432,E9432,A9432,"Receive")</f>
        <v/>
      </c>
      <c r="G9432" s="5"/>
      <c r="H9432" s="7" t="s">
        <v>9473</v>
      </c>
      <c r="I9432" s="9">
        <v>1943000</v>
      </c>
      <c r="J9432" s="10">
        <v>0.03800000000000001</v>
      </c>
    </row>
    <row r="9433" spans="1:10">
      <c r="A9433" s="7" t="s">
        <v>9467</v>
      </c>
      <c r="B9433" s="7" t="s">
        <v>11300</v>
      </c>
      <c r="C9433" s="8">
        <f>QS.CONTEXT.CREATE("market.9431",A9433,"USD","SOFR")</f>
        <v/>
      </c>
      <c r="D9433" s="8">
        <f>QS.CONTEXT.ADD.CURVE(C9433,"SOFR",$K$2:$K$7,$L$2:$L$7,,,"Actual360","LogLinear",TRUE)</f>
        <v/>
      </c>
      <c r="E9433" s="8">
        <f>QS.INSTRUMENT.SWAP("swap.9431",C9433,H9433,B9433,"USD","SOFR",I9433,J9433,0,"Actual360","Simple","Annual","Annual","Annual")</f>
        <v/>
      </c>
      <c r="F9433" s="8">
        <f>QS.TRADE.CREATE("trade.9431",C9433,E9433,A9433,"Receive")</f>
        <v/>
      </c>
      <c r="G9433" s="5"/>
      <c r="H9433" s="7" t="s">
        <v>9474</v>
      </c>
      <c r="I9433" s="9">
        <v>1943100</v>
      </c>
      <c r="J9433" s="10">
        <v>0.0381</v>
      </c>
    </row>
    <row r="9434" spans="1:10">
      <c r="A9434" s="7" t="s">
        <v>9468</v>
      </c>
      <c r="B9434" s="7" t="s">
        <v>11301</v>
      </c>
      <c r="C9434" s="8">
        <f>QS.CONTEXT.CREATE("market.9432",A9434,"USD","SOFR")</f>
        <v/>
      </c>
      <c r="D9434" s="8">
        <f>QS.CONTEXT.ADD.CURVE(C9434,"SOFR",$K$2:$K$7,$L$2:$L$7,,,"Actual360","LogLinear",TRUE)</f>
        <v/>
      </c>
      <c r="E9434" s="8">
        <f>QS.INSTRUMENT.SWAP("swap.9432",C9434,H9434,B9434,"USD","SOFR",I9434,J9434,0,"Actual360","Simple","Annual","Annual","Annual")</f>
        <v/>
      </c>
      <c r="F9434" s="8">
        <f>QS.TRADE.CREATE("trade.9432",C9434,E9434,A9434,"Receive")</f>
        <v/>
      </c>
      <c r="G9434" s="5"/>
      <c r="H9434" s="7" t="s">
        <v>9475</v>
      </c>
      <c r="I9434" s="9">
        <v>1943200</v>
      </c>
      <c r="J9434" s="10">
        <v>0.0382</v>
      </c>
    </row>
    <row r="9435" spans="1:10">
      <c r="A9435" s="7" t="s">
        <v>9469</v>
      </c>
      <c r="B9435" s="7" t="s">
        <v>11302</v>
      </c>
      <c r="C9435" s="8">
        <f>QS.CONTEXT.CREATE("market.9433",A9435,"USD","SOFR")</f>
        <v/>
      </c>
      <c r="D9435" s="8">
        <f>QS.CONTEXT.ADD.CURVE(C9435,"SOFR",$K$2:$K$7,$L$2:$L$7,,,"Actual360","LogLinear",TRUE)</f>
        <v/>
      </c>
      <c r="E9435" s="8">
        <f>QS.INSTRUMENT.SWAP("swap.9433",C9435,H9435,B9435,"USD","SOFR",I9435,J9435,0,"Actual360","Simple","Annual","Annual","Annual")</f>
        <v/>
      </c>
      <c r="F9435" s="8">
        <f>QS.TRADE.CREATE("trade.9433",C9435,E9435,A9435,"Receive")</f>
        <v/>
      </c>
      <c r="G9435" s="5"/>
      <c r="H9435" s="7" t="s">
        <v>9476</v>
      </c>
      <c r="I9435" s="9">
        <v>1943300</v>
      </c>
      <c r="J9435" s="10">
        <v>0.0383</v>
      </c>
    </row>
    <row r="9436" spans="1:10">
      <c r="A9436" s="7" t="s">
        <v>9470</v>
      </c>
      <c r="B9436" s="7" t="s">
        <v>11303</v>
      </c>
      <c r="C9436" s="8">
        <f>QS.CONTEXT.CREATE("market.9434",A9436,"USD","SOFR")</f>
        <v/>
      </c>
      <c r="D9436" s="8">
        <f>QS.CONTEXT.ADD.CURVE(C9436,"SOFR",$K$2:$K$7,$L$2:$L$7,,,"Actual360","LogLinear",TRUE)</f>
        <v/>
      </c>
      <c r="E9436" s="8">
        <f>QS.INSTRUMENT.SWAP("swap.9434",C9436,H9436,B9436,"USD","SOFR",I9436,J9436,0,"Actual360","Simple","Annual","Annual","Annual")</f>
        <v/>
      </c>
      <c r="F9436" s="8">
        <f>QS.TRADE.CREATE("trade.9434",C9436,E9436,A9436,"Receive")</f>
        <v/>
      </c>
      <c r="G9436" s="5"/>
      <c r="H9436" s="7" t="s">
        <v>9477</v>
      </c>
      <c r="I9436" s="9">
        <v>1943400</v>
      </c>
      <c r="J9436" s="10">
        <v>0.0384</v>
      </c>
    </row>
    <row r="9437" spans="1:10">
      <c r="A9437" s="7" t="s">
        <v>9471</v>
      </c>
      <c r="B9437" s="7" t="s">
        <v>11304</v>
      </c>
      <c r="C9437" s="8">
        <f>QS.CONTEXT.CREATE("market.9435",A9437,"USD","SOFR")</f>
        <v/>
      </c>
      <c r="D9437" s="8">
        <f>QS.CONTEXT.ADD.CURVE(C9437,"SOFR",$K$2:$K$7,$L$2:$L$7,,,"Actual360","LogLinear",TRUE)</f>
        <v/>
      </c>
      <c r="E9437" s="8">
        <f>QS.INSTRUMENT.SWAP("swap.9435",C9437,H9437,B9437,"USD","SOFR",I9437,J9437,0,"Actual360","Simple","Annual","Annual","Annual")</f>
        <v/>
      </c>
      <c r="F9437" s="8">
        <f>QS.TRADE.CREATE("trade.9435",C9437,E9437,A9437,"Receive")</f>
        <v/>
      </c>
      <c r="G9437" s="5"/>
      <c r="H9437" s="7" t="s">
        <v>9478</v>
      </c>
      <c r="I9437" s="9">
        <v>1943500</v>
      </c>
      <c r="J9437" s="10">
        <v>0.03850000000000001</v>
      </c>
    </row>
    <row r="9438" spans="1:10">
      <c r="A9438" s="7" t="s">
        <v>9472</v>
      </c>
      <c r="B9438" s="7" t="s">
        <v>11305</v>
      </c>
      <c r="C9438" s="8">
        <f>QS.CONTEXT.CREATE("market.9436",A9438,"USD","SOFR")</f>
        <v/>
      </c>
      <c r="D9438" s="8">
        <f>QS.CONTEXT.ADD.CURVE(C9438,"SOFR",$K$2:$K$7,$L$2:$L$7,,,"Actual360","LogLinear",TRUE)</f>
        <v/>
      </c>
      <c r="E9438" s="8">
        <f>QS.INSTRUMENT.SWAP("swap.9436",C9438,H9438,B9438,"USD","SOFR",I9438,J9438,0,"Actual360","Simple","Annual","Annual","Annual")</f>
        <v/>
      </c>
      <c r="F9438" s="8">
        <f>QS.TRADE.CREATE("trade.9436",C9438,E9438,A9438,"Receive")</f>
        <v/>
      </c>
      <c r="G9438" s="5"/>
      <c r="H9438" s="7" t="s">
        <v>9479</v>
      </c>
      <c r="I9438" s="9">
        <v>1943600</v>
      </c>
      <c r="J9438" s="10">
        <v>0.0386</v>
      </c>
    </row>
    <row r="9439" spans="1:10">
      <c r="A9439" s="7" t="s">
        <v>9473</v>
      </c>
      <c r="B9439" s="7" t="s">
        <v>11306</v>
      </c>
      <c r="C9439" s="8">
        <f>QS.CONTEXT.CREATE("market.9437",A9439,"USD","SOFR")</f>
        <v/>
      </c>
      <c r="D9439" s="8">
        <f>QS.CONTEXT.ADD.CURVE(C9439,"SOFR",$K$2:$K$7,$L$2:$L$7,,,"Actual360","LogLinear",TRUE)</f>
        <v/>
      </c>
      <c r="E9439" s="8">
        <f>QS.INSTRUMENT.SWAP("swap.9437",C9439,H9439,B9439,"USD","SOFR",I9439,J9439,0,"Actual360","Simple","Annual","Annual","Annual")</f>
        <v/>
      </c>
      <c r="F9439" s="8">
        <f>QS.TRADE.CREATE("trade.9437",C9439,E9439,A9439,"Receive")</f>
        <v/>
      </c>
      <c r="G9439" s="5"/>
      <c r="H9439" s="7" t="s">
        <v>9480</v>
      </c>
      <c r="I9439" s="9">
        <v>1943700</v>
      </c>
      <c r="J9439" s="10">
        <v>0.03870000000000001</v>
      </c>
    </row>
    <row r="9440" spans="1:10">
      <c r="A9440" s="7" t="s">
        <v>9474</v>
      </c>
      <c r="B9440" s="7" t="s">
        <v>11307</v>
      </c>
      <c r="C9440" s="8">
        <f>QS.CONTEXT.CREATE("market.9438",A9440,"USD","SOFR")</f>
        <v/>
      </c>
      <c r="D9440" s="8">
        <f>QS.CONTEXT.ADD.CURVE(C9440,"SOFR",$K$2:$K$7,$L$2:$L$7,,,"Actual360","LogLinear",TRUE)</f>
        <v/>
      </c>
      <c r="E9440" s="8">
        <f>QS.INSTRUMENT.SWAP("swap.9438",C9440,H9440,B9440,"USD","SOFR",I9440,J9440,0,"Actual360","Simple","Annual","Annual","Annual")</f>
        <v/>
      </c>
      <c r="F9440" s="8">
        <f>QS.TRADE.CREATE("trade.9438",C9440,E9440,A9440,"Receive")</f>
        <v/>
      </c>
      <c r="G9440" s="5"/>
      <c r="H9440" s="7" t="s">
        <v>9481</v>
      </c>
      <c r="I9440" s="9">
        <v>1943800</v>
      </c>
      <c r="J9440" s="10">
        <v>0.0388</v>
      </c>
    </row>
    <row r="9441" spans="1:10">
      <c r="A9441" s="7" t="s">
        <v>9475</v>
      </c>
      <c r="B9441" s="7" t="s">
        <v>11308</v>
      </c>
      <c r="C9441" s="8">
        <f>QS.CONTEXT.CREATE("market.9439",A9441,"USD","SOFR")</f>
        <v/>
      </c>
      <c r="D9441" s="8">
        <f>QS.CONTEXT.ADD.CURVE(C9441,"SOFR",$K$2:$K$7,$L$2:$L$7,,,"Actual360","LogLinear",TRUE)</f>
        <v/>
      </c>
      <c r="E9441" s="8">
        <f>QS.INSTRUMENT.SWAP("swap.9439",C9441,H9441,B9441,"USD","SOFR",I9441,J9441,0,"Actual360","Simple","Annual","Annual","Annual")</f>
        <v/>
      </c>
      <c r="F9441" s="8">
        <f>QS.TRADE.CREATE("trade.9439",C9441,E9441,A9441,"Receive")</f>
        <v/>
      </c>
      <c r="G9441" s="5"/>
      <c r="H9441" s="7" t="s">
        <v>9482</v>
      </c>
      <c r="I9441" s="9">
        <v>1943900</v>
      </c>
      <c r="J9441" s="10">
        <v>0.0389</v>
      </c>
    </row>
    <row r="9442" spans="1:10">
      <c r="A9442" s="7" t="s">
        <v>9476</v>
      </c>
      <c r="B9442" s="7" t="s">
        <v>11309</v>
      </c>
      <c r="C9442" s="8">
        <f>QS.CONTEXT.CREATE("market.9440",A9442,"USD","SOFR")</f>
        <v/>
      </c>
      <c r="D9442" s="8">
        <f>QS.CONTEXT.ADD.CURVE(C9442,"SOFR",$K$2:$K$7,$L$2:$L$7,,,"Actual360","LogLinear",TRUE)</f>
        <v/>
      </c>
      <c r="E9442" s="8">
        <f>QS.INSTRUMENT.SWAP("swap.9440",C9442,H9442,B9442,"USD","SOFR",I9442,J9442,0,"Actual360","Simple","Annual","Annual","Annual")</f>
        <v/>
      </c>
      <c r="F9442" s="8">
        <f>QS.TRADE.CREATE("trade.9440",C9442,E9442,A9442,"Receive")</f>
        <v/>
      </c>
      <c r="G9442" s="5"/>
      <c r="H9442" s="7" t="s">
        <v>9483</v>
      </c>
      <c r="I9442" s="9">
        <v>1944000</v>
      </c>
      <c r="J9442" s="10">
        <v>0.03900000000000001</v>
      </c>
    </row>
    <row r="9443" spans="1:10">
      <c r="A9443" s="7" t="s">
        <v>9477</v>
      </c>
      <c r="B9443" s="7" t="s">
        <v>11310</v>
      </c>
      <c r="C9443" s="8">
        <f>QS.CONTEXT.CREATE("market.9441",A9443,"USD","SOFR")</f>
        <v/>
      </c>
      <c r="D9443" s="8">
        <f>QS.CONTEXT.ADD.CURVE(C9443,"SOFR",$K$2:$K$7,$L$2:$L$7,,,"Actual360","LogLinear",TRUE)</f>
        <v/>
      </c>
      <c r="E9443" s="8">
        <f>QS.INSTRUMENT.SWAP("swap.9441",C9443,H9443,B9443,"USD","SOFR",I9443,J9443,0,"Actual360","Simple","Annual","Annual","Annual")</f>
        <v/>
      </c>
      <c r="F9443" s="8">
        <f>QS.TRADE.CREATE("trade.9441",C9443,E9443,A9443,"Receive")</f>
        <v/>
      </c>
      <c r="G9443" s="5"/>
      <c r="H9443" s="7" t="s">
        <v>9484</v>
      </c>
      <c r="I9443" s="9">
        <v>1944100</v>
      </c>
      <c r="J9443" s="10">
        <v>0.0391</v>
      </c>
    </row>
    <row r="9444" spans="1:10">
      <c r="A9444" s="7" t="s">
        <v>9478</v>
      </c>
      <c r="B9444" s="7" t="s">
        <v>11311</v>
      </c>
      <c r="C9444" s="8">
        <f>QS.CONTEXT.CREATE("market.9442",A9444,"USD","SOFR")</f>
        <v/>
      </c>
      <c r="D9444" s="8">
        <f>QS.CONTEXT.ADD.CURVE(C9444,"SOFR",$K$2:$K$7,$L$2:$L$7,,,"Actual360","LogLinear",TRUE)</f>
        <v/>
      </c>
      <c r="E9444" s="8">
        <f>QS.INSTRUMENT.SWAP("swap.9442",C9444,H9444,B9444,"USD","SOFR",I9444,J9444,0,"Actual360","Simple","Annual","Annual","Annual")</f>
        <v/>
      </c>
      <c r="F9444" s="8">
        <f>QS.TRADE.CREATE("trade.9442",C9444,E9444,A9444,"Receive")</f>
        <v/>
      </c>
      <c r="G9444" s="5"/>
      <c r="H9444" s="7" t="s">
        <v>9485</v>
      </c>
      <c r="I9444" s="9">
        <v>1944200</v>
      </c>
      <c r="J9444" s="10">
        <v>0.03920000000000001</v>
      </c>
    </row>
    <row r="9445" spans="1:10">
      <c r="A9445" s="7" t="s">
        <v>9479</v>
      </c>
      <c r="B9445" s="7" t="s">
        <v>11312</v>
      </c>
      <c r="C9445" s="8">
        <f>QS.CONTEXT.CREATE("market.9443",A9445,"USD","SOFR")</f>
        <v/>
      </c>
      <c r="D9445" s="8">
        <f>QS.CONTEXT.ADD.CURVE(C9445,"SOFR",$K$2:$K$7,$L$2:$L$7,,,"Actual360","LogLinear",TRUE)</f>
        <v/>
      </c>
      <c r="E9445" s="8">
        <f>QS.INSTRUMENT.SWAP("swap.9443",C9445,H9445,B9445,"USD","SOFR",I9445,J9445,0,"Actual360","Simple","Annual","Annual","Annual")</f>
        <v/>
      </c>
      <c r="F9445" s="8">
        <f>QS.TRADE.CREATE("trade.9443",C9445,E9445,A9445,"Receive")</f>
        <v/>
      </c>
      <c r="G9445" s="5"/>
      <c r="H9445" s="7" t="s">
        <v>9486</v>
      </c>
      <c r="I9445" s="9">
        <v>1944300</v>
      </c>
      <c r="J9445" s="10">
        <v>0.0393</v>
      </c>
    </row>
    <row r="9446" spans="1:10">
      <c r="A9446" s="7" t="s">
        <v>9480</v>
      </c>
      <c r="B9446" s="7" t="s">
        <v>11313</v>
      </c>
      <c r="C9446" s="8">
        <f>QS.CONTEXT.CREATE("market.9444",A9446,"USD","SOFR")</f>
        <v/>
      </c>
      <c r="D9446" s="8">
        <f>QS.CONTEXT.ADD.CURVE(C9446,"SOFR",$K$2:$K$7,$L$2:$L$7,,,"Actual360","LogLinear",TRUE)</f>
        <v/>
      </c>
      <c r="E9446" s="8">
        <f>QS.INSTRUMENT.SWAP("swap.9444",C9446,H9446,B9446,"USD","SOFR",I9446,J9446,0,"Actual360","Simple","Annual","Annual","Annual")</f>
        <v/>
      </c>
      <c r="F9446" s="8">
        <f>QS.TRADE.CREATE("trade.9444",C9446,E9446,A9446,"Receive")</f>
        <v/>
      </c>
      <c r="G9446" s="5"/>
      <c r="H9446" s="7" t="s">
        <v>9487</v>
      </c>
      <c r="I9446" s="9">
        <v>1944400</v>
      </c>
      <c r="J9446" s="10">
        <v>0.0394</v>
      </c>
    </row>
    <row r="9447" spans="1:10">
      <c r="A9447" s="7" t="s">
        <v>9481</v>
      </c>
      <c r="B9447" s="7" t="s">
        <v>11314</v>
      </c>
      <c r="C9447" s="8">
        <f>QS.CONTEXT.CREATE("market.9445",A9447,"USD","SOFR")</f>
        <v/>
      </c>
      <c r="D9447" s="8">
        <f>QS.CONTEXT.ADD.CURVE(C9447,"SOFR",$K$2:$K$7,$L$2:$L$7,,,"Actual360","LogLinear",TRUE)</f>
        <v/>
      </c>
      <c r="E9447" s="8">
        <f>QS.INSTRUMENT.SWAP("swap.9445",C9447,H9447,B9447,"USD","SOFR",I9447,J9447,0,"Actual360","Simple","Annual","Annual","Annual")</f>
        <v/>
      </c>
      <c r="F9447" s="8">
        <f>QS.TRADE.CREATE("trade.9445",C9447,E9447,A9447,"Receive")</f>
        <v/>
      </c>
      <c r="G9447" s="5"/>
      <c r="H9447" s="7" t="s">
        <v>9488</v>
      </c>
      <c r="I9447" s="9">
        <v>1944500</v>
      </c>
      <c r="J9447" s="10">
        <v>0.03950000000000001</v>
      </c>
    </row>
    <row r="9448" spans="1:10">
      <c r="A9448" s="7" t="s">
        <v>9482</v>
      </c>
      <c r="B9448" s="7" t="s">
        <v>11315</v>
      </c>
      <c r="C9448" s="8">
        <f>QS.CONTEXT.CREATE("market.9446",A9448,"USD","SOFR")</f>
        <v/>
      </c>
      <c r="D9448" s="8">
        <f>QS.CONTEXT.ADD.CURVE(C9448,"SOFR",$K$2:$K$7,$L$2:$L$7,,,"Actual360","LogLinear",TRUE)</f>
        <v/>
      </c>
      <c r="E9448" s="8">
        <f>QS.INSTRUMENT.SWAP("swap.9446",C9448,H9448,B9448,"USD","SOFR",I9448,J9448,0,"Actual360","Simple","Annual","Annual","Annual")</f>
        <v/>
      </c>
      <c r="F9448" s="8">
        <f>QS.TRADE.CREATE("trade.9446",C9448,E9448,A9448,"Receive")</f>
        <v/>
      </c>
      <c r="G9448" s="5"/>
      <c r="H9448" s="7" t="s">
        <v>9489</v>
      </c>
      <c r="I9448" s="9">
        <v>1944600</v>
      </c>
      <c r="J9448" s="10">
        <v>0.0396</v>
      </c>
    </row>
    <row r="9449" spans="1:10">
      <c r="A9449" s="7" t="s">
        <v>9483</v>
      </c>
      <c r="B9449" s="7" t="s">
        <v>11316</v>
      </c>
      <c r="C9449" s="8">
        <f>QS.CONTEXT.CREATE("market.9447",A9449,"USD","SOFR")</f>
        <v/>
      </c>
      <c r="D9449" s="8">
        <f>QS.CONTEXT.ADD.CURVE(C9449,"SOFR",$K$2:$K$7,$L$2:$L$7,,,"Actual360","LogLinear",TRUE)</f>
        <v/>
      </c>
      <c r="E9449" s="8">
        <f>QS.INSTRUMENT.SWAP("swap.9447",C9449,H9449,B9449,"USD","SOFR",I9449,J9449,0,"Actual360","Simple","Annual","Annual","Annual")</f>
        <v/>
      </c>
      <c r="F9449" s="8">
        <f>QS.TRADE.CREATE("trade.9447",C9449,E9449,A9449,"Receive")</f>
        <v/>
      </c>
      <c r="G9449" s="5"/>
      <c r="H9449" s="7" t="s">
        <v>9490</v>
      </c>
      <c r="I9449" s="9">
        <v>1944700</v>
      </c>
      <c r="J9449" s="10">
        <v>0.03970000000000001</v>
      </c>
    </row>
    <row r="9450" spans="1:10">
      <c r="A9450" s="7" t="s">
        <v>9484</v>
      </c>
      <c r="B9450" s="7" t="s">
        <v>11317</v>
      </c>
      <c r="C9450" s="8">
        <f>QS.CONTEXT.CREATE("market.9448",A9450,"USD","SOFR")</f>
        <v/>
      </c>
      <c r="D9450" s="8">
        <f>QS.CONTEXT.ADD.CURVE(C9450,"SOFR",$K$2:$K$7,$L$2:$L$7,,,"Actual360","LogLinear",TRUE)</f>
        <v/>
      </c>
      <c r="E9450" s="8">
        <f>QS.INSTRUMENT.SWAP("swap.9448",C9450,H9450,B9450,"USD","SOFR",I9450,J9450,0,"Actual360","Simple","Annual","Annual","Annual")</f>
        <v/>
      </c>
      <c r="F9450" s="8">
        <f>QS.TRADE.CREATE("trade.9448",C9450,E9450,A9450,"Receive")</f>
        <v/>
      </c>
      <c r="G9450" s="5"/>
      <c r="H9450" s="7" t="s">
        <v>9491</v>
      </c>
      <c r="I9450" s="9">
        <v>1944800</v>
      </c>
      <c r="J9450" s="10">
        <v>0.0398</v>
      </c>
    </row>
    <row r="9451" spans="1:10">
      <c r="A9451" s="7" t="s">
        <v>9485</v>
      </c>
      <c r="B9451" s="7" t="s">
        <v>11318</v>
      </c>
      <c r="C9451" s="8">
        <f>QS.CONTEXT.CREATE("market.9449",A9451,"USD","SOFR")</f>
        <v/>
      </c>
      <c r="D9451" s="8">
        <f>QS.CONTEXT.ADD.CURVE(C9451,"SOFR",$K$2:$K$7,$L$2:$L$7,,,"Actual360","LogLinear",TRUE)</f>
        <v/>
      </c>
      <c r="E9451" s="8">
        <f>QS.INSTRUMENT.SWAP("swap.9449",C9451,H9451,B9451,"USD","SOFR",I9451,J9451,0,"Actual360","Simple","Annual","Annual","Annual")</f>
        <v/>
      </c>
      <c r="F9451" s="8">
        <f>QS.TRADE.CREATE("trade.9449",C9451,E9451,A9451,"Receive")</f>
        <v/>
      </c>
      <c r="G9451" s="5"/>
      <c r="H9451" s="7" t="s">
        <v>9492</v>
      </c>
      <c r="I9451" s="9">
        <v>1944900</v>
      </c>
      <c r="J9451" s="10">
        <v>0.0399</v>
      </c>
    </row>
    <row r="9452" spans="1:10">
      <c r="A9452" s="7" t="s">
        <v>9486</v>
      </c>
      <c r="B9452" s="7" t="s">
        <v>11319</v>
      </c>
      <c r="C9452" s="8">
        <f>QS.CONTEXT.CREATE("market.9450",A9452,"USD","SOFR")</f>
        <v/>
      </c>
      <c r="D9452" s="8">
        <f>QS.CONTEXT.ADD.CURVE(C9452,"SOFR",$K$2:$K$7,$L$2:$L$7,,,"Actual360","LogLinear",TRUE)</f>
        <v/>
      </c>
      <c r="E9452" s="8">
        <f>QS.INSTRUMENT.SWAP("swap.9450",C9452,H9452,B9452,"USD","SOFR",I9452,J9452,0,"Actual360","Simple","Annual","Annual","Annual")</f>
        <v/>
      </c>
      <c r="F9452" s="8">
        <f>QS.TRADE.CREATE("trade.9450",C9452,E9452,A9452,"Receive")</f>
        <v/>
      </c>
      <c r="G9452" s="5"/>
      <c r="H9452" s="7" t="s">
        <v>9493</v>
      </c>
      <c r="I9452" s="9">
        <v>1945000</v>
      </c>
      <c r="J9452" s="10">
        <v>0.035</v>
      </c>
    </row>
    <row r="9453" spans="1:10">
      <c r="A9453" s="7" t="s">
        <v>9487</v>
      </c>
      <c r="B9453" s="7" t="s">
        <v>11320</v>
      </c>
      <c r="C9453" s="8">
        <f>QS.CONTEXT.CREATE("market.9451",A9453,"USD","SOFR")</f>
        <v/>
      </c>
      <c r="D9453" s="8">
        <f>QS.CONTEXT.ADD.CURVE(C9453,"SOFR",$K$2:$K$7,$L$2:$L$7,,,"Actual360","LogLinear",TRUE)</f>
        <v/>
      </c>
      <c r="E9453" s="8">
        <f>QS.INSTRUMENT.SWAP("swap.9451",C9453,H9453,B9453,"USD","SOFR",I9453,J9453,0,"Actual360","Simple","Annual","Annual","Annual")</f>
        <v/>
      </c>
      <c r="F9453" s="8">
        <f>QS.TRADE.CREATE("trade.9451",C9453,E9453,A9453,"Receive")</f>
        <v/>
      </c>
      <c r="G9453" s="5"/>
      <c r="H9453" s="7" t="s">
        <v>9494</v>
      </c>
      <c r="I9453" s="9">
        <v>1945100</v>
      </c>
      <c r="J9453" s="10">
        <v>0.03510000000000001</v>
      </c>
    </row>
    <row r="9454" spans="1:10">
      <c r="A9454" s="7" t="s">
        <v>9488</v>
      </c>
      <c r="B9454" s="7" t="s">
        <v>11321</v>
      </c>
      <c r="C9454" s="8">
        <f>QS.CONTEXT.CREATE("market.9452",A9454,"USD","SOFR")</f>
        <v/>
      </c>
      <c r="D9454" s="8">
        <f>QS.CONTEXT.ADD.CURVE(C9454,"SOFR",$K$2:$K$7,$L$2:$L$7,,,"Actual360","LogLinear",TRUE)</f>
        <v/>
      </c>
      <c r="E9454" s="8">
        <f>QS.INSTRUMENT.SWAP("swap.9452",C9454,H9454,B9454,"USD","SOFR",I9454,J9454,0,"Actual360","Simple","Annual","Annual","Annual")</f>
        <v/>
      </c>
      <c r="F9454" s="8">
        <f>QS.TRADE.CREATE("trade.9452",C9454,E9454,A9454,"Receive")</f>
        <v/>
      </c>
      <c r="G9454" s="5"/>
      <c r="H9454" s="7" t="s">
        <v>9495</v>
      </c>
      <c r="I9454" s="9">
        <v>1945200</v>
      </c>
      <c r="J9454" s="10">
        <v>0.0352</v>
      </c>
    </row>
    <row r="9455" spans="1:10">
      <c r="A9455" s="7" t="s">
        <v>9489</v>
      </c>
      <c r="B9455" s="7" t="s">
        <v>11322</v>
      </c>
      <c r="C9455" s="8">
        <f>QS.CONTEXT.CREATE("market.9453",A9455,"USD","SOFR")</f>
        <v/>
      </c>
      <c r="D9455" s="8">
        <f>QS.CONTEXT.ADD.CURVE(C9455,"SOFR",$K$2:$K$7,$L$2:$L$7,,,"Actual360","LogLinear",TRUE)</f>
        <v/>
      </c>
      <c r="E9455" s="8">
        <f>QS.INSTRUMENT.SWAP("swap.9453",C9455,H9455,B9455,"USD","SOFR",I9455,J9455,0,"Actual360","Simple","Annual","Annual","Annual")</f>
        <v/>
      </c>
      <c r="F9455" s="8">
        <f>QS.TRADE.CREATE("trade.9453",C9455,E9455,A9455,"Receive")</f>
        <v/>
      </c>
      <c r="G9455" s="5"/>
      <c r="H9455" s="7" t="s">
        <v>9496</v>
      </c>
      <c r="I9455" s="9">
        <v>1945300</v>
      </c>
      <c r="J9455" s="10">
        <v>0.0353</v>
      </c>
    </row>
    <row r="9456" spans="1:10">
      <c r="A9456" s="7" t="s">
        <v>9490</v>
      </c>
      <c r="B9456" s="7" t="s">
        <v>11323</v>
      </c>
      <c r="C9456" s="8">
        <f>QS.CONTEXT.CREATE("market.9454",A9456,"USD","SOFR")</f>
        <v/>
      </c>
      <c r="D9456" s="8">
        <f>QS.CONTEXT.ADD.CURVE(C9456,"SOFR",$K$2:$K$7,$L$2:$L$7,,,"Actual360","LogLinear",TRUE)</f>
        <v/>
      </c>
      <c r="E9456" s="8">
        <f>QS.INSTRUMENT.SWAP("swap.9454",C9456,H9456,B9456,"USD","SOFR",I9456,J9456,0,"Actual360","Simple","Annual","Annual","Annual")</f>
        <v/>
      </c>
      <c r="F9456" s="8">
        <f>QS.TRADE.CREATE("trade.9454",C9456,E9456,A9456,"Receive")</f>
        <v/>
      </c>
      <c r="G9456" s="5"/>
      <c r="H9456" s="7" t="s">
        <v>9497</v>
      </c>
      <c r="I9456" s="9">
        <v>1945400</v>
      </c>
      <c r="J9456" s="10">
        <v>0.0354</v>
      </c>
    </row>
    <row r="9457" spans="1:10">
      <c r="A9457" s="7" t="s">
        <v>9491</v>
      </c>
      <c r="B9457" s="7" t="s">
        <v>11324</v>
      </c>
      <c r="C9457" s="8">
        <f>QS.CONTEXT.CREATE("market.9455",A9457,"USD","SOFR")</f>
        <v/>
      </c>
      <c r="D9457" s="8">
        <f>QS.CONTEXT.ADD.CURVE(C9457,"SOFR",$K$2:$K$7,$L$2:$L$7,,,"Actual360","LogLinear",TRUE)</f>
        <v/>
      </c>
      <c r="E9457" s="8">
        <f>QS.INSTRUMENT.SWAP("swap.9455",C9457,H9457,B9457,"USD","SOFR",I9457,J9457,0,"Actual360","Simple","Annual","Annual","Annual")</f>
        <v/>
      </c>
      <c r="F9457" s="8">
        <f>QS.TRADE.CREATE("trade.9455",C9457,E9457,A9457,"Receive")</f>
        <v/>
      </c>
      <c r="G9457" s="5"/>
      <c r="H9457" s="7" t="s">
        <v>9498</v>
      </c>
      <c r="I9457" s="9">
        <v>1945500</v>
      </c>
      <c r="J9457" s="10">
        <v>0.0355</v>
      </c>
    </row>
    <row r="9458" spans="1:10">
      <c r="A9458" s="7" t="s">
        <v>9492</v>
      </c>
      <c r="B9458" s="7" t="s">
        <v>11325</v>
      </c>
      <c r="C9458" s="8">
        <f>QS.CONTEXT.CREATE("market.9456",A9458,"USD","SOFR")</f>
        <v/>
      </c>
      <c r="D9458" s="8">
        <f>QS.CONTEXT.ADD.CURVE(C9458,"SOFR",$K$2:$K$7,$L$2:$L$7,,,"Actual360","LogLinear",TRUE)</f>
        <v/>
      </c>
      <c r="E9458" s="8">
        <f>QS.INSTRUMENT.SWAP("swap.9456",C9458,H9458,B9458,"USD","SOFR",I9458,J9458,0,"Actual360","Simple","Annual","Annual","Annual")</f>
        <v/>
      </c>
      <c r="F9458" s="8">
        <f>QS.TRADE.CREATE("trade.9456",C9458,E9458,A9458,"Receive")</f>
        <v/>
      </c>
      <c r="G9458" s="5"/>
      <c r="H9458" s="7" t="s">
        <v>9499</v>
      </c>
      <c r="I9458" s="9">
        <v>1945600</v>
      </c>
      <c r="J9458" s="10">
        <v>0.03560000000000001</v>
      </c>
    </row>
    <row r="9459" spans="1:10">
      <c r="A9459" s="7" t="s">
        <v>9493</v>
      </c>
      <c r="B9459" s="7" t="s">
        <v>11326</v>
      </c>
      <c r="C9459" s="8">
        <f>QS.CONTEXT.CREATE("market.9457",A9459,"USD","SOFR")</f>
        <v/>
      </c>
      <c r="D9459" s="8">
        <f>QS.CONTEXT.ADD.CURVE(C9459,"SOFR",$K$2:$K$7,$L$2:$L$7,,,"Actual360","LogLinear",TRUE)</f>
        <v/>
      </c>
      <c r="E9459" s="8">
        <f>QS.INSTRUMENT.SWAP("swap.9457",C9459,H9459,B9459,"USD","SOFR",I9459,J9459,0,"Actual360","Simple","Annual","Annual","Annual")</f>
        <v/>
      </c>
      <c r="F9459" s="8">
        <f>QS.TRADE.CREATE("trade.9457",C9459,E9459,A9459,"Receive")</f>
        <v/>
      </c>
      <c r="G9459" s="5"/>
      <c r="H9459" s="7" t="s">
        <v>9500</v>
      </c>
      <c r="I9459" s="9">
        <v>1945700</v>
      </c>
      <c r="J9459" s="10">
        <v>0.0357</v>
      </c>
    </row>
    <row r="9460" spans="1:10">
      <c r="A9460" s="7" t="s">
        <v>9494</v>
      </c>
      <c r="B9460" s="7" t="s">
        <v>11327</v>
      </c>
      <c r="C9460" s="8">
        <f>QS.CONTEXT.CREATE("market.9458",A9460,"USD","SOFR")</f>
        <v/>
      </c>
      <c r="D9460" s="8">
        <f>QS.CONTEXT.ADD.CURVE(C9460,"SOFR",$K$2:$K$7,$L$2:$L$7,,,"Actual360","LogLinear",TRUE)</f>
        <v/>
      </c>
      <c r="E9460" s="8">
        <f>QS.INSTRUMENT.SWAP("swap.9458",C9460,H9460,B9460,"USD","SOFR",I9460,J9460,0,"Actual360","Simple","Annual","Annual","Annual")</f>
        <v/>
      </c>
      <c r="F9460" s="8">
        <f>QS.TRADE.CREATE("trade.9458",C9460,E9460,A9460,"Receive")</f>
        <v/>
      </c>
      <c r="G9460" s="5"/>
      <c r="H9460" s="7" t="s">
        <v>9501</v>
      </c>
      <c r="I9460" s="9">
        <v>1945800</v>
      </c>
      <c r="J9460" s="10">
        <v>0.03580000000000001</v>
      </c>
    </row>
    <row r="9461" spans="1:10">
      <c r="A9461" s="7" t="s">
        <v>9495</v>
      </c>
      <c r="B9461" s="7" t="s">
        <v>11328</v>
      </c>
      <c r="C9461" s="8">
        <f>QS.CONTEXT.CREATE("market.9459",A9461,"USD","SOFR")</f>
        <v/>
      </c>
      <c r="D9461" s="8">
        <f>QS.CONTEXT.ADD.CURVE(C9461,"SOFR",$K$2:$K$7,$L$2:$L$7,,,"Actual360","LogLinear",TRUE)</f>
        <v/>
      </c>
      <c r="E9461" s="8">
        <f>QS.INSTRUMENT.SWAP("swap.9459",C9461,H9461,B9461,"USD","SOFR",I9461,J9461,0,"Actual360","Simple","Annual","Annual","Annual")</f>
        <v/>
      </c>
      <c r="F9461" s="8">
        <f>QS.TRADE.CREATE("trade.9459",C9461,E9461,A9461,"Receive")</f>
        <v/>
      </c>
      <c r="G9461" s="5"/>
      <c r="H9461" s="7" t="s">
        <v>9502</v>
      </c>
      <c r="I9461" s="9">
        <v>1945900</v>
      </c>
      <c r="J9461" s="10">
        <v>0.0359</v>
      </c>
    </row>
    <row r="9462" spans="1:10">
      <c r="A9462" s="7" t="s">
        <v>9496</v>
      </c>
      <c r="B9462" s="7" t="s">
        <v>11329</v>
      </c>
      <c r="C9462" s="8">
        <f>QS.CONTEXT.CREATE("market.9460",A9462,"USD","SOFR")</f>
        <v/>
      </c>
      <c r="D9462" s="8">
        <f>QS.CONTEXT.ADD.CURVE(C9462,"SOFR",$K$2:$K$7,$L$2:$L$7,,,"Actual360","LogLinear",TRUE)</f>
        <v/>
      </c>
      <c r="E9462" s="8">
        <f>QS.INSTRUMENT.SWAP("swap.9460",C9462,H9462,B9462,"USD","SOFR",I9462,J9462,0,"Actual360","Simple","Annual","Annual","Annual")</f>
        <v/>
      </c>
      <c r="F9462" s="8">
        <f>QS.TRADE.CREATE("trade.9460",C9462,E9462,A9462,"Receive")</f>
        <v/>
      </c>
      <c r="G9462" s="5"/>
      <c r="H9462" s="7" t="s">
        <v>9503</v>
      </c>
      <c r="I9462" s="9">
        <v>1946000</v>
      </c>
      <c r="J9462" s="10">
        <v>0.036</v>
      </c>
    </row>
    <row r="9463" spans="1:10">
      <c r="A9463" s="7" t="s">
        <v>9497</v>
      </c>
      <c r="B9463" s="7" t="s">
        <v>11330</v>
      </c>
      <c r="C9463" s="8">
        <f>QS.CONTEXT.CREATE("market.9461",A9463,"USD","SOFR")</f>
        <v/>
      </c>
      <c r="D9463" s="8">
        <f>QS.CONTEXT.ADD.CURVE(C9463,"SOFR",$K$2:$K$7,$L$2:$L$7,,,"Actual360","LogLinear",TRUE)</f>
        <v/>
      </c>
      <c r="E9463" s="8">
        <f>QS.INSTRUMENT.SWAP("swap.9461",C9463,H9463,B9463,"USD","SOFR",I9463,J9463,0,"Actual360","Simple","Annual","Annual","Annual")</f>
        <v/>
      </c>
      <c r="F9463" s="8">
        <f>QS.TRADE.CREATE("trade.9461",C9463,E9463,A9463,"Receive")</f>
        <v/>
      </c>
      <c r="G9463" s="5"/>
      <c r="H9463" s="7" t="s">
        <v>9504</v>
      </c>
      <c r="I9463" s="9">
        <v>1946100</v>
      </c>
      <c r="J9463" s="10">
        <v>0.0361</v>
      </c>
    </row>
    <row r="9464" spans="1:10">
      <c r="A9464" s="7" t="s">
        <v>9498</v>
      </c>
      <c r="B9464" s="7" t="s">
        <v>11331</v>
      </c>
      <c r="C9464" s="8">
        <f>QS.CONTEXT.CREATE("market.9462",A9464,"USD","SOFR")</f>
        <v/>
      </c>
      <c r="D9464" s="8">
        <f>QS.CONTEXT.ADD.CURVE(C9464,"SOFR",$K$2:$K$7,$L$2:$L$7,,,"Actual360","LogLinear",TRUE)</f>
        <v/>
      </c>
      <c r="E9464" s="8">
        <f>QS.INSTRUMENT.SWAP("swap.9462",C9464,H9464,B9464,"USD","SOFR",I9464,J9464,0,"Actual360","Simple","Annual","Annual","Annual")</f>
        <v/>
      </c>
      <c r="F9464" s="8">
        <f>QS.TRADE.CREATE("trade.9462",C9464,E9464,A9464,"Receive")</f>
        <v/>
      </c>
      <c r="G9464" s="5"/>
      <c r="H9464" s="7" t="s">
        <v>9505</v>
      </c>
      <c r="I9464" s="9">
        <v>1946200</v>
      </c>
      <c r="J9464" s="10">
        <v>0.0362</v>
      </c>
    </row>
    <row r="9465" spans="1:10">
      <c r="A9465" s="7" t="s">
        <v>9499</v>
      </c>
      <c r="B9465" s="7" t="s">
        <v>11332</v>
      </c>
      <c r="C9465" s="8">
        <f>QS.CONTEXT.CREATE("market.9463",A9465,"USD","SOFR")</f>
        <v/>
      </c>
      <c r="D9465" s="8">
        <f>QS.CONTEXT.ADD.CURVE(C9465,"SOFR",$K$2:$K$7,$L$2:$L$7,,,"Actual360","LogLinear",TRUE)</f>
        <v/>
      </c>
      <c r="E9465" s="8">
        <f>QS.INSTRUMENT.SWAP("swap.9463",C9465,H9465,B9465,"USD","SOFR",I9465,J9465,0,"Actual360","Simple","Annual","Annual","Annual")</f>
        <v/>
      </c>
      <c r="F9465" s="8">
        <f>QS.TRADE.CREATE("trade.9463",C9465,E9465,A9465,"Receive")</f>
        <v/>
      </c>
      <c r="G9465" s="5"/>
      <c r="H9465" s="7" t="s">
        <v>9506</v>
      </c>
      <c r="I9465" s="9">
        <v>1946300</v>
      </c>
      <c r="J9465" s="10">
        <v>0.03630000000000001</v>
      </c>
    </row>
    <row r="9466" spans="1:10">
      <c r="A9466" s="7" t="s">
        <v>9500</v>
      </c>
      <c r="B9466" s="7" t="s">
        <v>11333</v>
      </c>
      <c r="C9466" s="8">
        <f>QS.CONTEXT.CREATE("market.9464",A9466,"USD","SOFR")</f>
        <v/>
      </c>
      <c r="D9466" s="8">
        <f>QS.CONTEXT.ADD.CURVE(C9466,"SOFR",$K$2:$K$7,$L$2:$L$7,,,"Actual360","LogLinear",TRUE)</f>
        <v/>
      </c>
      <c r="E9466" s="8">
        <f>QS.INSTRUMENT.SWAP("swap.9464",C9466,H9466,B9466,"USD","SOFR",I9466,J9466,0,"Actual360","Simple","Annual","Annual","Annual")</f>
        <v/>
      </c>
      <c r="F9466" s="8">
        <f>QS.TRADE.CREATE("trade.9464",C9466,E9466,A9466,"Receive")</f>
        <v/>
      </c>
      <c r="G9466" s="5"/>
      <c r="H9466" s="7" t="s">
        <v>9507</v>
      </c>
      <c r="I9466" s="9">
        <v>1946400</v>
      </c>
      <c r="J9466" s="10">
        <v>0.0364</v>
      </c>
    </row>
    <row r="9467" spans="1:10">
      <c r="A9467" s="7" t="s">
        <v>9501</v>
      </c>
      <c r="B9467" s="7" t="s">
        <v>11334</v>
      </c>
      <c r="C9467" s="8">
        <f>QS.CONTEXT.CREATE("market.9465",A9467,"USD","SOFR")</f>
        <v/>
      </c>
      <c r="D9467" s="8">
        <f>QS.CONTEXT.ADD.CURVE(C9467,"SOFR",$K$2:$K$7,$L$2:$L$7,,,"Actual360","LogLinear",TRUE)</f>
        <v/>
      </c>
      <c r="E9467" s="8">
        <f>QS.INSTRUMENT.SWAP("swap.9465",C9467,H9467,B9467,"USD","SOFR",I9467,J9467,0,"Actual360","Simple","Annual","Annual","Annual")</f>
        <v/>
      </c>
      <c r="F9467" s="8">
        <f>QS.TRADE.CREATE("trade.9465",C9467,E9467,A9467,"Receive")</f>
        <v/>
      </c>
      <c r="G9467" s="5"/>
      <c r="H9467" s="7" t="s">
        <v>9508</v>
      </c>
      <c r="I9467" s="9">
        <v>1946500</v>
      </c>
      <c r="J9467" s="10">
        <v>0.0365</v>
      </c>
    </row>
    <row r="9468" spans="1:10">
      <c r="A9468" s="7" t="s">
        <v>9502</v>
      </c>
      <c r="B9468" s="7" t="s">
        <v>11335</v>
      </c>
      <c r="C9468" s="8">
        <f>QS.CONTEXT.CREATE("market.9466",A9468,"USD","SOFR")</f>
        <v/>
      </c>
      <c r="D9468" s="8">
        <f>QS.CONTEXT.ADD.CURVE(C9468,"SOFR",$K$2:$K$7,$L$2:$L$7,,,"Actual360","LogLinear",TRUE)</f>
        <v/>
      </c>
      <c r="E9468" s="8">
        <f>QS.INSTRUMENT.SWAP("swap.9466",C9468,H9468,B9468,"USD","SOFR",I9468,J9468,0,"Actual360","Simple","Annual","Annual","Annual")</f>
        <v/>
      </c>
      <c r="F9468" s="8">
        <f>QS.TRADE.CREATE("trade.9466",C9468,E9468,A9468,"Receive")</f>
        <v/>
      </c>
      <c r="G9468" s="5"/>
      <c r="H9468" s="7" t="s">
        <v>9509</v>
      </c>
      <c r="I9468" s="9">
        <v>1946600</v>
      </c>
      <c r="J9468" s="10">
        <v>0.0366</v>
      </c>
    </row>
    <row r="9469" spans="1:10">
      <c r="A9469" s="7" t="s">
        <v>9503</v>
      </c>
      <c r="B9469" s="7" t="s">
        <v>11336</v>
      </c>
      <c r="C9469" s="8">
        <f>QS.CONTEXT.CREATE("market.9467",A9469,"USD","SOFR")</f>
        <v/>
      </c>
      <c r="D9469" s="8">
        <f>QS.CONTEXT.ADD.CURVE(C9469,"SOFR",$K$2:$K$7,$L$2:$L$7,,,"Actual360","LogLinear",TRUE)</f>
        <v/>
      </c>
      <c r="E9469" s="8">
        <f>QS.INSTRUMENT.SWAP("swap.9467",C9469,H9469,B9469,"USD","SOFR",I9469,J9469,0,"Actual360","Simple","Annual","Annual","Annual")</f>
        <v/>
      </c>
      <c r="F9469" s="8">
        <f>QS.TRADE.CREATE("trade.9467",C9469,E9469,A9469,"Receive")</f>
        <v/>
      </c>
      <c r="G9469" s="5"/>
      <c r="H9469" s="7" t="s">
        <v>9510</v>
      </c>
      <c r="I9469" s="9">
        <v>1946700</v>
      </c>
      <c r="J9469" s="10">
        <v>0.0367</v>
      </c>
    </row>
    <row r="9470" spans="1:10">
      <c r="A9470" s="7" t="s">
        <v>9504</v>
      </c>
      <c r="B9470" s="7" t="s">
        <v>11337</v>
      </c>
      <c r="C9470" s="8">
        <f>QS.CONTEXT.CREATE("market.9468",A9470,"USD","SOFR")</f>
        <v/>
      </c>
      <c r="D9470" s="8">
        <f>QS.CONTEXT.ADD.CURVE(C9470,"SOFR",$K$2:$K$7,$L$2:$L$7,,,"Actual360","LogLinear",TRUE)</f>
        <v/>
      </c>
      <c r="E9470" s="8">
        <f>QS.INSTRUMENT.SWAP("swap.9468",C9470,H9470,B9470,"USD","SOFR",I9470,J9470,0,"Actual360","Simple","Annual","Annual","Annual")</f>
        <v/>
      </c>
      <c r="F9470" s="8">
        <f>QS.TRADE.CREATE("trade.9468",C9470,E9470,A9470,"Receive")</f>
        <v/>
      </c>
      <c r="G9470" s="5"/>
      <c r="H9470" s="7" t="s">
        <v>9511</v>
      </c>
      <c r="I9470" s="9">
        <v>1946800</v>
      </c>
      <c r="J9470" s="10">
        <v>0.03680000000000001</v>
      </c>
    </row>
    <row r="9471" spans="1:10">
      <c r="A9471" s="7" t="s">
        <v>9505</v>
      </c>
      <c r="B9471" s="7" t="s">
        <v>11338</v>
      </c>
      <c r="C9471" s="8">
        <f>QS.CONTEXT.CREATE("market.9469",A9471,"USD","SOFR")</f>
        <v/>
      </c>
      <c r="D9471" s="8">
        <f>QS.CONTEXT.ADD.CURVE(C9471,"SOFR",$K$2:$K$7,$L$2:$L$7,,,"Actual360","LogLinear",TRUE)</f>
        <v/>
      </c>
      <c r="E9471" s="8">
        <f>QS.INSTRUMENT.SWAP("swap.9469",C9471,H9471,B9471,"USD","SOFR",I9471,J9471,0,"Actual360","Simple","Annual","Annual","Annual")</f>
        <v/>
      </c>
      <c r="F9471" s="8">
        <f>QS.TRADE.CREATE("trade.9469",C9471,E9471,A9471,"Receive")</f>
        <v/>
      </c>
      <c r="G9471" s="5"/>
      <c r="H9471" s="7" t="s">
        <v>9512</v>
      </c>
      <c r="I9471" s="9">
        <v>1946900</v>
      </c>
      <c r="J9471" s="10">
        <v>0.0369</v>
      </c>
    </row>
    <row r="9472" spans="1:10">
      <c r="A9472" s="7" t="s">
        <v>9506</v>
      </c>
      <c r="B9472" s="7" t="s">
        <v>11339</v>
      </c>
      <c r="C9472" s="8">
        <f>QS.CONTEXT.CREATE("market.9470",A9472,"USD","SOFR")</f>
        <v/>
      </c>
      <c r="D9472" s="8">
        <f>QS.CONTEXT.ADD.CURVE(C9472,"SOFR",$K$2:$K$7,$L$2:$L$7,,,"Actual360","LogLinear",TRUE)</f>
        <v/>
      </c>
      <c r="E9472" s="8">
        <f>QS.INSTRUMENT.SWAP("swap.9470",C9472,H9472,B9472,"USD","SOFR",I9472,J9472,0,"Actual360","Simple","Annual","Annual","Annual")</f>
        <v/>
      </c>
      <c r="F9472" s="8">
        <f>QS.TRADE.CREATE("trade.9470",C9472,E9472,A9472,"Receive")</f>
        <v/>
      </c>
      <c r="G9472" s="5"/>
      <c r="H9472" s="7" t="s">
        <v>9513</v>
      </c>
      <c r="I9472" s="9">
        <v>1947000</v>
      </c>
      <c r="J9472" s="10">
        <v>0.03700000000000001</v>
      </c>
    </row>
    <row r="9473" spans="1:10">
      <c r="A9473" s="7" t="s">
        <v>9507</v>
      </c>
      <c r="B9473" s="7" t="s">
        <v>11340</v>
      </c>
      <c r="C9473" s="8">
        <f>QS.CONTEXT.CREATE("market.9471",A9473,"USD","SOFR")</f>
        <v/>
      </c>
      <c r="D9473" s="8">
        <f>QS.CONTEXT.ADD.CURVE(C9473,"SOFR",$K$2:$K$7,$L$2:$L$7,,,"Actual360","LogLinear",TRUE)</f>
        <v/>
      </c>
      <c r="E9473" s="8">
        <f>QS.INSTRUMENT.SWAP("swap.9471",C9473,H9473,B9473,"USD","SOFR",I9473,J9473,0,"Actual360","Simple","Annual","Annual","Annual")</f>
        <v/>
      </c>
      <c r="F9473" s="8">
        <f>QS.TRADE.CREATE("trade.9471",C9473,E9473,A9473,"Receive")</f>
        <v/>
      </c>
      <c r="G9473" s="5"/>
      <c r="H9473" s="7" t="s">
        <v>9514</v>
      </c>
      <c r="I9473" s="9">
        <v>1947100</v>
      </c>
      <c r="J9473" s="10">
        <v>0.0371</v>
      </c>
    </row>
    <row r="9474" spans="1:10">
      <c r="A9474" s="7" t="s">
        <v>9508</v>
      </c>
      <c r="B9474" s="7" t="s">
        <v>11341</v>
      </c>
      <c r="C9474" s="8">
        <f>QS.CONTEXT.CREATE("market.9472",A9474,"USD","SOFR")</f>
        <v/>
      </c>
      <c r="D9474" s="8">
        <f>QS.CONTEXT.ADD.CURVE(C9474,"SOFR",$K$2:$K$7,$L$2:$L$7,,,"Actual360","LogLinear",TRUE)</f>
        <v/>
      </c>
      <c r="E9474" s="8">
        <f>QS.INSTRUMENT.SWAP("swap.9472",C9474,H9474,B9474,"USD","SOFR",I9474,J9474,0,"Actual360","Simple","Annual","Annual","Annual")</f>
        <v/>
      </c>
      <c r="F9474" s="8">
        <f>QS.TRADE.CREATE("trade.9472",C9474,E9474,A9474,"Receive")</f>
        <v/>
      </c>
      <c r="G9474" s="5"/>
      <c r="H9474" s="7" t="s">
        <v>9515</v>
      </c>
      <c r="I9474" s="9">
        <v>1947200</v>
      </c>
      <c r="J9474" s="10">
        <v>0.0372</v>
      </c>
    </row>
    <row r="9475" spans="1:10">
      <c r="A9475" s="7" t="s">
        <v>9509</v>
      </c>
      <c r="B9475" s="7" t="s">
        <v>11342</v>
      </c>
      <c r="C9475" s="8">
        <f>QS.CONTEXT.CREATE("market.9473",A9475,"USD","SOFR")</f>
        <v/>
      </c>
      <c r="D9475" s="8">
        <f>QS.CONTEXT.ADD.CURVE(C9475,"SOFR",$K$2:$K$7,$L$2:$L$7,,,"Actual360","LogLinear",TRUE)</f>
        <v/>
      </c>
      <c r="E9475" s="8">
        <f>QS.INSTRUMENT.SWAP("swap.9473",C9475,H9475,B9475,"USD","SOFR",I9475,J9475,0,"Actual360","Simple","Annual","Annual","Annual")</f>
        <v/>
      </c>
      <c r="F9475" s="8">
        <f>QS.TRADE.CREATE("trade.9473",C9475,E9475,A9475,"Receive")</f>
        <v/>
      </c>
      <c r="G9475" s="5"/>
      <c r="H9475" s="7" t="s">
        <v>9516</v>
      </c>
      <c r="I9475" s="9">
        <v>1947300</v>
      </c>
      <c r="J9475" s="10">
        <v>0.0373</v>
      </c>
    </row>
    <row r="9476" spans="1:10">
      <c r="A9476" s="7" t="s">
        <v>9510</v>
      </c>
      <c r="B9476" s="7" t="s">
        <v>11343</v>
      </c>
      <c r="C9476" s="8">
        <f>QS.CONTEXT.CREATE("market.9474",A9476,"USD","SOFR")</f>
        <v/>
      </c>
      <c r="D9476" s="8">
        <f>QS.CONTEXT.ADD.CURVE(C9476,"SOFR",$K$2:$K$7,$L$2:$L$7,,,"Actual360","LogLinear",TRUE)</f>
        <v/>
      </c>
      <c r="E9476" s="8">
        <f>QS.INSTRUMENT.SWAP("swap.9474",C9476,H9476,B9476,"USD","SOFR",I9476,J9476,0,"Actual360","Simple","Annual","Annual","Annual")</f>
        <v/>
      </c>
      <c r="F9476" s="8">
        <f>QS.TRADE.CREATE("trade.9474",C9476,E9476,A9476,"Receive")</f>
        <v/>
      </c>
      <c r="G9476" s="5"/>
      <c r="H9476" s="7" t="s">
        <v>9517</v>
      </c>
      <c r="I9476" s="9">
        <v>1947400</v>
      </c>
      <c r="J9476" s="10">
        <v>0.0374</v>
      </c>
    </row>
    <row r="9477" spans="1:10">
      <c r="A9477" s="7" t="s">
        <v>9511</v>
      </c>
      <c r="B9477" s="7" t="s">
        <v>11344</v>
      </c>
      <c r="C9477" s="8">
        <f>QS.CONTEXT.CREATE("market.9475",A9477,"USD","SOFR")</f>
        <v/>
      </c>
      <c r="D9477" s="8">
        <f>QS.CONTEXT.ADD.CURVE(C9477,"SOFR",$K$2:$K$7,$L$2:$L$7,,,"Actual360","LogLinear",TRUE)</f>
        <v/>
      </c>
      <c r="E9477" s="8">
        <f>QS.INSTRUMENT.SWAP("swap.9475",C9477,H9477,B9477,"USD","SOFR",I9477,J9477,0,"Actual360","Simple","Annual","Annual","Annual")</f>
        <v/>
      </c>
      <c r="F9477" s="8">
        <f>QS.TRADE.CREATE("trade.9475",C9477,E9477,A9477,"Receive")</f>
        <v/>
      </c>
      <c r="G9477" s="5"/>
      <c r="H9477" s="7" t="s">
        <v>9518</v>
      </c>
      <c r="I9477" s="9">
        <v>1947500</v>
      </c>
      <c r="J9477" s="10">
        <v>0.03750000000000001</v>
      </c>
    </row>
    <row r="9478" spans="1:10">
      <c r="A9478" s="7" t="s">
        <v>9512</v>
      </c>
      <c r="B9478" s="7" t="s">
        <v>11345</v>
      </c>
      <c r="C9478" s="8">
        <f>QS.CONTEXT.CREATE("market.9476",A9478,"USD","SOFR")</f>
        <v/>
      </c>
      <c r="D9478" s="8">
        <f>QS.CONTEXT.ADD.CURVE(C9478,"SOFR",$K$2:$K$7,$L$2:$L$7,,,"Actual360","LogLinear",TRUE)</f>
        <v/>
      </c>
      <c r="E9478" s="8">
        <f>QS.INSTRUMENT.SWAP("swap.9476",C9478,H9478,B9478,"USD","SOFR",I9478,J9478,0,"Actual360","Simple","Annual","Annual","Annual")</f>
        <v/>
      </c>
      <c r="F9478" s="8">
        <f>QS.TRADE.CREATE("trade.9476",C9478,E9478,A9478,"Receive")</f>
        <v/>
      </c>
      <c r="G9478" s="5"/>
      <c r="H9478" s="7" t="s">
        <v>9519</v>
      </c>
      <c r="I9478" s="9">
        <v>1947600</v>
      </c>
      <c r="J9478" s="10">
        <v>0.0376</v>
      </c>
    </row>
    <row r="9479" spans="1:10">
      <c r="A9479" s="7" t="s">
        <v>9513</v>
      </c>
      <c r="B9479" s="7" t="s">
        <v>11346</v>
      </c>
      <c r="C9479" s="8">
        <f>QS.CONTEXT.CREATE("market.9477",A9479,"USD","SOFR")</f>
        <v/>
      </c>
      <c r="D9479" s="8">
        <f>QS.CONTEXT.ADD.CURVE(C9479,"SOFR",$K$2:$K$7,$L$2:$L$7,,,"Actual360","LogLinear",TRUE)</f>
        <v/>
      </c>
      <c r="E9479" s="8">
        <f>QS.INSTRUMENT.SWAP("swap.9477",C9479,H9479,B9479,"USD","SOFR",I9479,J9479,0,"Actual360","Simple","Annual","Annual","Annual")</f>
        <v/>
      </c>
      <c r="F9479" s="8">
        <f>QS.TRADE.CREATE("trade.9477",C9479,E9479,A9479,"Receive")</f>
        <v/>
      </c>
      <c r="G9479" s="5"/>
      <c r="H9479" s="7" t="s">
        <v>9520</v>
      </c>
      <c r="I9479" s="9">
        <v>1947700</v>
      </c>
      <c r="J9479" s="10">
        <v>0.0377</v>
      </c>
    </row>
    <row r="9480" spans="1:10">
      <c r="A9480" s="7" t="s">
        <v>9514</v>
      </c>
      <c r="B9480" s="7" t="s">
        <v>11347</v>
      </c>
      <c r="C9480" s="8">
        <f>QS.CONTEXT.CREATE("market.9478",A9480,"USD","SOFR")</f>
        <v/>
      </c>
      <c r="D9480" s="8">
        <f>QS.CONTEXT.ADD.CURVE(C9480,"SOFR",$K$2:$K$7,$L$2:$L$7,,,"Actual360","LogLinear",TRUE)</f>
        <v/>
      </c>
      <c r="E9480" s="8">
        <f>QS.INSTRUMENT.SWAP("swap.9478",C9480,H9480,B9480,"USD","SOFR",I9480,J9480,0,"Actual360","Simple","Annual","Annual","Annual")</f>
        <v/>
      </c>
      <c r="F9480" s="8">
        <f>QS.TRADE.CREATE("trade.9478",C9480,E9480,A9480,"Receive")</f>
        <v/>
      </c>
      <c r="G9480" s="5"/>
      <c r="H9480" s="7" t="s">
        <v>9521</v>
      </c>
      <c r="I9480" s="9">
        <v>1947800</v>
      </c>
      <c r="J9480" s="10">
        <v>0.0378</v>
      </c>
    </row>
    <row r="9481" spans="1:10">
      <c r="A9481" s="7" t="s">
        <v>9515</v>
      </c>
      <c r="B9481" s="7" t="s">
        <v>11348</v>
      </c>
      <c r="C9481" s="8">
        <f>QS.CONTEXT.CREATE("market.9479",A9481,"USD","SOFR")</f>
        <v/>
      </c>
      <c r="D9481" s="8">
        <f>QS.CONTEXT.ADD.CURVE(C9481,"SOFR",$K$2:$K$7,$L$2:$L$7,,,"Actual360","LogLinear",TRUE)</f>
        <v/>
      </c>
      <c r="E9481" s="8">
        <f>QS.INSTRUMENT.SWAP("swap.9479",C9481,H9481,B9481,"USD","SOFR",I9481,J9481,0,"Actual360","Simple","Annual","Annual","Annual")</f>
        <v/>
      </c>
      <c r="F9481" s="8">
        <f>QS.TRADE.CREATE("trade.9479",C9481,E9481,A9481,"Receive")</f>
        <v/>
      </c>
      <c r="G9481" s="5"/>
      <c r="H9481" s="7" t="s">
        <v>9522</v>
      </c>
      <c r="I9481" s="9">
        <v>1947900</v>
      </c>
      <c r="J9481" s="10">
        <v>0.0379</v>
      </c>
    </row>
    <row r="9482" spans="1:10">
      <c r="A9482" s="7" t="s">
        <v>9516</v>
      </c>
      <c r="B9482" s="7" t="s">
        <v>11349</v>
      </c>
      <c r="C9482" s="8">
        <f>QS.CONTEXT.CREATE("market.9480",A9482,"USD","SOFR")</f>
        <v/>
      </c>
      <c r="D9482" s="8">
        <f>QS.CONTEXT.ADD.CURVE(C9482,"SOFR",$K$2:$K$7,$L$2:$L$7,,,"Actual360","LogLinear",TRUE)</f>
        <v/>
      </c>
      <c r="E9482" s="8">
        <f>QS.INSTRUMENT.SWAP("swap.9480",C9482,H9482,B9482,"USD","SOFR",I9482,J9482,0,"Actual360","Simple","Annual","Annual","Annual")</f>
        <v/>
      </c>
      <c r="F9482" s="8">
        <f>QS.TRADE.CREATE("trade.9480",C9482,E9482,A9482,"Receive")</f>
        <v/>
      </c>
      <c r="G9482" s="5"/>
      <c r="H9482" s="7" t="s">
        <v>9523</v>
      </c>
      <c r="I9482" s="9">
        <v>1948000</v>
      </c>
      <c r="J9482" s="10">
        <v>0.03800000000000001</v>
      </c>
    </row>
    <row r="9483" spans="1:10">
      <c r="A9483" s="7" t="s">
        <v>9517</v>
      </c>
      <c r="B9483" s="7" t="s">
        <v>11350</v>
      </c>
      <c r="C9483" s="8">
        <f>QS.CONTEXT.CREATE("market.9481",A9483,"USD","SOFR")</f>
        <v/>
      </c>
      <c r="D9483" s="8">
        <f>QS.CONTEXT.ADD.CURVE(C9483,"SOFR",$K$2:$K$7,$L$2:$L$7,,,"Actual360","LogLinear",TRUE)</f>
        <v/>
      </c>
      <c r="E9483" s="8">
        <f>QS.INSTRUMENT.SWAP("swap.9481",C9483,H9483,B9483,"USD","SOFR",I9483,J9483,0,"Actual360","Simple","Annual","Annual","Annual")</f>
        <v/>
      </c>
      <c r="F9483" s="8">
        <f>QS.TRADE.CREATE("trade.9481",C9483,E9483,A9483,"Receive")</f>
        <v/>
      </c>
      <c r="G9483" s="5"/>
      <c r="H9483" s="7" t="s">
        <v>9524</v>
      </c>
      <c r="I9483" s="9">
        <v>1948100</v>
      </c>
      <c r="J9483" s="10">
        <v>0.0381</v>
      </c>
    </row>
    <row r="9484" spans="1:10">
      <c r="A9484" s="7" t="s">
        <v>9518</v>
      </c>
      <c r="B9484" s="7" t="s">
        <v>11351</v>
      </c>
      <c r="C9484" s="8">
        <f>QS.CONTEXT.CREATE("market.9482",A9484,"USD","SOFR")</f>
        <v/>
      </c>
      <c r="D9484" s="8">
        <f>QS.CONTEXT.ADD.CURVE(C9484,"SOFR",$K$2:$K$7,$L$2:$L$7,,,"Actual360","LogLinear",TRUE)</f>
        <v/>
      </c>
      <c r="E9484" s="8">
        <f>QS.INSTRUMENT.SWAP("swap.9482",C9484,H9484,B9484,"USD","SOFR",I9484,J9484,0,"Actual360","Simple","Annual","Annual","Annual")</f>
        <v/>
      </c>
      <c r="F9484" s="8">
        <f>QS.TRADE.CREATE("trade.9482",C9484,E9484,A9484,"Receive")</f>
        <v/>
      </c>
      <c r="G9484" s="5"/>
      <c r="H9484" s="7" t="s">
        <v>9525</v>
      </c>
      <c r="I9484" s="9">
        <v>1948200</v>
      </c>
      <c r="J9484" s="10">
        <v>0.0382</v>
      </c>
    </row>
    <row r="9485" spans="1:10">
      <c r="A9485" s="7" t="s">
        <v>9519</v>
      </c>
      <c r="B9485" s="7" t="s">
        <v>11352</v>
      </c>
      <c r="C9485" s="8">
        <f>QS.CONTEXT.CREATE("market.9483",A9485,"USD","SOFR")</f>
        <v/>
      </c>
      <c r="D9485" s="8">
        <f>QS.CONTEXT.ADD.CURVE(C9485,"SOFR",$K$2:$K$7,$L$2:$L$7,,,"Actual360","LogLinear",TRUE)</f>
        <v/>
      </c>
      <c r="E9485" s="8">
        <f>QS.INSTRUMENT.SWAP("swap.9483",C9485,H9485,B9485,"USD","SOFR",I9485,J9485,0,"Actual360","Simple","Annual","Annual","Annual")</f>
        <v/>
      </c>
      <c r="F9485" s="8">
        <f>QS.TRADE.CREATE("trade.9483",C9485,E9485,A9485,"Receive")</f>
        <v/>
      </c>
      <c r="G9485" s="5"/>
      <c r="H9485" s="7" t="s">
        <v>9526</v>
      </c>
      <c r="I9485" s="9">
        <v>1948300</v>
      </c>
      <c r="J9485" s="10">
        <v>0.0383</v>
      </c>
    </row>
    <row r="9486" spans="1:10">
      <c r="A9486" s="7" t="s">
        <v>9520</v>
      </c>
      <c r="B9486" s="7" t="s">
        <v>11353</v>
      </c>
      <c r="C9486" s="8">
        <f>QS.CONTEXT.CREATE("market.9484",A9486,"USD","SOFR")</f>
        <v/>
      </c>
      <c r="D9486" s="8">
        <f>QS.CONTEXT.ADD.CURVE(C9486,"SOFR",$K$2:$K$7,$L$2:$L$7,,,"Actual360","LogLinear",TRUE)</f>
        <v/>
      </c>
      <c r="E9486" s="8">
        <f>QS.INSTRUMENT.SWAP("swap.9484",C9486,H9486,B9486,"USD","SOFR",I9486,J9486,0,"Actual360","Simple","Annual","Annual","Annual")</f>
        <v/>
      </c>
      <c r="F9486" s="8">
        <f>QS.TRADE.CREATE("trade.9484",C9486,E9486,A9486,"Receive")</f>
        <v/>
      </c>
      <c r="G9486" s="5"/>
      <c r="H9486" s="7" t="s">
        <v>9527</v>
      </c>
      <c r="I9486" s="9">
        <v>1948400</v>
      </c>
      <c r="J9486" s="10">
        <v>0.0384</v>
      </c>
    </row>
    <row r="9487" spans="1:10">
      <c r="A9487" s="7" t="s">
        <v>9521</v>
      </c>
      <c r="B9487" s="7" t="s">
        <v>11354</v>
      </c>
      <c r="C9487" s="8">
        <f>QS.CONTEXT.CREATE("market.9485",A9487,"USD","SOFR")</f>
        <v/>
      </c>
      <c r="D9487" s="8">
        <f>QS.CONTEXT.ADD.CURVE(C9487,"SOFR",$K$2:$K$7,$L$2:$L$7,,,"Actual360","LogLinear",TRUE)</f>
        <v/>
      </c>
      <c r="E9487" s="8">
        <f>QS.INSTRUMENT.SWAP("swap.9485",C9487,H9487,B9487,"USD","SOFR",I9487,J9487,0,"Actual360","Simple","Annual","Annual","Annual")</f>
        <v/>
      </c>
      <c r="F9487" s="8">
        <f>QS.TRADE.CREATE("trade.9485",C9487,E9487,A9487,"Receive")</f>
        <v/>
      </c>
      <c r="G9487" s="5"/>
      <c r="H9487" s="7" t="s">
        <v>9528</v>
      </c>
      <c r="I9487" s="9">
        <v>1948500</v>
      </c>
      <c r="J9487" s="10">
        <v>0.03850000000000001</v>
      </c>
    </row>
    <row r="9488" spans="1:10">
      <c r="A9488" s="7" t="s">
        <v>9522</v>
      </c>
      <c r="B9488" s="7" t="s">
        <v>11355</v>
      </c>
      <c r="C9488" s="8">
        <f>QS.CONTEXT.CREATE("market.9486",A9488,"USD","SOFR")</f>
        <v/>
      </c>
      <c r="D9488" s="8">
        <f>QS.CONTEXT.ADD.CURVE(C9488,"SOFR",$K$2:$K$7,$L$2:$L$7,,,"Actual360","LogLinear",TRUE)</f>
        <v/>
      </c>
      <c r="E9488" s="8">
        <f>QS.INSTRUMENT.SWAP("swap.9486",C9488,H9488,B9488,"USD","SOFR",I9488,J9488,0,"Actual360","Simple","Annual","Annual","Annual")</f>
        <v/>
      </c>
      <c r="F9488" s="8">
        <f>QS.TRADE.CREATE("trade.9486",C9488,E9488,A9488,"Receive")</f>
        <v/>
      </c>
      <c r="G9488" s="5"/>
      <c r="H9488" s="7" t="s">
        <v>9529</v>
      </c>
      <c r="I9488" s="9">
        <v>1948600</v>
      </c>
      <c r="J9488" s="10">
        <v>0.0386</v>
      </c>
    </row>
    <row r="9489" spans="1:10">
      <c r="A9489" s="7" t="s">
        <v>9523</v>
      </c>
      <c r="B9489" s="7" t="s">
        <v>11356</v>
      </c>
      <c r="C9489" s="8">
        <f>QS.CONTEXT.CREATE("market.9487",A9489,"USD","SOFR")</f>
        <v/>
      </c>
      <c r="D9489" s="8">
        <f>QS.CONTEXT.ADD.CURVE(C9489,"SOFR",$K$2:$K$7,$L$2:$L$7,,,"Actual360","LogLinear",TRUE)</f>
        <v/>
      </c>
      <c r="E9489" s="8">
        <f>QS.INSTRUMENT.SWAP("swap.9487",C9489,H9489,B9489,"USD","SOFR",I9489,J9489,0,"Actual360","Simple","Annual","Annual","Annual")</f>
        <v/>
      </c>
      <c r="F9489" s="8">
        <f>QS.TRADE.CREATE("trade.9487",C9489,E9489,A9489,"Receive")</f>
        <v/>
      </c>
      <c r="G9489" s="5"/>
      <c r="H9489" s="7" t="s">
        <v>9530</v>
      </c>
      <c r="I9489" s="9">
        <v>1948700</v>
      </c>
      <c r="J9489" s="10">
        <v>0.03870000000000001</v>
      </c>
    </row>
    <row r="9490" spans="1:10">
      <c r="A9490" s="7" t="s">
        <v>9524</v>
      </c>
      <c r="B9490" s="7" t="s">
        <v>11357</v>
      </c>
      <c r="C9490" s="8">
        <f>QS.CONTEXT.CREATE("market.9488",A9490,"USD","SOFR")</f>
        <v/>
      </c>
      <c r="D9490" s="8">
        <f>QS.CONTEXT.ADD.CURVE(C9490,"SOFR",$K$2:$K$7,$L$2:$L$7,,,"Actual360","LogLinear",TRUE)</f>
        <v/>
      </c>
      <c r="E9490" s="8">
        <f>QS.INSTRUMENT.SWAP("swap.9488",C9490,H9490,B9490,"USD","SOFR",I9490,J9490,0,"Actual360","Simple","Annual","Annual","Annual")</f>
        <v/>
      </c>
      <c r="F9490" s="8">
        <f>QS.TRADE.CREATE("trade.9488",C9490,E9490,A9490,"Receive")</f>
        <v/>
      </c>
      <c r="G9490" s="5"/>
      <c r="H9490" s="7" t="s">
        <v>9531</v>
      </c>
      <c r="I9490" s="9">
        <v>1948800</v>
      </c>
      <c r="J9490" s="10">
        <v>0.0388</v>
      </c>
    </row>
    <row r="9491" spans="1:10">
      <c r="A9491" s="7" t="s">
        <v>9525</v>
      </c>
      <c r="B9491" s="7" t="s">
        <v>11358</v>
      </c>
      <c r="C9491" s="8">
        <f>QS.CONTEXT.CREATE("market.9489",A9491,"USD","SOFR")</f>
        <v/>
      </c>
      <c r="D9491" s="8">
        <f>QS.CONTEXT.ADD.CURVE(C9491,"SOFR",$K$2:$K$7,$L$2:$L$7,,,"Actual360","LogLinear",TRUE)</f>
        <v/>
      </c>
      <c r="E9491" s="8">
        <f>QS.INSTRUMENT.SWAP("swap.9489",C9491,H9491,B9491,"USD","SOFR",I9491,J9491,0,"Actual360","Simple","Annual","Annual","Annual")</f>
        <v/>
      </c>
      <c r="F9491" s="8">
        <f>QS.TRADE.CREATE("trade.9489",C9491,E9491,A9491,"Receive")</f>
        <v/>
      </c>
      <c r="G9491" s="5"/>
      <c r="H9491" s="7" t="s">
        <v>9532</v>
      </c>
      <c r="I9491" s="9">
        <v>1948900</v>
      </c>
      <c r="J9491" s="10">
        <v>0.0389</v>
      </c>
    </row>
    <row r="9492" spans="1:10">
      <c r="A9492" s="7" t="s">
        <v>9526</v>
      </c>
      <c r="B9492" s="7" t="s">
        <v>11359</v>
      </c>
      <c r="C9492" s="8">
        <f>QS.CONTEXT.CREATE("market.9490",A9492,"USD","SOFR")</f>
        <v/>
      </c>
      <c r="D9492" s="8">
        <f>QS.CONTEXT.ADD.CURVE(C9492,"SOFR",$K$2:$K$7,$L$2:$L$7,,,"Actual360","LogLinear",TRUE)</f>
        <v/>
      </c>
      <c r="E9492" s="8">
        <f>QS.INSTRUMENT.SWAP("swap.9490",C9492,H9492,B9492,"USD","SOFR",I9492,J9492,0,"Actual360","Simple","Annual","Annual","Annual")</f>
        <v/>
      </c>
      <c r="F9492" s="8">
        <f>QS.TRADE.CREATE("trade.9490",C9492,E9492,A9492,"Receive")</f>
        <v/>
      </c>
      <c r="G9492" s="5"/>
      <c r="H9492" s="7" t="s">
        <v>9533</v>
      </c>
      <c r="I9492" s="9">
        <v>1949000</v>
      </c>
      <c r="J9492" s="10">
        <v>0.03900000000000001</v>
      </c>
    </row>
    <row r="9493" spans="1:10">
      <c r="A9493" s="7" t="s">
        <v>9527</v>
      </c>
      <c r="B9493" s="7" t="s">
        <v>11360</v>
      </c>
      <c r="C9493" s="8">
        <f>QS.CONTEXT.CREATE("market.9491",A9493,"USD","SOFR")</f>
        <v/>
      </c>
      <c r="D9493" s="8">
        <f>QS.CONTEXT.ADD.CURVE(C9493,"SOFR",$K$2:$K$7,$L$2:$L$7,,,"Actual360","LogLinear",TRUE)</f>
        <v/>
      </c>
      <c r="E9493" s="8">
        <f>QS.INSTRUMENT.SWAP("swap.9491",C9493,H9493,B9493,"USD","SOFR",I9493,J9493,0,"Actual360","Simple","Annual","Annual","Annual")</f>
        <v/>
      </c>
      <c r="F9493" s="8">
        <f>QS.TRADE.CREATE("trade.9491",C9493,E9493,A9493,"Receive")</f>
        <v/>
      </c>
      <c r="G9493" s="5"/>
      <c r="H9493" s="7" t="s">
        <v>9534</v>
      </c>
      <c r="I9493" s="9">
        <v>1949100</v>
      </c>
      <c r="J9493" s="10">
        <v>0.0391</v>
      </c>
    </row>
    <row r="9494" spans="1:10">
      <c r="A9494" s="7" t="s">
        <v>9528</v>
      </c>
      <c r="B9494" s="7" t="s">
        <v>11361</v>
      </c>
      <c r="C9494" s="8">
        <f>QS.CONTEXT.CREATE("market.9492",A9494,"USD","SOFR")</f>
        <v/>
      </c>
      <c r="D9494" s="8">
        <f>QS.CONTEXT.ADD.CURVE(C9494,"SOFR",$K$2:$K$7,$L$2:$L$7,,,"Actual360","LogLinear",TRUE)</f>
        <v/>
      </c>
      <c r="E9494" s="8">
        <f>QS.INSTRUMENT.SWAP("swap.9492",C9494,H9494,B9494,"USD","SOFR",I9494,J9494,0,"Actual360","Simple","Annual","Annual","Annual")</f>
        <v/>
      </c>
      <c r="F9494" s="8">
        <f>QS.TRADE.CREATE("trade.9492",C9494,E9494,A9494,"Receive")</f>
        <v/>
      </c>
      <c r="G9494" s="5"/>
      <c r="H9494" s="7" t="s">
        <v>9535</v>
      </c>
      <c r="I9494" s="9">
        <v>1949200</v>
      </c>
      <c r="J9494" s="10">
        <v>0.03920000000000001</v>
      </c>
    </row>
    <row r="9495" spans="1:10">
      <c r="A9495" s="7" t="s">
        <v>9529</v>
      </c>
      <c r="B9495" s="7" t="s">
        <v>11362</v>
      </c>
      <c r="C9495" s="8">
        <f>QS.CONTEXT.CREATE("market.9493",A9495,"USD","SOFR")</f>
        <v/>
      </c>
      <c r="D9495" s="8">
        <f>QS.CONTEXT.ADD.CURVE(C9495,"SOFR",$K$2:$K$7,$L$2:$L$7,,,"Actual360","LogLinear",TRUE)</f>
        <v/>
      </c>
      <c r="E9495" s="8">
        <f>QS.INSTRUMENT.SWAP("swap.9493",C9495,H9495,B9495,"USD","SOFR",I9495,J9495,0,"Actual360","Simple","Annual","Annual","Annual")</f>
        <v/>
      </c>
      <c r="F9495" s="8">
        <f>QS.TRADE.CREATE("trade.9493",C9495,E9495,A9495,"Receive")</f>
        <v/>
      </c>
      <c r="G9495" s="5"/>
      <c r="H9495" s="7" t="s">
        <v>9536</v>
      </c>
      <c r="I9495" s="9">
        <v>1949300</v>
      </c>
      <c r="J9495" s="10">
        <v>0.0393</v>
      </c>
    </row>
    <row r="9496" spans="1:10">
      <c r="A9496" s="7" t="s">
        <v>9530</v>
      </c>
      <c r="B9496" s="7" t="s">
        <v>11363</v>
      </c>
      <c r="C9496" s="8">
        <f>QS.CONTEXT.CREATE("market.9494",A9496,"USD","SOFR")</f>
        <v/>
      </c>
      <c r="D9496" s="8">
        <f>QS.CONTEXT.ADD.CURVE(C9496,"SOFR",$K$2:$K$7,$L$2:$L$7,,,"Actual360","LogLinear",TRUE)</f>
        <v/>
      </c>
      <c r="E9496" s="8">
        <f>QS.INSTRUMENT.SWAP("swap.9494",C9496,H9496,B9496,"USD","SOFR",I9496,J9496,0,"Actual360","Simple","Annual","Annual","Annual")</f>
        <v/>
      </c>
      <c r="F9496" s="8">
        <f>QS.TRADE.CREATE("trade.9494",C9496,E9496,A9496,"Receive")</f>
        <v/>
      </c>
      <c r="G9496" s="5"/>
      <c r="H9496" s="7" t="s">
        <v>9537</v>
      </c>
      <c r="I9496" s="9">
        <v>1949400</v>
      </c>
      <c r="J9496" s="10">
        <v>0.0394</v>
      </c>
    </row>
    <row r="9497" spans="1:10">
      <c r="A9497" s="7" t="s">
        <v>9531</v>
      </c>
      <c r="B9497" s="7" t="s">
        <v>11364</v>
      </c>
      <c r="C9497" s="8">
        <f>QS.CONTEXT.CREATE("market.9495",A9497,"USD","SOFR")</f>
        <v/>
      </c>
      <c r="D9497" s="8">
        <f>QS.CONTEXT.ADD.CURVE(C9497,"SOFR",$K$2:$K$7,$L$2:$L$7,,,"Actual360","LogLinear",TRUE)</f>
        <v/>
      </c>
      <c r="E9497" s="8">
        <f>QS.INSTRUMENT.SWAP("swap.9495",C9497,H9497,B9497,"USD","SOFR",I9497,J9497,0,"Actual360","Simple","Annual","Annual","Annual")</f>
        <v/>
      </c>
      <c r="F9497" s="8">
        <f>QS.TRADE.CREATE("trade.9495",C9497,E9497,A9497,"Receive")</f>
        <v/>
      </c>
      <c r="G9497" s="5"/>
      <c r="H9497" s="7" t="s">
        <v>9538</v>
      </c>
      <c r="I9497" s="9">
        <v>1949500</v>
      </c>
      <c r="J9497" s="10">
        <v>0.03950000000000001</v>
      </c>
    </row>
    <row r="9498" spans="1:10">
      <c r="A9498" s="7" t="s">
        <v>9532</v>
      </c>
      <c r="B9498" s="7" t="s">
        <v>11365</v>
      </c>
      <c r="C9498" s="8">
        <f>QS.CONTEXT.CREATE("market.9496",A9498,"USD","SOFR")</f>
        <v/>
      </c>
      <c r="D9498" s="8">
        <f>QS.CONTEXT.ADD.CURVE(C9498,"SOFR",$K$2:$K$7,$L$2:$L$7,,,"Actual360","LogLinear",TRUE)</f>
        <v/>
      </c>
      <c r="E9498" s="8">
        <f>QS.INSTRUMENT.SWAP("swap.9496",C9498,H9498,B9498,"USD","SOFR",I9498,J9498,0,"Actual360","Simple","Annual","Annual","Annual")</f>
        <v/>
      </c>
      <c r="F9498" s="8">
        <f>QS.TRADE.CREATE("trade.9496",C9498,E9498,A9498,"Receive")</f>
        <v/>
      </c>
      <c r="G9498" s="5"/>
      <c r="H9498" s="7" t="s">
        <v>9539</v>
      </c>
      <c r="I9498" s="9">
        <v>1949600</v>
      </c>
      <c r="J9498" s="10">
        <v>0.0396</v>
      </c>
    </row>
    <row r="9499" spans="1:10">
      <c r="A9499" s="7" t="s">
        <v>9533</v>
      </c>
      <c r="B9499" s="7" t="s">
        <v>11366</v>
      </c>
      <c r="C9499" s="8">
        <f>QS.CONTEXT.CREATE("market.9497",A9499,"USD","SOFR")</f>
        <v/>
      </c>
      <c r="D9499" s="8">
        <f>QS.CONTEXT.ADD.CURVE(C9499,"SOFR",$K$2:$K$7,$L$2:$L$7,,,"Actual360","LogLinear",TRUE)</f>
        <v/>
      </c>
      <c r="E9499" s="8">
        <f>QS.INSTRUMENT.SWAP("swap.9497",C9499,H9499,B9499,"USD","SOFR",I9499,J9499,0,"Actual360","Simple","Annual","Annual","Annual")</f>
        <v/>
      </c>
      <c r="F9499" s="8">
        <f>QS.TRADE.CREATE("trade.9497",C9499,E9499,A9499,"Receive")</f>
        <v/>
      </c>
      <c r="G9499" s="5"/>
      <c r="H9499" s="7" t="s">
        <v>9540</v>
      </c>
      <c r="I9499" s="9">
        <v>1949700</v>
      </c>
      <c r="J9499" s="10">
        <v>0.03970000000000001</v>
      </c>
    </row>
    <row r="9500" spans="1:10">
      <c r="A9500" s="7" t="s">
        <v>9534</v>
      </c>
      <c r="B9500" s="7" t="s">
        <v>11367</v>
      </c>
      <c r="C9500" s="8">
        <f>QS.CONTEXT.CREATE("market.9498",A9500,"USD","SOFR")</f>
        <v/>
      </c>
      <c r="D9500" s="8">
        <f>QS.CONTEXT.ADD.CURVE(C9500,"SOFR",$K$2:$K$7,$L$2:$L$7,,,"Actual360","LogLinear",TRUE)</f>
        <v/>
      </c>
      <c r="E9500" s="8">
        <f>QS.INSTRUMENT.SWAP("swap.9498",C9500,H9500,B9500,"USD","SOFR",I9500,J9500,0,"Actual360","Simple","Annual","Annual","Annual")</f>
        <v/>
      </c>
      <c r="F9500" s="8">
        <f>QS.TRADE.CREATE("trade.9498",C9500,E9500,A9500,"Receive")</f>
        <v/>
      </c>
      <c r="G9500" s="5"/>
      <c r="H9500" s="7" t="s">
        <v>9541</v>
      </c>
      <c r="I9500" s="9">
        <v>1949800</v>
      </c>
      <c r="J9500" s="10">
        <v>0.0398</v>
      </c>
    </row>
    <row r="9501" spans="1:10">
      <c r="A9501" s="7" t="s">
        <v>9535</v>
      </c>
      <c r="B9501" s="7" t="s">
        <v>11368</v>
      </c>
      <c r="C9501" s="8">
        <f>QS.CONTEXT.CREATE("market.9499",A9501,"USD","SOFR")</f>
        <v/>
      </c>
      <c r="D9501" s="8">
        <f>QS.CONTEXT.ADD.CURVE(C9501,"SOFR",$K$2:$K$7,$L$2:$L$7,,,"Actual360","LogLinear",TRUE)</f>
        <v/>
      </c>
      <c r="E9501" s="8">
        <f>QS.INSTRUMENT.SWAP("swap.9499",C9501,H9501,B9501,"USD","SOFR",I9501,J9501,0,"Actual360","Simple","Annual","Annual","Annual")</f>
        <v/>
      </c>
      <c r="F9501" s="8">
        <f>QS.TRADE.CREATE("trade.9499",C9501,E9501,A9501,"Receive")</f>
        <v/>
      </c>
      <c r="G9501" s="5"/>
      <c r="H9501" s="7" t="s">
        <v>9542</v>
      </c>
      <c r="I9501" s="9">
        <v>1949900</v>
      </c>
      <c r="J9501" s="10">
        <v>0.0399</v>
      </c>
    </row>
    <row r="9502" spans="1:10">
      <c r="A9502" s="7" t="s">
        <v>9536</v>
      </c>
      <c r="B9502" s="7" t="s">
        <v>11369</v>
      </c>
      <c r="C9502" s="8">
        <f>QS.CONTEXT.CREATE("market.9500",A9502,"USD","SOFR")</f>
        <v/>
      </c>
      <c r="D9502" s="8">
        <f>QS.CONTEXT.ADD.CURVE(C9502,"SOFR",$K$2:$K$7,$L$2:$L$7,,,"Actual360","LogLinear",TRUE)</f>
        <v/>
      </c>
      <c r="E9502" s="8">
        <f>QS.INSTRUMENT.SWAP("swap.9500",C9502,H9502,B9502,"USD","SOFR",I9502,J9502,0,"Actual360","Simple","Annual","Annual","Annual")</f>
        <v/>
      </c>
      <c r="F9502" s="8">
        <f>QS.TRADE.CREATE("trade.9500",C9502,E9502,A9502,"Receive")</f>
        <v/>
      </c>
      <c r="G9502" s="5"/>
      <c r="H9502" s="7" t="s">
        <v>9543</v>
      </c>
      <c r="I9502" s="9">
        <v>1950000</v>
      </c>
      <c r="J9502" s="10">
        <v>0.035</v>
      </c>
    </row>
    <row r="9503" spans="1:10">
      <c r="A9503" s="7" t="s">
        <v>9537</v>
      </c>
      <c r="B9503" s="7" t="s">
        <v>11370</v>
      </c>
      <c r="C9503" s="8">
        <f>QS.CONTEXT.CREATE("market.9501",A9503,"USD","SOFR")</f>
        <v/>
      </c>
      <c r="D9503" s="8">
        <f>QS.CONTEXT.ADD.CURVE(C9503,"SOFR",$K$2:$K$7,$L$2:$L$7,,,"Actual360","LogLinear",TRUE)</f>
        <v/>
      </c>
      <c r="E9503" s="8">
        <f>QS.INSTRUMENT.SWAP("swap.9501",C9503,H9503,B9503,"USD","SOFR",I9503,J9503,0,"Actual360","Simple","Annual","Annual","Annual")</f>
        <v/>
      </c>
      <c r="F9503" s="8">
        <f>QS.TRADE.CREATE("trade.9501",C9503,E9503,A9503,"Receive")</f>
        <v/>
      </c>
      <c r="G9503" s="5"/>
      <c r="H9503" s="7" t="s">
        <v>9544</v>
      </c>
      <c r="I9503" s="9">
        <v>1950100</v>
      </c>
      <c r="J9503" s="10">
        <v>0.03510000000000001</v>
      </c>
    </row>
    <row r="9504" spans="1:10">
      <c r="A9504" s="7" t="s">
        <v>9538</v>
      </c>
      <c r="B9504" s="7" t="s">
        <v>11371</v>
      </c>
      <c r="C9504" s="8">
        <f>QS.CONTEXT.CREATE("market.9502",A9504,"USD","SOFR")</f>
        <v/>
      </c>
      <c r="D9504" s="8">
        <f>QS.CONTEXT.ADD.CURVE(C9504,"SOFR",$K$2:$K$7,$L$2:$L$7,,,"Actual360","LogLinear",TRUE)</f>
        <v/>
      </c>
      <c r="E9504" s="8">
        <f>QS.INSTRUMENT.SWAP("swap.9502",C9504,H9504,B9504,"USD","SOFR",I9504,J9504,0,"Actual360","Simple","Annual","Annual","Annual")</f>
        <v/>
      </c>
      <c r="F9504" s="8">
        <f>QS.TRADE.CREATE("trade.9502",C9504,E9504,A9504,"Receive")</f>
        <v/>
      </c>
      <c r="G9504" s="5"/>
      <c r="H9504" s="7" t="s">
        <v>9545</v>
      </c>
      <c r="I9504" s="9">
        <v>1950200</v>
      </c>
      <c r="J9504" s="10">
        <v>0.0352</v>
      </c>
    </row>
    <row r="9505" spans="1:10">
      <c r="A9505" s="7" t="s">
        <v>9539</v>
      </c>
      <c r="B9505" s="7" t="s">
        <v>11372</v>
      </c>
      <c r="C9505" s="8">
        <f>QS.CONTEXT.CREATE("market.9503",A9505,"USD","SOFR")</f>
        <v/>
      </c>
      <c r="D9505" s="8">
        <f>QS.CONTEXT.ADD.CURVE(C9505,"SOFR",$K$2:$K$7,$L$2:$L$7,,,"Actual360","LogLinear",TRUE)</f>
        <v/>
      </c>
      <c r="E9505" s="8">
        <f>QS.INSTRUMENT.SWAP("swap.9503",C9505,H9505,B9505,"USD","SOFR",I9505,J9505,0,"Actual360","Simple","Annual","Annual","Annual")</f>
        <v/>
      </c>
      <c r="F9505" s="8">
        <f>QS.TRADE.CREATE("trade.9503",C9505,E9505,A9505,"Receive")</f>
        <v/>
      </c>
      <c r="G9505" s="5"/>
      <c r="H9505" s="7" t="s">
        <v>9546</v>
      </c>
      <c r="I9505" s="9">
        <v>1950300</v>
      </c>
      <c r="J9505" s="10">
        <v>0.0353</v>
      </c>
    </row>
    <row r="9506" spans="1:10">
      <c r="A9506" s="7" t="s">
        <v>9540</v>
      </c>
      <c r="B9506" s="7" t="s">
        <v>11373</v>
      </c>
      <c r="C9506" s="8">
        <f>QS.CONTEXT.CREATE("market.9504",A9506,"USD","SOFR")</f>
        <v/>
      </c>
      <c r="D9506" s="8">
        <f>QS.CONTEXT.ADD.CURVE(C9506,"SOFR",$K$2:$K$7,$L$2:$L$7,,,"Actual360","LogLinear",TRUE)</f>
        <v/>
      </c>
      <c r="E9506" s="8">
        <f>QS.INSTRUMENT.SWAP("swap.9504",C9506,H9506,B9506,"USD","SOFR",I9506,J9506,0,"Actual360","Simple","Annual","Annual","Annual")</f>
        <v/>
      </c>
      <c r="F9506" s="8">
        <f>QS.TRADE.CREATE("trade.9504",C9506,E9506,A9506,"Receive")</f>
        <v/>
      </c>
      <c r="G9506" s="5"/>
      <c r="H9506" s="7" t="s">
        <v>9547</v>
      </c>
      <c r="I9506" s="9">
        <v>1950400</v>
      </c>
      <c r="J9506" s="10">
        <v>0.0354</v>
      </c>
    </row>
    <row r="9507" spans="1:10">
      <c r="A9507" s="7" t="s">
        <v>9541</v>
      </c>
      <c r="B9507" s="7" t="s">
        <v>11374</v>
      </c>
      <c r="C9507" s="8">
        <f>QS.CONTEXT.CREATE("market.9505",A9507,"USD","SOFR")</f>
        <v/>
      </c>
      <c r="D9507" s="8">
        <f>QS.CONTEXT.ADD.CURVE(C9507,"SOFR",$K$2:$K$7,$L$2:$L$7,,,"Actual360","LogLinear",TRUE)</f>
        <v/>
      </c>
      <c r="E9507" s="8">
        <f>QS.INSTRUMENT.SWAP("swap.9505",C9507,H9507,B9507,"USD","SOFR",I9507,J9507,0,"Actual360","Simple","Annual","Annual","Annual")</f>
        <v/>
      </c>
      <c r="F9507" s="8">
        <f>QS.TRADE.CREATE("trade.9505",C9507,E9507,A9507,"Receive")</f>
        <v/>
      </c>
      <c r="G9507" s="5"/>
      <c r="H9507" s="7" t="s">
        <v>9548</v>
      </c>
      <c r="I9507" s="9">
        <v>1950500</v>
      </c>
      <c r="J9507" s="10">
        <v>0.0355</v>
      </c>
    </row>
    <row r="9508" spans="1:10">
      <c r="A9508" s="7" t="s">
        <v>9542</v>
      </c>
      <c r="B9508" s="7" t="s">
        <v>11375</v>
      </c>
      <c r="C9508" s="8">
        <f>QS.CONTEXT.CREATE("market.9506",A9508,"USD","SOFR")</f>
        <v/>
      </c>
      <c r="D9508" s="8">
        <f>QS.CONTEXT.ADD.CURVE(C9508,"SOFR",$K$2:$K$7,$L$2:$L$7,,,"Actual360","LogLinear",TRUE)</f>
        <v/>
      </c>
      <c r="E9508" s="8">
        <f>QS.INSTRUMENT.SWAP("swap.9506",C9508,H9508,B9508,"USD","SOFR",I9508,J9508,0,"Actual360","Simple","Annual","Annual","Annual")</f>
        <v/>
      </c>
      <c r="F9508" s="8">
        <f>QS.TRADE.CREATE("trade.9506",C9508,E9508,A9508,"Receive")</f>
        <v/>
      </c>
      <c r="G9508" s="5"/>
      <c r="H9508" s="7" t="s">
        <v>9549</v>
      </c>
      <c r="I9508" s="9">
        <v>1950600</v>
      </c>
      <c r="J9508" s="10">
        <v>0.03560000000000001</v>
      </c>
    </row>
    <row r="9509" spans="1:10">
      <c r="A9509" s="7" t="s">
        <v>9543</v>
      </c>
      <c r="B9509" s="7" t="s">
        <v>11376</v>
      </c>
      <c r="C9509" s="8">
        <f>QS.CONTEXT.CREATE("market.9507",A9509,"USD","SOFR")</f>
        <v/>
      </c>
      <c r="D9509" s="8">
        <f>QS.CONTEXT.ADD.CURVE(C9509,"SOFR",$K$2:$K$7,$L$2:$L$7,,,"Actual360","LogLinear",TRUE)</f>
        <v/>
      </c>
      <c r="E9509" s="8">
        <f>QS.INSTRUMENT.SWAP("swap.9507",C9509,H9509,B9509,"USD","SOFR",I9509,J9509,0,"Actual360","Simple","Annual","Annual","Annual")</f>
        <v/>
      </c>
      <c r="F9509" s="8">
        <f>QS.TRADE.CREATE("trade.9507",C9509,E9509,A9509,"Receive")</f>
        <v/>
      </c>
      <c r="G9509" s="5"/>
      <c r="H9509" s="7" t="s">
        <v>9550</v>
      </c>
      <c r="I9509" s="9">
        <v>1950700</v>
      </c>
      <c r="J9509" s="10">
        <v>0.0357</v>
      </c>
    </row>
    <row r="9510" spans="1:10">
      <c r="A9510" s="7" t="s">
        <v>9544</v>
      </c>
      <c r="B9510" s="7" t="s">
        <v>11377</v>
      </c>
      <c r="C9510" s="8">
        <f>QS.CONTEXT.CREATE("market.9508",A9510,"USD","SOFR")</f>
        <v/>
      </c>
      <c r="D9510" s="8">
        <f>QS.CONTEXT.ADD.CURVE(C9510,"SOFR",$K$2:$K$7,$L$2:$L$7,,,"Actual360","LogLinear",TRUE)</f>
        <v/>
      </c>
      <c r="E9510" s="8">
        <f>QS.INSTRUMENT.SWAP("swap.9508",C9510,H9510,B9510,"USD","SOFR",I9510,J9510,0,"Actual360","Simple","Annual","Annual","Annual")</f>
        <v/>
      </c>
      <c r="F9510" s="8">
        <f>QS.TRADE.CREATE("trade.9508",C9510,E9510,A9510,"Receive")</f>
        <v/>
      </c>
      <c r="G9510" s="5"/>
      <c r="H9510" s="7" t="s">
        <v>9551</v>
      </c>
      <c r="I9510" s="9">
        <v>1950800</v>
      </c>
      <c r="J9510" s="10">
        <v>0.03580000000000001</v>
      </c>
    </row>
    <row r="9511" spans="1:10">
      <c r="A9511" s="7" t="s">
        <v>9545</v>
      </c>
      <c r="B9511" s="7" t="s">
        <v>11378</v>
      </c>
      <c r="C9511" s="8">
        <f>QS.CONTEXT.CREATE("market.9509",A9511,"USD","SOFR")</f>
        <v/>
      </c>
      <c r="D9511" s="8">
        <f>QS.CONTEXT.ADD.CURVE(C9511,"SOFR",$K$2:$K$7,$L$2:$L$7,,,"Actual360","LogLinear",TRUE)</f>
        <v/>
      </c>
      <c r="E9511" s="8">
        <f>QS.INSTRUMENT.SWAP("swap.9509",C9511,H9511,B9511,"USD","SOFR",I9511,J9511,0,"Actual360","Simple","Annual","Annual","Annual")</f>
        <v/>
      </c>
      <c r="F9511" s="8">
        <f>QS.TRADE.CREATE("trade.9509",C9511,E9511,A9511,"Receive")</f>
        <v/>
      </c>
      <c r="G9511" s="5"/>
      <c r="H9511" s="7" t="s">
        <v>9552</v>
      </c>
      <c r="I9511" s="9">
        <v>1950900</v>
      </c>
      <c r="J9511" s="10">
        <v>0.0359</v>
      </c>
    </row>
    <row r="9512" spans="1:10">
      <c r="A9512" s="7" t="s">
        <v>9546</v>
      </c>
      <c r="B9512" s="7" t="s">
        <v>11379</v>
      </c>
      <c r="C9512" s="8">
        <f>QS.CONTEXT.CREATE("market.9510",A9512,"USD","SOFR")</f>
        <v/>
      </c>
      <c r="D9512" s="8">
        <f>QS.CONTEXT.ADD.CURVE(C9512,"SOFR",$K$2:$K$7,$L$2:$L$7,,,"Actual360","LogLinear",TRUE)</f>
        <v/>
      </c>
      <c r="E9512" s="8">
        <f>QS.INSTRUMENT.SWAP("swap.9510",C9512,H9512,B9512,"USD","SOFR",I9512,J9512,0,"Actual360","Simple","Annual","Annual","Annual")</f>
        <v/>
      </c>
      <c r="F9512" s="8">
        <f>QS.TRADE.CREATE("trade.9510",C9512,E9512,A9512,"Receive")</f>
        <v/>
      </c>
      <c r="G9512" s="5"/>
      <c r="H9512" s="7" t="s">
        <v>9553</v>
      </c>
      <c r="I9512" s="9">
        <v>1951000</v>
      </c>
      <c r="J9512" s="10">
        <v>0.036</v>
      </c>
    </row>
    <row r="9513" spans="1:10">
      <c r="A9513" s="7" t="s">
        <v>9547</v>
      </c>
      <c r="B9513" s="7" t="s">
        <v>11380</v>
      </c>
      <c r="C9513" s="8">
        <f>QS.CONTEXT.CREATE("market.9511",A9513,"USD","SOFR")</f>
        <v/>
      </c>
      <c r="D9513" s="8">
        <f>QS.CONTEXT.ADD.CURVE(C9513,"SOFR",$K$2:$K$7,$L$2:$L$7,,,"Actual360","LogLinear",TRUE)</f>
        <v/>
      </c>
      <c r="E9513" s="8">
        <f>QS.INSTRUMENT.SWAP("swap.9511",C9513,H9513,B9513,"USD","SOFR",I9513,J9513,0,"Actual360","Simple","Annual","Annual","Annual")</f>
        <v/>
      </c>
      <c r="F9513" s="8">
        <f>QS.TRADE.CREATE("trade.9511",C9513,E9513,A9513,"Receive")</f>
        <v/>
      </c>
      <c r="G9513" s="5"/>
      <c r="H9513" s="7" t="s">
        <v>9554</v>
      </c>
      <c r="I9513" s="9">
        <v>1951100</v>
      </c>
      <c r="J9513" s="10">
        <v>0.0361</v>
      </c>
    </row>
    <row r="9514" spans="1:10">
      <c r="A9514" s="7" t="s">
        <v>9548</v>
      </c>
      <c r="B9514" s="7" t="s">
        <v>11381</v>
      </c>
      <c r="C9514" s="8">
        <f>QS.CONTEXT.CREATE("market.9512",A9514,"USD","SOFR")</f>
        <v/>
      </c>
      <c r="D9514" s="8">
        <f>QS.CONTEXT.ADD.CURVE(C9514,"SOFR",$K$2:$K$7,$L$2:$L$7,,,"Actual360","LogLinear",TRUE)</f>
        <v/>
      </c>
      <c r="E9514" s="8">
        <f>QS.INSTRUMENT.SWAP("swap.9512",C9514,H9514,B9514,"USD","SOFR",I9514,J9514,0,"Actual360","Simple","Annual","Annual","Annual")</f>
        <v/>
      </c>
      <c r="F9514" s="8">
        <f>QS.TRADE.CREATE("trade.9512",C9514,E9514,A9514,"Receive")</f>
        <v/>
      </c>
      <c r="G9514" s="5"/>
      <c r="H9514" s="7" t="s">
        <v>9555</v>
      </c>
      <c r="I9514" s="9">
        <v>1951200</v>
      </c>
      <c r="J9514" s="10">
        <v>0.0362</v>
      </c>
    </row>
    <row r="9515" spans="1:10">
      <c r="A9515" s="7" t="s">
        <v>9549</v>
      </c>
      <c r="B9515" s="7" t="s">
        <v>11382</v>
      </c>
      <c r="C9515" s="8">
        <f>QS.CONTEXT.CREATE("market.9513",A9515,"USD","SOFR")</f>
        <v/>
      </c>
      <c r="D9515" s="8">
        <f>QS.CONTEXT.ADD.CURVE(C9515,"SOFR",$K$2:$K$7,$L$2:$L$7,,,"Actual360","LogLinear",TRUE)</f>
        <v/>
      </c>
      <c r="E9515" s="8">
        <f>QS.INSTRUMENT.SWAP("swap.9513",C9515,H9515,B9515,"USD","SOFR",I9515,J9515,0,"Actual360","Simple","Annual","Annual","Annual")</f>
        <v/>
      </c>
      <c r="F9515" s="8">
        <f>QS.TRADE.CREATE("trade.9513",C9515,E9515,A9515,"Receive")</f>
        <v/>
      </c>
      <c r="G9515" s="5"/>
      <c r="H9515" s="7" t="s">
        <v>9556</v>
      </c>
      <c r="I9515" s="9">
        <v>1951300</v>
      </c>
      <c r="J9515" s="10">
        <v>0.03630000000000001</v>
      </c>
    </row>
    <row r="9516" spans="1:10">
      <c r="A9516" s="7" t="s">
        <v>9550</v>
      </c>
      <c r="B9516" s="7" t="s">
        <v>11383</v>
      </c>
      <c r="C9516" s="8">
        <f>QS.CONTEXT.CREATE("market.9514",A9516,"USD","SOFR")</f>
        <v/>
      </c>
      <c r="D9516" s="8">
        <f>QS.CONTEXT.ADD.CURVE(C9516,"SOFR",$K$2:$K$7,$L$2:$L$7,,,"Actual360","LogLinear",TRUE)</f>
        <v/>
      </c>
      <c r="E9516" s="8">
        <f>QS.INSTRUMENT.SWAP("swap.9514",C9516,H9516,B9516,"USD","SOFR",I9516,J9516,0,"Actual360","Simple","Annual","Annual","Annual")</f>
        <v/>
      </c>
      <c r="F9516" s="8">
        <f>QS.TRADE.CREATE("trade.9514",C9516,E9516,A9516,"Receive")</f>
        <v/>
      </c>
      <c r="G9516" s="5"/>
      <c r="H9516" s="7" t="s">
        <v>9557</v>
      </c>
      <c r="I9516" s="9">
        <v>1951400</v>
      </c>
      <c r="J9516" s="10">
        <v>0.0364</v>
      </c>
    </row>
    <row r="9517" spans="1:10">
      <c r="A9517" s="7" t="s">
        <v>9551</v>
      </c>
      <c r="B9517" s="7" t="s">
        <v>11384</v>
      </c>
      <c r="C9517" s="8">
        <f>QS.CONTEXT.CREATE("market.9515",A9517,"USD","SOFR")</f>
        <v/>
      </c>
      <c r="D9517" s="8">
        <f>QS.CONTEXT.ADD.CURVE(C9517,"SOFR",$K$2:$K$7,$L$2:$L$7,,,"Actual360","LogLinear",TRUE)</f>
        <v/>
      </c>
      <c r="E9517" s="8">
        <f>QS.INSTRUMENT.SWAP("swap.9515",C9517,H9517,B9517,"USD","SOFR",I9517,J9517,0,"Actual360","Simple","Annual","Annual","Annual")</f>
        <v/>
      </c>
      <c r="F9517" s="8">
        <f>QS.TRADE.CREATE("trade.9515",C9517,E9517,A9517,"Receive")</f>
        <v/>
      </c>
      <c r="G9517" s="5"/>
      <c r="H9517" s="7" t="s">
        <v>9558</v>
      </c>
      <c r="I9517" s="9">
        <v>1951500</v>
      </c>
      <c r="J9517" s="10">
        <v>0.0365</v>
      </c>
    </row>
    <row r="9518" spans="1:10">
      <c r="A9518" s="7" t="s">
        <v>9552</v>
      </c>
      <c r="B9518" s="7" t="s">
        <v>11385</v>
      </c>
      <c r="C9518" s="8">
        <f>QS.CONTEXT.CREATE("market.9516",A9518,"USD","SOFR")</f>
        <v/>
      </c>
      <c r="D9518" s="8">
        <f>QS.CONTEXT.ADD.CURVE(C9518,"SOFR",$K$2:$K$7,$L$2:$L$7,,,"Actual360","LogLinear",TRUE)</f>
        <v/>
      </c>
      <c r="E9518" s="8">
        <f>QS.INSTRUMENT.SWAP("swap.9516",C9518,H9518,B9518,"USD","SOFR",I9518,J9518,0,"Actual360","Simple","Annual","Annual","Annual")</f>
        <v/>
      </c>
      <c r="F9518" s="8">
        <f>QS.TRADE.CREATE("trade.9516",C9518,E9518,A9518,"Receive")</f>
        <v/>
      </c>
      <c r="G9518" s="5"/>
      <c r="H9518" s="7" t="s">
        <v>9559</v>
      </c>
      <c r="I9518" s="9">
        <v>1951600</v>
      </c>
      <c r="J9518" s="10">
        <v>0.0366</v>
      </c>
    </row>
    <row r="9519" spans="1:10">
      <c r="A9519" s="7" t="s">
        <v>9553</v>
      </c>
      <c r="B9519" s="7" t="s">
        <v>11386</v>
      </c>
      <c r="C9519" s="8">
        <f>QS.CONTEXT.CREATE("market.9517",A9519,"USD","SOFR")</f>
        <v/>
      </c>
      <c r="D9519" s="8">
        <f>QS.CONTEXT.ADD.CURVE(C9519,"SOFR",$K$2:$K$7,$L$2:$L$7,,,"Actual360","LogLinear",TRUE)</f>
        <v/>
      </c>
      <c r="E9519" s="8">
        <f>QS.INSTRUMENT.SWAP("swap.9517",C9519,H9519,B9519,"USD","SOFR",I9519,J9519,0,"Actual360","Simple","Annual","Annual","Annual")</f>
        <v/>
      </c>
      <c r="F9519" s="8">
        <f>QS.TRADE.CREATE("trade.9517",C9519,E9519,A9519,"Receive")</f>
        <v/>
      </c>
      <c r="G9519" s="5"/>
      <c r="H9519" s="7" t="s">
        <v>9560</v>
      </c>
      <c r="I9519" s="9">
        <v>1951700</v>
      </c>
      <c r="J9519" s="10">
        <v>0.0367</v>
      </c>
    </row>
    <row r="9520" spans="1:10">
      <c r="A9520" s="7" t="s">
        <v>9554</v>
      </c>
      <c r="B9520" s="7" t="s">
        <v>11387</v>
      </c>
      <c r="C9520" s="8">
        <f>QS.CONTEXT.CREATE("market.9518",A9520,"USD","SOFR")</f>
        <v/>
      </c>
      <c r="D9520" s="8">
        <f>QS.CONTEXT.ADD.CURVE(C9520,"SOFR",$K$2:$K$7,$L$2:$L$7,,,"Actual360","LogLinear",TRUE)</f>
        <v/>
      </c>
      <c r="E9520" s="8">
        <f>QS.INSTRUMENT.SWAP("swap.9518",C9520,H9520,B9520,"USD","SOFR",I9520,J9520,0,"Actual360","Simple","Annual","Annual","Annual")</f>
        <v/>
      </c>
      <c r="F9520" s="8">
        <f>QS.TRADE.CREATE("trade.9518",C9520,E9520,A9520,"Receive")</f>
        <v/>
      </c>
      <c r="G9520" s="5"/>
      <c r="H9520" s="7" t="s">
        <v>9561</v>
      </c>
      <c r="I9520" s="9">
        <v>1951800</v>
      </c>
      <c r="J9520" s="10">
        <v>0.03680000000000001</v>
      </c>
    </row>
    <row r="9521" spans="1:10">
      <c r="A9521" s="7" t="s">
        <v>9555</v>
      </c>
      <c r="B9521" s="7" t="s">
        <v>11388</v>
      </c>
      <c r="C9521" s="8">
        <f>QS.CONTEXT.CREATE("market.9519",A9521,"USD","SOFR")</f>
        <v/>
      </c>
      <c r="D9521" s="8">
        <f>QS.CONTEXT.ADD.CURVE(C9521,"SOFR",$K$2:$K$7,$L$2:$L$7,,,"Actual360","LogLinear",TRUE)</f>
        <v/>
      </c>
      <c r="E9521" s="8">
        <f>QS.INSTRUMENT.SWAP("swap.9519",C9521,H9521,B9521,"USD","SOFR",I9521,J9521,0,"Actual360","Simple","Annual","Annual","Annual")</f>
        <v/>
      </c>
      <c r="F9521" s="8">
        <f>QS.TRADE.CREATE("trade.9519",C9521,E9521,A9521,"Receive")</f>
        <v/>
      </c>
      <c r="G9521" s="5"/>
      <c r="H9521" s="7" t="s">
        <v>9562</v>
      </c>
      <c r="I9521" s="9">
        <v>1951900</v>
      </c>
      <c r="J9521" s="10">
        <v>0.0369</v>
      </c>
    </row>
    <row r="9522" spans="1:10">
      <c r="A9522" s="7" t="s">
        <v>9556</v>
      </c>
      <c r="B9522" s="7" t="s">
        <v>11389</v>
      </c>
      <c r="C9522" s="8">
        <f>QS.CONTEXT.CREATE("market.9520",A9522,"USD","SOFR")</f>
        <v/>
      </c>
      <c r="D9522" s="8">
        <f>QS.CONTEXT.ADD.CURVE(C9522,"SOFR",$K$2:$K$7,$L$2:$L$7,,,"Actual360","LogLinear",TRUE)</f>
        <v/>
      </c>
      <c r="E9522" s="8">
        <f>QS.INSTRUMENT.SWAP("swap.9520",C9522,H9522,B9522,"USD","SOFR",I9522,J9522,0,"Actual360","Simple","Annual","Annual","Annual")</f>
        <v/>
      </c>
      <c r="F9522" s="8">
        <f>QS.TRADE.CREATE("trade.9520",C9522,E9522,A9522,"Receive")</f>
        <v/>
      </c>
      <c r="G9522" s="5"/>
      <c r="H9522" s="7" t="s">
        <v>9563</v>
      </c>
      <c r="I9522" s="9">
        <v>1952000</v>
      </c>
      <c r="J9522" s="10">
        <v>0.03700000000000001</v>
      </c>
    </row>
    <row r="9523" spans="1:10">
      <c r="A9523" s="7" t="s">
        <v>9557</v>
      </c>
      <c r="B9523" s="7" t="s">
        <v>11390</v>
      </c>
      <c r="C9523" s="8">
        <f>QS.CONTEXT.CREATE("market.9521",A9523,"USD","SOFR")</f>
        <v/>
      </c>
      <c r="D9523" s="8">
        <f>QS.CONTEXT.ADD.CURVE(C9523,"SOFR",$K$2:$K$7,$L$2:$L$7,,,"Actual360","LogLinear",TRUE)</f>
        <v/>
      </c>
      <c r="E9523" s="8">
        <f>QS.INSTRUMENT.SWAP("swap.9521",C9523,H9523,B9523,"USD","SOFR",I9523,J9523,0,"Actual360","Simple","Annual","Annual","Annual")</f>
        <v/>
      </c>
      <c r="F9523" s="8">
        <f>QS.TRADE.CREATE("trade.9521",C9523,E9523,A9523,"Receive")</f>
        <v/>
      </c>
      <c r="G9523" s="5"/>
      <c r="H9523" s="7" t="s">
        <v>9564</v>
      </c>
      <c r="I9523" s="9">
        <v>1952100</v>
      </c>
      <c r="J9523" s="10">
        <v>0.0371</v>
      </c>
    </row>
    <row r="9524" spans="1:10">
      <c r="A9524" s="7" t="s">
        <v>9558</v>
      </c>
      <c r="B9524" s="7" t="s">
        <v>11391</v>
      </c>
      <c r="C9524" s="8">
        <f>QS.CONTEXT.CREATE("market.9522",A9524,"USD","SOFR")</f>
        <v/>
      </c>
      <c r="D9524" s="8">
        <f>QS.CONTEXT.ADD.CURVE(C9524,"SOFR",$K$2:$K$7,$L$2:$L$7,,,"Actual360","LogLinear",TRUE)</f>
        <v/>
      </c>
      <c r="E9524" s="8">
        <f>QS.INSTRUMENT.SWAP("swap.9522",C9524,H9524,B9524,"USD","SOFR",I9524,J9524,0,"Actual360","Simple","Annual","Annual","Annual")</f>
        <v/>
      </c>
      <c r="F9524" s="8">
        <f>QS.TRADE.CREATE("trade.9522",C9524,E9524,A9524,"Receive")</f>
        <v/>
      </c>
      <c r="G9524" s="5"/>
      <c r="H9524" s="7" t="s">
        <v>9565</v>
      </c>
      <c r="I9524" s="9">
        <v>1952200</v>
      </c>
      <c r="J9524" s="10">
        <v>0.0372</v>
      </c>
    </row>
    <row r="9525" spans="1:10">
      <c r="A9525" s="7" t="s">
        <v>9559</v>
      </c>
      <c r="B9525" s="7" t="s">
        <v>11392</v>
      </c>
      <c r="C9525" s="8">
        <f>QS.CONTEXT.CREATE("market.9523",A9525,"USD","SOFR")</f>
        <v/>
      </c>
      <c r="D9525" s="8">
        <f>QS.CONTEXT.ADD.CURVE(C9525,"SOFR",$K$2:$K$7,$L$2:$L$7,,,"Actual360","LogLinear",TRUE)</f>
        <v/>
      </c>
      <c r="E9525" s="8">
        <f>QS.INSTRUMENT.SWAP("swap.9523",C9525,H9525,B9525,"USD","SOFR",I9525,J9525,0,"Actual360","Simple","Annual","Annual","Annual")</f>
        <v/>
      </c>
      <c r="F9525" s="8">
        <f>QS.TRADE.CREATE("trade.9523",C9525,E9525,A9525,"Receive")</f>
        <v/>
      </c>
      <c r="G9525" s="5"/>
      <c r="H9525" s="7" t="s">
        <v>9566</v>
      </c>
      <c r="I9525" s="9">
        <v>1952300</v>
      </c>
      <c r="J9525" s="10">
        <v>0.0373</v>
      </c>
    </row>
    <row r="9526" spans="1:10">
      <c r="A9526" s="7" t="s">
        <v>9560</v>
      </c>
      <c r="B9526" s="7" t="s">
        <v>11393</v>
      </c>
      <c r="C9526" s="8">
        <f>QS.CONTEXT.CREATE("market.9524",A9526,"USD","SOFR")</f>
        <v/>
      </c>
      <c r="D9526" s="8">
        <f>QS.CONTEXT.ADD.CURVE(C9526,"SOFR",$K$2:$K$7,$L$2:$L$7,,,"Actual360","LogLinear",TRUE)</f>
        <v/>
      </c>
      <c r="E9526" s="8">
        <f>QS.INSTRUMENT.SWAP("swap.9524",C9526,H9526,B9526,"USD","SOFR",I9526,J9526,0,"Actual360","Simple","Annual","Annual","Annual")</f>
        <v/>
      </c>
      <c r="F9526" s="8">
        <f>QS.TRADE.CREATE("trade.9524",C9526,E9526,A9526,"Receive")</f>
        <v/>
      </c>
      <c r="G9526" s="5"/>
      <c r="H9526" s="7" t="s">
        <v>9567</v>
      </c>
      <c r="I9526" s="9">
        <v>1952400</v>
      </c>
      <c r="J9526" s="10">
        <v>0.0374</v>
      </c>
    </row>
    <row r="9527" spans="1:10">
      <c r="A9527" s="7" t="s">
        <v>9561</v>
      </c>
      <c r="B9527" s="7" t="s">
        <v>11394</v>
      </c>
      <c r="C9527" s="8">
        <f>QS.CONTEXT.CREATE("market.9525",A9527,"USD","SOFR")</f>
        <v/>
      </c>
      <c r="D9527" s="8">
        <f>QS.CONTEXT.ADD.CURVE(C9527,"SOFR",$K$2:$K$7,$L$2:$L$7,,,"Actual360","LogLinear",TRUE)</f>
        <v/>
      </c>
      <c r="E9527" s="8">
        <f>QS.INSTRUMENT.SWAP("swap.9525",C9527,H9527,B9527,"USD","SOFR",I9527,J9527,0,"Actual360","Simple","Annual","Annual","Annual")</f>
        <v/>
      </c>
      <c r="F9527" s="8">
        <f>QS.TRADE.CREATE("trade.9525",C9527,E9527,A9527,"Receive")</f>
        <v/>
      </c>
      <c r="G9527" s="5"/>
      <c r="H9527" s="7" t="s">
        <v>9568</v>
      </c>
      <c r="I9527" s="9">
        <v>1952500</v>
      </c>
      <c r="J9527" s="10">
        <v>0.03750000000000001</v>
      </c>
    </row>
    <row r="9528" spans="1:10">
      <c r="A9528" s="7" t="s">
        <v>9562</v>
      </c>
      <c r="B9528" s="7" t="s">
        <v>11395</v>
      </c>
      <c r="C9528" s="8">
        <f>QS.CONTEXT.CREATE("market.9526",A9528,"USD","SOFR")</f>
        <v/>
      </c>
      <c r="D9528" s="8">
        <f>QS.CONTEXT.ADD.CURVE(C9528,"SOFR",$K$2:$K$7,$L$2:$L$7,,,"Actual360","LogLinear",TRUE)</f>
        <v/>
      </c>
      <c r="E9528" s="8">
        <f>QS.INSTRUMENT.SWAP("swap.9526",C9528,H9528,B9528,"USD","SOFR",I9528,J9528,0,"Actual360","Simple","Annual","Annual","Annual")</f>
        <v/>
      </c>
      <c r="F9528" s="8">
        <f>QS.TRADE.CREATE("trade.9526",C9528,E9528,A9528,"Receive")</f>
        <v/>
      </c>
      <c r="G9528" s="5"/>
      <c r="H9528" s="7" t="s">
        <v>9569</v>
      </c>
      <c r="I9528" s="9">
        <v>1952600</v>
      </c>
      <c r="J9528" s="10">
        <v>0.0376</v>
      </c>
    </row>
    <row r="9529" spans="1:10">
      <c r="A9529" s="7" t="s">
        <v>9563</v>
      </c>
      <c r="B9529" s="7" t="s">
        <v>11396</v>
      </c>
      <c r="C9529" s="8">
        <f>QS.CONTEXT.CREATE("market.9527",A9529,"USD","SOFR")</f>
        <v/>
      </c>
      <c r="D9529" s="8">
        <f>QS.CONTEXT.ADD.CURVE(C9529,"SOFR",$K$2:$K$7,$L$2:$L$7,,,"Actual360","LogLinear",TRUE)</f>
        <v/>
      </c>
      <c r="E9529" s="8">
        <f>QS.INSTRUMENT.SWAP("swap.9527",C9529,H9529,B9529,"USD","SOFR",I9529,J9529,0,"Actual360","Simple","Annual","Annual","Annual")</f>
        <v/>
      </c>
      <c r="F9529" s="8">
        <f>QS.TRADE.CREATE("trade.9527",C9529,E9529,A9529,"Receive")</f>
        <v/>
      </c>
      <c r="G9529" s="5"/>
      <c r="H9529" s="7" t="s">
        <v>9570</v>
      </c>
      <c r="I9529" s="9">
        <v>1952700</v>
      </c>
      <c r="J9529" s="10">
        <v>0.0377</v>
      </c>
    </row>
    <row r="9530" spans="1:10">
      <c r="A9530" s="7" t="s">
        <v>9564</v>
      </c>
      <c r="B9530" s="7" t="s">
        <v>11397</v>
      </c>
      <c r="C9530" s="8">
        <f>QS.CONTEXT.CREATE("market.9528",A9530,"USD","SOFR")</f>
        <v/>
      </c>
      <c r="D9530" s="8">
        <f>QS.CONTEXT.ADD.CURVE(C9530,"SOFR",$K$2:$K$7,$L$2:$L$7,,,"Actual360","LogLinear",TRUE)</f>
        <v/>
      </c>
      <c r="E9530" s="8">
        <f>QS.INSTRUMENT.SWAP("swap.9528",C9530,H9530,B9530,"USD","SOFR",I9530,J9530,0,"Actual360","Simple","Annual","Annual","Annual")</f>
        <v/>
      </c>
      <c r="F9530" s="8">
        <f>QS.TRADE.CREATE("trade.9528",C9530,E9530,A9530,"Receive")</f>
        <v/>
      </c>
      <c r="G9530" s="5"/>
      <c r="H9530" s="7" t="s">
        <v>9571</v>
      </c>
      <c r="I9530" s="9">
        <v>1952800</v>
      </c>
      <c r="J9530" s="10">
        <v>0.0378</v>
      </c>
    </row>
    <row r="9531" spans="1:10">
      <c r="A9531" s="7" t="s">
        <v>9565</v>
      </c>
      <c r="B9531" s="7" t="s">
        <v>11398</v>
      </c>
      <c r="C9531" s="8">
        <f>QS.CONTEXT.CREATE("market.9529",A9531,"USD","SOFR")</f>
        <v/>
      </c>
      <c r="D9531" s="8">
        <f>QS.CONTEXT.ADD.CURVE(C9531,"SOFR",$K$2:$K$7,$L$2:$L$7,,,"Actual360","LogLinear",TRUE)</f>
        <v/>
      </c>
      <c r="E9531" s="8">
        <f>QS.INSTRUMENT.SWAP("swap.9529",C9531,H9531,B9531,"USD","SOFR",I9531,J9531,0,"Actual360","Simple","Annual","Annual","Annual")</f>
        <v/>
      </c>
      <c r="F9531" s="8">
        <f>QS.TRADE.CREATE("trade.9529",C9531,E9531,A9531,"Receive")</f>
        <v/>
      </c>
      <c r="G9531" s="5"/>
      <c r="H9531" s="7" t="s">
        <v>9572</v>
      </c>
      <c r="I9531" s="9">
        <v>1952900</v>
      </c>
      <c r="J9531" s="10">
        <v>0.0379</v>
      </c>
    </row>
    <row r="9532" spans="1:10">
      <c r="A9532" s="7" t="s">
        <v>9566</v>
      </c>
      <c r="B9532" s="7" t="s">
        <v>11399</v>
      </c>
      <c r="C9532" s="8">
        <f>QS.CONTEXT.CREATE("market.9530",A9532,"USD","SOFR")</f>
        <v/>
      </c>
      <c r="D9532" s="8">
        <f>QS.CONTEXT.ADD.CURVE(C9532,"SOFR",$K$2:$K$7,$L$2:$L$7,,,"Actual360","LogLinear",TRUE)</f>
        <v/>
      </c>
      <c r="E9532" s="8">
        <f>QS.INSTRUMENT.SWAP("swap.9530",C9532,H9532,B9532,"USD","SOFR",I9532,J9532,0,"Actual360","Simple","Annual","Annual","Annual")</f>
        <v/>
      </c>
      <c r="F9532" s="8">
        <f>QS.TRADE.CREATE("trade.9530",C9532,E9532,A9532,"Receive")</f>
        <v/>
      </c>
      <c r="G9532" s="5"/>
      <c r="H9532" s="7" t="s">
        <v>9573</v>
      </c>
      <c r="I9532" s="9">
        <v>1953000</v>
      </c>
      <c r="J9532" s="10">
        <v>0.03800000000000001</v>
      </c>
    </row>
    <row r="9533" spans="1:10">
      <c r="A9533" s="7" t="s">
        <v>9567</v>
      </c>
      <c r="B9533" s="7" t="s">
        <v>11400</v>
      </c>
      <c r="C9533" s="8">
        <f>QS.CONTEXT.CREATE("market.9531",A9533,"USD","SOFR")</f>
        <v/>
      </c>
      <c r="D9533" s="8">
        <f>QS.CONTEXT.ADD.CURVE(C9533,"SOFR",$K$2:$K$7,$L$2:$L$7,,,"Actual360","LogLinear",TRUE)</f>
        <v/>
      </c>
      <c r="E9533" s="8">
        <f>QS.INSTRUMENT.SWAP("swap.9531",C9533,H9533,B9533,"USD","SOFR",I9533,J9533,0,"Actual360","Simple","Annual","Annual","Annual")</f>
        <v/>
      </c>
      <c r="F9533" s="8">
        <f>QS.TRADE.CREATE("trade.9531",C9533,E9533,A9533,"Receive")</f>
        <v/>
      </c>
      <c r="G9533" s="5"/>
      <c r="H9533" s="7" t="s">
        <v>9574</v>
      </c>
      <c r="I9533" s="9">
        <v>1953100</v>
      </c>
      <c r="J9533" s="10">
        <v>0.0381</v>
      </c>
    </row>
    <row r="9534" spans="1:10">
      <c r="A9534" s="7" t="s">
        <v>9568</v>
      </c>
      <c r="B9534" s="7" t="s">
        <v>11401</v>
      </c>
      <c r="C9534" s="8">
        <f>QS.CONTEXT.CREATE("market.9532",A9534,"USD","SOFR")</f>
        <v/>
      </c>
      <c r="D9534" s="8">
        <f>QS.CONTEXT.ADD.CURVE(C9534,"SOFR",$K$2:$K$7,$L$2:$L$7,,,"Actual360","LogLinear",TRUE)</f>
        <v/>
      </c>
      <c r="E9534" s="8">
        <f>QS.INSTRUMENT.SWAP("swap.9532",C9534,H9534,B9534,"USD","SOFR",I9534,J9534,0,"Actual360","Simple","Annual","Annual","Annual")</f>
        <v/>
      </c>
      <c r="F9534" s="8">
        <f>QS.TRADE.CREATE("trade.9532",C9534,E9534,A9534,"Receive")</f>
        <v/>
      </c>
      <c r="G9534" s="5"/>
      <c r="H9534" s="7" t="s">
        <v>9575</v>
      </c>
      <c r="I9534" s="9">
        <v>1953200</v>
      </c>
      <c r="J9534" s="10">
        <v>0.0382</v>
      </c>
    </row>
    <row r="9535" spans="1:10">
      <c r="A9535" s="7" t="s">
        <v>9569</v>
      </c>
      <c r="B9535" s="7" t="s">
        <v>11402</v>
      </c>
      <c r="C9535" s="8">
        <f>QS.CONTEXT.CREATE("market.9533",A9535,"USD","SOFR")</f>
        <v/>
      </c>
      <c r="D9535" s="8">
        <f>QS.CONTEXT.ADD.CURVE(C9535,"SOFR",$K$2:$K$7,$L$2:$L$7,,,"Actual360","LogLinear",TRUE)</f>
        <v/>
      </c>
      <c r="E9535" s="8">
        <f>QS.INSTRUMENT.SWAP("swap.9533",C9535,H9535,B9535,"USD","SOFR",I9535,J9535,0,"Actual360","Simple","Annual","Annual","Annual")</f>
        <v/>
      </c>
      <c r="F9535" s="8">
        <f>QS.TRADE.CREATE("trade.9533",C9535,E9535,A9535,"Receive")</f>
        <v/>
      </c>
      <c r="G9535" s="5"/>
      <c r="H9535" s="7" t="s">
        <v>9576</v>
      </c>
      <c r="I9535" s="9">
        <v>1953300</v>
      </c>
      <c r="J9535" s="10">
        <v>0.0383</v>
      </c>
    </row>
    <row r="9536" spans="1:10">
      <c r="A9536" s="7" t="s">
        <v>9570</v>
      </c>
      <c r="B9536" s="7" t="s">
        <v>11403</v>
      </c>
      <c r="C9536" s="8">
        <f>QS.CONTEXT.CREATE("market.9534",A9536,"USD","SOFR")</f>
        <v/>
      </c>
      <c r="D9536" s="8">
        <f>QS.CONTEXT.ADD.CURVE(C9536,"SOFR",$K$2:$K$7,$L$2:$L$7,,,"Actual360","LogLinear",TRUE)</f>
        <v/>
      </c>
      <c r="E9536" s="8">
        <f>QS.INSTRUMENT.SWAP("swap.9534",C9536,H9536,B9536,"USD","SOFR",I9536,J9536,0,"Actual360","Simple","Annual","Annual","Annual")</f>
        <v/>
      </c>
      <c r="F9536" s="8">
        <f>QS.TRADE.CREATE("trade.9534",C9536,E9536,A9536,"Receive")</f>
        <v/>
      </c>
      <c r="G9536" s="5"/>
      <c r="H9536" s="7" t="s">
        <v>9577</v>
      </c>
      <c r="I9536" s="9">
        <v>1953400</v>
      </c>
      <c r="J9536" s="10">
        <v>0.0384</v>
      </c>
    </row>
    <row r="9537" spans="1:10">
      <c r="A9537" s="7" t="s">
        <v>9571</v>
      </c>
      <c r="B9537" s="7" t="s">
        <v>11404</v>
      </c>
      <c r="C9537" s="8">
        <f>QS.CONTEXT.CREATE("market.9535",A9537,"USD","SOFR")</f>
        <v/>
      </c>
      <c r="D9537" s="8">
        <f>QS.CONTEXT.ADD.CURVE(C9537,"SOFR",$K$2:$K$7,$L$2:$L$7,,,"Actual360","LogLinear",TRUE)</f>
        <v/>
      </c>
      <c r="E9537" s="8">
        <f>QS.INSTRUMENT.SWAP("swap.9535",C9537,H9537,B9537,"USD","SOFR",I9537,J9537,0,"Actual360","Simple","Annual","Annual","Annual")</f>
        <v/>
      </c>
      <c r="F9537" s="8">
        <f>QS.TRADE.CREATE("trade.9535",C9537,E9537,A9537,"Receive")</f>
        <v/>
      </c>
      <c r="G9537" s="5"/>
      <c r="H9537" s="7" t="s">
        <v>9578</v>
      </c>
      <c r="I9537" s="9">
        <v>1953500</v>
      </c>
      <c r="J9537" s="10">
        <v>0.03850000000000001</v>
      </c>
    </row>
    <row r="9538" spans="1:10">
      <c r="A9538" s="7" t="s">
        <v>9572</v>
      </c>
      <c r="B9538" s="7" t="s">
        <v>11405</v>
      </c>
      <c r="C9538" s="8">
        <f>QS.CONTEXT.CREATE("market.9536",A9538,"USD","SOFR")</f>
        <v/>
      </c>
      <c r="D9538" s="8">
        <f>QS.CONTEXT.ADD.CURVE(C9538,"SOFR",$K$2:$K$7,$L$2:$L$7,,,"Actual360","LogLinear",TRUE)</f>
        <v/>
      </c>
      <c r="E9538" s="8">
        <f>QS.INSTRUMENT.SWAP("swap.9536",C9538,H9538,B9538,"USD","SOFR",I9538,J9538,0,"Actual360","Simple","Annual","Annual","Annual")</f>
        <v/>
      </c>
      <c r="F9538" s="8">
        <f>QS.TRADE.CREATE("trade.9536",C9538,E9538,A9538,"Receive")</f>
        <v/>
      </c>
      <c r="G9538" s="5"/>
      <c r="H9538" s="7" t="s">
        <v>9579</v>
      </c>
      <c r="I9538" s="9">
        <v>1953600</v>
      </c>
      <c r="J9538" s="10">
        <v>0.0386</v>
      </c>
    </row>
    <row r="9539" spans="1:10">
      <c r="A9539" s="7" t="s">
        <v>9573</v>
      </c>
      <c r="B9539" s="7" t="s">
        <v>11406</v>
      </c>
      <c r="C9539" s="8">
        <f>QS.CONTEXT.CREATE("market.9537",A9539,"USD","SOFR")</f>
        <v/>
      </c>
      <c r="D9539" s="8">
        <f>QS.CONTEXT.ADD.CURVE(C9539,"SOFR",$K$2:$K$7,$L$2:$L$7,,,"Actual360","LogLinear",TRUE)</f>
        <v/>
      </c>
      <c r="E9539" s="8">
        <f>QS.INSTRUMENT.SWAP("swap.9537",C9539,H9539,B9539,"USD","SOFR",I9539,J9539,0,"Actual360","Simple","Annual","Annual","Annual")</f>
        <v/>
      </c>
      <c r="F9539" s="8">
        <f>QS.TRADE.CREATE("trade.9537",C9539,E9539,A9539,"Receive")</f>
        <v/>
      </c>
      <c r="G9539" s="5"/>
      <c r="H9539" s="7" t="s">
        <v>9580</v>
      </c>
      <c r="I9539" s="9">
        <v>1953700</v>
      </c>
      <c r="J9539" s="10">
        <v>0.03870000000000001</v>
      </c>
    </row>
    <row r="9540" spans="1:10">
      <c r="A9540" s="7" t="s">
        <v>9574</v>
      </c>
      <c r="B9540" s="7" t="s">
        <v>11407</v>
      </c>
      <c r="C9540" s="8">
        <f>QS.CONTEXT.CREATE("market.9538",A9540,"USD","SOFR")</f>
        <v/>
      </c>
      <c r="D9540" s="8">
        <f>QS.CONTEXT.ADD.CURVE(C9540,"SOFR",$K$2:$K$7,$L$2:$L$7,,,"Actual360","LogLinear",TRUE)</f>
        <v/>
      </c>
      <c r="E9540" s="8">
        <f>QS.INSTRUMENT.SWAP("swap.9538",C9540,H9540,B9540,"USD","SOFR",I9540,J9540,0,"Actual360","Simple","Annual","Annual","Annual")</f>
        <v/>
      </c>
      <c r="F9540" s="8">
        <f>QS.TRADE.CREATE("trade.9538",C9540,E9540,A9540,"Receive")</f>
        <v/>
      </c>
      <c r="G9540" s="5"/>
      <c r="H9540" s="7" t="s">
        <v>9581</v>
      </c>
      <c r="I9540" s="9">
        <v>1953800</v>
      </c>
      <c r="J9540" s="10">
        <v>0.0388</v>
      </c>
    </row>
    <row r="9541" spans="1:10">
      <c r="A9541" s="7" t="s">
        <v>9575</v>
      </c>
      <c r="B9541" s="7" t="s">
        <v>11408</v>
      </c>
      <c r="C9541" s="8">
        <f>QS.CONTEXT.CREATE("market.9539",A9541,"USD","SOFR")</f>
        <v/>
      </c>
      <c r="D9541" s="8">
        <f>QS.CONTEXT.ADD.CURVE(C9541,"SOFR",$K$2:$K$7,$L$2:$L$7,,,"Actual360","LogLinear",TRUE)</f>
        <v/>
      </c>
      <c r="E9541" s="8">
        <f>QS.INSTRUMENT.SWAP("swap.9539",C9541,H9541,B9541,"USD","SOFR",I9541,J9541,0,"Actual360","Simple","Annual","Annual","Annual")</f>
        <v/>
      </c>
      <c r="F9541" s="8">
        <f>QS.TRADE.CREATE("trade.9539",C9541,E9541,A9541,"Receive")</f>
        <v/>
      </c>
      <c r="G9541" s="5"/>
      <c r="H9541" s="7" t="s">
        <v>9582</v>
      </c>
      <c r="I9541" s="9">
        <v>1953900</v>
      </c>
      <c r="J9541" s="10">
        <v>0.0389</v>
      </c>
    </row>
    <row r="9542" spans="1:10">
      <c r="A9542" s="7" t="s">
        <v>9576</v>
      </c>
      <c r="B9542" s="7" t="s">
        <v>11409</v>
      </c>
      <c r="C9542" s="8">
        <f>QS.CONTEXT.CREATE("market.9540",A9542,"USD","SOFR")</f>
        <v/>
      </c>
      <c r="D9542" s="8">
        <f>QS.CONTEXT.ADD.CURVE(C9542,"SOFR",$K$2:$K$7,$L$2:$L$7,,,"Actual360","LogLinear",TRUE)</f>
        <v/>
      </c>
      <c r="E9542" s="8">
        <f>QS.INSTRUMENT.SWAP("swap.9540",C9542,H9542,B9542,"USD","SOFR",I9542,J9542,0,"Actual360","Simple","Annual","Annual","Annual")</f>
        <v/>
      </c>
      <c r="F9542" s="8">
        <f>QS.TRADE.CREATE("trade.9540",C9542,E9542,A9542,"Receive")</f>
        <v/>
      </c>
      <c r="G9542" s="5"/>
      <c r="H9542" s="7" t="s">
        <v>9583</v>
      </c>
      <c r="I9542" s="9">
        <v>1954000</v>
      </c>
      <c r="J9542" s="10">
        <v>0.03900000000000001</v>
      </c>
    </row>
    <row r="9543" spans="1:10">
      <c r="A9543" s="7" t="s">
        <v>9577</v>
      </c>
      <c r="B9543" s="7" t="s">
        <v>11410</v>
      </c>
      <c r="C9543" s="8">
        <f>QS.CONTEXT.CREATE("market.9541",A9543,"USD","SOFR")</f>
        <v/>
      </c>
      <c r="D9543" s="8">
        <f>QS.CONTEXT.ADD.CURVE(C9543,"SOFR",$K$2:$K$7,$L$2:$L$7,,,"Actual360","LogLinear",TRUE)</f>
        <v/>
      </c>
      <c r="E9543" s="8">
        <f>QS.INSTRUMENT.SWAP("swap.9541",C9543,H9543,B9543,"USD","SOFR",I9543,J9543,0,"Actual360","Simple","Annual","Annual","Annual")</f>
        <v/>
      </c>
      <c r="F9543" s="8">
        <f>QS.TRADE.CREATE("trade.9541",C9543,E9543,A9543,"Receive")</f>
        <v/>
      </c>
      <c r="G9543" s="5"/>
      <c r="H9543" s="7" t="s">
        <v>9584</v>
      </c>
      <c r="I9543" s="9">
        <v>1954100</v>
      </c>
      <c r="J9543" s="10">
        <v>0.0391</v>
      </c>
    </row>
    <row r="9544" spans="1:10">
      <c r="A9544" s="7" t="s">
        <v>9578</v>
      </c>
      <c r="B9544" s="7" t="s">
        <v>11411</v>
      </c>
      <c r="C9544" s="8">
        <f>QS.CONTEXT.CREATE("market.9542",A9544,"USD","SOFR")</f>
        <v/>
      </c>
      <c r="D9544" s="8">
        <f>QS.CONTEXT.ADD.CURVE(C9544,"SOFR",$K$2:$K$7,$L$2:$L$7,,,"Actual360","LogLinear",TRUE)</f>
        <v/>
      </c>
      <c r="E9544" s="8">
        <f>QS.INSTRUMENT.SWAP("swap.9542",C9544,H9544,B9544,"USD","SOFR",I9544,J9544,0,"Actual360","Simple","Annual","Annual","Annual")</f>
        <v/>
      </c>
      <c r="F9544" s="8">
        <f>QS.TRADE.CREATE("trade.9542",C9544,E9544,A9544,"Receive")</f>
        <v/>
      </c>
      <c r="G9544" s="5"/>
      <c r="H9544" s="7" t="s">
        <v>9585</v>
      </c>
      <c r="I9544" s="9">
        <v>1954200</v>
      </c>
      <c r="J9544" s="10">
        <v>0.03920000000000001</v>
      </c>
    </row>
    <row r="9545" spans="1:10">
      <c r="A9545" s="7" t="s">
        <v>9579</v>
      </c>
      <c r="B9545" s="7" t="s">
        <v>11412</v>
      </c>
      <c r="C9545" s="8">
        <f>QS.CONTEXT.CREATE("market.9543",A9545,"USD","SOFR")</f>
        <v/>
      </c>
      <c r="D9545" s="8">
        <f>QS.CONTEXT.ADD.CURVE(C9545,"SOFR",$K$2:$K$7,$L$2:$L$7,,,"Actual360","LogLinear",TRUE)</f>
        <v/>
      </c>
      <c r="E9545" s="8">
        <f>QS.INSTRUMENT.SWAP("swap.9543",C9545,H9545,B9545,"USD","SOFR",I9545,J9545,0,"Actual360","Simple","Annual","Annual","Annual")</f>
        <v/>
      </c>
      <c r="F9545" s="8">
        <f>QS.TRADE.CREATE("trade.9543",C9545,E9545,A9545,"Receive")</f>
        <v/>
      </c>
      <c r="G9545" s="5"/>
      <c r="H9545" s="7" t="s">
        <v>9586</v>
      </c>
      <c r="I9545" s="9">
        <v>1954300</v>
      </c>
      <c r="J9545" s="10">
        <v>0.0393</v>
      </c>
    </row>
    <row r="9546" spans="1:10">
      <c r="A9546" s="7" t="s">
        <v>9580</v>
      </c>
      <c r="B9546" s="7" t="s">
        <v>11413</v>
      </c>
      <c r="C9546" s="8">
        <f>QS.CONTEXT.CREATE("market.9544",A9546,"USD","SOFR")</f>
        <v/>
      </c>
      <c r="D9546" s="8">
        <f>QS.CONTEXT.ADD.CURVE(C9546,"SOFR",$K$2:$K$7,$L$2:$L$7,,,"Actual360","LogLinear",TRUE)</f>
        <v/>
      </c>
      <c r="E9546" s="8">
        <f>QS.INSTRUMENT.SWAP("swap.9544",C9546,H9546,B9546,"USD","SOFR",I9546,J9546,0,"Actual360","Simple","Annual","Annual","Annual")</f>
        <v/>
      </c>
      <c r="F9546" s="8">
        <f>QS.TRADE.CREATE("trade.9544",C9546,E9546,A9546,"Receive")</f>
        <v/>
      </c>
      <c r="G9546" s="5"/>
      <c r="H9546" s="7" t="s">
        <v>9587</v>
      </c>
      <c r="I9546" s="9">
        <v>1954400</v>
      </c>
      <c r="J9546" s="10">
        <v>0.0394</v>
      </c>
    </row>
    <row r="9547" spans="1:10">
      <c r="A9547" s="7" t="s">
        <v>9581</v>
      </c>
      <c r="B9547" s="7" t="s">
        <v>11414</v>
      </c>
      <c r="C9547" s="8">
        <f>QS.CONTEXT.CREATE("market.9545",A9547,"USD","SOFR")</f>
        <v/>
      </c>
      <c r="D9547" s="8">
        <f>QS.CONTEXT.ADD.CURVE(C9547,"SOFR",$K$2:$K$7,$L$2:$L$7,,,"Actual360","LogLinear",TRUE)</f>
        <v/>
      </c>
      <c r="E9547" s="8">
        <f>QS.INSTRUMENT.SWAP("swap.9545",C9547,H9547,B9547,"USD","SOFR",I9547,J9547,0,"Actual360","Simple","Annual","Annual","Annual")</f>
        <v/>
      </c>
      <c r="F9547" s="8">
        <f>QS.TRADE.CREATE("trade.9545",C9547,E9547,A9547,"Receive")</f>
        <v/>
      </c>
      <c r="G9547" s="5"/>
      <c r="H9547" s="7" t="s">
        <v>9588</v>
      </c>
      <c r="I9547" s="9">
        <v>1954500</v>
      </c>
      <c r="J9547" s="10">
        <v>0.03950000000000001</v>
      </c>
    </row>
    <row r="9548" spans="1:10">
      <c r="A9548" s="7" t="s">
        <v>9582</v>
      </c>
      <c r="B9548" s="7" t="s">
        <v>11415</v>
      </c>
      <c r="C9548" s="8">
        <f>QS.CONTEXT.CREATE("market.9546",A9548,"USD","SOFR")</f>
        <v/>
      </c>
      <c r="D9548" s="8">
        <f>QS.CONTEXT.ADD.CURVE(C9548,"SOFR",$K$2:$K$7,$L$2:$L$7,,,"Actual360","LogLinear",TRUE)</f>
        <v/>
      </c>
      <c r="E9548" s="8">
        <f>QS.INSTRUMENT.SWAP("swap.9546",C9548,H9548,B9548,"USD","SOFR",I9548,J9548,0,"Actual360","Simple","Annual","Annual","Annual")</f>
        <v/>
      </c>
      <c r="F9548" s="8">
        <f>QS.TRADE.CREATE("trade.9546",C9548,E9548,A9548,"Receive")</f>
        <v/>
      </c>
      <c r="G9548" s="5"/>
      <c r="H9548" s="7" t="s">
        <v>9589</v>
      </c>
      <c r="I9548" s="9">
        <v>1954600</v>
      </c>
      <c r="J9548" s="10">
        <v>0.0396</v>
      </c>
    </row>
    <row r="9549" spans="1:10">
      <c r="A9549" s="7" t="s">
        <v>9583</v>
      </c>
      <c r="B9549" s="7" t="s">
        <v>11416</v>
      </c>
      <c r="C9549" s="8">
        <f>QS.CONTEXT.CREATE("market.9547",A9549,"USD","SOFR")</f>
        <v/>
      </c>
      <c r="D9549" s="8">
        <f>QS.CONTEXT.ADD.CURVE(C9549,"SOFR",$K$2:$K$7,$L$2:$L$7,,,"Actual360","LogLinear",TRUE)</f>
        <v/>
      </c>
      <c r="E9549" s="8">
        <f>QS.INSTRUMENT.SWAP("swap.9547",C9549,H9549,B9549,"USD","SOFR",I9549,J9549,0,"Actual360","Simple","Annual","Annual","Annual")</f>
        <v/>
      </c>
      <c r="F9549" s="8">
        <f>QS.TRADE.CREATE("trade.9547",C9549,E9549,A9549,"Receive")</f>
        <v/>
      </c>
      <c r="G9549" s="5"/>
      <c r="H9549" s="7" t="s">
        <v>9590</v>
      </c>
      <c r="I9549" s="9">
        <v>1954700</v>
      </c>
      <c r="J9549" s="10">
        <v>0.03970000000000001</v>
      </c>
    </row>
    <row r="9550" spans="1:10">
      <c r="A9550" s="7" t="s">
        <v>9584</v>
      </c>
      <c r="B9550" s="7" t="s">
        <v>11416</v>
      </c>
      <c r="C9550" s="8">
        <f>QS.CONTEXT.CREATE("market.9548",A9550,"USD","SOFR")</f>
        <v/>
      </c>
      <c r="D9550" s="8">
        <f>QS.CONTEXT.ADD.CURVE(C9550,"SOFR",$K$2:$K$7,$L$2:$L$7,,,"Actual360","LogLinear",TRUE)</f>
        <v/>
      </c>
      <c r="E9550" s="8">
        <f>QS.INSTRUMENT.SWAP("swap.9548",C9550,H9550,B9550,"USD","SOFR",I9550,J9550,0,"Actual360","Simple","Annual","Annual","Annual")</f>
        <v/>
      </c>
      <c r="F9550" s="8">
        <f>QS.TRADE.CREATE("trade.9548",C9550,E9550,A9550,"Receive")</f>
        <v/>
      </c>
      <c r="G9550" s="5"/>
      <c r="H9550" s="7" t="s">
        <v>11417</v>
      </c>
      <c r="I9550" s="9">
        <v>1954800</v>
      </c>
      <c r="J9550" s="10">
        <v>0.0398</v>
      </c>
    </row>
    <row r="9551" spans="1:10">
      <c r="A9551" s="7" t="s">
        <v>9585</v>
      </c>
      <c r="B9551" s="7" t="s">
        <v>11418</v>
      </c>
      <c r="C9551" s="8">
        <f>QS.CONTEXT.CREATE("market.9549",A9551,"USD","SOFR")</f>
        <v/>
      </c>
      <c r="D9551" s="8">
        <f>QS.CONTEXT.ADD.CURVE(C9551,"SOFR",$K$2:$K$7,$L$2:$L$7,,,"Actual360","LogLinear",TRUE)</f>
        <v/>
      </c>
      <c r="E9551" s="8">
        <f>QS.INSTRUMENT.SWAP("swap.9549",C9551,H9551,B9551,"USD","SOFR",I9551,J9551,0,"Actual360","Simple","Annual","Annual","Annual")</f>
        <v/>
      </c>
      <c r="F9551" s="8">
        <f>QS.TRADE.CREATE("trade.9549",C9551,E9551,A9551,"Receive")</f>
        <v/>
      </c>
      <c r="G9551" s="5"/>
      <c r="H9551" s="7" t="s">
        <v>9591</v>
      </c>
      <c r="I9551" s="9">
        <v>1954900</v>
      </c>
      <c r="J9551" s="10">
        <v>0.0399</v>
      </c>
    </row>
    <row r="9552" spans="1:10">
      <c r="A9552" s="7" t="s">
        <v>9586</v>
      </c>
      <c r="B9552" s="7" t="s">
        <v>11419</v>
      </c>
      <c r="C9552" s="8">
        <f>QS.CONTEXT.CREATE("market.9550",A9552,"USD","SOFR")</f>
        <v/>
      </c>
      <c r="D9552" s="8">
        <f>QS.CONTEXT.ADD.CURVE(C9552,"SOFR",$K$2:$K$7,$L$2:$L$7,,,"Actual360","LogLinear",TRUE)</f>
        <v/>
      </c>
      <c r="E9552" s="8">
        <f>QS.INSTRUMENT.SWAP("swap.9550",C9552,H9552,B9552,"USD","SOFR",I9552,J9552,0,"Actual360","Simple","Annual","Annual","Annual")</f>
        <v/>
      </c>
      <c r="F9552" s="8">
        <f>QS.TRADE.CREATE("trade.9550",C9552,E9552,A9552,"Receive")</f>
        <v/>
      </c>
      <c r="G9552" s="5"/>
      <c r="H9552" s="7" t="s">
        <v>9592</v>
      </c>
      <c r="I9552" s="9">
        <v>1955000</v>
      </c>
      <c r="J9552" s="10">
        <v>0.035</v>
      </c>
    </row>
    <row r="9553" spans="1:10">
      <c r="A9553" s="7" t="s">
        <v>9587</v>
      </c>
      <c r="B9553" s="7" t="s">
        <v>11420</v>
      </c>
      <c r="C9553" s="8">
        <f>QS.CONTEXT.CREATE("market.9551",A9553,"USD","SOFR")</f>
        <v/>
      </c>
      <c r="D9553" s="8">
        <f>QS.CONTEXT.ADD.CURVE(C9553,"SOFR",$K$2:$K$7,$L$2:$L$7,,,"Actual360","LogLinear",TRUE)</f>
        <v/>
      </c>
      <c r="E9553" s="8">
        <f>QS.INSTRUMENT.SWAP("swap.9551",C9553,H9553,B9553,"USD","SOFR",I9553,J9553,0,"Actual360","Simple","Annual","Annual","Annual")</f>
        <v/>
      </c>
      <c r="F9553" s="8">
        <f>QS.TRADE.CREATE("trade.9551",C9553,E9553,A9553,"Receive")</f>
        <v/>
      </c>
      <c r="G9553" s="5"/>
      <c r="H9553" s="7" t="s">
        <v>9593</v>
      </c>
      <c r="I9553" s="9">
        <v>1955100</v>
      </c>
      <c r="J9553" s="10">
        <v>0.03510000000000001</v>
      </c>
    </row>
    <row r="9554" spans="1:10">
      <c r="A9554" s="7" t="s">
        <v>9588</v>
      </c>
      <c r="B9554" s="7" t="s">
        <v>11421</v>
      </c>
      <c r="C9554" s="8">
        <f>QS.CONTEXT.CREATE("market.9552",A9554,"USD","SOFR")</f>
        <v/>
      </c>
      <c r="D9554" s="8">
        <f>QS.CONTEXT.ADD.CURVE(C9554,"SOFR",$K$2:$K$7,$L$2:$L$7,,,"Actual360","LogLinear",TRUE)</f>
        <v/>
      </c>
      <c r="E9554" s="8">
        <f>QS.INSTRUMENT.SWAP("swap.9552",C9554,H9554,B9554,"USD","SOFR",I9554,J9554,0,"Actual360","Simple","Annual","Annual","Annual")</f>
        <v/>
      </c>
      <c r="F9554" s="8">
        <f>QS.TRADE.CREATE("trade.9552",C9554,E9554,A9554,"Receive")</f>
        <v/>
      </c>
      <c r="G9554" s="5"/>
      <c r="H9554" s="7" t="s">
        <v>9594</v>
      </c>
      <c r="I9554" s="9">
        <v>1955200</v>
      </c>
      <c r="J9554" s="10">
        <v>0.0352</v>
      </c>
    </row>
    <row r="9555" spans="1:10">
      <c r="A9555" s="7" t="s">
        <v>9589</v>
      </c>
      <c r="B9555" s="7" t="s">
        <v>11422</v>
      </c>
      <c r="C9555" s="8">
        <f>QS.CONTEXT.CREATE("market.9553",A9555,"USD","SOFR")</f>
        <v/>
      </c>
      <c r="D9555" s="8">
        <f>QS.CONTEXT.ADD.CURVE(C9555,"SOFR",$K$2:$K$7,$L$2:$L$7,,,"Actual360","LogLinear",TRUE)</f>
        <v/>
      </c>
      <c r="E9555" s="8">
        <f>QS.INSTRUMENT.SWAP("swap.9553",C9555,H9555,B9555,"USD","SOFR",I9555,J9555,0,"Actual360","Simple","Annual","Annual","Annual")</f>
        <v/>
      </c>
      <c r="F9555" s="8">
        <f>QS.TRADE.CREATE("trade.9553",C9555,E9555,A9555,"Receive")</f>
        <v/>
      </c>
      <c r="G9555" s="5"/>
      <c r="H9555" s="7" t="s">
        <v>9595</v>
      </c>
      <c r="I9555" s="9">
        <v>1955300</v>
      </c>
      <c r="J9555" s="10">
        <v>0.0353</v>
      </c>
    </row>
    <row r="9556" spans="1:10">
      <c r="A9556" s="7" t="s">
        <v>9590</v>
      </c>
      <c r="B9556" s="7" t="s">
        <v>11423</v>
      </c>
      <c r="C9556" s="8">
        <f>QS.CONTEXT.CREATE("market.9554",A9556,"USD","SOFR")</f>
        <v/>
      </c>
      <c r="D9556" s="8">
        <f>QS.CONTEXT.ADD.CURVE(C9556,"SOFR",$K$2:$K$7,$L$2:$L$7,,,"Actual360","LogLinear",TRUE)</f>
        <v/>
      </c>
      <c r="E9556" s="8">
        <f>QS.INSTRUMENT.SWAP("swap.9554",C9556,H9556,B9556,"USD","SOFR",I9556,J9556,0,"Actual360","Simple","Annual","Annual","Annual")</f>
        <v/>
      </c>
      <c r="F9556" s="8">
        <f>QS.TRADE.CREATE("trade.9554",C9556,E9556,A9556,"Receive")</f>
        <v/>
      </c>
      <c r="G9556" s="5"/>
      <c r="H9556" s="7" t="s">
        <v>9596</v>
      </c>
      <c r="I9556" s="9">
        <v>1955400</v>
      </c>
      <c r="J9556" s="10">
        <v>0.0354</v>
      </c>
    </row>
    <row r="9557" spans="1:10">
      <c r="A9557" s="7" t="s">
        <v>11417</v>
      </c>
      <c r="B9557" s="7" t="s">
        <v>11424</v>
      </c>
      <c r="C9557" s="8">
        <f>QS.CONTEXT.CREATE("market.9555",A9557,"USD","SOFR")</f>
        <v/>
      </c>
      <c r="D9557" s="8">
        <f>QS.CONTEXT.ADD.CURVE(C9557,"SOFR",$K$2:$K$7,$L$2:$L$7,,,"Actual360","LogLinear",TRUE)</f>
        <v/>
      </c>
      <c r="E9557" s="8">
        <f>QS.INSTRUMENT.SWAP("swap.9555",C9557,H9557,B9557,"USD","SOFR",I9557,J9557,0,"Actual360","Simple","Annual","Annual","Annual")</f>
        <v/>
      </c>
      <c r="F9557" s="8">
        <f>QS.TRADE.CREATE("trade.9555",C9557,E9557,A9557,"Receive")</f>
        <v/>
      </c>
      <c r="G9557" s="5"/>
      <c r="H9557" s="7" t="s">
        <v>9597</v>
      </c>
      <c r="I9557" s="9">
        <v>1955500</v>
      </c>
      <c r="J9557" s="10">
        <v>0.0355</v>
      </c>
    </row>
    <row r="9558" spans="1:10">
      <c r="A9558" s="7" t="s">
        <v>9591</v>
      </c>
      <c r="B9558" s="7" t="s">
        <v>11425</v>
      </c>
      <c r="C9558" s="8">
        <f>QS.CONTEXT.CREATE("market.9556",A9558,"USD","SOFR")</f>
        <v/>
      </c>
      <c r="D9558" s="8">
        <f>QS.CONTEXT.ADD.CURVE(C9558,"SOFR",$K$2:$K$7,$L$2:$L$7,,,"Actual360","LogLinear",TRUE)</f>
        <v/>
      </c>
      <c r="E9558" s="8">
        <f>QS.INSTRUMENT.SWAP("swap.9556",C9558,H9558,B9558,"USD","SOFR",I9558,J9558,0,"Actual360","Simple","Annual","Annual","Annual")</f>
        <v/>
      </c>
      <c r="F9558" s="8">
        <f>QS.TRADE.CREATE("trade.9556",C9558,E9558,A9558,"Receive")</f>
        <v/>
      </c>
      <c r="G9558" s="5"/>
      <c r="H9558" s="7" t="s">
        <v>9598</v>
      </c>
      <c r="I9558" s="9">
        <v>1955600</v>
      </c>
      <c r="J9558" s="10">
        <v>0.03560000000000001</v>
      </c>
    </row>
    <row r="9559" spans="1:10">
      <c r="A9559" s="7" t="s">
        <v>9592</v>
      </c>
      <c r="B9559" s="7" t="s">
        <v>11426</v>
      </c>
      <c r="C9559" s="8">
        <f>QS.CONTEXT.CREATE("market.9557",A9559,"USD","SOFR")</f>
        <v/>
      </c>
      <c r="D9559" s="8">
        <f>QS.CONTEXT.ADD.CURVE(C9559,"SOFR",$K$2:$K$7,$L$2:$L$7,,,"Actual360","LogLinear",TRUE)</f>
        <v/>
      </c>
      <c r="E9559" s="8">
        <f>QS.INSTRUMENT.SWAP("swap.9557",C9559,H9559,B9559,"USD","SOFR",I9559,J9559,0,"Actual360","Simple","Annual","Annual","Annual")</f>
        <v/>
      </c>
      <c r="F9559" s="8">
        <f>QS.TRADE.CREATE("trade.9557",C9559,E9559,A9559,"Receive")</f>
        <v/>
      </c>
      <c r="G9559" s="5"/>
      <c r="H9559" s="7" t="s">
        <v>9599</v>
      </c>
      <c r="I9559" s="9">
        <v>1955700</v>
      </c>
      <c r="J9559" s="10">
        <v>0.0357</v>
      </c>
    </row>
    <row r="9560" spans="1:10">
      <c r="A9560" s="7" t="s">
        <v>9593</v>
      </c>
      <c r="B9560" s="7" t="s">
        <v>11427</v>
      </c>
      <c r="C9560" s="8">
        <f>QS.CONTEXT.CREATE("market.9558",A9560,"USD","SOFR")</f>
        <v/>
      </c>
      <c r="D9560" s="8">
        <f>QS.CONTEXT.ADD.CURVE(C9560,"SOFR",$K$2:$K$7,$L$2:$L$7,,,"Actual360","LogLinear",TRUE)</f>
        <v/>
      </c>
      <c r="E9560" s="8">
        <f>QS.INSTRUMENT.SWAP("swap.9558",C9560,H9560,B9560,"USD","SOFR",I9560,J9560,0,"Actual360","Simple","Annual","Annual","Annual")</f>
        <v/>
      </c>
      <c r="F9560" s="8">
        <f>QS.TRADE.CREATE("trade.9558",C9560,E9560,A9560,"Receive")</f>
        <v/>
      </c>
      <c r="G9560" s="5"/>
      <c r="H9560" s="7" t="s">
        <v>9600</v>
      </c>
      <c r="I9560" s="9">
        <v>1955800</v>
      </c>
      <c r="J9560" s="10">
        <v>0.03580000000000001</v>
      </c>
    </row>
    <row r="9561" spans="1:10">
      <c r="A9561" s="7" t="s">
        <v>9594</v>
      </c>
      <c r="B9561" s="7" t="s">
        <v>11428</v>
      </c>
      <c r="C9561" s="8">
        <f>QS.CONTEXT.CREATE("market.9559",A9561,"USD","SOFR")</f>
        <v/>
      </c>
      <c r="D9561" s="8">
        <f>QS.CONTEXT.ADD.CURVE(C9561,"SOFR",$K$2:$K$7,$L$2:$L$7,,,"Actual360","LogLinear",TRUE)</f>
        <v/>
      </c>
      <c r="E9561" s="8">
        <f>QS.INSTRUMENT.SWAP("swap.9559",C9561,H9561,B9561,"USD","SOFR",I9561,J9561,0,"Actual360","Simple","Annual","Annual","Annual")</f>
        <v/>
      </c>
      <c r="F9561" s="8">
        <f>QS.TRADE.CREATE("trade.9559",C9561,E9561,A9561,"Receive")</f>
        <v/>
      </c>
      <c r="G9561" s="5"/>
      <c r="H9561" s="7" t="s">
        <v>9601</v>
      </c>
      <c r="I9561" s="9">
        <v>1955900</v>
      </c>
      <c r="J9561" s="10">
        <v>0.0359</v>
      </c>
    </row>
    <row r="9562" spans="1:10">
      <c r="A9562" s="7" t="s">
        <v>9595</v>
      </c>
      <c r="B9562" s="7" t="s">
        <v>11429</v>
      </c>
      <c r="C9562" s="8">
        <f>QS.CONTEXT.CREATE("market.9560",A9562,"USD","SOFR")</f>
        <v/>
      </c>
      <c r="D9562" s="8">
        <f>QS.CONTEXT.ADD.CURVE(C9562,"SOFR",$K$2:$K$7,$L$2:$L$7,,,"Actual360","LogLinear",TRUE)</f>
        <v/>
      </c>
      <c r="E9562" s="8">
        <f>QS.INSTRUMENT.SWAP("swap.9560",C9562,H9562,B9562,"USD","SOFR",I9562,J9562,0,"Actual360","Simple","Annual","Annual","Annual")</f>
        <v/>
      </c>
      <c r="F9562" s="8">
        <f>QS.TRADE.CREATE("trade.9560",C9562,E9562,A9562,"Receive")</f>
        <v/>
      </c>
      <c r="G9562" s="5"/>
      <c r="H9562" s="7" t="s">
        <v>9602</v>
      </c>
      <c r="I9562" s="9">
        <v>1956000</v>
      </c>
      <c r="J9562" s="10">
        <v>0.036</v>
      </c>
    </row>
    <row r="9563" spans="1:10">
      <c r="A9563" s="7" t="s">
        <v>9596</v>
      </c>
      <c r="B9563" s="7" t="s">
        <v>11430</v>
      </c>
      <c r="C9563" s="8">
        <f>QS.CONTEXT.CREATE("market.9561",A9563,"USD","SOFR")</f>
        <v/>
      </c>
      <c r="D9563" s="8">
        <f>QS.CONTEXT.ADD.CURVE(C9563,"SOFR",$K$2:$K$7,$L$2:$L$7,,,"Actual360","LogLinear",TRUE)</f>
        <v/>
      </c>
      <c r="E9563" s="8">
        <f>QS.INSTRUMENT.SWAP("swap.9561",C9563,H9563,B9563,"USD","SOFR",I9563,J9563,0,"Actual360","Simple","Annual","Annual","Annual")</f>
        <v/>
      </c>
      <c r="F9563" s="8">
        <f>QS.TRADE.CREATE("trade.9561",C9563,E9563,A9563,"Receive")</f>
        <v/>
      </c>
      <c r="G9563" s="5"/>
      <c r="H9563" s="7" t="s">
        <v>9603</v>
      </c>
      <c r="I9563" s="9">
        <v>1956100</v>
      </c>
      <c r="J9563" s="10">
        <v>0.0361</v>
      </c>
    </row>
    <row r="9564" spans="1:10">
      <c r="A9564" s="7" t="s">
        <v>9597</v>
      </c>
      <c r="B9564" s="7" t="s">
        <v>11431</v>
      </c>
      <c r="C9564" s="8">
        <f>QS.CONTEXT.CREATE("market.9562",A9564,"USD","SOFR")</f>
        <v/>
      </c>
      <c r="D9564" s="8">
        <f>QS.CONTEXT.ADD.CURVE(C9564,"SOFR",$K$2:$K$7,$L$2:$L$7,,,"Actual360","LogLinear",TRUE)</f>
        <v/>
      </c>
      <c r="E9564" s="8">
        <f>QS.INSTRUMENT.SWAP("swap.9562",C9564,H9564,B9564,"USD","SOFR",I9564,J9564,0,"Actual360","Simple","Annual","Annual","Annual")</f>
        <v/>
      </c>
      <c r="F9564" s="8">
        <f>QS.TRADE.CREATE("trade.9562",C9564,E9564,A9564,"Receive")</f>
        <v/>
      </c>
      <c r="G9564" s="5"/>
      <c r="H9564" s="7" t="s">
        <v>9604</v>
      </c>
      <c r="I9564" s="9">
        <v>1956200</v>
      </c>
      <c r="J9564" s="10">
        <v>0.0362</v>
      </c>
    </row>
    <row r="9565" spans="1:10">
      <c r="A9565" s="7" t="s">
        <v>9598</v>
      </c>
      <c r="B9565" s="7" t="s">
        <v>11432</v>
      </c>
      <c r="C9565" s="8">
        <f>QS.CONTEXT.CREATE("market.9563",A9565,"USD","SOFR")</f>
        <v/>
      </c>
      <c r="D9565" s="8">
        <f>QS.CONTEXT.ADD.CURVE(C9565,"SOFR",$K$2:$K$7,$L$2:$L$7,,,"Actual360","LogLinear",TRUE)</f>
        <v/>
      </c>
      <c r="E9565" s="8">
        <f>QS.INSTRUMENT.SWAP("swap.9563",C9565,H9565,B9565,"USD","SOFR",I9565,J9565,0,"Actual360","Simple","Annual","Annual","Annual")</f>
        <v/>
      </c>
      <c r="F9565" s="8">
        <f>QS.TRADE.CREATE("trade.9563",C9565,E9565,A9565,"Receive")</f>
        <v/>
      </c>
      <c r="G9565" s="5"/>
      <c r="H9565" s="7" t="s">
        <v>9605</v>
      </c>
      <c r="I9565" s="9">
        <v>1956300</v>
      </c>
      <c r="J9565" s="10">
        <v>0.03630000000000001</v>
      </c>
    </row>
    <row r="9566" spans="1:10">
      <c r="A9566" s="7" t="s">
        <v>9599</v>
      </c>
      <c r="B9566" s="7" t="s">
        <v>11433</v>
      </c>
      <c r="C9566" s="8">
        <f>QS.CONTEXT.CREATE("market.9564",A9566,"USD","SOFR")</f>
        <v/>
      </c>
      <c r="D9566" s="8">
        <f>QS.CONTEXT.ADD.CURVE(C9566,"SOFR",$K$2:$K$7,$L$2:$L$7,,,"Actual360","LogLinear",TRUE)</f>
        <v/>
      </c>
      <c r="E9566" s="8">
        <f>QS.INSTRUMENT.SWAP("swap.9564",C9566,H9566,B9566,"USD","SOFR",I9566,J9566,0,"Actual360","Simple","Annual","Annual","Annual")</f>
        <v/>
      </c>
      <c r="F9566" s="8">
        <f>QS.TRADE.CREATE("trade.9564",C9566,E9566,A9566,"Receive")</f>
        <v/>
      </c>
      <c r="G9566" s="5"/>
      <c r="H9566" s="7" t="s">
        <v>9606</v>
      </c>
      <c r="I9566" s="9">
        <v>1956400</v>
      </c>
      <c r="J9566" s="10">
        <v>0.0364</v>
      </c>
    </row>
    <row r="9567" spans="1:10">
      <c r="A9567" s="7" t="s">
        <v>9600</v>
      </c>
      <c r="B9567" s="7" t="s">
        <v>11434</v>
      </c>
      <c r="C9567" s="8">
        <f>QS.CONTEXT.CREATE("market.9565",A9567,"USD","SOFR")</f>
        <v/>
      </c>
      <c r="D9567" s="8">
        <f>QS.CONTEXT.ADD.CURVE(C9567,"SOFR",$K$2:$K$7,$L$2:$L$7,,,"Actual360","LogLinear",TRUE)</f>
        <v/>
      </c>
      <c r="E9567" s="8">
        <f>QS.INSTRUMENT.SWAP("swap.9565",C9567,H9567,B9567,"USD","SOFR",I9567,J9567,0,"Actual360","Simple","Annual","Annual","Annual")</f>
        <v/>
      </c>
      <c r="F9567" s="8">
        <f>QS.TRADE.CREATE("trade.9565",C9567,E9567,A9567,"Receive")</f>
        <v/>
      </c>
      <c r="G9567" s="5"/>
      <c r="H9567" s="7" t="s">
        <v>9607</v>
      </c>
      <c r="I9567" s="9">
        <v>1956500</v>
      </c>
      <c r="J9567" s="10">
        <v>0.0365</v>
      </c>
    </row>
    <row r="9568" spans="1:10">
      <c r="A9568" s="7" t="s">
        <v>9601</v>
      </c>
      <c r="B9568" s="7" t="s">
        <v>11435</v>
      </c>
      <c r="C9568" s="8">
        <f>QS.CONTEXT.CREATE("market.9566",A9568,"USD","SOFR")</f>
        <v/>
      </c>
      <c r="D9568" s="8">
        <f>QS.CONTEXT.ADD.CURVE(C9568,"SOFR",$K$2:$K$7,$L$2:$L$7,,,"Actual360","LogLinear",TRUE)</f>
        <v/>
      </c>
      <c r="E9568" s="8">
        <f>QS.INSTRUMENT.SWAP("swap.9566",C9568,H9568,B9568,"USD","SOFR",I9568,J9568,0,"Actual360","Simple","Annual","Annual","Annual")</f>
        <v/>
      </c>
      <c r="F9568" s="8">
        <f>QS.TRADE.CREATE("trade.9566",C9568,E9568,A9568,"Receive")</f>
        <v/>
      </c>
      <c r="G9568" s="5"/>
      <c r="H9568" s="7" t="s">
        <v>9608</v>
      </c>
      <c r="I9568" s="9">
        <v>1956600</v>
      </c>
      <c r="J9568" s="10">
        <v>0.0366</v>
      </c>
    </row>
    <row r="9569" spans="1:10">
      <c r="A9569" s="7" t="s">
        <v>9602</v>
      </c>
      <c r="B9569" s="7" t="s">
        <v>11436</v>
      </c>
      <c r="C9569" s="8">
        <f>QS.CONTEXT.CREATE("market.9567",A9569,"USD","SOFR")</f>
        <v/>
      </c>
      <c r="D9569" s="8">
        <f>QS.CONTEXT.ADD.CURVE(C9569,"SOFR",$K$2:$K$7,$L$2:$L$7,,,"Actual360","LogLinear",TRUE)</f>
        <v/>
      </c>
      <c r="E9569" s="8">
        <f>QS.INSTRUMENT.SWAP("swap.9567",C9569,H9569,B9569,"USD","SOFR",I9569,J9569,0,"Actual360","Simple","Annual","Annual","Annual")</f>
        <v/>
      </c>
      <c r="F9569" s="8">
        <f>QS.TRADE.CREATE("trade.9567",C9569,E9569,A9569,"Receive")</f>
        <v/>
      </c>
      <c r="G9569" s="5"/>
      <c r="H9569" s="7" t="s">
        <v>9609</v>
      </c>
      <c r="I9569" s="9">
        <v>1956700</v>
      </c>
      <c r="J9569" s="10">
        <v>0.0367</v>
      </c>
    </row>
    <row r="9570" spans="1:10">
      <c r="A9570" s="7" t="s">
        <v>9603</v>
      </c>
      <c r="B9570" s="7" t="s">
        <v>11437</v>
      </c>
      <c r="C9570" s="8">
        <f>QS.CONTEXT.CREATE("market.9568",A9570,"USD","SOFR")</f>
        <v/>
      </c>
      <c r="D9570" s="8">
        <f>QS.CONTEXT.ADD.CURVE(C9570,"SOFR",$K$2:$K$7,$L$2:$L$7,,,"Actual360","LogLinear",TRUE)</f>
        <v/>
      </c>
      <c r="E9570" s="8">
        <f>QS.INSTRUMENT.SWAP("swap.9568",C9570,H9570,B9570,"USD","SOFR",I9570,J9570,0,"Actual360","Simple","Annual","Annual","Annual")</f>
        <v/>
      </c>
      <c r="F9570" s="8">
        <f>QS.TRADE.CREATE("trade.9568",C9570,E9570,A9570,"Receive")</f>
        <v/>
      </c>
      <c r="G9570" s="5"/>
      <c r="H9570" s="7" t="s">
        <v>9610</v>
      </c>
      <c r="I9570" s="9">
        <v>1956800</v>
      </c>
      <c r="J9570" s="10">
        <v>0.03680000000000001</v>
      </c>
    </row>
    <row r="9571" spans="1:10">
      <c r="A9571" s="7" t="s">
        <v>9604</v>
      </c>
      <c r="B9571" s="7" t="s">
        <v>11438</v>
      </c>
      <c r="C9571" s="8">
        <f>QS.CONTEXT.CREATE("market.9569",A9571,"USD","SOFR")</f>
        <v/>
      </c>
      <c r="D9571" s="8">
        <f>QS.CONTEXT.ADD.CURVE(C9571,"SOFR",$K$2:$K$7,$L$2:$L$7,,,"Actual360","LogLinear",TRUE)</f>
        <v/>
      </c>
      <c r="E9571" s="8">
        <f>QS.INSTRUMENT.SWAP("swap.9569",C9571,H9571,B9571,"USD","SOFR",I9571,J9571,0,"Actual360","Simple","Annual","Annual","Annual")</f>
        <v/>
      </c>
      <c r="F9571" s="8">
        <f>QS.TRADE.CREATE("trade.9569",C9571,E9571,A9571,"Receive")</f>
        <v/>
      </c>
      <c r="G9571" s="5"/>
      <c r="H9571" s="7" t="s">
        <v>9611</v>
      </c>
      <c r="I9571" s="9">
        <v>1956900</v>
      </c>
      <c r="J9571" s="10">
        <v>0.0369</v>
      </c>
    </row>
    <row r="9572" spans="1:10">
      <c r="A9572" s="7" t="s">
        <v>9605</v>
      </c>
      <c r="B9572" s="7" t="s">
        <v>11439</v>
      </c>
      <c r="C9572" s="8">
        <f>QS.CONTEXT.CREATE("market.9570",A9572,"USD","SOFR")</f>
        <v/>
      </c>
      <c r="D9572" s="8">
        <f>QS.CONTEXT.ADD.CURVE(C9572,"SOFR",$K$2:$K$7,$L$2:$L$7,,,"Actual360","LogLinear",TRUE)</f>
        <v/>
      </c>
      <c r="E9572" s="8">
        <f>QS.INSTRUMENT.SWAP("swap.9570",C9572,H9572,B9572,"USD","SOFR",I9572,J9572,0,"Actual360","Simple","Annual","Annual","Annual")</f>
        <v/>
      </c>
      <c r="F9572" s="8">
        <f>QS.TRADE.CREATE("trade.9570",C9572,E9572,A9572,"Receive")</f>
        <v/>
      </c>
      <c r="G9572" s="5"/>
      <c r="H9572" s="7" t="s">
        <v>9612</v>
      </c>
      <c r="I9572" s="9">
        <v>1957000</v>
      </c>
      <c r="J9572" s="10">
        <v>0.03700000000000001</v>
      </c>
    </row>
    <row r="9573" spans="1:10">
      <c r="A9573" s="7" t="s">
        <v>9606</v>
      </c>
      <c r="B9573" s="7" t="s">
        <v>11440</v>
      </c>
      <c r="C9573" s="8">
        <f>QS.CONTEXT.CREATE("market.9571",A9573,"USD","SOFR")</f>
        <v/>
      </c>
      <c r="D9573" s="8">
        <f>QS.CONTEXT.ADD.CURVE(C9573,"SOFR",$K$2:$K$7,$L$2:$L$7,,,"Actual360","LogLinear",TRUE)</f>
        <v/>
      </c>
      <c r="E9573" s="8">
        <f>QS.INSTRUMENT.SWAP("swap.9571",C9573,H9573,B9573,"USD","SOFR",I9573,J9573,0,"Actual360","Simple","Annual","Annual","Annual")</f>
        <v/>
      </c>
      <c r="F9573" s="8">
        <f>QS.TRADE.CREATE("trade.9571",C9573,E9573,A9573,"Receive")</f>
        <v/>
      </c>
      <c r="G9573" s="5"/>
      <c r="H9573" s="7" t="s">
        <v>9613</v>
      </c>
      <c r="I9573" s="9">
        <v>1957100</v>
      </c>
      <c r="J9573" s="10">
        <v>0.0371</v>
      </c>
    </row>
    <row r="9574" spans="1:10">
      <c r="A9574" s="7" t="s">
        <v>9607</v>
      </c>
      <c r="B9574" s="7" t="s">
        <v>11441</v>
      </c>
      <c r="C9574" s="8">
        <f>QS.CONTEXT.CREATE("market.9572",A9574,"USD","SOFR")</f>
        <v/>
      </c>
      <c r="D9574" s="8">
        <f>QS.CONTEXT.ADD.CURVE(C9574,"SOFR",$K$2:$K$7,$L$2:$L$7,,,"Actual360","LogLinear",TRUE)</f>
        <v/>
      </c>
      <c r="E9574" s="8">
        <f>QS.INSTRUMENT.SWAP("swap.9572",C9574,H9574,B9574,"USD","SOFR",I9574,J9574,0,"Actual360","Simple","Annual","Annual","Annual")</f>
        <v/>
      </c>
      <c r="F9574" s="8">
        <f>QS.TRADE.CREATE("trade.9572",C9574,E9574,A9574,"Receive")</f>
        <v/>
      </c>
      <c r="G9574" s="5"/>
      <c r="H9574" s="7" t="s">
        <v>9614</v>
      </c>
      <c r="I9574" s="9">
        <v>1957200</v>
      </c>
      <c r="J9574" s="10">
        <v>0.0372</v>
      </c>
    </row>
    <row r="9575" spans="1:10">
      <c r="A9575" s="7" t="s">
        <v>9608</v>
      </c>
      <c r="B9575" s="7" t="s">
        <v>11442</v>
      </c>
      <c r="C9575" s="8">
        <f>QS.CONTEXT.CREATE("market.9573",A9575,"USD","SOFR")</f>
        <v/>
      </c>
      <c r="D9575" s="8">
        <f>QS.CONTEXT.ADD.CURVE(C9575,"SOFR",$K$2:$K$7,$L$2:$L$7,,,"Actual360","LogLinear",TRUE)</f>
        <v/>
      </c>
      <c r="E9575" s="8">
        <f>QS.INSTRUMENT.SWAP("swap.9573",C9575,H9575,B9575,"USD","SOFR",I9575,J9575,0,"Actual360","Simple","Annual","Annual","Annual")</f>
        <v/>
      </c>
      <c r="F9575" s="8">
        <f>QS.TRADE.CREATE("trade.9573",C9575,E9575,A9575,"Receive")</f>
        <v/>
      </c>
      <c r="G9575" s="5"/>
      <c r="H9575" s="7" t="s">
        <v>9615</v>
      </c>
      <c r="I9575" s="9">
        <v>1957300</v>
      </c>
      <c r="J9575" s="10">
        <v>0.0373</v>
      </c>
    </row>
    <row r="9576" spans="1:10">
      <c r="A9576" s="7" t="s">
        <v>9609</v>
      </c>
      <c r="B9576" s="7" t="s">
        <v>11443</v>
      </c>
      <c r="C9576" s="8">
        <f>QS.CONTEXT.CREATE("market.9574",A9576,"USD","SOFR")</f>
        <v/>
      </c>
      <c r="D9576" s="8">
        <f>QS.CONTEXT.ADD.CURVE(C9576,"SOFR",$K$2:$K$7,$L$2:$L$7,,,"Actual360","LogLinear",TRUE)</f>
        <v/>
      </c>
      <c r="E9576" s="8">
        <f>QS.INSTRUMENT.SWAP("swap.9574",C9576,H9576,B9576,"USD","SOFR",I9576,J9576,0,"Actual360","Simple","Annual","Annual","Annual")</f>
        <v/>
      </c>
      <c r="F9576" s="8">
        <f>QS.TRADE.CREATE("trade.9574",C9576,E9576,A9576,"Receive")</f>
        <v/>
      </c>
      <c r="G9576" s="5"/>
      <c r="H9576" s="7" t="s">
        <v>9616</v>
      </c>
      <c r="I9576" s="9">
        <v>1957400</v>
      </c>
      <c r="J9576" s="10">
        <v>0.0374</v>
      </c>
    </row>
    <row r="9577" spans="1:10">
      <c r="A9577" s="7" t="s">
        <v>9610</v>
      </c>
      <c r="B9577" s="7" t="s">
        <v>11444</v>
      </c>
      <c r="C9577" s="8">
        <f>QS.CONTEXT.CREATE("market.9575",A9577,"USD","SOFR")</f>
        <v/>
      </c>
      <c r="D9577" s="8">
        <f>QS.CONTEXT.ADD.CURVE(C9577,"SOFR",$K$2:$K$7,$L$2:$L$7,,,"Actual360","LogLinear",TRUE)</f>
        <v/>
      </c>
      <c r="E9577" s="8">
        <f>QS.INSTRUMENT.SWAP("swap.9575",C9577,H9577,B9577,"USD","SOFR",I9577,J9577,0,"Actual360","Simple","Annual","Annual","Annual")</f>
        <v/>
      </c>
      <c r="F9577" s="8">
        <f>QS.TRADE.CREATE("trade.9575",C9577,E9577,A9577,"Receive")</f>
        <v/>
      </c>
      <c r="G9577" s="5"/>
      <c r="H9577" s="7" t="s">
        <v>9617</v>
      </c>
      <c r="I9577" s="9">
        <v>1957500</v>
      </c>
      <c r="J9577" s="10">
        <v>0.03750000000000001</v>
      </c>
    </row>
    <row r="9578" spans="1:10">
      <c r="A9578" s="7" t="s">
        <v>9611</v>
      </c>
      <c r="B9578" s="7" t="s">
        <v>11445</v>
      </c>
      <c r="C9578" s="8">
        <f>QS.CONTEXT.CREATE("market.9576",A9578,"USD","SOFR")</f>
        <v/>
      </c>
      <c r="D9578" s="8">
        <f>QS.CONTEXT.ADD.CURVE(C9578,"SOFR",$K$2:$K$7,$L$2:$L$7,,,"Actual360","LogLinear",TRUE)</f>
        <v/>
      </c>
      <c r="E9578" s="8">
        <f>QS.INSTRUMENT.SWAP("swap.9576",C9578,H9578,B9578,"USD","SOFR",I9578,J9578,0,"Actual360","Simple","Annual","Annual","Annual")</f>
        <v/>
      </c>
      <c r="F9578" s="8">
        <f>QS.TRADE.CREATE("trade.9576",C9578,E9578,A9578,"Receive")</f>
        <v/>
      </c>
      <c r="G9578" s="5"/>
      <c r="H9578" s="7" t="s">
        <v>9618</v>
      </c>
      <c r="I9578" s="9">
        <v>1957600</v>
      </c>
      <c r="J9578" s="10">
        <v>0.0376</v>
      </c>
    </row>
    <row r="9579" spans="1:10">
      <c r="A9579" s="7" t="s">
        <v>9612</v>
      </c>
      <c r="B9579" s="7" t="s">
        <v>11446</v>
      </c>
      <c r="C9579" s="8">
        <f>QS.CONTEXT.CREATE("market.9577",A9579,"USD","SOFR")</f>
        <v/>
      </c>
      <c r="D9579" s="8">
        <f>QS.CONTEXT.ADD.CURVE(C9579,"SOFR",$K$2:$K$7,$L$2:$L$7,,,"Actual360","LogLinear",TRUE)</f>
        <v/>
      </c>
      <c r="E9579" s="8">
        <f>QS.INSTRUMENT.SWAP("swap.9577",C9579,H9579,B9579,"USD","SOFR",I9579,J9579,0,"Actual360","Simple","Annual","Annual","Annual")</f>
        <v/>
      </c>
      <c r="F9579" s="8">
        <f>QS.TRADE.CREATE("trade.9577",C9579,E9579,A9579,"Receive")</f>
        <v/>
      </c>
      <c r="G9579" s="5"/>
      <c r="H9579" s="7" t="s">
        <v>9619</v>
      </c>
      <c r="I9579" s="9">
        <v>1957700</v>
      </c>
      <c r="J9579" s="10">
        <v>0.0377</v>
      </c>
    </row>
    <row r="9580" spans="1:10">
      <c r="A9580" s="7" t="s">
        <v>9613</v>
      </c>
      <c r="B9580" s="7" t="s">
        <v>11447</v>
      </c>
      <c r="C9580" s="8">
        <f>QS.CONTEXT.CREATE("market.9578",A9580,"USD","SOFR")</f>
        <v/>
      </c>
      <c r="D9580" s="8">
        <f>QS.CONTEXT.ADD.CURVE(C9580,"SOFR",$K$2:$K$7,$L$2:$L$7,,,"Actual360","LogLinear",TRUE)</f>
        <v/>
      </c>
      <c r="E9580" s="8">
        <f>QS.INSTRUMENT.SWAP("swap.9578",C9580,H9580,B9580,"USD","SOFR",I9580,J9580,0,"Actual360","Simple","Annual","Annual","Annual")</f>
        <v/>
      </c>
      <c r="F9580" s="8">
        <f>QS.TRADE.CREATE("trade.9578",C9580,E9580,A9580,"Receive")</f>
        <v/>
      </c>
      <c r="G9580" s="5"/>
      <c r="H9580" s="7" t="s">
        <v>9620</v>
      </c>
      <c r="I9580" s="9">
        <v>1957800</v>
      </c>
      <c r="J9580" s="10">
        <v>0.0378</v>
      </c>
    </row>
    <row r="9581" spans="1:10">
      <c r="A9581" s="7" t="s">
        <v>9614</v>
      </c>
      <c r="B9581" s="7" t="s">
        <v>11448</v>
      </c>
      <c r="C9581" s="8">
        <f>QS.CONTEXT.CREATE("market.9579",A9581,"USD","SOFR")</f>
        <v/>
      </c>
      <c r="D9581" s="8">
        <f>QS.CONTEXT.ADD.CURVE(C9581,"SOFR",$K$2:$K$7,$L$2:$L$7,,,"Actual360","LogLinear",TRUE)</f>
        <v/>
      </c>
      <c r="E9581" s="8">
        <f>QS.INSTRUMENT.SWAP("swap.9579",C9581,H9581,B9581,"USD","SOFR",I9581,J9581,0,"Actual360","Simple","Annual","Annual","Annual")</f>
        <v/>
      </c>
      <c r="F9581" s="8">
        <f>QS.TRADE.CREATE("trade.9579",C9581,E9581,A9581,"Receive")</f>
        <v/>
      </c>
      <c r="G9581" s="5"/>
      <c r="H9581" s="7" t="s">
        <v>9621</v>
      </c>
      <c r="I9581" s="9">
        <v>1957900</v>
      </c>
      <c r="J9581" s="10">
        <v>0.0379</v>
      </c>
    </row>
    <row r="9582" spans="1:10">
      <c r="A9582" s="7" t="s">
        <v>9615</v>
      </c>
      <c r="B9582" s="7" t="s">
        <v>11449</v>
      </c>
      <c r="C9582" s="8">
        <f>QS.CONTEXT.CREATE("market.9580",A9582,"USD","SOFR")</f>
        <v/>
      </c>
      <c r="D9582" s="8">
        <f>QS.CONTEXT.ADD.CURVE(C9582,"SOFR",$K$2:$K$7,$L$2:$L$7,,,"Actual360","LogLinear",TRUE)</f>
        <v/>
      </c>
      <c r="E9582" s="8">
        <f>QS.INSTRUMENT.SWAP("swap.9580",C9582,H9582,B9582,"USD","SOFR",I9582,J9582,0,"Actual360","Simple","Annual","Annual","Annual")</f>
        <v/>
      </c>
      <c r="F9582" s="8">
        <f>QS.TRADE.CREATE("trade.9580",C9582,E9582,A9582,"Receive")</f>
        <v/>
      </c>
      <c r="G9582" s="5"/>
      <c r="H9582" s="7" t="s">
        <v>9622</v>
      </c>
      <c r="I9582" s="9">
        <v>1958000</v>
      </c>
      <c r="J9582" s="10">
        <v>0.03800000000000001</v>
      </c>
    </row>
    <row r="9583" spans="1:10">
      <c r="A9583" s="7" t="s">
        <v>9616</v>
      </c>
      <c r="B9583" s="7" t="s">
        <v>11450</v>
      </c>
      <c r="C9583" s="8">
        <f>QS.CONTEXT.CREATE("market.9581",A9583,"USD","SOFR")</f>
        <v/>
      </c>
      <c r="D9583" s="8">
        <f>QS.CONTEXT.ADD.CURVE(C9583,"SOFR",$K$2:$K$7,$L$2:$L$7,,,"Actual360","LogLinear",TRUE)</f>
        <v/>
      </c>
      <c r="E9583" s="8">
        <f>QS.INSTRUMENT.SWAP("swap.9581",C9583,H9583,B9583,"USD","SOFR",I9583,J9583,0,"Actual360","Simple","Annual","Annual","Annual")</f>
        <v/>
      </c>
      <c r="F9583" s="8">
        <f>QS.TRADE.CREATE("trade.9581",C9583,E9583,A9583,"Receive")</f>
        <v/>
      </c>
      <c r="G9583" s="5"/>
      <c r="H9583" s="7" t="s">
        <v>9623</v>
      </c>
      <c r="I9583" s="9">
        <v>1958100</v>
      </c>
      <c r="J9583" s="10">
        <v>0.0381</v>
      </c>
    </row>
    <row r="9584" spans="1:10">
      <c r="A9584" s="7" t="s">
        <v>9617</v>
      </c>
      <c r="B9584" s="7" t="s">
        <v>11451</v>
      </c>
      <c r="C9584" s="8">
        <f>QS.CONTEXT.CREATE("market.9582",A9584,"USD","SOFR")</f>
        <v/>
      </c>
      <c r="D9584" s="8">
        <f>QS.CONTEXT.ADD.CURVE(C9584,"SOFR",$K$2:$K$7,$L$2:$L$7,,,"Actual360","LogLinear",TRUE)</f>
        <v/>
      </c>
      <c r="E9584" s="8">
        <f>QS.INSTRUMENT.SWAP("swap.9582",C9584,H9584,B9584,"USD","SOFR",I9584,J9584,0,"Actual360","Simple","Annual","Annual","Annual")</f>
        <v/>
      </c>
      <c r="F9584" s="8">
        <f>QS.TRADE.CREATE("trade.9582",C9584,E9584,A9584,"Receive")</f>
        <v/>
      </c>
      <c r="G9584" s="5"/>
      <c r="H9584" s="7" t="s">
        <v>9624</v>
      </c>
      <c r="I9584" s="9">
        <v>1958200</v>
      </c>
      <c r="J9584" s="10">
        <v>0.0382</v>
      </c>
    </row>
    <row r="9585" spans="1:10">
      <c r="A9585" s="7" t="s">
        <v>9618</v>
      </c>
      <c r="B9585" s="7" t="s">
        <v>11452</v>
      </c>
      <c r="C9585" s="8">
        <f>QS.CONTEXT.CREATE("market.9583",A9585,"USD","SOFR")</f>
        <v/>
      </c>
      <c r="D9585" s="8">
        <f>QS.CONTEXT.ADD.CURVE(C9585,"SOFR",$K$2:$K$7,$L$2:$L$7,,,"Actual360","LogLinear",TRUE)</f>
        <v/>
      </c>
      <c r="E9585" s="8">
        <f>QS.INSTRUMENT.SWAP("swap.9583",C9585,H9585,B9585,"USD","SOFR",I9585,J9585,0,"Actual360","Simple","Annual","Annual","Annual")</f>
        <v/>
      </c>
      <c r="F9585" s="8">
        <f>QS.TRADE.CREATE("trade.9583",C9585,E9585,A9585,"Receive")</f>
        <v/>
      </c>
      <c r="G9585" s="5"/>
      <c r="H9585" s="7" t="s">
        <v>9625</v>
      </c>
      <c r="I9585" s="9">
        <v>1958300</v>
      </c>
      <c r="J9585" s="10">
        <v>0.0383</v>
      </c>
    </row>
    <row r="9586" spans="1:10">
      <c r="A9586" s="7" t="s">
        <v>9619</v>
      </c>
      <c r="B9586" s="7" t="s">
        <v>11453</v>
      </c>
      <c r="C9586" s="8">
        <f>QS.CONTEXT.CREATE("market.9584",A9586,"USD","SOFR")</f>
        <v/>
      </c>
      <c r="D9586" s="8">
        <f>QS.CONTEXT.ADD.CURVE(C9586,"SOFR",$K$2:$K$7,$L$2:$L$7,,,"Actual360","LogLinear",TRUE)</f>
        <v/>
      </c>
      <c r="E9586" s="8">
        <f>QS.INSTRUMENT.SWAP("swap.9584",C9586,H9586,B9586,"USD","SOFR",I9586,J9586,0,"Actual360","Simple","Annual","Annual","Annual")</f>
        <v/>
      </c>
      <c r="F9586" s="8">
        <f>QS.TRADE.CREATE("trade.9584",C9586,E9586,A9586,"Receive")</f>
        <v/>
      </c>
      <c r="G9586" s="5"/>
      <c r="H9586" s="7" t="s">
        <v>9626</v>
      </c>
      <c r="I9586" s="9">
        <v>1958400</v>
      </c>
      <c r="J9586" s="10">
        <v>0.0384</v>
      </c>
    </row>
    <row r="9587" spans="1:10">
      <c r="A9587" s="7" t="s">
        <v>9620</v>
      </c>
      <c r="B9587" s="7" t="s">
        <v>11454</v>
      </c>
      <c r="C9587" s="8">
        <f>QS.CONTEXT.CREATE("market.9585",A9587,"USD","SOFR")</f>
        <v/>
      </c>
      <c r="D9587" s="8">
        <f>QS.CONTEXT.ADD.CURVE(C9587,"SOFR",$K$2:$K$7,$L$2:$L$7,,,"Actual360","LogLinear",TRUE)</f>
        <v/>
      </c>
      <c r="E9587" s="8">
        <f>QS.INSTRUMENT.SWAP("swap.9585",C9587,H9587,B9587,"USD","SOFR",I9587,J9587,0,"Actual360","Simple","Annual","Annual","Annual")</f>
        <v/>
      </c>
      <c r="F9587" s="8">
        <f>QS.TRADE.CREATE("trade.9585",C9587,E9587,A9587,"Receive")</f>
        <v/>
      </c>
      <c r="G9587" s="5"/>
      <c r="H9587" s="7" t="s">
        <v>9627</v>
      </c>
      <c r="I9587" s="9">
        <v>1958500</v>
      </c>
      <c r="J9587" s="10">
        <v>0.03850000000000001</v>
      </c>
    </row>
    <row r="9588" spans="1:10">
      <c r="A9588" s="7" t="s">
        <v>9621</v>
      </c>
      <c r="B9588" s="7" t="s">
        <v>11455</v>
      </c>
      <c r="C9588" s="8">
        <f>QS.CONTEXT.CREATE("market.9586",A9588,"USD","SOFR")</f>
        <v/>
      </c>
      <c r="D9588" s="8">
        <f>QS.CONTEXT.ADD.CURVE(C9588,"SOFR",$K$2:$K$7,$L$2:$L$7,,,"Actual360","LogLinear",TRUE)</f>
        <v/>
      </c>
      <c r="E9588" s="8">
        <f>QS.INSTRUMENT.SWAP("swap.9586",C9588,H9588,B9588,"USD","SOFR",I9588,J9588,0,"Actual360","Simple","Annual","Annual","Annual")</f>
        <v/>
      </c>
      <c r="F9588" s="8">
        <f>QS.TRADE.CREATE("trade.9586",C9588,E9588,A9588,"Receive")</f>
        <v/>
      </c>
      <c r="G9588" s="5"/>
      <c r="H9588" s="7" t="s">
        <v>9628</v>
      </c>
      <c r="I9588" s="9">
        <v>1958600</v>
      </c>
      <c r="J9588" s="10">
        <v>0.0386</v>
      </c>
    </row>
    <row r="9589" spans="1:10">
      <c r="A9589" s="7" t="s">
        <v>9622</v>
      </c>
      <c r="B9589" s="7" t="s">
        <v>11456</v>
      </c>
      <c r="C9589" s="8">
        <f>QS.CONTEXT.CREATE("market.9587",A9589,"USD","SOFR")</f>
        <v/>
      </c>
      <c r="D9589" s="8">
        <f>QS.CONTEXT.ADD.CURVE(C9589,"SOFR",$K$2:$K$7,$L$2:$L$7,,,"Actual360","LogLinear",TRUE)</f>
        <v/>
      </c>
      <c r="E9589" s="8">
        <f>QS.INSTRUMENT.SWAP("swap.9587",C9589,H9589,B9589,"USD","SOFR",I9589,J9589,0,"Actual360","Simple","Annual","Annual","Annual")</f>
        <v/>
      </c>
      <c r="F9589" s="8">
        <f>QS.TRADE.CREATE("trade.9587",C9589,E9589,A9589,"Receive")</f>
        <v/>
      </c>
      <c r="G9589" s="5"/>
      <c r="H9589" s="7" t="s">
        <v>9629</v>
      </c>
      <c r="I9589" s="9">
        <v>1958700</v>
      </c>
      <c r="J9589" s="10">
        <v>0.03870000000000001</v>
      </c>
    </row>
    <row r="9590" spans="1:10">
      <c r="A9590" s="7" t="s">
        <v>9623</v>
      </c>
      <c r="B9590" s="7" t="s">
        <v>11457</v>
      </c>
      <c r="C9590" s="8">
        <f>QS.CONTEXT.CREATE("market.9588",A9590,"USD","SOFR")</f>
        <v/>
      </c>
      <c r="D9590" s="8">
        <f>QS.CONTEXT.ADD.CURVE(C9590,"SOFR",$K$2:$K$7,$L$2:$L$7,,,"Actual360","LogLinear",TRUE)</f>
        <v/>
      </c>
      <c r="E9590" s="8">
        <f>QS.INSTRUMENT.SWAP("swap.9588",C9590,H9590,B9590,"USD","SOFR",I9590,J9590,0,"Actual360","Simple","Annual","Annual","Annual")</f>
        <v/>
      </c>
      <c r="F9590" s="8">
        <f>QS.TRADE.CREATE("trade.9588",C9590,E9590,A9590,"Receive")</f>
        <v/>
      </c>
      <c r="G9590" s="5"/>
      <c r="H9590" s="7" t="s">
        <v>9630</v>
      </c>
      <c r="I9590" s="9">
        <v>1958800</v>
      </c>
      <c r="J9590" s="10">
        <v>0.0388</v>
      </c>
    </row>
    <row r="9591" spans="1:10">
      <c r="A9591" s="7" t="s">
        <v>9624</v>
      </c>
      <c r="B9591" s="7" t="s">
        <v>11458</v>
      </c>
      <c r="C9591" s="8">
        <f>QS.CONTEXT.CREATE("market.9589",A9591,"USD","SOFR")</f>
        <v/>
      </c>
      <c r="D9591" s="8">
        <f>QS.CONTEXT.ADD.CURVE(C9591,"SOFR",$K$2:$K$7,$L$2:$L$7,,,"Actual360","LogLinear",TRUE)</f>
        <v/>
      </c>
      <c r="E9591" s="8">
        <f>QS.INSTRUMENT.SWAP("swap.9589",C9591,H9591,B9591,"USD","SOFR",I9591,J9591,0,"Actual360","Simple","Annual","Annual","Annual")</f>
        <v/>
      </c>
      <c r="F9591" s="8">
        <f>QS.TRADE.CREATE("trade.9589",C9591,E9591,A9591,"Receive")</f>
        <v/>
      </c>
      <c r="G9591" s="5"/>
      <c r="H9591" s="7" t="s">
        <v>9631</v>
      </c>
      <c r="I9591" s="9">
        <v>1958900</v>
      </c>
      <c r="J9591" s="10">
        <v>0.0389</v>
      </c>
    </row>
    <row r="9592" spans="1:10">
      <c r="A9592" s="7" t="s">
        <v>9625</v>
      </c>
      <c r="B9592" s="7" t="s">
        <v>11459</v>
      </c>
      <c r="C9592" s="8">
        <f>QS.CONTEXT.CREATE("market.9590",A9592,"USD","SOFR")</f>
        <v/>
      </c>
      <c r="D9592" s="8">
        <f>QS.CONTEXT.ADD.CURVE(C9592,"SOFR",$K$2:$K$7,$L$2:$L$7,,,"Actual360","LogLinear",TRUE)</f>
        <v/>
      </c>
      <c r="E9592" s="8">
        <f>QS.INSTRUMENT.SWAP("swap.9590",C9592,H9592,B9592,"USD","SOFR",I9592,J9592,0,"Actual360","Simple","Annual","Annual","Annual")</f>
        <v/>
      </c>
      <c r="F9592" s="8">
        <f>QS.TRADE.CREATE("trade.9590",C9592,E9592,A9592,"Receive")</f>
        <v/>
      </c>
      <c r="G9592" s="5"/>
      <c r="H9592" s="7" t="s">
        <v>9632</v>
      </c>
      <c r="I9592" s="9">
        <v>1959000</v>
      </c>
      <c r="J9592" s="10">
        <v>0.03900000000000001</v>
      </c>
    </row>
    <row r="9593" spans="1:10">
      <c r="A9593" s="7" t="s">
        <v>9626</v>
      </c>
      <c r="B9593" s="7" t="s">
        <v>11460</v>
      </c>
      <c r="C9593" s="8">
        <f>QS.CONTEXT.CREATE("market.9591",A9593,"USD","SOFR")</f>
        <v/>
      </c>
      <c r="D9593" s="8">
        <f>QS.CONTEXT.ADD.CURVE(C9593,"SOFR",$K$2:$K$7,$L$2:$L$7,,,"Actual360","LogLinear",TRUE)</f>
        <v/>
      </c>
      <c r="E9593" s="8">
        <f>QS.INSTRUMENT.SWAP("swap.9591",C9593,H9593,B9593,"USD","SOFR",I9593,J9593,0,"Actual360","Simple","Annual","Annual","Annual")</f>
        <v/>
      </c>
      <c r="F9593" s="8">
        <f>QS.TRADE.CREATE("trade.9591",C9593,E9593,A9593,"Receive")</f>
        <v/>
      </c>
      <c r="G9593" s="5"/>
      <c r="H9593" s="7" t="s">
        <v>9633</v>
      </c>
      <c r="I9593" s="9">
        <v>1959100</v>
      </c>
      <c r="J9593" s="10">
        <v>0.0391</v>
      </c>
    </row>
    <row r="9594" spans="1:10">
      <c r="A9594" s="7" t="s">
        <v>9627</v>
      </c>
      <c r="B9594" s="7" t="s">
        <v>11461</v>
      </c>
      <c r="C9594" s="8">
        <f>QS.CONTEXT.CREATE("market.9592",A9594,"USD","SOFR")</f>
        <v/>
      </c>
      <c r="D9594" s="8">
        <f>QS.CONTEXT.ADD.CURVE(C9594,"SOFR",$K$2:$K$7,$L$2:$L$7,,,"Actual360","LogLinear",TRUE)</f>
        <v/>
      </c>
      <c r="E9594" s="8">
        <f>QS.INSTRUMENT.SWAP("swap.9592",C9594,H9594,B9594,"USD","SOFR",I9594,J9594,0,"Actual360","Simple","Annual","Annual","Annual")</f>
        <v/>
      </c>
      <c r="F9594" s="8">
        <f>QS.TRADE.CREATE("trade.9592",C9594,E9594,A9594,"Receive")</f>
        <v/>
      </c>
      <c r="G9594" s="5"/>
      <c r="H9594" s="7" t="s">
        <v>9634</v>
      </c>
      <c r="I9594" s="9">
        <v>1959200</v>
      </c>
      <c r="J9594" s="10">
        <v>0.03920000000000001</v>
      </c>
    </row>
    <row r="9595" spans="1:10">
      <c r="A9595" s="7" t="s">
        <v>9628</v>
      </c>
      <c r="B9595" s="7" t="s">
        <v>11462</v>
      </c>
      <c r="C9595" s="8">
        <f>QS.CONTEXT.CREATE("market.9593",A9595,"USD","SOFR")</f>
        <v/>
      </c>
      <c r="D9595" s="8">
        <f>QS.CONTEXT.ADD.CURVE(C9595,"SOFR",$K$2:$K$7,$L$2:$L$7,,,"Actual360","LogLinear",TRUE)</f>
        <v/>
      </c>
      <c r="E9595" s="8">
        <f>QS.INSTRUMENT.SWAP("swap.9593",C9595,H9595,B9595,"USD","SOFR",I9595,J9595,0,"Actual360","Simple","Annual","Annual","Annual")</f>
        <v/>
      </c>
      <c r="F9595" s="8">
        <f>QS.TRADE.CREATE("trade.9593",C9595,E9595,A9595,"Receive")</f>
        <v/>
      </c>
      <c r="G9595" s="5"/>
      <c r="H9595" s="7" t="s">
        <v>9635</v>
      </c>
      <c r="I9595" s="9">
        <v>1959300</v>
      </c>
      <c r="J9595" s="10">
        <v>0.0393</v>
      </c>
    </row>
    <row r="9596" spans="1:10">
      <c r="A9596" s="7" t="s">
        <v>9629</v>
      </c>
      <c r="B9596" s="7" t="s">
        <v>11463</v>
      </c>
      <c r="C9596" s="8">
        <f>QS.CONTEXT.CREATE("market.9594",A9596,"USD","SOFR")</f>
        <v/>
      </c>
      <c r="D9596" s="8">
        <f>QS.CONTEXT.ADD.CURVE(C9596,"SOFR",$K$2:$K$7,$L$2:$L$7,,,"Actual360","LogLinear",TRUE)</f>
        <v/>
      </c>
      <c r="E9596" s="8">
        <f>QS.INSTRUMENT.SWAP("swap.9594",C9596,H9596,B9596,"USD","SOFR",I9596,J9596,0,"Actual360","Simple","Annual","Annual","Annual")</f>
        <v/>
      </c>
      <c r="F9596" s="8">
        <f>QS.TRADE.CREATE("trade.9594",C9596,E9596,A9596,"Receive")</f>
        <v/>
      </c>
      <c r="G9596" s="5"/>
      <c r="H9596" s="7" t="s">
        <v>9636</v>
      </c>
      <c r="I9596" s="9">
        <v>1959400</v>
      </c>
      <c r="J9596" s="10">
        <v>0.0394</v>
      </c>
    </row>
    <row r="9597" spans="1:10">
      <c r="A9597" s="7" t="s">
        <v>9630</v>
      </c>
      <c r="B9597" s="7" t="s">
        <v>11464</v>
      </c>
      <c r="C9597" s="8">
        <f>QS.CONTEXT.CREATE("market.9595",A9597,"USD","SOFR")</f>
        <v/>
      </c>
      <c r="D9597" s="8">
        <f>QS.CONTEXT.ADD.CURVE(C9597,"SOFR",$K$2:$K$7,$L$2:$L$7,,,"Actual360","LogLinear",TRUE)</f>
        <v/>
      </c>
      <c r="E9597" s="8">
        <f>QS.INSTRUMENT.SWAP("swap.9595",C9597,H9597,B9597,"USD","SOFR",I9597,J9597,0,"Actual360","Simple","Annual","Annual","Annual")</f>
        <v/>
      </c>
      <c r="F9597" s="8">
        <f>QS.TRADE.CREATE("trade.9595",C9597,E9597,A9597,"Receive")</f>
        <v/>
      </c>
      <c r="G9597" s="5"/>
      <c r="H9597" s="7" t="s">
        <v>9637</v>
      </c>
      <c r="I9597" s="9">
        <v>1959500</v>
      </c>
      <c r="J9597" s="10">
        <v>0.03950000000000001</v>
      </c>
    </row>
    <row r="9598" spans="1:10">
      <c r="A9598" s="7" t="s">
        <v>9631</v>
      </c>
      <c r="B9598" s="7" t="s">
        <v>11465</v>
      </c>
      <c r="C9598" s="8">
        <f>QS.CONTEXT.CREATE("market.9596",A9598,"USD","SOFR")</f>
        <v/>
      </c>
      <c r="D9598" s="8">
        <f>QS.CONTEXT.ADD.CURVE(C9598,"SOFR",$K$2:$K$7,$L$2:$L$7,,,"Actual360","LogLinear",TRUE)</f>
        <v/>
      </c>
      <c r="E9598" s="8">
        <f>QS.INSTRUMENT.SWAP("swap.9596",C9598,H9598,B9598,"USD","SOFR",I9598,J9598,0,"Actual360","Simple","Annual","Annual","Annual")</f>
        <v/>
      </c>
      <c r="F9598" s="8">
        <f>QS.TRADE.CREATE("trade.9596",C9598,E9598,A9598,"Receive")</f>
        <v/>
      </c>
      <c r="G9598" s="5"/>
      <c r="H9598" s="7" t="s">
        <v>9638</v>
      </c>
      <c r="I9598" s="9">
        <v>1959600</v>
      </c>
      <c r="J9598" s="10">
        <v>0.0396</v>
      </c>
    </row>
    <row r="9599" spans="1:10">
      <c r="A9599" s="7" t="s">
        <v>9632</v>
      </c>
      <c r="B9599" s="7" t="s">
        <v>11466</v>
      </c>
      <c r="C9599" s="8">
        <f>QS.CONTEXT.CREATE("market.9597",A9599,"USD","SOFR")</f>
        <v/>
      </c>
      <c r="D9599" s="8">
        <f>QS.CONTEXT.ADD.CURVE(C9599,"SOFR",$K$2:$K$7,$L$2:$L$7,,,"Actual360","LogLinear",TRUE)</f>
        <v/>
      </c>
      <c r="E9599" s="8">
        <f>QS.INSTRUMENT.SWAP("swap.9597",C9599,H9599,B9599,"USD","SOFR",I9599,J9599,0,"Actual360","Simple","Annual","Annual","Annual")</f>
        <v/>
      </c>
      <c r="F9599" s="8">
        <f>QS.TRADE.CREATE("trade.9597",C9599,E9599,A9599,"Receive")</f>
        <v/>
      </c>
      <c r="G9599" s="5"/>
      <c r="H9599" s="7" t="s">
        <v>9639</v>
      </c>
      <c r="I9599" s="9">
        <v>1959700</v>
      </c>
      <c r="J9599" s="10">
        <v>0.03970000000000001</v>
      </c>
    </row>
    <row r="9600" spans="1:10">
      <c r="A9600" s="7" t="s">
        <v>9633</v>
      </c>
      <c r="B9600" s="7" t="s">
        <v>11467</v>
      </c>
      <c r="C9600" s="8">
        <f>QS.CONTEXT.CREATE("market.9598",A9600,"USD","SOFR")</f>
        <v/>
      </c>
      <c r="D9600" s="8">
        <f>QS.CONTEXT.ADD.CURVE(C9600,"SOFR",$K$2:$K$7,$L$2:$L$7,,,"Actual360","LogLinear",TRUE)</f>
        <v/>
      </c>
      <c r="E9600" s="8">
        <f>QS.INSTRUMENT.SWAP("swap.9598",C9600,H9600,B9600,"USD","SOFR",I9600,J9600,0,"Actual360","Simple","Annual","Annual","Annual")</f>
        <v/>
      </c>
      <c r="F9600" s="8">
        <f>QS.TRADE.CREATE("trade.9598",C9600,E9600,A9600,"Receive")</f>
        <v/>
      </c>
      <c r="G9600" s="5"/>
      <c r="H9600" s="7" t="s">
        <v>9640</v>
      </c>
      <c r="I9600" s="9">
        <v>1959800</v>
      </c>
      <c r="J9600" s="10">
        <v>0.0398</v>
      </c>
    </row>
    <row r="9601" spans="1:10">
      <c r="A9601" s="7" t="s">
        <v>9634</v>
      </c>
      <c r="B9601" s="7" t="s">
        <v>11468</v>
      </c>
      <c r="C9601" s="8">
        <f>QS.CONTEXT.CREATE("market.9599",A9601,"USD","SOFR")</f>
        <v/>
      </c>
      <c r="D9601" s="8">
        <f>QS.CONTEXT.ADD.CURVE(C9601,"SOFR",$K$2:$K$7,$L$2:$L$7,,,"Actual360","LogLinear",TRUE)</f>
        <v/>
      </c>
      <c r="E9601" s="8">
        <f>QS.INSTRUMENT.SWAP("swap.9599",C9601,H9601,B9601,"USD","SOFR",I9601,J9601,0,"Actual360","Simple","Annual","Annual","Annual")</f>
        <v/>
      </c>
      <c r="F9601" s="8">
        <f>QS.TRADE.CREATE("trade.9599",C9601,E9601,A9601,"Receive")</f>
        <v/>
      </c>
      <c r="G9601" s="5"/>
      <c r="H9601" s="7" t="s">
        <v>9641</v>
      </c>
      <c r="I9601" s="9">
        <v>1959900</v>
      </c>
      <c r="J9601" s="10">
        <v>0.0399</v>
      </c>
    </row>
    <row r="9602" spans="1:10">
      <c r="A9602" s="7" t="s">
        <v>9635</v>
      </c>
      <c r="B9602" s="7" t="s">
        <v>11469</v>
      </c>
      <c r="C9602" s="8">
        <f>QS.CONTEXT.CREATE("market.9600",A9602,"USD","SOFR")</f>
        <v/>
      </c>
      <c r="D9602" s="8">
        <f>QS.CONTEXT.ADD.CURVE(C9602,"SOFR",$K$2:$K$7,$L$2:$L$7,,,"Actual360","LogLinear",TRUE)</f>
        <v/>
      </c>
      <c r="E9602" s="8">
        <f>QS.INSTRUMENT.SWAP("swap.9600",C9602,H9602,B9602,"USD","SOFR",I9602,J9602,0,"Actual360","Simple","Annual","Annual","Annual")</f>
        <v/>
      </c>
      <c r="F9602" s="8">
        <f>QS.TRADE.CREATE("trade.9600",C9602,E9602,A9602,"Receive")</f>
        <v/>
      </c>
      <c r="G9602" s="5"/>
      <c r="H9602" s="7" t="s">
        <v>9642</v>
      </c>
      <c r="I9602" s="9">
        <v>1960000</v>
      </c>
      <c r="J9602" s="10">
        <v>0.035</v>
      </c>
    </row>
    <row r="9603" spans="1:10">
      <c r="A9603" s="7" t="s">
        <v>9636</v>
      </c>
      <c r="B9603" s="7" t="s">
        <v>11470</v>
      </c>
      <c r="C9603" s="8">
        <f>QS.CONTEXT.CREATE("market.9601",A9603,"USD","SOFR")</f>
        <v/>
      </c>
      <c r="D9603" s="8">
        <f>QS.CONTEXT.ADD.CURVE(C9603,"SOFR",$K$2:$K$7,$L$2:$L$7,,,"Actual360","LogLinear",TRUE)</f>
        <v/>
      </c>
      <c r="E9603" s="8">
        <f>QS.INSTRUMENT.SWAP("swap.9601",C9603,H9603,B9603,"USD","SOFR",I9603,J9603,0,"Actual360","Simple","Annual","Annual","Annual")</f>
        <v/>
      </c>
      <c r="F9603" s="8">
        <f>QS.TRADE.CREATE("trade.9601",C9603,E9603,A9603,"Receive")</f>
        <v/>
      </c>
      <c r="G9603" s="5"/>
      <c r="H9603" s="7" t="s">
        <v>9643</v>
      </c>
      <c r="I9603" s="9">
        <v>1960100</v>
      </c>
      <c r="J9603" s="10">
        <v>0.03510000000000001</v>
      </c>
    </row>
    <row r="9604" spans="1:10">
      <c r="A9604" s="7" t="s">
        <v>9637</v>
      </c>
      <c r="B9604" s="7" t="s">
        <v>11471</v>
      </c>
      <c r="C9604" s="8">
        <f>QS.CONTEXT.CREATE("market.9602",A9604,"USD","SOFR")</f>
        <v/>
      </c>
      <c r="D9604" s="8">
        <f>QS.CONTEXT.ADD.CURVE(C9604,"SOFR",$K$2:$K$7,$L$2:$L$7,,,"Actual360","LogLinear",TRUE)</f>
        <v/>
      </c>
      <c r="E9604" s="8">
        <f>QS.INSTRUMENT.SWAP("swap.9602",C9604,H9604,B9604,"USD","SOFR",I9604,J9604,0,"Actual360","Simple","Annual","Annual","Annual")</f>
        <v/>
      </c>
      <c r="F9604" s="8">
        <f>QS.TRADE.CREATE("trade.9602",C9604,E9604,A9604,"Receive")</f>
        <v/>
      </c>
      <c r="G9604" s="5"/>
      <c r="H9604" s="7" t="s">
        <v>9644</v>
      </c>
      <c r="I9604" s="9">
        <v>1960200</v>
      </c>
      <c r="J9604" s="10">
        <v>0.0352</v>
      </c>
    </row>
    <row r="9605" spans="1:10">
      <c r="A9605" s="7" t="s">
        <v>9638</v>
      </c>
      <c r="B9605" s="7" t="s">
        <v>11472</v>
      </c>
      <c r="C9605" s="8">
        <f>QS.CONTEXT.CREATE("market.9603",A9605,"USD","SOFR")</f>
        <v/>
      </c>
      <c r="D9605" s="8">
        <f>QS.CONTEXT.ADD.CURVE(C9605,"SOFR",$K$2:$K$7,$L$2:$L$7,,,"Actual360","LogLinear",TRUE)</f>
        <v/>
      </c>
      <c r="E9605" s="8">
        <f>QS.INSTRUMENT.SWAP("swap.9603",C9605,H9605,B9605,"USD","SOFR",I9605,J9605,0,"Actual360","Simple","Annual","Annual","Annual")</f>
        <v/>
      </c>
      <c r="F9605" s="8">
        <f>QS.TRADE.CREATE("trade.9603",C9605,E9605,A9605,"Receive")</f>
        <v/>
      </c>
      <c r="G9605" s="5"/>
      <c r="H9605" s="7" t="s">
        <v>9645</v>
      </c>
      <c r="I9605" s="9">
        <v>1960300</v>
      </c>
      <c r="J9605" s="10">
        <v>0.0353</v>
      </c>
    </row>
    <row r="9606" spans="1:10">
      <c r="A9606" s="7" t="s">
        <v>9639</v>
      </c>
      <c r="B9606" s="7" t="s">
        <v>11473</v>
      </c>
      <c r="C9606" s="8">
        <f>QS.CONTEXT.CREATE("market.9604",A9606,"USD","SOFR")</f>
        <v/>
      </c>
      <c r="D9606" s="8">
        <f>QS.CONTEXT.ADD.CURVE(C9606,"SOFR",$K$2:$K$7,$L$2:$L$7,,,"Actual360","LogLinear",TRUE)</f>
        <v/>
      </c>
      <c r="E9606" s="8">
        <f>QS.INSTRUMENT.SWAP("swap.9604",C9606,H9606,B9606,"USD","SOFR",I9606,J9606,0,"Actual360","Simple","Annual","Annual","Annual")</f>
        <v/>
      </c>
      <c r="F9606" s="8">
        <f>QS.TRADE.CREATE("trade.9604",C9606,E9606,A9606,"Receive")</f>
        <v/>
      </c>
      <c r="G9606" s="5"/>
      <c r="H9606" s="7" t="s">
        <v>9646</v>
      </c>
      <c r="I9606" s="9">
        <v>1960400</v>
      </c>
      <c r="J9606" s="10">
        <v>0.0354</v>
      </c>
    </row>
    <row r="9607" spans="1:10">
      <c r="A9607" s="7" t="s">
        <v>9640</v>
      </c>
      <c r="B9607" s="7" t="s">
        <v>11474</v>
      </c>
      <c r="C9607" s="8">
        <f>QS.CONTEXT.CREATE("market.9605",A9607,"USD","SOFR")</f>
        <v/>
      </c>
      <c r="D9607" s="8">
        <f>QS.CONTEXT.ADD.CURVE(C9607,"SOFR",$K$2:$K$7,$L$2:$L$7,,,"Actual360","LogLinear",TRUE)</f>
        <v/>
      </c>
      <c r="E9607" s="8">
        <f>QS.INSTRUMENT.SWAP("swap.9605",C9607,H9607,B9607,"USD","SOFR",I9607,J9607,0,"Actual360","Simple","Annual","Annual","Annual")</f>
        <v/>
      </c>
      <c r="F9607" s="8">
        <f>QS.TRADE.CREATE("trade.9605",C9607,E9607,A9607,"Receive")</f>
        <v/>
      </c>
      <c r="G9607" s="5"/>
      <c r="H9607" s="7" t="s">
        <v>9647</v>
      </c>
      <c r="I9607" s="9">
        <v>1960500</v>
      </c>
      <c r="J9607" s="10">
        <v>0.0355</v>
      </c>
    </row>
    <row r="9608" spans="1:10">
      <c r="A9608" s="7" t="s">
        <v>9641</v>
      </c>
      <c r="B9608" s="7" t="s">
        <v>11475</v>
      </c>
      <c r="C9608" s="8">
        <f>QS.CONTEXT.CREATE("market.9606",A9608,"USD","SOFR")</f>
        <v/>
      </c>
      <c r="D9608" s="8">
        <f>QS.CONTEXT.ADD.CURVE(C9608,"SOFR",$K$2:$K$7,$L$2:$L$7,,,"Actual360","LogLinear",TRUE)</f>
        <v/>
      </c>
      <c r="E9608" s="8">
        <f>QS.INSTRUMENT.SWAP("swap.9606",C9608,H9608,B9608,"USD","SOFR",I9608,J9608,0,"Actual360","Simple","Annual","Annual","Annual")</f>
        <v/>
      </c>
      <c r="F9608" s="8">
        <f>QS.TRADE.CREATE("trade.9606",C9608,E9608,A9608,"Receive")</f>
        <v/>
      </c>
      <c r="G9608" s="5"/>
      <c r="H9608" s="7" t="s">
        <v>9648</v>
      </c>
      <c r="I9608" s="9">
        <v>1960600</v>
      </c>
      <c r="J9608" s="10">
        <v>0.03560000000000001</v>
      </c>
    </row>
    <row r="9609" spans="1:10">
      <c r="A9609" s="7" t="s">
        <v>9642</v>
      </c>
      <c r="B9609" s="7" t="s">
        <v>11476</v>
      </c>
      <c r="C9609" s="8">
        <f>QS.CONTEXT.CREATE("market.9607",A9609,"USD","SOFR")</f>
        <v/>
      </c>
      <c r="D9609" s="8">
        <f>QS.CONTEXT.ADD.CURVE(C9609,"SOFR",$K$2:$K$7,$L$2:$L$7,,,"Actual360","LogLinear",TRUE)</f>
        <v/>
      </c>
      <c r="E9609" s="8">
        <f>QS.INSTRUMENT.SWAP("swap.9607",C9609,H9609,B9609,"USD","SOFR",I9609,J9609,0,"Actual360","Simple","Annual","Annual","Annual")</f>
        <v/>
      </c>
      <c r="F9609" s="8">
        <f>QS.TRADE.CREATE("trade.9607",C9609,E9609,A9609,"Receive")</f>
        <v/>
      </c>
      <c r="G9609" s="5"/>
      <c r="H9609" s="7" t="s">
        <v>9649</v>
      </c>
      <c r="I9609" s="9">
        <v>1960700</v>
      </c>
      <c r="J9609" s="10">
        <v>0.0357</v>
      </c>
    </row>
    <row r="9610" spans="1:10">
      <c r="A9610" s="7" t="s">
        <v>9643</v>
      </c>
      <c r="B9610" s="7" t="s">
        <v>11477</v>
      </c>
      <c r="C9610" s="8">
        <f>QS.CONTEXT.CREATE("market.9608",A9610,"USD","SOFR")</f>
        <v/>
      </c>
      <c r="D9610" s="8">
        <f>QS.CONTEXT.ADD.CURVE(C9610,"SOFR",$K$2:$K$7,$L$2:$L$7,,,"Actual360","LogLinear",TRUE)</f>
        <v/>
      </c>
      <c r="E9610" s="8">
        <f>QS.INSTRUMENT.SWAP("swap.9608",C9610,H9610,B9610,"USD","SOFR",I9610,J9610,0,"Actual360","Simple","Annual","Annual","Annual")</f>
        <v/>
      </c>
      <c r="F9610" s="8">
        <f>QS.TRADE.CREATE("trade.9608",C9610,E9610,A9610,"Receive")</f>
        <v/>
      </c>
      <c r="G9610" s="5"/>
      <c r="H9610" s="7" t="s">
        <v>9650</v>
      </c>
      <c r="I9610" s="9">
        <v>1960800</v>
      </c>
      <c r="J9610" s="10">
        <v>0.03580000000000001</v>
      </c>
    </row>
    <row r="9611" spans="1:10">
      <c r="A9611" s="7" t="s">
        <v>9644</v>
      </c>
      <c r="B9611" s="7" t="s">
        <v>11478</v>
      </c>
      <c r="C9611" s="8">
        <f>QS.CONTEXT.CREATE("market.9609",A9611,"USD","SOFR")</f>
        <v/>
      </c>
      <c r="D9611" s="8">
        <f>QS.CONTEXT.ADD.CURVE(C9611,"SOFR",$K$2:$K$7,$L$2:$L$7,,,"Actual360","LogLinear",TRUE)</f>
        <v/>
      </c>
      <c r="E9611" s="8">
        <f>QS.INSTRUMENT.SWAP("swap.9609",C9611,H9611,B9611,"USD","SOFR",I9611,J9611,0,"Actual360","Simple","Annual","Annual","Annual")</f>
        <v/>
      </c>
      <c r="F9611" s="8">
        <f>QS.TRADE.CREATE("trade.9609",C9611,E9611,A9611,"Receive")</f>
        <v/>
      </c>
      <c r="G9611" s="5"/>
      <c r="H9611" s="7" t="s">
        <v>9651</v>
      </c>
      <c r="I9611" s="9">
        <v>1960900</v>
      </c>
      <c r="J9611" s="10">
        <v>0.0359</v>
      </c>
    </row>
    <row r="9612" spans="1:10">
      <c r="A9612" s="7" t="s">
        <v>9645</v>
      </c>
      <c r="B9612" s="7" t="s">
        <v>11479</v>
      </c>
      <c r="C9612" s="8">
        <f>QS.CONTEXT.CREATE("market.9610",A9612,"USD","SOFR")</f>
        <v/>
      </c>
      <c r="D9612" s="8">
        <f>QS.CONTEXT.ADD.CURVE(C9612,"SOFR",$K$2:$K$7,$L$2:$L$7,,,"Actual360","LogLinear",TRUE)</f>
        <v/>
      </c>
      <c r="E9612" s="8">
        <f>QS.INSTRUMENT.SWAP("swap.9610",C9612,H9612,B9612,"USD","SOFR",I9612,J9612,0,"Actual360","Simple","Annual","Annual","Annual")</f>
        <v/>
      </c>
      <c r="F9612" s="8">
        <f>QS.TRADE.CREATE("trade.9610",C9612,E9612,A9612,"Receive")</f>
        <v/>
      </c>
      <c r="G9612" s="5"/>
      <c r="H9612" s="7" t="s">
        <v>9652</v>
      </c>
      <c r="I9612" s="9">
        <v>1961000</v>
      </c>
      <c r="J9612" s="10">
        <v>0.036</v>
      </c>
    </row>
    <row r="9613" spans="1:10">
      <c r="A9613" s="7" t="s">
        <v>9646</v>
      </c>
      <c r="B9613" s="7" t="s">
        <v>11480</v>
      </c>
      <c r="C9613" s="8">
        <f>QS.CONTEXT.CREATE("market.9611",A9613,"USD","SOFR")</f>
        <v/>
      </c>
      <c r="D9613" s="8">
        <f>QS.CONTEXT.ADD.CURVE(C9613,"SOFR",$K$2:$K$7,$L$2:$L$7,,,"Actual360","LogLinear",TRUE)</f>
        <v/>
      </c>
      <c r="E9613" s="8">
        <f>QS.INSTRUMENT.SWAP("swap.9611",C9613,H9613,B9613,"USD","SOFR",I9613,J9613,0,"Actual360","Simple","Annual","Annual","Annual")</f>
        <v/>
      </c>
      <c r="F9613" s="8">
        <f>QS.TRADE.CREATE("trade.9611",C9613,E9613,A9613,"Receive")</f>
        <v/>
      </c>
      <c r="G9613" s="5"/>
      <c r="H9613" s="7" t="s">
        <v>9653</v>
      </c>
      <c r="I9613" s="9">
        <v>1961100</v>
      </c>
      <c r="J9613" s="10">
        <v>0.0361</v>
      </c>
    </row>
    <row r="9614" spans="1:10">
      <c r="A9614" s="7" t="s">
        <v>9647</v>
      </c>
      <c r="B9614" s="7" t="s">
        <v>11481</v>
      </c>
      <c r="C9614" s="8">
        <f>QS.CONTEXT.CREATE("market.9612",A9614,"USD","SOFR")</f>
        <v/>
      </c>
      <c r="D9614" s="8">
        <f>QS.CONTEXT.ADD.CURVE(C9614,"SOFR",$K$2:$K$7,$L$2:$L$7,,,"Actual360","LogLinear",TRUE)</f>
        <v/>
      </c>
      <c r="E9614" s="8">
        <f>QS.INSTRUMENT.SWAP("swap.9612",C9614,H9614,B9614,"USD","SOFR",I9614,J9614,0,"Actual360","Simple","Annual","Annual","Annual")</f>
        <v/>
      </c>
      <c r="F9614" s="8">
        <f>QS.TRADE.CREATE("trade.9612",C9614,E9614,A9614,"Receive")</f>
        <v/>
      </c>
      <c r="G9614" s="5"/>
      <c r="H9614" s="7" t="s">
        <v>9654</v>
      </c>
      <c r="I9614" s="9">
        <v>1961200</v>
      </c>
      <c r="J9614" s="10">
        <v>0.0362</v>
      </c>
    </row>
    <row r="9615" spans="1:10">
      <c r="A9615" s="7" t="s">
        <v>9648</v>
      </c>
      <c r="B9615" s="7" t="s">
        <v>11482</v>
      </c>
      <c r="C9615" s="8">
        <f>QS.CONTEXT.CREATE("market.9613",A9615,"USD","SOFR")</f>
        <v/>
      </c>
      <c r="D9615" s="8">
        <f>QS.CONTEXT.ADD.CURVE(C9615,"SOFR",$K$2:$K$7,$L$2:$L$7,,,"Actual360","LogLinear",TRUE)</f>
        <v/>
      </c>
      <c r="E9615" s="8">
        <f>QS.INSTRUMENT.SWAP("swap.9613",C9615,H9615,B9615,"USD","SOFR",I9615,J9615,0,"Actual360","Simple","Annual","Annual","Annual")</f>
        <v/>
      </c>
      <c r="F9615" s="8">
        <f>QS.TRADE.CREATE("trade.9613",C9615,E9615,A9615,"Receive")</f>
        <v/>
      </c>
      <c r="G9615" s="5"/>
      <c r="H9615" s="7" t="s">
        <v>9655</v>
      </c>
      <c r="I9615" s="9">
        <v>1961300</v>
      </c>
      <c r="J9615" s="10">
        <v>0.03630000000000001</v>
      </c>
    </row>
    <row r="9616" spans="1:10">
      <c r="A9616" s="7" t="s">
        <v>9649</v>
      </c>
      <c r="B9616" s="7" t="s">
        <v>11483</v>
      </c>
      <c r="C9616" s="8">
        <f>QS.CONTEXT.CREATE("market.9614",A9616,"USD","SOFR")</f>
        <v/>
      </c>
      <c r="D9616" s="8">
        <f>QS.CONTEXT.ADD.CURVE(C9616,"SOFR",$K$2:$K$7,$L$2:$L$7,,,"Actual360","LogLinear",TRUE)</f>
        <v/>
      </c>
      <c r="E9616" s="8">
        <f>QS.INSTRUMENT.SWAP("swap.9614",C9616,H9616,B9616,"USD","SOFR",I9616,J9616,0,"Actual360","Simple","Annual","Annual","Annual")</f>
        <v/>
      </c>
      <c r="F9616" s="8">
        <f>QS.TRADE.CREATE("trade.9614",C9616,E9616,A9616,"Receive")</f>
        <v/>
      </c>
      <c r="G9616" s="5"/>
      <c r="H9616" s="7" t="s">
        <v>9656</v>
      </c>
      <c r="I9616" s="9">
        <v>1961400</v>
      </c>
      <c r="J9616" s="10">
        <v>0.0364</v>
      </c>
    </row>
    <row r="9617" spans="1:10">
      <c r="A9617" s="7" t="s">
        <v>9650</v>
      </c>
      <c r="B9617" s="7" t="s">
        <v>11484</v>
      </c>
      <c r="C9617" s="8">
        <f>QS.CONTEXT.CREATE("market.9615",A9617,"USD","SOFR")</f>
        <v/>
      </c>
      <c r="D9617" s="8">
        <f>QS.CONTEXT.ADD.CURVE(C9617,"SOFR",$K$2:$K$7,$L$2:$L$7,,,"Actual360","LogLinear",TRUE)</f>
        <v/>
      </c>
      <c r="E9617" s="8">
        <f>QS.INSTRUMENT.SWAP("swap.9615",C9617,H9617,B9617,"USD","SOFR",I9617,J9617,0,"Actual360","Simple","Annual","Annual","Annual")</f>
        <v/>
      </c>
      <c r="F9617" s="8">
        <f>QS.TRADE.CREATE("trade.9615",C9617,E9617,A9617,"Receive")</f>
        <v/>
      </c>
      <c r="G9617" s="5"/>
      <c r="H9617" s="7" t="s">
        <v>9657</v>
      </c>
      <c r="I9617" s="9">
        <v>1961500</v>
      </c>
      <c r="J9617" s="10">
        <v>0.0365</v>
      </c>
    </row>
    <row r="9618" spans="1:10">
      <c r="A9618" s="7" t="s">
        <v>9651</v>
      </c>
      <c r="B9618" s="7" t="s">
        <v>11485</v>
      </c>
      <c r="C9618" s="8">
        <f>QS.CONTEXT.CREATE("market.9616",A9618,"USD","SOFR")</f>
        <v/>
      </c>
      <c r="D9618" s="8">
        <f>QS.CONTEXT.ADD.CURVE(C9618,"SOFR",$K$2:$K$7,$L$2:$L$7,,,"Actual360","LogLinear",TRUE)</f>
        <v/>
      </c>
      <c r="E9618" s="8">
        <f>QS.INSTRUMENT.SWAP("swap.9616",C9618,H9618,B9618,"USD","SOFR",I9618,J9618,0,"Actual360","Simple","Annual","Annual","Annual")</f>
        <v/>
      </c>
      <c r="F9618" s="8">
        <f>QS.TRADE.CREATE("trade.9616",C9618,E9618,A9618,"Receive")</f>
        <v/>
      </c>
      <c r="G9618" s="5"/>
      <c r="H9618" s="7" t="s">
        <v>9658</v>
      </c>
      <c r="I9618" s="9">
        <v>1961600</v>
      </c>
      <c r="J9618" s="10">
        <v>0.0366</v>
      </c>
    </row>
    <row r="9619" spans="1:10">
      <c r="A9619" s="7" t="s">
        <v>9652</v>
      </c>
      <c r="B9619" s="7" t="s">
        <v>11486</v>
      </c>
      <c r="C9619" s="8">
        <f>QS.CONTEXT.CREATE("market.9617",A9619,"USD","SOFR")</f>
        <v/>
      </c>
      <c r="D9619" s="8">
        <f>QS.CONTEXT.ADD.CURVE(C9619,"SOFR",$K$2:$K$7,$L$2:$L$7,,,"Actual360","LogLinear",TRUE)</f>
        <v/>
      </c>
      <c r="E9619" s="8">
        <f>QS.INSTRUMENT.SWAP("swap.9617",C9619,H9619,B9619,"USD","SOFR",I9619,J9619,0,"Actual360","Simple","Annual","Annual","Annual")</f>
        <v/>
      </c>
      <c r="F9619" s="8">
        <f>QS.TRADE.CREATE("trade.9617",C9619,E9619,A9619,"Receive")</f>
        <v/>
      </c>
      <c r="G9619" s="5"/>
      <c r="H9619" s="7" t="s">
        <v>9659</v>
      </c>
      <c r="I9619" s="9">
        <v>1961700</v>
      </c>
      <c r="J9619" s="10">
        <v>0.0367</v>
      </c>
    </row>
    <row r="9620" spans="1:10">
      <c r="A9620" s="7" t="s">
        <v>9653</v>
      </c>
      <c r="B9620" s="7" t="s">
        <v>11487</v>
      </c>
      <c r="C9620" s="8">
        <f>QS.CONTEXT.CREATE("market.9618",A9620,"USD","SOFR")</f>
        <v/>
      </c>
      <c r="D9620" s="8">
        <f>QS.CONTEXT.ADD.CURVE(C9620,"SOFR",$K$2:$K$7,$L$2:$L$7,,,"Actual360","LogLinear",TRUE)</f>
        <v/>
      </c>
      <c r="E9620" s="8">
        <f>QS.INSTRUMENT.SWAP("swap.9618",C9620,H9620,B9620,"USD","SOFR",I9620,J9620,0,"Actual360","Simple","Annual","Annual","Annual")</f>
        <v/>
      </c>
      <c r="F9620" s="8">
        <f>QS.TRADE.CREATE("trade.9618",C9620,E9620,A9620,"Receive")</f>
        <v/>
      </c>
      <c r="G9620" s="5"/>
      <c r="H9620" s="7" t="s">
        <v>9660</v>
      </c>
      <c r="I9620" s="9">
        <v>1961800</v>
      </c>
      <c r="J9620" s="10">
        <v>0.03680000000000001</v>
      </c>
    </row>
    <row r="9621" spans="1:10">
      <c r="A9621" s="7" t="s">
        <v>9654</v>
      </c>
      <c r="B9621" s="7" t="s">
        <v>11488</v>
      </c>
      <c r="C9621" s="8">
        <f>QS.CONTEXT.CREATE("market.9619",A9621,"USD","SOFR")</f>
        <v/>
      </c>
      <c r="D9621" s="8">
        <f>QS.CONTEXT.ADD.CURVE(C9621,"SOFR",$K$2:$K$7,$L$2:$L$7,,,"Actual360","LogLinear",TRUE)</f>
        <v/>
      </c>
      <c r="E9621" s="8">
        <f>QS.INSTRUMENT.SWAP("swap.9619",C9621,H9621,B9621,"USD","SOFR",I9621,J9621,0,"Actual360","Simple","Annual","Annual","Annual")</f>
        <v/>
      </c>
      <c r="F9621" s="8">
        <f>QS.TRADE.CREATE("trade.9619",C9621,E9621,A9621,"Receive")</f>
        <v/>
      </c>
      <c r="G9621" s="5"/>
      <c r="H9621" s="7" t="s">
        <v>9661</v>
      </c>
      <c r="I9621" s="9">
        <v>1961900</v>
      </c>
      <c r="J9621" s="10">
        <v>0.0369</v>
      </c>
    </row>
    <row r="9622" spans="1:10">
      <c r="A9622" s="7" t="s">
        <v>9655</v>
      </c>
      <c r="B9622" s="7" t="s">
        <v>11489</v>
      </c>
      <c r="C9622" s="8">
        <f>QS.CONTEXT.CREATE("market.9620",A9622,"USD","SOFR")</f>
        <v/>
      </c>
      <c r="D9622" s="8">
        <f>QS.CONTEXT.ADD.CURVE(C9622,"SOFR",$K$2:$K$7,$L$2:$L$7,,,"Actual360","LogLinear",TRUE)</f>
        <v/>
      </c>
      <c r="E9622" s="8">
        <f>QS.INSTRUMENT.SWAP("swap.9620",C9622,H9622,B9622,"USD","SOFR",I9622,J9622,0,"Actual360","Simple","Annual","Annual","Annual")</f>
        <v/>
      </c>
      <c r="F9622" s="8">
        <f>QS.TRADE.CREATE("trade.9620",C9622,E9622,A9622,"Receive")</f>
        <v/>
      </c>
      <c r="G9622" s="5"/>
      <c r="H9622" s="7" t="s">
        <v>9662</v>
      </c>
      <c r="I9622" s="9">
        <v>1962000</v>
      </c>
      <c r="J9622" s="10">
        <v>0.03700000000000001</v>
      </c>
    </row>
    <row r="9623" spans="1:10">
      <c r="A9623" s="7" t="s">
        <v>9656</v>
      </c>
      <c r="B9623" s="7" t="s">
        <v>11490</v>
      </c>
      <c r="C9623" s="8">
        <f>QS.CONTEXT.CREATE("market.9621",A9623,"USD","SOFR")</f>
        <v/>
      </c>
      <c r="D9623" s="8">
        <f>QS.CONTEXT.ADD.CURVE(C9623,"SOFR",$K$2:$K$7,$L$2:$L$7,,,"Actual360","LogLinear",TRUE)</f>
        <v/>
      </c>
      <c r="E9623" s="8">
        <f>QS.INSTRUMENT.SWAP("swap.9621",C9623,H9623,B9623,"USD","SOFR",I9623,J9623,0,"Actual360","Simple","Annual","Annual","Annual")</f>
        <v/>
      </c>
      <c r="F9623" s="8">
        <f>QS.TRADE.CREATE("trade.9621",C9623,E9623,A9623,"Receive")</f>
        <v/>
      </c>
      <c r="G9623" s="5"/>
      <c r="H9623" s="7" t="s">
        <v>9663</v>
      </c>
      <c r="I9623" s="9">
        <v>1962100</v>
      </c>
      <c r="J9623" s="10">
        <v>0.0371</v>
      </c>
    </row>
    <row r="9624" spans="1:10">
      <c r="A9624" s="7" t="s">
        <v>9657</v>
      </c>
      <c r="B9624" s="7" t="s">
        <v>11491</v>
      </c>
      <c r="C9624" s="8">
        <f>QS.CONTEXT.CREATE("market.9622",A9624,"USD","SOFR")</f>
        <v/>
      </c>
      <c r="D9624" s="8">
        <f>QS.CONTEXT.ADD.CURVE(C9624,"SOFR",$K$2:$K$7,$L$2:$L$7,,,"Actual360","LogLinear",TRUE)</f>
        <v/>
      </c>
      <c r="E9624" s="8">
        <f>QS.INSTRUMENT.SWAP("swap.9622",C9624,H9624,B9624,"USD","SOFR",I9624,J9624,0,"Actual360","Simple","Annual","Annual","Annual")</f>
        <v/>
      </c>
      <c r="F9624" s="8">
        <f>QS.TRADE.CREATE("trade.9622",C9624,E9624,A9624,"Receive")</f>
        <v/>
      </c>
      <c r="G9624" s="5"/>
      <c r="H9624" s="7" t="s">
        <v>9664</v>
      </c>
      <c r="I9624" s="9">
        <v>1962200</v>
      </c>
      <c r="J9624" s="10">
        <v>0.0372</v>
      </c>
    </row>
    <row r="9625" spans="1:10">
      <c r="A9625" s="7" t="s">
        <v>9658</v>
      </c>
      <c r="B9625" s="7" t="s">
        <v>11492</v>
      </c>
      <c r="C9625" s="8">
        <f>QS.CONTEXT.CREATE("market.9623",A9625,"USD","SOFR")</f>
        <v/>
      </c>
      <c r="D9625" s="8">
        <f>QS.CONTEXT.ADD.CURVE(C9625,"SOFR",$K$2:$K$7,$L$2:$L$7,,,"Actual360","LogLinear",TRUE)</f>
        <v/>
      </c>
      <c r="E9625" s="8">
        <f>QS.INSTRUMENT.SWAP("swap.9623",C9625,H9625,B9625,"USD","SOFR",I9625,J9625,0,"Actual360","Simple","Annual","Annual","Annual")</f>
        <v/>
      </c>
      <c r="F9625" s="8">
        <f>QS.TRADE.CREATE("trade.9623",C9625,E9625,A9625,"Receive")</f>
        <v/>
      </c>
      <c r="G9625" s="5"/>
      <c r="H9625" s="7" t="s">
        <v>9665</v>
      </c>
      <c r="I9625" s="9">
        <v>1962300</v>
      </c>
      <c r="J9625" s="10">
        <v>0.0373</v>
      </c>
    </row>
    <row r="9626" spans="1:10">
      <c r="A9626" s="7" t="s">
        <v>9659</v>
      </c>
      <c r="B9626" s="7" t="s">
        <v>11493</v>
      </c>
      <c r="C9626" s="8">
        <f>QS.CONTEXT.CREATE("market.9624",A9626,"USD","SOFR")</f>
        <v/>
      </c>
      <c r="D9626" s="8">
        <f>QS.CONTEXT.ADD.CURVE(C9626,"SOFR",$K$2:$K$7,$L$2:$L$7,,,"Actual360","LogLinear",TRUE)</f>
        <v/>
      </c>
      <c r="E9626" s="8">
        <f>QS.INSTRUMENT.SWAP("swap.9624",C9626,H9626,B9626,"USD","SOFR",I9626,J9626,0,"Actual360","Simple","Annual","Annual","Annual")</f>
        <v/>
      </c>
      <c r="F9626" s="8">
        <f>QS.TRADE.CREATE("trade.9624",C9626,E9626,A9626,"Receive")</f>
        <v/>
      </c>
      <c r="G9626" s="5"/>
      <c r="H9626" s="7" t="s">
        <v>9666</v>
      </c>
      <c r="I9626" s="9">
        <v>1962400</v>
      </c>
      <c r="J9626" s="10">
        <v>0.0374</v>
      </c>
    </row>
    <row r="9627" spans="1:10">
      <c r="A9627" s="7" t="s">
        <v>9660</v>
      </c>
      <c r="B9627" s="7" t="s">
        <v>11494</v>
      </c>
      <c r="C9627" s="8">
        <f>QS.CONTEXT.CREATE("market.9625",A9627,"USD","SOFR")</f>
        <v/>
      </c>
      <c r="D9627" s="8">
        <f>QS.CONTEXT.ADD.CURVE(C9627,"SOFR",$K$2:$K$7,$L$2:$L$7,,,"Actual360","LogLinear",TRUE)</f>
        <v/>
      </c>
      <c r="E9627" s="8">
        <f>QS.INSTRUMENT.SWAP("swap.9625",C9627,H9627,B9627,"USD","SOFR",I9627,J9627,0,"Actual360","Simple","Annual","Annual","Annual")</f>
        <v/>
      </c>
      <c r="F9627" s="8">
        <f>QS.TRADE.CREATE("trade.9625",C9627,E9627,A9627,"Receive")</f>
        <v/>
      </c>
      <c r="G9627" s="5"/>
      <c r="H9627" s="7" t="s">
        <v>9667</v>
      </c>
      <c r="I9627" s="9">
        <v>1962500</v>
      </c>
      <c r="J9627" s="10">
        <v>0.03750000000000001</v>
      </c>
    </row>
    <row r="9628" spans="1:10">
      <c r="A9628" s="7" t="s">
        <v>9661</v>
      </c>
      <c r="B9628" s="7" t="s">
        <v>11495</v>
      </c>
      <c r="C9628" s="8">
        <f>QS.CONTEXT.CREATE("market.9626",A9628,"USD","SOFR")</f>
        <v/>
      </c>
      <c r="D9628" s="8">
        <f>QS.CONTEXT.ADD.CURVE(C9628,"SOFR",$K$2:$K$7,$L$2:$L$7,,,"Actual360","LogLinear",TRUE)</f>
        <v/>
      </c>
      <c r="E9628" s="8">
        <f>QS.INSTRUMENT.SWAP("swap.9626",C9628,H9628,B9628,"USD","SOFR",I9628,J9628,0,"Actual360","Simple","Annual","Annual","Annual")</f>
        <v/>
      </c>
      <c r="F9628" s="8">
        <f>QS.TRADE.CREATE("trade.9626",C9628,E9628,A9628,"Receive")</f>
        <v/>
      </c>
      <c r="G9628" s="5"/>
      <c r="H9628" s="7" t="s">
        <v>9668</v>
      </c>
      <c r="I9628" s="9">
        <v>1962600</v>
      </c>
      <c r="J9628" s="10">
        <v>0.0376</v>
      </c>
    </row>
    <row r="9629" spans="1:10">
      <c r="A9629" s="7" t="s">
        <v>9662</v>
      </c>
      <c r="B9629" s="7" t="s">
        <v>11496</v>
      </c>
      <c r="C9629" s="8">
        <f>QS.CONTEXT.CREATE("market.9627",A9629,"USD","SOFR")</f>
        <v/>
      </c>
      <c r="D9629" s="8">
        <f>QS.CONTEXT.ADD.CURVE(C9629,"SOFR",$K$2:$K$7,$L$2:$L$7,,,"Actual360","LogLinear",TRUE)</f>
        <v/>
      </c>
      <c r="E9629" s="8">
        <f>QS.INSTRUMENT.SWAP("swap.9627",C9629,H9629,B9629,"USD","SOFR",I9629,J9629,0,"Actual360","Simple","Annual","Annual","Annual")</f>
        <v/>
      </c>
      <c r="F9629" s="8">
        <f>QS.TRADE.CREATE("trade.9627",C9629,E9629,A9629,"Receive")</f>
        <v/>
      </c>
      <c r="G9629" s="5"/>
      <c r="H9629" s="7" t="s">
        <v>9669</v>
      </c>
      <c r="I9629" s="9">
        <v>1962700</v>
      </c>
      <c r="J9629" s="10">
        <v>0.0377</v>
      </c>
    </row>
    <row r="9630" spans="1:10">
      <c r="A9630" s="7" t="s">
        <v>9663</v>
      </c>
      <c r="B9630" s="7" t="s">
        <v>11497</v>
      </c>
      <c r="C9630" s="8">
        <f>QS.CONTEXT.CREATE("market.9628",A9630,"USD","SOFR")</f>
        <v/>
      </c>
      <c r="D9630" s="8">
        <f>QS.CONTEXT.ADD.CURVE(C9630,"SOFR",$K$2:$K$7,$L$2:$L$7,,,"Actual360","LogLinear",TRUE)</f>
        <v/>
      </c>
      <c r="E9630" s="8">
        <f>QS.INSTRUMENT.SWAP("swap.9628",C9630,H9630,B9630,"USD","SOFR",I9630,J9630,0,"Actual360","Simple","Annual","Annual","Annual")</f>
        <v/>
      </c>
      <c r="F9630" s="8">
        <f>QS.TRADE.CREATE("trade.9628",C9630,E9630,A9630,"Receive")</f>
        <v/>
      </c>
      <c r="G9630" s="5"/>
      <c r="H9630" s="7" t="s">
        <v>9670</v>
      </c>
      <c r="I9630" s="9">
        <v>1962800</v>
      </c>
      <c r="J9630" s="10">
        <v>0.0378</v>
      </c>
    </row>
    <row r="9631" spans="1:10">
      <c r="A9631" s="7" t="s">
        <v>9664</v>
      </c>
      <c r="B9631" s="7" t="s">
        <v>11498</v>
      </c>
      <c r="C9631" s="8">
        <f>QS.CONTEXT.CREATE("market.9629",A9631,"USD","SOFR")</f>
        <v/>
      </c>
      <c r="D9631" s="8">
        <f>QS.CONTEXT.ADD.CURVE(C9631,"SOFR",$K$2:$K$7,$L$2:$L$7,,,"Actual360","LogLinear",TRUE)</f>
        <v/>
      </c>
      <c r="E9631" s="8">
        <f>QS.INSTRUMENT.SWAP("swap.9629",C9631,H9631,B9631,"USD","SOFR",I9631,J9631,0,"Actual360","Simple","Annual","Annual","Annual")</f>
        <v/>
      </c>
      <c r="F9631" s="8">
        <f>QS.TRADE.CREATE("trade.9629",C9631,E9631,A9631,"Receive")</f>
        <v/>
      </c>
      <c r="G9631" s="5"/>
      <c r="H9631" s="7" t="s">
        <v>9671</v>
      </c>
      <c r="I9631" s="9">
        <v>1962900</v>
      </c>
      <c r="J9631" s="10">
        <v>0.0379</v>
      </c>
    </row>
    <row r="9632" spans="1:10">
      <c r="A9632" s="7" t="s">
        <v>9665</v>
      </c>
      <c r="B9632" s="7" t="s">
        <v>11499</v>
      </c>
      <c r="C9632" s="8">
        <f>QS.CONTEXT.CREATE("market.9630",A9632,"USD","SOFR")</f>
        <v/>
      </c>
      <c r="D9632" s="8">
        <f>QS.CONTEXT.ADD.CURVE(C9632,"SOFR",$K$2:$K$7,$L$2:$L$7,,,"Actual360","LogLinear",TRUE)</f>
        <v/>
      </c>
      <c r="E9632" s="8">
        <f>QS.INSTRUMENT.SWAP("swap.9630",C9632,H9632,B9632,"USD","SOFR",I9632,J9632,0,"Actual360","Simple","Annual","Annual","Annual")</f>
        <v/>
      </c>
      <c r="F9632" s="8">
        <f>QS.TRADE.CREATE("trade.9630",C9632,E9632,A9632,"Receive")</f>
        <v/>
      </c>
      <c r="G9632" s="5"/>
      <c r="H9632" s="7" t="s">
        <v>9672</v>
      </c>
      <c r="I9632" s="9">
        <v>1963000</v>
      </c>
      <c r="J9632" s="10">
        <v>0.03800000000000001</v>
      </c>
    </row>
    <row r="9633" spans="1:10">
      <c r="A9633" s="7" t="s">
        <v>9666</v>
      </c>
      <c r="B9633" s="7" t="s">
        <v>11500</v>
      </c>
      <c r="C9633" s="8">
        <f>QS.CONTEXT.CREATE("market.9631",A9633,"USD","SOFR")</f>
        <v/>
      </c>
      <c r="D9633" s="8">
        <f>QS.CONTEXT.ADD.CURVE(C9633,"SOFR",$K$2:$K$7,$L$2:$L$7,,,"Actual360","LogLinear",TRUE)</f>
        <v/>
      </c>
      <c r="E9633" s="8">
        <f>QS.INSTRUMENT.SWAP("swap.9631",C9633,H9633,B9633,"USD","SOFR",I9633,J9633,0,"Actual360","Simple","Annual","Annual","Annual")</f>
        <v/>
      </c>
      <c r="F9633" s="8">
        <f>QS.TRADE.CREATE("trade.9631",C9633,E9633,A9633,"Receive")</f>
        <v/>
      </c>
      <c r="G9633" s="5"/>
      <c r="H9633" s="7" t="s">
        <v>9673</v>
      </c>
      <c r="I9633" s="9">
        <v>1963100</v>
      </c>
      <c r="J9633" s="10">
        <v>0.0381</v>
      </c>
    </row>
    <row r="9634" spans="1:10">
      <c r="A9634" s="7" t="s">
        <v>9667</v>
      </c>
      <c r="B9634" s="7" t="s">
        <v>11501</v>
      </c>
      <c r="C9634" s="8">
        <f>QS.CONTEXT.CREATE("market.9632",A9634,"USD","SOFR")</f>
        <v/>
      </c>
      <c r="D9634" s="8">
        <f>QS.CONTEXT.ADD.CURVE(C9634,"SOFR",$K$2:$K$7,$L$2:$L$7,,,"Actual360","LogLinear",TRUE)</f>
        <v/>
      </c>
      <c r="E9634" s="8">
        <f>QS.INSTRUMENT.SWAP("swap.9632",C9634,H9634,B9634,"USD","SOFR",I9634,J9634,0,"Actual360","Simple","Annual","Annual","Annual")</f>
        <v/>
      </c>
      <c r="F9634" s="8">
        <f>QS.TRADE.CREATE("trade.9632",C9634,E9634,A9634,"Receive")</f>
        <v/>
      </c>
      <c r="G9634" s="5"/>
      <c r="H9634" s="7" t="s">
        <v>9674</v>
      </c>
      <c r="I9634" s="9">
        <v>1963200</v>
      </c>
      <c r="J9634" s="10">
        <v>0.0382</v>
      </c>
    </row>
    <row r="9635" spans="1:10">
      <c r="A9635" s="7" t="s">
        <v>9668</v>
      </c>
      <c r="B9635" s="7" t="s">
        <v>11502</v>
      </c>
      <c r="C9635" s="8">
        <f>QS.CONTEXT.CREATE("market.9633",A9635,"USD","SOFR")</f>
        <v/>
      </c>
      <c r="D9635" s="8">
        <f>QS.CONTEXT.ADD.CURVE(C9635,"SOFR",$K$2:$K$7,$L$2:$L$7,,,"Actual360","LogLinear",TRUE)</f>
        <v/>
      </c>
      <c r="E9635" s="8">
        <f>QS.INSTRUMENT.SWAP("swap.9633",C9635,H9635,B9635,"USD","SOFR",I9635,J9635,0,"Actual360","Simple","Annual","Annual","Annual")</f>
        <v/>
      </c>
      <c r="F9635" s="8">
        <f>QS.TRADE.CREATE("trade.9633",C9635,E9635,A9635,"Receive")</f>
        <v/>
      </c>
      <c r="G9635" s="5"/>
      <c r="H9635" s="7" t="s">
        <v>9675</v>
      </c>
      <c r="I9635" s="9">
        <v>1963300</v>
      </c>
      <c r="J9635" s="10">
        <v>0.0383</v>
      </c>
    </row>
    <row r="9636" spans="1:10">
      <c r="A9636" s="7" t="s">
        <v>9669</v>
      </c>
      <c r="B9636" s="7" t="s">
        <v>11503</v>
      </c>
      <c r="C9636" s="8">
        <f>QS.CONTEXT.CREATE("market.9634",A9636,"USD","SOFR")</f>
        <v/>
      </c>
      <c r="D9636" s="8">
        <f>QS.CONTEXT.ADD.CURVE(C9636,"SOFR",$K$2:$K$7,$L$2:$L$7,,,"Actual360","LogLinear",TRUE)</f>
        <v/>
      </c>
      <c r="E9636" s="8">
        <f>QS.INSTRUMENT.SWAP("swap.9634",C9636,H9636,B9636,"USD","SOFR",I9636,J9636,0,"Actual360","Simple","Annual","Annual","Annual")</f>
        <v/>
      </c>
      <c r="F9636" s="8">
        <f>QS.TRADE.CREATE("trade.9634",C9636,E9636,A9636,"Receive")</f>
        <v/>
      </c>
      <c r="G9636" s="5"/>
      <c r="H9636" s="7" t="s">
        <v>9676</v>
      </c>
      <c r="I9636" s="9">
        <v>1963400</v>
      </c>
      <c r="J9636" s="10">
        <v>0.0384</v>
      </c>
    </row>
    <row r="9637" spans="1:10">
      <c r="A9637" s="7" t="s">
        <v>9670</v>
      </c>
      <c r="B9637" s="7" t="s">
        <v>11504</v>
      </c>
      <c r="C9637" s="8">
        <f>QS.CONTEXT.CREATE("market.9635",A9637,"USD","SOFR")</f>
        <v/>
      </c>
      <c r="D9637" s="8">
        <f>QS.CONTEXT.ADD.CURVE(C9637,"SOFR",$K$2:$K$7,$L$2:$L$7,,,"Actual360","LogLinear",TRUE)</f>
        <v/>
      </c>
      <c r="E9637" s="8">
        <f>QS.INSTRUMENT.SWAP("swap.9635",C9637,H9637,B9637,"USD","SOFR",I9637,J9637,0,"Actual360","Simple","Annual","Annual","Annual")</f>
        <v/>
      </c>
      <c r="F9637" s="8">
        <f>QS.TRADE.CREATE("trade.9635",C9637,E9637,A9637,"Receive")</f>
        <v/>
      </c>
      <c r="G9637" s="5"/>
      <c r="H9637" s="7" t="s">
        <v>9677</v>
      </c>
      <c r="I9637" s="9">
        <v>1963500</v>
      </c>
      <c r="J9637" s="10">
        <v>0.03850000000000001</v>
      </c>
    </row>
    <row r="9638" spans="1:10">
      <c r="A9638" s="7" t="s">
        <v>9671</v>
      </c>
      <c r="B9638" s="7" t="s">
        <v>11505</v>
      </c>
      <c r="C9638" s="8">
        <f>QS.CONTEXT.CREATE("market.9636",A9638,"USD","SOFR")</f>
        <v/>
      </c>
      <c r="D9638" s="8">
        <f>QS.CONTEXT.ADD.CURVE(C9638,"SOFR",$K$2:$K$7,$L$2:$L$7,,,"Actual360","LogLinear",TRUE)</f>
        <v/>
      </c>
      <c r="E9638" s="8">
        <f>QS.INSTRUMENT.SWAP("swap.9636",C9638,H9638,B9638,"USD","SOFR",I9638,J9638,0,"Actual360","Simple","Annual","Annual","Annual")</f>
        <v/>
      </c>
      <c r="F9638" s="8">
        <f>QS.TRADE.CREATE("trade.9636",C9638,E9638,A9638,"Receive")</f>
        <v/>
      </c>
      <c r="G9638" s="5"/>
      <c r="H9638" s="7" t="s">
        <v>9678</v>
      </c>
      <c r="I9638" s="9">
        <v>1963600</v>
      </c>
      <c r="J9638" s="10">
        <v>0.0386</v>
      </c>
    </row>
    <row r="9639" spans="1:10">
      <c r="A9639" s="7" t="s">
        <v>9672</v>
      </c>
      <c r="B9639" s="7" t="s">
        <v>11506</v>
      </c>
      <c r="C9639" s="8">
        <f>QS.CONTEXT.CREATE("market.9637",A9639,"USD","SOFR")</f>
        <v/>
      </c>
      <c r="D9639" s="8">
        <f>QS.CONTEXT.ADD.CURVE(C9639,"SOFR",$K$2:$K$7,$L$2:$L$7,,,"Actual360","LogLinear",TRUE)</f>
        <v/>
      </c>
      <c r="E9639" s="8">
        <f>QS.INSTRUMENT.SWAP("swap.9637",C9639,H9639,B9639,"USD","SOFR",I9639,J9639,0,"Actual360","Simple","Annual","Annual","Annual")</f>
        <v/>
      </c>
      <c r="F9639" s="8">
        <f>QS.TRADE.CREATE("trade.9637",C9639,E9639,A9639,"Receive")</f>
        <v/>
      </c>
      <c r="G9639" s="5"/>
      <c r="H9639" s="7" t="s">
        <v>9679</v>
      </c>
      <c r="I9639" s="9">
        <v>1963700</v>
      </c>
      <c r="J9639" s="10">
        <v>0.03870000000000001</v>
      </c>
    </row>
    <row r="9640" spans="1:10">
      <c r="A9640" s="7" t="s">
        <v>9673</v>
      </c>
      <c r="B9640" s="7" t="s">
        <v>11507</v>
      </c>
      <c r="C9640" s="8">
        <f>QS.CONTEXT.CREATE("market.9638",A9640,"USD","SOFR")</f>
        <v/>
      </c>
      <c r="D9640" s="8">
        <f>QS.CONTEXT.ADD.CURVE(C9640,"SOFR",$K$2:$K$7,$L$2:$L$7,,,"Actual360","LogLinear",TRUE)</f>
        <v/>
      </c>
      <c r="E9640" s="8">
        <f>QS.INSTRUMENT.SWAP("swap.9638",C9640,H9640,B9640,"USD","SOFR",I9640,J9640,0,"Actual360","Simple","Annual","Annual","Annual")</f>
        <v/>
      </c>
      <c r="F9640" s="8">
        <f>QS.TRADE.CREATE("trade.9638",C9640,E9640,A9640,"Receive")</f>
        <v/>
      </c>
      <c r="G9640" s="5"/>
      <c r="H9640" s="7" t="s">
        <v>9680</v>
      </c>
      <c r="I9640" s="9">
        <v>1963800</v>
      </c>
      <c r="J9640" s="10">
        <v>0.0388</v>
      </c>
    </row>
    <row r="9641" spans="1:10">
      <c r="A9641" s="7" t="s">
        <v>9674</v>
      </c>
      <c r="B9641" s="7" t="s">
        <v>11508</v>
      </c>
      <c r="C9641" s="8">
        <f>QS.CONTEXT.CREATE("market.9639",A9641,"USD","SOFR")</f>
        <v/>
      </c>
      <c r="D9641" s="8">
        <f>QS.CONTEXT.ADD.CURVE(C9641,"SOFR",$K$2:$K$7,$L$2:$L$7,,,"Actual360","LogLinear",TRUE)</f>
        <v/>
      </c>
      <c r="E9641" s="8">
        <f>QS.INSTRUMENT.SWAP("swap.9639",C9641,H9641,B9641,"USD","SOFR",I9641,J9641,0,"Actual360","Simple","Annual","Annual","Annual")</f>
        <v/>
      </c>
      <c r="F9641" s="8">
        <f>QS.TRADE.CREATE("trade.9639",C9641,E9641,A9641,"Receive")</f>
        <v/>
      </c>
      <c r="G9641" s="5"/>
      <c r="H9641" s="7" t="s">
        <v>9681</v>
      </c>
      <c r="I9641" s="9">
        <v>1963900</v>
      </c>
      <c r="J9641" s="10">
        <v>0.0389</v>
      </c>
    </row>
    <row r="9642" spans="1:10">
      <c r="A9642" s="7" t="s">
        <v>9675</v>
      </c>
      <c r="B9642" s="7" t="s">
        <v>11509</v>
      </c>
      <c r="C9642" s="8">
        <f>QS.CONTEXT.CREATE("market.9640",A9642,"USD","SOFR")</f>
        <v/>
      </c>
      <c r="D9642" s="8">
        <f>QS.CONTEXT.ADD.CURVE(C9642,"SOFR",$K$2:$K$7,$L$2:$L$7,,,"Actual360","LogLinear",TRUE)</f>
        <v/>
      </c>
      <c r="E9642" s="8">
        <f>QS.INSTRUMENT.SWAP("swap.9640",C9642,H9642,B9642,"USD","SOFR",I9642,J9642,0,"Actual360","Simple","Annual","Annual","Annual")</f>
        <v/>
      </c>
      <c r="F9642" s="8">
        <f>QS.TRADE.CREATE("trade.9640",C9642,E9642,A9642,"Receive")</f>
        <v/>
      </c>
      <c r="G9642" s="5"/>
      <c r="H9642" s="7" t="s">
        <v>9682</v>
      </c>
      <c r="I9642" s="9">
        <v>1964000</v>
      </c>
      <c r="J9642" s="10">
        <v>0.03900000000000001</v>
      </c>
    </row>
    <row r="9643" spans="1:10">
      <c r="A9643" s="7" t="s">
        <v>9676</v>
      </c>
      <c r="B9643" s="7" t="s">
        <v>11510</v>
      </c>
      <c r="C9643" s="8">
        <f>QS.CONTEXT.CREATE("market.9641",A9643,"USD","SOFR")</f>
        <v/>
      </c>
      <c r="D9643" s="8">
        <f>QS.CONTEXT.ADD.CURVE(C9643,"SOFR",$K$2:$K$7,$L$2:$L$7,,,"Actual360","LogLinear",TRUE)</f>
        <v/>
      </c>
      <c r="E9643" s="8">
        <f>QS.INSTRUMENT.SWAP("swap.9641",C9643,H9643,B9643,"USD","SOFR",I9643,J9643,0,"Actual360","Simple","Annual","Annual","Annual")</f>
        <v/>
      </c>
      <c r="F9643" s="8">
        <f>QS.TRADE.CREATE("trade.9641",C9643,E9643,A9643,"Receive")</f>
        <v/>
      </c>
      <c r="G9643" s="5"/>
      <c r="H9643" s="7" t="s">
        <v>9683</v>
      </c>
      <c r="I9643" s="9">
        <v>1964100</v>
      </c>
      <c r="J9643" s="10">
        <v>0.0391</v>
      </c>
    </row>
    <row r="9644" spans="1:10">
      <c r="A9644" s="7" t="s">
        <v>9677</v>
      </c>
      <c r="B9644" s="7" t="s">
        <v>11511</v>
      </c>
      <c r="C9644" s="8">
        <f>QS.CONTEXT.CREATE("market.9642",A9644,"USD","SOFR")</f>
        <v/>
      </c>
      <c r="D9644" s="8">
        <f>QS.CONTEXT.ADD.CURVE(C9644,"SOFR",$K$2:$K$7,$L$2:$L$7,,,"Actual360","LogLinear",TRUE)</f>
        <v/>
      </c>
      <c r="E9644" s="8">
        <f>QS.INSTRUMENT.SWAP("swap.9642",C9644,H9644,B9644,"USD","SOFR",I9644,J9644,0,"Actual360","Simple","Annual","Annual","Annual")</f>
        <v/>
      </c>
      <c r="F9644" s="8">
        <f>QS.TRADE.CREATE("trade.9642",C9644,E9644,A9644,"Receive")</f>
        <v/>
      </c>
      <c r="G9644" s="5"/>
      <c r="H9644" s="7" t="s">
        <v>9684</v>
      </c>
      <c r="I9644" s="9">
        <v>1964200</v>
      </c>
      <c r="J9644" s="10">
        <v>0.03920000000000001</v>
      </c>
    </row>
    <row r="9645" spans="1:10">
      <c r="A9645" s="7" t="s">
        <v>9678</v>
      </c>
      <c r="B9645" s="7" t="s">
        <v>11512</v>
      </c>
      <c r="C9645" s="8">
        <f>QS.CONTEXT.CREATE("market.9643",A9645,"USD","SOFR")</f>
        <v/>
      </c>
      <c r="D9645" s="8">
        <f>QS.CONTEXT.ADD.CURVE(C9645,"SOFR",$K$2:$K$7,$L$2:$L$7,,,"Actual360","LogLinear",TRUE)</f>
        <v/>
      </c>
      <c r="E9645" s="8">
        <f>QS.INSTRUMENT.SWAP("swap.9643",C9645,H9645,B9645,"USD","SOFR",I9645,J9645,0,"Actual360","Simple","Annual","Annual","Annual")</f>
        <v/>
      </c>
      <c r="F9645" s="8">
        <f>QS.TRADE.CREATE("trade.9643",C9645,E9645,A9645,"Receive")</f>
        <v/>
      </c>
      <c r="G9645" s="5"/>
      <c r="H9645" s="7" t="s">
        <v>9685</v>
      </c>
      <c r="I9645" s="9">
        <v>1964300</v>
      </c>
      <c r="J9645" s="10">
        <v>0.0393</v>
      </c>
    </row>
    <row r="9646" spans="1:10">
      <c r="A9646" s="7" t="s">
        <v>9679</v>
      </c>
      <c r="B9646" s="7" t="s">
        <v>11513</v>
      </c>
      <c r="C9646" s="8">
        <f>QS.CONTEXT.CREATE("market.9644",A9646,"USD","SOFR")</f>
        <v/>
      </c>
      <c r="D9646" s="8">
        <f>QS.CONTEXT.ADD.CURVE(C9646,"SOFR",$K$2:$K$7,$L$2:$L$7,,,"Actual360","LogLinear",TRUE)</f>
        <v/>
      </c>
      <c r="E9646" s="8">
        <f>QS.INSTRUMENT.SWAP("swap.9644",C9646,H9646,B9646,"USD","SOFR",I9646,J9646,0,"Actual360","Simple","Annual","Annual","Annual")</f>
        <v/>
      </c>
      <c r="F9646" s="8">
        <f>QS.TRADE.CREATE("trade.9644",C9646,E9646,A9646,"Receive")</f>
        <v/>
      </c>
      <c r="G9646" s="5"/>
      <c r="H9646" s="7" t="s">
        <v>9686</v>
      </c>
      <c r="I9646" s="9">
        <v>1964400</v>
      </c>
      <c r="J9646" s="10">
        <v>0.0394</v>
      </c>
    </row>
    <row r="9647" spans="1:10">
      <c r="A9647" s="7" t="s">
        <v>9680</v>
      </c>
      <c r="B9647" s="7" t="s">
        <v>11514</v>
      </c>
      <c r="C9647" s="8">
        <f>QS.CONTEXT.CREATE("market.9645",A9647,"USD","SOFR")</f>
        <v/>
      </c>
      <c r="D9647" s="8">
        <f>QS.CONTEXT.ADD.CURVE(C9647,"SOFR",$K$2:$K$7,$L$2:$L$7,,,"Actual360","LogLinear",TRUE)</f>
        <v/>
      </c>
      <c r="E9647" s="8">
        <f>QS.INSTRUMENT.SWAP("swap.9645",C9647,H9647,B9647,"USD","SOFR",I9647,J9647,0,"Actual360","Simple","Annual","Annual","Annual")</f>
        <v/>
      </c>
      <c r="F9647" s="8">
        <f>QS.TRADE.CREATE("trade.9645",C9647,E9647,A9647,"Receive")</f>
        <v/>
      </c>
      <c r="G9647" s="5"/>
      <c r="H9647" s="7" t="s">
        <v>9687</v>
      </c>
      <c r="I9647" s="9">
        <v>1964500</v>
      </c>
      <c r="J9647" s="10">
        <v>0.03950000000000001</v>
      </c>
    </row>
    <row r="9648" spans="1:10">
      <c r="A9648" s="7" t="s">
        <v>9681</v>
      </c>
      <c r="B9648" s="7" t="s">
        <v>11515</v>
      </c>
      <c r="C9648" s="8">
        <f>QS.CONTEXT.CREATE("market.9646",A9648,"USD","SOFR")</f>
        <v/>
      </c>
      <c r="D9648" s="8">
        <f>QS.CONTEXT.ADD.CURVE(C9648,"SOFR",$K$2:$K$7,$L$2:$L$7,,,"Actual360","LogLinear",TRUE)</f>
        <v/>
      </c>
      <c r="E9648" s="8">
        <f>QS.INSTRUMENT.SWAP("swap.9646",C9648,H9648,B9648,"USD","SOFR",I9648,J9648,0,"Actual360","Simple","Annual","Annual","Annual")</f>
        <v/>
      </c>
      <c r="F9648" s="8">
        <f>QS.TRADE.CREATE("trade.9646",C9648,E9648,A9648,"Receive")</f>
        <v/>
      </c>
      <c r="G9648" s="5"/>
      <c r="H9648" s="7" t="s">
        <v>9688</v>
      </c>
      <c r="I9648" s="9">
        <v>1964600</v>
      </c>
      <c r="J9648" s="10">
        <v>0.0396</v>
      </c>
    </row>
    <row r="9649" spans="1:10">
      <c r="A9649" s="7" t="s">
        <v>9682</v>
      </c>
      <c r="B9649" s="7" t="s">
        <v>11516</v>
      </c>
      <c r="C9649" s="8">
        <f>QS.CONTEXT.CREATE("market.9647",A9649,"USD","SOFR")</f>
        <v/>
      </c>
      <c r="D9649" s="8">
        <f>QS.CONTEXT.ADD.CURVE(C9649,"SOFR",$K$2:$K$7,$L$2:$L$7,,,"Actual360","LogLinear",TRUE)</f>
        <v/>
      </c>
      <c r="E9649" s="8">
        <f>QS.INSTRUMENT.SWAP("swap.9647",C9649,H9649,B9649,"USD","SOFR",I9649,J9649,0,"Actual360","Simple","Annual","Annual","Annual")</f>
        <v/>
      </c>
      <c r="F9649" s="8">
        <f>QS.TRADE.CREATE("trade.9647",C9649,E9649,A9649,"Receive")</f>
        <v/>
      </c>
      <c r="G9649" s="5"/>
      <c r="H9649" s="7" t="s">
        <v>9689</v>
      </c>
      <c r="I9649" s="9">
        <v>1964700</v>
      </c>
      <c r="J9649" s="10">
        <v>0.03970000000000001</v>
      </c>
    </row>
    <row r="9650" spans="1:10">
      <c r="A9650" s="7" t="s">
        <v>9683</v>
      </c>
      <c r="B9650" s="7" t="s">
        <v>11517</v>
      </c>
      <c r="C9650" s="8">
        <f>QS.CONTEXT.CREATE("market.9648",A9650,"USD","SOFR")</f>
        <v/>
      </c>
      <c r="D9650" s="8">
        <f>QS.CONTEXT.ADD.CURVE(C9650,"SOFR",$K$2:$K$7,$L$2:$L$7,,,"Actual360","LogLinear",TRUE)</f>
        <v/>
      </c>
      <c r="E9650" s="8">
        <f>QS.INSTRUMENT.SWAP("swap.9648",C9650,H9650,B9650,"USD","SOFR",I9650,J9650,0,"Actual360","Simple","Annual","Annual","Annual")</f>
        <v/>
      </c>
      <c r="F9650" s="8">
        <f>QS.TRADE.CREATE("trade.9648",C9650,E9650,A9650,"Receive")</f>
        <v/>
      </c>
      <c r="G9650" s="5"/>
      <c r="H9650" s="7" t="s">
        <v>9690</v>
      </c>
      <c r="I9650" s="9">
        <v>1964800</v>
      </c>
      <c r="J9650" s="10">
        <v>0.0398</v>
      </c>
    </row>
    <row r="9651" spans="1:10">
      <c r="A9651" s="7" t="s">
        <v>9684</v>
      </c>
      <c r="B9651" s="7" t="s">
        <v>11518</v>
      </c>
      <c r="C9651" s="8">
        <f>QS.CONTEXT.CREATE("market.9649",A9651,"USD","SOFR")</f>
        <v/>
      </c>
      <c r="D9651" s="8">
        <f>QS.CONTEXT.ADD.CURVE(C9651,"SOFR",$K$2:$K$7,$L$2:$L$7,,,"Actual360","LogLinear",TRUE)</f>
        <v/>
      </c>
      <c r="E9651" s="8">
        <f>QS.INSTRUMENT.SWAP("swap.9649",C9651,H9651,B9651,"USD","SOFR",I9651,J9651,0,"Actual360","Simple","Annual","Annual","Annual")</f>
        <v/>
      </c>
      <c r="F9651" s="8">
        <f>QS.TRADE.CREATE("trade.9649",C9651,E9651,A9651,"Receive")</f>
        <v/>
      </c>
      <c r="G9651" s="5"/>
      <c r="H9651" s="7" t="s">
        <v>9691</v>
      </c>
      <c r="I9651" s="9">
        <v>1964900</v>
      </c>
      <c r="J9651" s="10">
        <v>0.0399</v>
      </c>
    </row>
    <row r="9652" spans="1:10">
      <c r="A9652" s="7" t="s">
        <v>9685</v>
      </c>
      <c r="B9652" s="7" t="s">
        <v>11519</v>
      </c>
      <c r="C9652" s="8">
        <f>QS.CONTEXT.CREATE("market.9650",A9652,"USD","SOFR")</f>
        <v/>
      </c>
      <c r="D9652" s="8">
        <f>QS.CONTEXT.ADD.CURVE(C9652,"SOFR",$K$2:$K$7,$L$2:$L$7,,,"Actual360","LogLinear",TRUE)</f>
        <v/>
      </c>
      <c r="E9652" s="8">
        <f>QS.INSTRUMENT.SWAP("swap.9650",C9652,H9652,B9652,"USD","SOFR",I9652,J9652,0,"Actual360","Simple","Annual","Annual","Annual")</f>
        <v/>
      </c>
      <c r="F9652" s="8">
        <f>QS.TRADE.CREATE("trade.9650",C9652,E9652,A9652,"Receive")</f>
        <v/>
      </c>
      <c r="G9652" s="5"/>
      <c r="H9652" s="7" t="s">
        <v>9692</v>
      </c>
      <c r="I9652" s="9">
        <v>1965000</v>
      </c>
      <c r="J9652" s="10">
        <v>0.035</v>
      </c>
    </row>
    <row r="9653" spans="1:10">
      <c r="A9653" s="7" t="s">
        <v>9686</v>
      </c>
      <c r="B9653" s="7" t="s">
        <v>11520</v>
      </c>
      <c r="C9653" s="8">
        <f>QS.CONTEXT.CREATE("market.9651",A9653,"USD","SOFR")</f>
        <v/>
      </c>
      <c r="D9653" s="8">
        <f>QS.CONTEXT.ADD.CURVE(C9653,"SOFR",$K$2:$K$7,$L$2:$L$7,,,"Actual360","LogLinear",TRUE)</f>
        <v/>
      </c>
      <c r="E9653" s="8">
        <f>QS.INSTRUMENT.SWAP("swap.9651",C9653,H9653,B9653,"USD","SOFR",I9653,J9653,0,"Actual360","Simple","Annual","Annual","Annual")</f>
        <v/>
      </c>
      <c r="F9653" s="8">
        <f>QS.TRADE.CREATE("trade.9651",C9653,E9653,A9653,"Receive")</f>
        <v/>
      </c>
      <c r="G9653" s="5"/>
      <c r="H9653" s="7" t="s">
        <v>9693</v>
      </c>
      <c r="I9653" s="9">
        <v>1965100</v>
      </c>
      <c r="J9653" s="10">
        <v>0.03510000000000001</v>
      </c>
    </row>
    <row r="9654" spans="1:10">
      <c r="A9654" s="7" t="s">
        <v>9687</v>
      </c>
      <c r="B9654" s="7" t="s">
        <v>11521</v>
      </c>
      <c r="C9654" s="8">
        <f>QS.CONTEXT.CREATE("market.9652",A9654,"USD","SOFR")</f>
        <v/>
      </c>
      <c r="D9654" s="8">
        <f>QS.CONTEXT.ADD.CURVE(C9654,"SOFR",$K$2:$K$7,$L$2:$L$7,,,"Actual360","LogLinear",TRUE)</f>
        <v/>
      </c>
      <c r="E9654" s="8">
        <f>QS.INSTRUMENT.SWAP("swap.9652",C9654,H9654,B9654,"USD","SOFR",I9654,J9654,0,"Actual360","Simple","Annual","Annual","Annual")</f>
        <v/>
      </c>
      <c r="F9654" s="8">
        <f>QS.TRADE.CREATE("trade.9652",C9654,E9654,A9654,"Receive")</f>
        <v/>
      </c>
      <c r="G9654" s="5"/>
      <c r="H9654" s="7" t="s">
        <v>9694</v>
      </c>
      <c r="I9654" s="9">
        <v>1965200</v>
      </c>
      <c r="J9654" s="10">
        <v>0.0352</v>
      </c>
    </row>
    <row r="9655" spans="1:10">
      <c r="A9655" s="7" t="s">
        <v>9688</v>
      </c>
      <c r="B9655" s="7" t="s">
        <v>11522</v>
      </c>
      <c r="C9655" s="8">
        <f>QS.CONTEXT.CREATE("market.9653",A9655,"USD","SOFR")</f>
        <v/>
      </c>
      <c r="D9655" s="8">
        <f>QS.CONTEXT.ADD.CURVE(C9655,"SOFR",$K$2:$K$7,$L$2:$L$7,,,"Actual360","LogLinear",TRUE)</f>
        <v/>
      </c>
      <c r="E9655" s="8">
        <f>QS.INSTRUMENT.SWAP("swap.9653",C9655,H9655,B9655,"USD","SOFR",I9655,J9655,0,"Actual360","Simple","Annual","Annual","Annual")</f>
        <v/>
      </c>
      <c r="F9655" s="8">
        <f>QS.TRADE.CREATE("trade.9653",C9655,E9655,A9655,"Receive")</f>
        <v/>
      </c>
      <c r="G9655" s="5"/>
      <c r="H9655" s="7" t="s">
        <v>9695</v>
      </c>
      <c r="I9655" s="9">
        <v>1965300</v>
      </c>
      <c r="J9655" s="10">
        <v>0.0353</v>
      </c>
    </row>
    <row r="9656" spans="1:10">
      <c r="A9656" s="7" t="s">
        <v>9689</v>
      </c>
      <c r="B9656" s="7" t="s">
        <v>11523</v>
      </c>
      <c r="C9656" s="8">
        <f>QS.CONTEXT.CREATE("market.9654",A9656,"USD","SOFR")</f>
        <v/>
      </c>
      <c r="D9656" s="8">
        <f>QS.CONTEXT.ADD.CURVE(C9656,"SOFR",$K$2:$K$7,$L$2:$L$7,,,"Actual360","LogLinear",TRUE)</f>
        <v/>
      </c>
      <c r="E9656" s="8">
        <f>QS.INSTRUMENT.SWAP("swap.9654",C9656,H9656,B9656,"USD","SOFR",I9656,J9656,0,"Actual360","Simple","Annual","Annual","Annual")</f>
        <v/>
      </c>
      <c r="F9656" s="8">
        <f>QS.TRADE.CREATE("trade.9654",C9656,E9656,A9656,"Receive")</f>
        <v/>
      </c>
      <c r="G9656" s="5"/>
      <c r="H9656" s="7" t="s">
        <v>9696</v>
      </c>
      <c r="I9656" s="9">
        <v>1965400</v>
      </c>
      <c r="J9656" s="10">
        <v>0.0354</v>
      </c>
    </row>
    <row r="9657" spans="1:10">
      <c r="A9657" s="7" t="s">
        <v>9690</v>
      </c>
      <c r="B9657" s="7" t="s">
        <v>11524</v>
      </c>
      <c r="C9657" s="8">
        <f>QS.CONTEXT.CREATE("market.9655",A9657,"USD","SOFR")</f>
        <v/>
      </c>
      <c r="D9657" s="8">
        <f>QS.CONTEXT.ADD.CURVE(C9657,"SOFR",$K$2:$K$7,$L$2:$L$7,,,"Actual360","LogLinear",TRUE)</f>
        <v/>
      </c>
      <c r="E9657" s="8">
        <f>QS.INSTRUMENT.SWAP("swap.9655",C9657,H9657,B9657,"USD","SOFR",I9657,J9657,0,"Actual360","Simple","Annual","Annual","Annual")</f>
        <v/>
      </c>
      <c r="F9657" s="8">
        <f>QS.TRADE.CREATE("trade.9655",C9657,E9657,A9657,"Receive")</f>
        <v/>
      </c>
      <c r="G9657" s="5"/>
      <c r="H9657" s="7" t="s">
        <v>9697</v>
      </c>
      <c r="I9657" s="9">
        <v>1965500</v>
      </c>
      <c r="J9657" s="10">
        <v>0.0355</v>
      </c>
    </row>
    <row r="9658" spans="1:10">
      <c r="A9658" s="7" t="s">
        <v>9691</v>
      </c>
      <c r="B9658" s="7" t="s">
        <v>11525</v>
      </c>
      <c r="C9658" s="8">
        <f>QS.CONTEXT.CREATE("market.9656",A9658,"USD","SOFR")</f>
        <v/>
      </c>
      <c r="D9658" s="8">
        <f>QS.CONTEXT.ADD.CURVE(C9658,"SOFR",$K$2:$K$7,$L$2:$L$7,,,"Actual360","LogLinear",TRUE)</f>
        <v/>
      </c>
      <c r="E9658" s="8">
        <f>QS.INSTRUMENT.SWAP("swap.9656",C9658,H9658,B9658,"USD","SOFR",I9658,J9658,0,"Actual360","Simple","Annual","Annual","Annual")</f>
        <v/>
      </c>
      <c r="F9658" s="8">
        <f>QS.TRADE.CREATE("trade.9656",C9658,E9658,A9658,"Receive")</f>
        <v/>
      </c>
      <c r="G9658" s="5"/>
      <c r="H9658" s="7" t="s">
        <v>9698</v>
      </c>
      <c r="I9658" s="9">
        <v>1965600</v>
      </c>
      <c r="J9658" s="10">
        <v>0.03560000000000001</v>
      </c>
    </row>
    <row r="9659" spans="1:10">
      <c r="A9659" s="7" t="s">
        <v>9692</v>
      </c>
      <c r="B9659" s="7" t="s">
        <v>11526</v>
      </c>
      <c r="C9659" s="8">
        <f>QS.CONTEXT.CREATE("market.9657",A9659,"USD","SOFR")</f>
        <v/>
      </c>
      <c r="D9659" s="8">
        <f>QS.CONTEXT.ADD.CURVE(C9659,"SOFR",$K$2:$K$7,$L$2:$L$7,,,"Actual360","LogLinear",TRUE)</f>
        <v/>
      </c>
      <c r="E9659" s="8">
        <f>QS.INSTRUMENT.SWAP("swap.9657",C9659,H9659,B9659,"USD","SOFR",I9659,J9659,0,"Actual360","Simple","Annual","Annual","Annual")</f>
        <v/>
      </c>
      <c r="F9659" s="8">
        <f>QS.TRADE.CREATE("trade.9657",C9659,E9659,A9659,"Receive")</f>
        <v/>
      </c>
      <c r="G9659" s="5"/>
      <c r="H9659" s="7" t="s">
        <v>9699</v>
      </c>
      <c r="I9659" s="9">
        <v>1965700</v>
      </c>
      <c r="J9659" s="10">
        <v>0.0357</v>
      </c>
    </row>
    <row r="9660" spans="1:10">
      <c r="A9660" s="7" t="s">
        <v>9693</v>
      </c>
      <c r="B9660" s="7" t="s">
        <v>11527</v>
      </c>
      <c r="C9660" s="8">
        <f>QS.CONTEXT.CREATE("market.9658",A9660,"USD","SOFR")</f>
        <v/>
      </c>
      <c r="D9660" s="8">
        <f>QS.CONTEXT.ADD.CURVE(C9660,"SOFR",$K$2:$K$7,$L$2:$L$7,,,"Actual360","LogLinear",TRUE)</f>
        <v/>
      </c>
      <c r="E9660" s="8">
        <f>QS.INSTRUMENT.SWAP("swap.9658",C9660,H9660,B9660,"USD","SOFR",I9660,J9660,0,"Actual360","Simple","Annual","Annual","Annual")</f>
        <v/>
      </c>
      <c r="F9660" s="8">
        <f>QS.TRADE.CREATE("trade.9658",C9660,E9660,A9660,"Receive")</f>
        <v/>
      </c>
      <c r="G9660" s="5"/>
      <c r="H9660" s="7" t="s">
        <v>9700</v>
      </c>
      <c r="I9660" s="9">
        <v>1965800</v>
      </c>
      <c r="J9660" s="10">
        <v>0.03580000000000001</v>
      </c>
    </row>
    <row r="9661" spans="1:10">
      <c r="A9661" s="7" t="s">
        <v>9694</v>
      </c>
      <c r="B9661" s="7" t="s">
        <v>11528</v>
      </c>
      <c r="C9661" s="8">
        <f>QS.CONTEXT.CREATE("market.9659",A9661,"USD","SOFR")</f>
        <v/>
      </c>
      <c r="D9661" s="8">
        <f>QS.CONTEXT.ADD.CURVE(C9661,"SOFR",$K$2:$K$7,$L$2:$L$7,,,"Actual360","LogLinear",TRUE)</f>
        <v/>
      </c>
      <c r="E9661" s="8">
        <f>QS.INSTRUMENT.SWAP("swap.9659",C9661,H9661,B9661,"USD","SOFR",I9661,J9661,0,"Actual360","Simple","Annual","Annual","Annual")</f>
        <v/>
      </c>
      <c r="F9661" s="8">
        <f>QS.TRADE.CREATE("trade.9659",C9661,E9661,A9661,"Receive")</f>
        <v/>
      </c>
      <c r="G9661" s="5"/>
      <c r="H9661" s="7" t="s">
        <v>9701</v>
      </c>
      <c r="I9661" s="9">
        <v>1965900</v>
      </c>
      <c r="J9661" s="10">
        <v>0.0359</v>
      </c>
    </row>
    <row r="9662" spans="1:10">
      <c r="A9662" s="7" t="s">
        <v>9695</v>
      </c>
      <c r="B9662" s="7" t="s">
        <v>11529</v>
      </c>
      <c r="C9662" s="8">
        <f>QS.CONTEXT.CREATE("market.9660",A9662,"USD","SOFR")</f>
        <v/>
      </c>
      <c r="D9662" s="8">
        <f>QS.CONTEXT.ADD.CURVE(C9662,"SOFR",$K$2:$K$7,$L$2:$L$7,,,"Actual360","LogLinear",TRUE)</f>
        <v/>
      </c>
      <c r="E9662" s="8">
        <f>QS.INSTRUMENT.SWAP("swap.9660",C9662,H9662,B9662,"USD","SOFR",I9662,J9662,0,"Actual360","Simple","Annual","Annual","Annual")</f>
        <v/>
      </c>
      <c r="F9662" s="8">
        <f>QS.TRADE.CREATE("trade.9660",C9662,E9662,A9662,"Receive")</f>
        <v/>
      </c>
      <c r="G9662" s="5"/>
      <c r="H9662" s="7" t="s">
        <v>9702</v>
      </c>
      <c r="I9662" s="9">
        <v>1966000</v>
      </c>
      <c r="J9662" s="10">
        <v>0.036</v>
      </c>
    </row>
    <row r="9663" spans="1:10">
      <c r="A9663" s="7" t="s">
        <v>9696</v>
      </c>
      <c r="B9663" s="7" t="s">
        <v>11530</v>
      </c>
      <c r="C9663" s="8">
        <f>QS.CONTEXT.CREATE("market.9661",A9663,"USD","SOFR")</f>
        <v/>
      </c>
      <c r="D9663" s="8">
        <f>QS.CONTEXT.ADD.CURVE(C9663,"SOFR",$K$2:$K$7,$L$2:$L$7,,,"Actual360","LogLinear",TRUE)</f>
        <v/>
      </c>
      <c r="E9663" s="8">
        <f>QS.INSTRUMENT.SWAP("swap.9661",C9663,H9663,B9663,"USD","SOFR",I9663,J9663,0,"Actual360","Simple","Annual","Annual","Annual")</f>
        <v/>
      </c>
      <c r="F9663" s="8">
        <f>QS.TRADE.CREATE("trade.9661",C9663,E9663,A9663,"Receive")</f>
        <v/>
      </c>
      <c r="G9663" s="5"/>
      <c r="H9663" s="7" t="s">
        <v>9703</v>
      </c>
      <c r="I9663" s="9">
        <v>1966100</v>
      </c>
      <c r="J9663" s="10">
        <v>0.0361</v>
      </c>
    </row>
    <row r="9664" spans="1:10">
      <c r="A9664" s="7" t="s">
        <v>9697</v>
      </c>
      <c r="B9664" s="7" t="s">
        <v>11531</v>
      </c>
      <c r="C9664" s="8">
        <f>QS.CONTEXT.CREATE("market.9662",A9664,"USD","SOFR")</f>
        <v/>
      </c>
      <c r="D9664" s="8">
        <f>QS.CONTEXT.ADD.CURVE(C9664,"SOFR",$K$2:$K$7,$L$2:$L$7,,,"Actual360","LogLinear",TRUE)</f>
        <v/>
      </c>
      <c r="E9664" s="8">
        <f>QS.INSTRUMENT.SWAP("swap.9662",C9664,H9664,B9664,"USD","SOFR",I9664,J9664,0,"Actual360","Simple","Annual","Annual","Annual")</f>
        <v/>
      </c>
      <c r="F9664" s="8">
        <f>QS.TRADE.CREATE("trade.9662",C9664,E9664,A9664,"Receive")</f>
        <v/>
      </c>
      <c r="G9664" s="5"/>
      <c r="H9664" s="7" t="s">
        <v>9704</v>
      </c>
      <c r="I9664" s="9">
        <v>1966200</v>
      </c>
      <c r="J9664" s="10">
        <v>0.0362</v>
      </c>
    </row>
    <row r="9665" spans="1:10">
      <c r="A9665" s="7" t="s">
        <v>9698</v>
      </c>
      <c r="B9665" s="7" t="s">
        <v>11532</v>
      </c>
      <c r="C9665" s="8">
        <f>QS.CONTEXT.CREATE("market.9663",A9665,"USD","SOFR")</f>
        <v/>
      </c>
      <c r="D9665" s="8">
        <f>QS.CONTEXT.ADD.CURVE(C9665,"SOFR",$K$2:$K$7,$L$2:$L$7,,,"Actual360","LogLinear",TRUE)</f>
        <v/>
      </c>
      <c r="E9665" s="8">
        <f>QS.INSTRUMENT.SWAP("swap.9663",C9665,H9665,B9665,"USD","SOFR",I9665,J9665,0,"Actual360","Simple","Annual","Annual","Annual")</f>
        <v/>
      </c>
      <c r="F9665" s="8">
        <f>QS.TRADE.CREATE("trade.9663",C9665,E9665,A9665,"Receive")</f>
        <v/>
      </c>
      <c r="G9665" s="5"/>
      <c r="H9665" s="7" t="s">
        <v>9705</v>
      </c>
      <c r="I9665" s="9">
        <v>1966300</v>
      </c>
      <c r="J9665" s="10">
        <v>0.03630000000000001</v>
      </c>
    </row>
    <row r="9666" spans="1:10">
      <c r="A9666" s="7" t="s">
        <v>9699</v>
      </c>
      <c r="B9666" s="7" t="s">
        <v>11533</v>
      </c>
      <c r="C9666" s="8">
        <f>QS.CONTEXT.CREATE("market.9664",A9666,"USD","SOFR")</f>
        <v/>
      </c>
      <c r="D9666" s="8">
        <f>QS.CONTEXT.ADD.CURVE(C9666,"SOFR",$K$2:$K$7,$L$2:$L$7,,,"Actual360","LogLinear",TRUE)</f>
        <v/>
      </c>
      <c r="E9666" s="8">
        <f>QS.INSTRUMENT.SWAP("swap.9664",C9666,H9666,B9666,"USD","SOFR",I9666,J9666,0,"Actual360","Simple","Annual","Annual","Annual")</f>
        <v/>
      </c>
      <c r="F9666" s="8">
        <f>QS.TRADE.CREATE("trade.9664",C9666,E9666,A9666,"Receive")</f>
        <v/>
      </c>
      <c r="G9666" s="5"/>
      <c r="H9666" s="7" t="s">
        <v>9706</v>
      </c>
      <c r="I9666" s="9">
        <v>1966400</v>
      </c>
      <c r="J9666" s="10">
        <v>0.0364</v>
      </c>
    </row>
    <row r="9667" spans="1:10">
      <c r="A9667" s="7" t="s">
        <v>9700</v>
      </c>
      <c r="B9667" s="7" t="s">
        <v>11534</v>
      </c>
      <c r="C9667" s="8">
        <f>QS.CONTEXT.CREATE("market.9665",A9667,"USD","SOFR")</f>
        <v/>
      </c>
      <c r="D9667" s="8">
        <f>QS.CONTEXT.ADD.CURVE(C9667,"SOFR",$K$2:$K$7,$L$2:$L$7,,,"Actual360","LogLinear",TRUE)</f>
        <v/>
      </c>
      <c r="E9667" s="8">
        <f>QS.INSTRUMENT.SWAP("swap.9665",C9667,H9667,B9667,"USD","SOFR",I9667,J9667,0,"Actual360","Simple","Annual","Annual","Annual")</f>
        <v/>
      </c>
      <c r="F9667" s="8">
        <f>QS.TRADE.CREATE("trade.9665",C9667,E9667,A9667,"Receive")</f>
        <v/>
      </c>
      <c r="G9667" s="5"/>
      <c r="H9667" s="7" t="s">
        <v>9707</v>
      </c>
      <c r="I9667" s="9">
        <v>1966500</v>
      </c>
      <c r="J9667" s="10">
        <v>0.0365</v>
      </c>
    </row>
    <row r="9668" spans="1:10">
      <c r="A9668" s="7" t="s">
        <v>9701</v>
      </c>
      <c r="B9668" s="7" t="s">
        <v>11535</v>
      </c>
      <c r="C9668" s="8">
        <f>QS.CONTEXT.CREATE("market.9666",A9668,"USD","SOFR")</f>
        <v/>
      </c>
      <c r="D9668" s="8">
        <f>QS.CONTEXT.ADD.CURVE(C9668,"SOFR",$K$2:$K$7,$L$2:$L$7,,,"Actual360","LogLinear",TRUE)</f>
        <v/>
      </c>
      <c r="E9668" s="8">
        <f>QS.INSTRUMENT.SWAP("swap.9666",C9668,H9668,B9668,"USD","SOFR",I9668,J9668,0,"Actual360","Simple","Annual","Annual","Annual")</f>
        <v/>
      </c>
      <c r="F9668" s="8">
        <f>QS.TRADE.CREATE("trade.9666",C9668,E9668,A9668,"Receive")</f>
        <v/>
      </c>
      <c r="G9668" s="5"/>
      <c r="H9668" s="7" t="s">
        <v>9708</v>
      </c>
      <c r="I9668" s="9">
        <v>1966600</v>
      </c>
      <c r="J9668" s="10">
        <v>0.0366</v>
      </c>
    </row>
    <row r="9669" spans="1:10">
      <c r="A9669" s="7" t="s">
        <v>9702</v>
      </c>
      <c r="B9669" s="7" t="s">
        <v>11536</v>
      </c>
      <c r="C9669" s="8">
        <f>QS.CONTEXT.CREATE("market.9667",A9669,"USD","SOFR")</f>
        <v/>
      </c>
      <c r="D9669" s="8">
        <f>QS.CONTEXT.ADD.CURVE(C9669,"SOFR",$K$2:$K$7,$L$2:$L$7,,,"Actual360","LogLinear",TRUE)</f>
        <v/>
      </c>
      <c r="E9669" s="8">
        <f>QS.INSTRUMENT.SWAP("swap.9667",C9669,H9669,B9669,"USD","SOFR",I9669,J9669,0,"Actual360","Simple","Annual","Annual","Annual")</f>
        <v/>
      </c>
      <c r="F9669" s="8">
        <f>QS.TRADE.CREATE("trade.9667",C9669,E9669,A9669,"Receive")</f>
        <v/>
      </c>
      <c r="G9669" s="5"/>
      <c r="H9669" s="7" t="s">
        <v>9709</v>
      </c>
      <c r="I9669" s="9">
        <v>1966700</v>
      </c>
      <c r="J9669" s="10">
        <v>0.0367</v>
      </c>
    </row>
    <row r="9670" spans="1:10">
      <c r="A9670" s="7" t="s">
        <v>9703</v>
      </c>
      <c r="B9670" s="7" t="s">
        <v>11537</v>
      </c>
      <c r="C9670" s="8">
        <f>QS.CONTEXT.CREATE("market.9668",A9670,"USD","SOFR")</f>
        <v/>
      </c>
      <c r="D9670" s="8">
        <f>QS.CONTEXT.ADD.CURVE(C9670,"SOFR",$K$2:$K$7,$L$2:$L$7,,,"Actual360","LogLinear",TRUE)</f>
        <v/>
      </c>
      <c r="E9670" s="8">
        <f>QS.INSTRUMENT.SWAP("swap.9668",C9670,H9670,B9670,"USD","SOFR",I9670,J9670,0,"Actual360","Simple","Annual","Annual","Annual")</f>
        <v/>
      </c>
      <c r="F9670" s="8">
        <f>QS.TRADE.CREATE("trade.9668",C9670,E9670,A9670,"Receive")</f>
        <v/>
      </c>
      <c r="G9670" s="5"/>
      <c r="H9670" s="7" t="s">
        <v>9710</v>
      </c>
      <c r="I9670" s="9">
        <v>1966800</v>
      </c>
      <c r="J9670" s="10">
        <v>0.03680000000000001</v>
      </c>
    </row>
    <row r="9671" spans="1:10">
      <c r="A9671" s="7" t="s">
        <v>9704</v>
      </c>
      <c r="B9671" s="7" t="s">
        <v>11538</v>
      </c>
      <c r="C9671" s="8">
        <f>QS.CONTEXT.CREATE("market.9669",A9671,"USD","SOFR")</f>
        <v/>
      </c>
      <c r="D9671" s="8">
        <f>QS.CONTEXT.ADD.CURVE(C9671,"SOFR",$K$2:$K$7,$L$2:$L$7,,,"Actual360","LogLinear",TRUE)</f>
        <v/>
      </c>
      <c r="E9671" s="8">
        <f>QS.INSTRUMENT.SWAP("swap.9669",C9671,H9671,B9671,"USD","SOFR",I9671,J9671,0,"Actual360","Simple","Annual","Annual","Annual")</f>
        <v/>
      </c>
      <c r="F9671" s="8">
        <f>QS.TRADE.CREATE("trade.9669",C9671,E9671,A9671,"Receive")</f>
        <v/>
      </c>
      <c r="G9671" s="5"/>
      <c r="H9671" s="7" t="s">
        <v>9711</v>
      </c>
      <c r="I9671" s="9">
        <v>1966900</v>
      </c>
      <c r="J9671" s="10">
        <v>0.0369</v>
      </c>
    </row>
    <row r="9672" spans="1:10">
      <c r="A9672" s="7" t="s">
        <v>9705</v>
      </c>
      <c r="B9672" s="7" t="s">
        <v>11539</v>
      </c>
      <c r="C9672" s="8">
        <f>QS.CONTEXT.CREATE("market.9670",A9672,"USD","SOFR")</f>
        <v/>
      </c>
      <c r="D9672" s="8">
        <f>QS.CONTEXT.ADD.CURVE(C9672,"SOFR",$K$2:$K$7,$L$2:$L$7,,,"Actual360","LogLinear",TRUE)</f>
        <v/>
      </c>
      <c r="E9672" s="8">
        <f>QS.INSTRUMENT.SWAP("swap.9670",C9672,H9672,B9672,"USD","SOFR",I9672,J9672,0,"Actual360","Simple","Annual","Annual","Annual")</f>
        <v/>
      </c>
      <c r="F9672" s="8">
        <f>QS.TRADE.CREATE("trade.9670",C9672,E9672,A9672,"Receive")</f>
        <v/>
      </c>
      <c r="G9672" s="5"/>
      <c r="H9672" s="7" t="s">
        <v>9712</v>
      </c>
      <c r="I9672" s="9">
        <v>1967000</v>
      </c>
      <c r="J9672" s="10">
        <v>0.03700000000000001</v>
      </c>
    </row>
    <row r="9673" spans="1:10">
      <c r="A9673" s="7" t="s">
        <v>9706</v>
      </c>
      <c r="B9673" s="7" t="s">
        <v>11540</v>
      </c>
      <c r="C9673" s="8">
        <f>QS.CONTEXT.CREATE("market.9671",A9673,"USD","SOFR")</f>
        <v/>
      </c>
      <c r="D9673" s="8">
        <f>QS.CONTEXT.ADD.CURVE(C9673,"SOFR",$K$2:$K$7,$L$2:$L$7,,,"Actual360","LogLinear",TRUE)</f>
        <v/>
      </c>
      <c r="E9673" s="8">
        <f>QS.INSTRUMENT.SWAP("swap.9671",C9673,H9673,B9673,"USD","SOFR",I9673,J9673,0,"Actual360","Simple","Annual","Annual","Annual")</f>
        <v/>
      </c>
      <c r="F9673" s="8">
        <f>QS.TRADE.CREATE("trade.9671",C9673,E9673,A9673,"Receive")</f>
        <v/>
      </c>
      <c r="G9673" s="5"/>
      <c r="H9673" s="7" t="s">
        <v>9713</v>
      </c>
      <c r="I9673" s="9">
        <v>1967100</v>
      </c>
      <c r="J9673" s="10">
        <v>0.0371</v>
      </c>
    </row>
    <row r="9674" spans="1:10">
      <c r="A9674" s="7" t="s">
        <v>9707</v>
      </c>
      <c r="B9674" s="7" t="s">
        <v>11541</v>
      </c>
      <c r="C9674" s="8">
        <f>QS.CONTEXT.CREATE("market.9672",A9674,"USD","SOFR")</f>
        <v/>
      </c>
      <c r="D9674" s="8">
        <f>QS.CONTEXT.ADD.CURVE(C9674,"SOFR",$K$2:$K$7,$L$2:$L$7,,,"Actual360","LogLinear",TRUE)</f>
        <v/>
      </c>
      <c r="E9674" s="8">
        <f>QS.INSTRUMENT.SWAP("swap.9672",C9674,H9674,B9674,"USD","SOFR",I9674,J9674,0,"Actual360","Simple","Annual","Annual","Annual")</f>
        <v/>
      </c>
      <c r="F9674" s="8">
        <f>QS.TRADE.CREATE("trade.9672",C9674,E9674,A9674,"Receive")</f>
        <v/>
      </c>
      <c r="G9674" s="5"/>
      <c r="H9674" s="7" t="s">
        <v>9714</v>
      </c>
      <c r="I9674" s="9">
        <v>1967200</v>
      </c>
      <c r="J9674" s="10">
        <v>0.0372</v>
      </c>
    </row>
    <row r="9675" spans="1:10">
      <c r="A9675" s="7" t="s">
        <v>9708</v>
      </c>
      <c r="B9675" s="7" t="s">
        <v>11542</v>
      </c>
      <c r="C9675" s="8">
        <f>QS.CONTEXT.CREATE("market.9673",A9675,"USD","SOFR")</f>
        <v/>
      </c>
      <c r="D9675" s="8">
        <f>QS.CONTEXT.ADD.CURVE(C9675,"SOFR",$K$2:$K$7,$L$2:$L$7,,,"Actual360","LogLinear",TRUE)</f>
        <v/>
      </c>
      <c r="E9675" s="8">
        <f>QS.INSTRUMENT.SWAP("swap.9673",C9675,H9675,B9675,"USD","SOFR",I9675,J9675,0,"Actual360","Simple","Annual","Annual","Annual")</f>
        <v/>
      </c>
      <c r="F9675" s="8">
        <f>QS.TRADE.CREATE("trade.9673",C9675,E9675,A9675,"Receive")</f>
        <v/>
      </c>
      <c r="G9675" s="5"/>
      <c r="H9675" s="7" t="s">
        <v>9715</v>
      </c>
      <c r="I9675" s="9">
        <v>1967300</v>
      </c>
      <c r="J9675" s="10">
        <v>0.0373</v>
      </c>
    </row>
    <row r="9676" spans="1:10">
      <c r="A9676" s="7" t="s">
        <v>9709</v>
      </c>
      <c r="B9676" s="7" t="s">
        <v>11543</v>
      </c>
      <c r="C9676" s="8">
        <f>QS.CONTEXT.CREATE("market.9674",A9676,"USD","SOFR")</f>
        <v/>
      </c>
      <c r="D9676" s="8">
        <f>QS.CONTEXT.ADD.CURVE(C9676,"SOFR",$K$2:$K$7,$L$2:$L$7,,,"Actual360","LogLinear",TRUE)</f>
        <v/>
      </c>
      <c r="E9676" s="8">
        <f>QS.INSTRUMENT.SWAP("swap.9674",C9676,H9676,B9676,"USD","SOFR",I9676,J9676,0,"Actual360","Simple","Annual","Annual","Annual")</f>
        <v/>
      </c>
      <c r="F9676" s="8">
        <f>QS.TRADE.CREATE("trade.9674",C9676,E9676,A9676,"Receive")</f>
        <v/>
      </c>
      <c r="G9676" s="5"/>
      <c r="H9676" s="7" t="s">
        <v>9716</v>
      </c>
      <c r="I9676" s="9">
        <v>1967400</v>
      </c>
      <c r="J9676" s="10">
        <v>0.0374</v>
      </c>
    </row>
    <row r="9677" spans="1:10">
      <c r="A9677" s="7" t="s">
        <v>9710</v>
      </c>
      <c r="B9677" s="7" t="s">
        <v>11544</v>
      </c>
      <c r="C9677" s="8">
        <f>QS.CONTEXT.CREATE("market.9675",A9677,"USD","SOFR")</f>
        <v/>
      </c>
      <c r="D9677" s="8">
        <f>QS.CONTEXT.ADD.CURVE(C9677,"SOFR",$K$2:$K$7,$L$2:$L$7,,,"Actual360","LogLinear",TRUE)</f>
        <v/>
      </c>
      <c r="E9677" s="8">
        <f>QS.INSTRUMENT.SWAP("swap.9675",C9677,H9677,B9677,"USD","SOFR",I9677,J9677,0,"Actual360","Simple","Annual","Annual","Annual")</f>
        <v/>
      </c>
      <c r="F9677" s="8">
        <f>QS.TRADE.CREATE("trade.9675",C9677,E9677,A9677,"Receive")</f>
        <v/>
      </c>
      <c r="G9677" s="5"/>
      <c r="H9677" s="7" t="s">
        <v>9717</v>
      </c>
      <c r="I9677" s="9">
        <v>1967500</v>
      </c>
      <c r="J9677" s="10">
        <v>0.03750000000000001</v>
      </c>
    </row>
    <row r="9678" spans="1:10">
      <c r="A9678" s="7" t="s">
        <v>9711</v>
      </c>
      <c r="B9678" s="7" t="s">
        <v>11545</v>
      </c>
      <c r="C9678" s="8">
        <f>QS.CONTEXT.CREATE("market.9676",A9678,"USD","SOFR")</f>
        <v/>
      </c>
      <c r="D9678" s="8">
        <f>QS.CONTEXT.ADD.CURVE(C9678,"SOFR",$K$2:$K$7,$L$2:$L$7,,,"Actual360","LogLinear",TRUE)</f>
        <v/>
      </c>
      <c r="E9678" s="8">
        <f>QS.INSTRUMENT.SWAP("swap.9676",C9678,H9678,B9678,"USD","SOFR",I9678,J9678,0,"Actual360","Simple","Annual","Annual","Annual")</f>
        <v/>
      </c>
      <c r="F9678" s="8">
        <f>QS.TRADE.CREATE("trade.9676",C9678,E9678,A9678,"Receive")</f>
        <v/>
      </c>
      <c r="G9678" s="5"/>
      <c r="H9678" s="7" t="s">
        <v>9718</v>
      </c>
      <c r="I9678" s="9">
        <v>1967600</v>
      </c>
      <c r="J9678" s="10">
        <v>0.0376</v>
      </c>
    </row>
    <row r="9679" spans="1:10">
      <c r="A9679" s="7" t="s">
        <v>9712</v>
      </c>
      <c r="B9679" s="7" t="s">
        <v>11546</v>
      </c>
      <c r="C9679" s="8">
        <f>QS.CONTEXT.CREATE("market.9677",A9679,"USD","SOFR")</f>
        <v/>
      </c>
      <c r="D9679" s="8">
        <f>QS.CONTEXT.ADD.CURVE(C9679,"SOFR",$K$2:$K$7,$L$2:$L$7,,,"Actual360","LogLinear",TRUE)</f>
        <v/>
      </c>
      <c r="E9679" s="8">
        <f>QS.INSTRUMENT.SWAP("swap.9677",C9679,H9679,B9679,"USD","SOFR",I9679,J9679,0,"Actual360","Simple","Annual","Annual","Annual")</f>
        <v/>
      </c>
      <c r="F9679" s="8">
        <f>QS.TRADE.CREATE("trade.9677",C9679,E9679,A9679,"Receive")</f>
        <v/>
      </c>
      <c r="G9679" s="5"/>
      <c r="H9679" s="7" t="s">
        <v>9719</v>
      </c>
      <c r="I9679" s="9">
        <v>1967700</v>
      </c>
      <c r="J9679" s="10">
        <v>0.0377</v>
      </c>
    </row>
    <row r="9680" spans="1:10">
      <c r="A9680" s="7" t="s">
        <v>9713</v>
      </c>
      <c r="B9680" s="7" t="s">
        <v>11547</v>
      </c>
      <c r="C9680" s="8">
        <f>QS.CONTEXT.CREATE("market.9678",A9680,"USD","SOFR")</f>
        <v/>
      </c>
      <c r="D9680" s="8">
        <f>QS.CONTEXT.ADD.CURVE(C9680,"SOFR",$K$2:$K$7,$L$2:$L$7,,,"Actual360","LogLinear",TRUE)</f>
        <v/>
      </c>
      <c r="E9680" s="8">
        <f>QS.INSTRUMENT.SWAP("swap.9678",C9680,H9680,B9680,"USD","SOFR",I9680,J9680,0,"Actual360","Simple","Annual","Annual","Annual")</f>
        <v/>
      </c>
      <c r="F9680" s="8">
        <f>QS.TRADE.CREATE("trade.9678",C9680,E9680,A9680,"Receive")</f>
        <v/>
      </c>
      <c r="G9680" s="5"/>
      <c r="H9680" s="7" t="s">
        <v>9720</v>
      </c>
      <c r="I9680" s="9">
        <v>1967800</v>
      </c>
      <c r="J9680" s="10">
        <v>0.0378</v>
      </c>
    </row>
    <row r="9681" spans="1:10">
      <c r="A9681" s="7" t="s">
        <v>9714</v>
      </c>
      <c r="B9681" s="7" t="s">
        <v>11548</v>
      </c>
      <c r="C9681" s="8">
        <f>QS.CONTEXT.CREATE("market.9679",A9681,"USD","SOFR")</f>
        <v/>
      </c>
      <c r="D9681" s="8">
        <f>QS.CONTEXT.ADD.CURVE(C9681,"SOFR",$K$2:$K$7,$L$2:$L$7,,,"Actual360","LogLinear",TRUE)</f>
        <v/>
      </c>
      <c r="E9681" s="8">
        <f>QS.INSTRUMENT.SWAP("swap.9679",C9681,H9681,B9681,"USD","SOFR",I9681,J9681,0,"Actual360","Simple","Annual","Annual","Annual")</f>
        <v/>
      </c>
      <c r="F9681" s="8">
        <f>QS.TRADE.CREATE("trade.9679",C9681,E9681,A9681,"Receive")</f>
        <v/>
      </c>
      <c r="G9681" s="5"/>
      <c r="H9681" s="7" t="s">
        <v>9721</v>
      </c>
      <c r="I9681" s="9">
        <v>1967900</v>
      </c>
      <c r="J9681" s="10">
        <v>0.0379</v>
      </c>
    </row>
    <row r="9682" spans="1:10">
      <c r="A9682" s="7" t="s">
        <v>9715</v>
      </c>
      <c r="B9682" s="7" t="s">
        <v>11549</v>
      </c>
      <c r="C9682" s="8">
        <f>QS.CONTEXT.CREATE("market.9680",A9682,"USD","SOFR")</f>
        <v/>
      </c>
      <c r="D9682" s="8">
        <f>QS.CONTEXT.ADD.CURVE(C9682,"SOFR",$K$2:$K$7,$L$2:$L$7,,,"Actual360","LogLinear",TRUE)</f>
        <v/>
      </c>
      <c r="E9682" s="8">
        <f>QS.INSTRUMENT.SWAP("swap.9680",C9682,H9682,B9682,"USD","SOFR",I9682,J9682,0,"Actual360","Simple","Annual","Annual","Annual")</f>
        <v/>
      </c>
      <c r="F9682" s="8">
        <f>QS.TRADE.CREATE("trade.9680",C9682,E9682,A9682,"Receive")</f>
        <v/>
      </c>
      <c r="G9682" s="5"/>
      <c r="H9682" s="7" t="s">
        <v>9722</v>
      </c>
      <c r="I9682" s="9">
        <v>1968000</v>
      </c>
      <c r="J9682" s="10">
        <v>0.03800000000000001</v>
      </c>
    </row>
    <row r="9683" spans="1:10">
      <c r="A9683" s="7" t="s">
        <v>9716</v>
      </c>
      <c r="B9683" s="7" t="s">
        <v>11550</v>
      </c>
      <c r="C9683" s="8">
        <f>QS.CONTEXT.CREATE("market.9681",A9683,"USD","SOFR")</f>
        <v/>
      </c>
      <c r="D9683" s="8">
        <f>QS.CONTEXT.ADD.CURVE(C9683,"SOFR",$K$2:$K$7,$L$2:$L$7,,,"Actual360","LogLinear",TRUE)</f>
        <v/>
      </c>
      <c r="E9683" s="8">
        <f>QS.INSTRUMENT.SWAP("swap.9681",C9683,H9683,B9683,"USD","SOFR",I9683,J9683,0,"Actual360","Simple","Annual","Annual","Annual")</f>
        <v/>
      </c>
      <c r="F9683" s="8">
        <f>QS.TRADE.CREATE("trade.9681",C9683,E9683,A9683,"Receive")</f>
        <v/>
      </c>
      <c r="G9683" s="5"/>
      <c r="H9683" s="7" t="s">
        <v>9723</v>
      </c>
      <c r="I9683" s="9">
        <v>1968100</v>
      </c>
      <c r="J9683" s="10">
        <v>0.0381</v>
      </c>
    </row>
    <row r="9684" spans="1:10">
      <c r="A9684" s="7" t="s">
        <v>9717</v>
      </c>
      <c r="B9684" s="7" t="s">
        <v>11551</v>
      </c>
      <c r="C9684" s="8">
        <f>QS.CONTEXT.CREATE("market.9682",A9684,"USD","SOFR")</f>
        <v/>
      </c>
      <c r="D9684" s="8">
        <f>QS.CONTEXT.ADD.CURVE(C9684,"SOFR",$K$2:$K$7,$L$2:$L$7,,,"Actual360","LogLinear",TRUE)</f>
        <v/>
      </c>
      <c r="E9684" s="8">
        <f>QS.INSTRUMENT.SWAP("swap.9682",C9684,H9684,B9684,"USD","SOFR",I9684,J9684,0,"Actual360","Simple","Annual","Annual","Annual")</f>
        <v/>
      </c>
      <c r="F9684" s="8">
        <f>QS.TRADE.CREATE("trade.9682",C9684,E9684,A9684,"Receive")</f>
        <v/>
      </c>
      <c r="G9684" s="5"/>
      <c r="H9684" s="7" t="s">
        <v>9724</v>
      </c>
      <c r="I9684" s="9">
        <v>1968200</v>
      </c>
      <c r="J9684" s="10">
        <v>0.0382</v>
      </c>
    </row>
    <row r="9685" spans="1:10">
      <c r="A9685" s="7" t="s">
        <v>9718</v>
      </c>
      <c r="B9685" s="7" t="s">
        <v>11552</v>
      </c>
      <c r="C9685" s="8">
        <f>QS.CONTEXT.CREATE("market.9683",A9685,"USD","SOFR")</f>
        <v/>
      </c>
      <c r="D9685" s="8">
        <f>QS.CONTEXT.ADD.CURVE(C9685,"SOFR",$K$2:$K$7,$L$2:$L$7,,,"Actual360","LogLinear",TRUE)</f>
        <v/>
      </c>
      <c r="E9685" s="8">
        <f>QS.INSTRUMENT.SWAP("swap.9683",C9685,H9685,B9685,"USD","SOFR",I9685,J9685,0,"Actual360","Simple","Annual","Annual","Annual")</f>
        <v/>
      </c>
      <c r="F9685" s="8">
        <f>QS.TRADE.CREATE("trade.9683",C9685,E9685,A9685,"Receive")</f>
        <v/>
      </c>
      <c r="G9685" s="5"/>
      <c r="H9685" s="7" t="s">
        <v>9725</v>
      </c>
      <c r="I9685" s="9">
        <v>1968300</v>
      </c>
      <c r="J9685" s="10">
        <v>0.0383</v>
      </c>
    </row>
    <row r="9686" spans="1:10">
      <c r="A9686" s="7" t="s">
        <v>9719</v>
      </c>
      <c r="B9686" s="7" t="s">
        <v>11553</v>
      </c>
      <c r="C9686" s="8">
        <f>QS.CONTEXT.CREATE("market.9684",A9686,"USD","SOFR")</f>
        <v/>
      </c>
      <c r="D9686" s="8">
        <f>QS.CONTEXT.ADD.CURVE(C9686,"SOFR",$K$2:$K$7,$L$2:$L$7,,,"Actual360","LogLinear",TRUE)</f>
        <v/>
      </c>
      <c r="E9686" s="8">
        <f>QS.INSTRUMENT.SWAP("swap.9684",C9686,H9686,B9686,"USD","SOFR",I9686,J9686,0,"Actual360","Simple","Annual","Annual","Annual")</f>
        <v/>
      </c>
      <c r="F9686" s="8">
        <f>QS.TRADE.CREATE("trade.9684",C9686,E9686,A9686,"Receive")</f>
        <v/>
      </c>
      <c r="G9686" s="5"/>
      <c r="H9686" s="7" t="s">
        <v>9726</v>
      </c>
      <c r="I9686" s="9">
        <v>1968400</v>
      </c>
      <c r="J9686" s="10">
        <v>0.0384</v>
      </c>
    </row>
    <row r="9687" spans="1:10">
      <c r="A9687" s="7" t="s">
        <v>9720</v>
      </c>
      <c r="B9687" s="7" t="s">
        <v>11554</v>
      </c>
      <c r="C9687" s="8">
        <f>QS.CONTEXT.CREATE("market.9685",A9687,"USD","SOFR")</f>
        <v/>
      </c>
      <c r="D9687" s="8">
        <f>QS.CONTEXT.ADD.CURVE(C9687,"SOFR",$K$2:$K$7,$L$2:$L$7,,,"Actual360","LogLinear",TRUE)</f>
        <v/>
      </c>
      <c r="E9687" s="8">
        <f>QS.INSTRUMENT.SWAP("swap.9685",C9687,H9687,B9687,"USD","SOFR",I9687,J9687,0,"Actual360","Simple","Annual","Annual","Annual")</f>
        <v/>
      </c>
      <c r="F9687" s="8">
        <f>QS.TRADE.CREATE("trade.9685",C9687,E9687,A9687,"Receive")</f>
        <v/>
      </c>
      <c r="G9687" s="5"/>
      <c r="H9687" s="7" t="s">
        <v>9727</v>
      </c>
      <c r="I9687" s="9">
        <v>1968500</v>
      </c>
      <c r="J9687" s="10">
        <v>0.03850000000000001</v>
      </c>
    </row>
    <row r="9688" spans="1:10">
      <c r="A9688" s="7" t="s">
        <v>9721</v>
      </c>
      <c r="B9688" s="7" t="s">
        <v>11555</v>
      </c>
      <c r="C9688" s="8">
        <f>QS.CONTEXT.CREATE("market.9686",A9688,"USD","SOFR")</f>
        <v/>
      </c>
      <c r="D9688" s="8">
        <f>QS.CONTEXT.ADD.CURVE(C9688,"SOFR",$K$2:$K$7,$L$2:$L$7,,,"Actual360","LogLinear",TRUE)</f>
        <v/>
      </c>
      <c r="E9688" s="8">
        <f>QS.INSTRUMENT.SWAP("swap.9686",C9688,H9688,B9688,"USD","SOFR",I9688,J9688,0,"Actual360","Simple","Annual","Annual","Annual")</f>
        <v/>
      </c>
      <c r="F9688" s="8">
        <f>QS.TRADE.CREATE("trade.9686",C9688,E9688,A9688,"Receive")</f>
        <v/>
      </c>
      <c r="G9688" s="5"/>
      <c r="H9688" s="7" t="s">
        <v>9728</v>
      </c>
      <c r="I9688" s="9">
        <v>1968600</v>
      </c>
      <c r="J9688" s="10">
        <v>0.0386</v>
      </c>
    </row>
    <row r="9689" spans="1:10">
      <c r="A9689" s="7" t="s">
        <v>9722</v>
      </c>
      <c r="B9689" s="7" t="s">
        <v>11556</v>
      </c>
      <c r="C9689" s="8">
        <f>QS.CONTEXT.CREATE("market.9687",A9689,"USD","SOFR")</f>
        <v/>
      </c>
      <c r="D9689" s="8">
        <f>QS.CONTEXT.ADD.CURVE(C9689,"SOFR",$K$2:$K$7,$L$2:$L$7,,,"Actual360","LogLinear",TRUE)</f>
        <v/>
      </c>
      <c r="E9689" s="8">
        <f>QS.INSTRUMENT.SWAP("swap.9687",C9689,H9689,B9689,"USD","SOFR",I9689,J9689,0,"Actual360","Simple","Annual","Annual","Annual")</f>
        <v/>
      </c>
      <c r="F9689" s="8">
        <f>QS.TRADE.CREATE("trade.9687",C9689,E9689,A9689,"Receive")</f>
        <v/>
      </c>
      <c r="G9689" s="5"/>
      <c r="H9689" s="7" t="s">
        <v>9729</v>
      </c>
      <c r="I9689" s="9">
        <v>1968700</v>
      </c>
      <c r="J9689" s="10">
        <v>0.03870000000000001</v>
      </c>
    </row>
    <row r="9690" spans="1:10">
      <c r="A9690" s="7" t="s">
        <v>9723</v>
      </c>
      <c r="B9690" s="7" t="s">
        <v>11557</v>
      </c>
      <c r="C9690" s="8">
        <f>QS.CONTEXT.CREATE("market.9688",A9690,"USD","SOFR")</f>
        <v/>
      </c>
      <c r="D9690" s="8">
        <f>QS.CONTEXT.ADD.CURVE(C9690,"SOFR",$K$2:$K$7,$L$2:$L$7,,,"Actual360","LogLinear",TRUE)</f>
        <v/>
      </c>
      <c r="E9690" s="8">
        <f>QS.INSTRUMENT.SWAP("swap.9688",C9690,H9690,B9690,"USD","SOFR",I9690,J9690,0,"Actual360","Simple","Annual","Annual","Annual")</f>
        <v/>
      </c>
      <c r="F9690" s="8">
        <f>QS.TRADE.CREATE("trade.9688",C9690,E9690,A9690,"Receive")</f>
        <v/>
      </c>
      <c r="G9690" s="5"/>
      <c r="H9690" s="7" t="s">
        <v>9730</v>
      </c>
      <c r="I9690" s="9">
        <v>1968800</v>
      </c>
      <c r="J9690" s="10">
        <v>0.0388</v>
      </c>
    </row>
    <row r="9691" spans="1:10">
      <c r="A9691" s="7" t="s">
        <v>9724</v>
      </c>
      <c r="B9691" s="7" t="s">
        <v>11558</v>
      </c>
      <c r="C9691" s="8">
        <f>QS.CONTEXT.CREATE("market.9689",A9691,"USD","SOFR")</f>
        <v/>
      </c>
      <c r="D9691" s="8">
        <f>QS.CONTEXT.ADD.CURVE(C9691,"SOFR",$K$2:$K$7,$L$2:$L$7,,,"Actual360","LogLinear",TRUE)</f>
        <v/>
      </c>
      <c r="E9691" s="8">
        <f>QS.INSTRUMENT.SWAP("swap.9689",C9691,H9691,B9691,"USD","SOFR",I9691,J9691,0,"Actual360","Simple","Annual","Annual","Annual")</f>
        <v/>
      </c>
      <c r="F9691" s="8">
        <f>QS.TRADE.CREATE("trade.9689",C9691,E9691,A9691,"Receive")</f>
        <v/>
      </c>
      <c r="G9691" s="5"/>
      <c r="H9691" s="7" t="s">
        <v>9731</v>
      </c>
      <c r="I9691" s="9">
        <v>1968900</v>
      </c>
      <c r="J9691" s="10">
        <v>0.0389</v>
      </c>
    </row>
    <row r="9692" spans="1:10">
      <c r="A9692" s="7" t="s">
        <v>9725</v>
      </c>
      <c r="B9692" s="7" t="s">
        <v>11559</v>
      </c>
      <c r="C9692" s="8">
        <f>QS.CONTEXT.CREATE("market.9690",A9692,"USD","SOFR")</f>
        <v/>
      </c>
      <c r="D9692" s="8">
        <f>QS.CONTEXT.ADD.CURVE(C9692,"SOFR",$K$2:$K$7,$L$2:$L$7,,,"Actual360","LogLinear",TRUE)</f>
        <v/>
      </c>
      <c r="E9692" s="8">
        <f>QS.INSTRUMENT.SWAP("swap.9690",C9692,H9692,B9692,"USD","SOFR",I9692,J9692,0,"Actual360","Simple","Annual","Annual","Annual")</f>
        <v/>
      </c>
      <c r="F9692" s="8">
        <f>QS.TRADE.CREATE("trade.9690",C9692,E9692,A9692,"Receive")</f>
        <v/>
      </c>
      <c r="G9692" s="5"/>
      <c r="H9692" s="7" t="s">
        <v>9732</v>
      </c>
      <c r="I9692" s="9">
        <v>1969000</v>
      </c>
      <c r="J9692" s="10">
        <v>0.03900000000000001</v>
      </c>
    </row>
    <row r="9693" spans="1:10">
      <c r="A9693" s="7" t="s">
        <v>9726</v>
      </c>
      <c r="B9693" s="7" t="s">
        <v>11560</v>
      </c>
      <c r="C9693" s="8">
        <f>QS.CONTEXT.CREATE("market.9691",A9693,"USD","SOFR")</f>
        <v/>
      </c>
      <c r="D9693" s="8">
        <f>QS.CONTEXT.ADD.CURVE(C9693,"SOFR",$K$2:$K$7,$L$2:$L$7,,,"Actual360","LogLinear",TRUE)</f>
        <v/>
      </c>
      <c r="E9693" s="8">
        <f>QS.INSTRUMENT.SWAP("swap.9691",C9693,H9693,B9693,"USD","SOFR",I9693,J9693,0,"Actual360","Simple","Annual","Annual","Annual")</f>
        <v/>
      </c>
      <c r="F9693" s="8">
        <f>QS.TRADE.CREATE("trade.9691",C9693,E9693,A9693,"Receive")</f>
        <v/>
      </c>
      <c r="G9693" s="5"/>
      <c r="H9693" s="7" t="s">
        <v>9733</v>
      </c>
      <c r="I9693" s="9">
        <v>1969100</v>
      </c>
      <c r="J9693" s="10">
        <v>0.0391</v>
      </c>
    </row>
    <row r="9694" spans="1:10">
      <c r="A9694" s="7" t="s">
        <v>9727</v>
      </c>
      <c r="B9694" s="7" t="s">
        <v>11561</v>
      </c>
      <c r="C9694" s="8">
        <f>QS.CONTEXT.CREATE("market.9692",A9694,"USD","SOFR")</f>
        <v/>
      </c>
      <c r="D9694" s="8">
        <f>QS.CONTEXT.ADD.CURVE(C9694,"SOFR",$K$2:$K$7,$L$2:$L$7,,,"Actual360","LogLinear",TRUE)</f>
        <v/>
      </c>
      <c r="E9694" s="8">
        <f>QS.INSTRUMENT.SWAP("swap.9692",C9694,H9694,B9694,"USD","SOFR",I9694,J9694,0,"Actual360","Simple","Annual","Annual","Annual")</f>
        <v/>
      </c>
      <c r="F9694" s="8">
        <f>QS.TRADE.CREATE("trade.9692",C9694,E9694,A9694,"Receive")</f>
        <v/>
      </c>
      <c r="G9694" s="5"/>
      <c r="H9694" s="7" t="s">
        <v>9734</v>
      </c>
      <c r="I9694" s="9">
        <v>1969200</v>
      </c>
      <c r="J9694" s="10">
        <v>0.03920000000000001</v>
      </c>
    </row>
    <row r="9695" spans="1:10">
      <c r="A9695" s="7" t="s">
        <v>9728</v>
      </c>
      <c r="B9695" s="7" t="s">
        <v>11562</v>
      </c>
      <c r="C9695" s="8">
        <f>QS.CONTEXT.CREATE("market.9693",A9695,"USD","SOFR")</f>
        <v/>
      </c>
      <c r="D9695" s="8">
        <f>QS.CONTEXT.ADD.CURVE(C9695,"SOFR",$K$2:$K$7,$L$2:$L$7,,,"Actual360","LogLinear",TRUE)</f>
        <v/>
      </c>
      <c r="E9695" s="8">
        <f>QS.INSTRUMENT.SWAP("swap.9693",C9695,H9695,B9695,"USD","SOFR",I9695,J9695,0,"Actual360","Simple","Annual","Annual","Annual")</f>
        <v/>
      </c>
      <c r="F9695" s="8">
        <f>QS.TRADE.CREATE("trade.9693",C9695,E9695,A9695,"Receive")</f>
        <v/>
      </c>
      <c r="G9695" s="5"/>
      <c r="H9695" s="7" t="s">
        <v>9735</v>
      </c>
      <c r="I9695" s="9">
        <v>1969300</v>
      </c>
      <c r="J9695" s="10">
        <v>0.0393</v>
      </c>
    </row>
    <row r="9696" spans="1:10">
      <c r="A9696" s="7" t="s">
        <v>9729</v>
      </c>
      <c r="B9696" s="7" t="s">
        <v>11563</v>
      </c>
      <c r="C9696" s="8">
        <f>QS.CONTEXT.CREATE("market.9694",A9696,"USD","SOFR")</f>
        <v/>
      </c>
      <c r="D9696" s="8">
        <f>QS.CONTEXT.ADD.CURVE(C9696,"SOFR",$K$2:$K$7,$L$2:$L$7,,,"Actual360","LogLinear",TRUE)</f>
        <v/>
      </c>
      <c r="E9696" s="8">
        <f>QS.INSTRUMENT.SWAP("swap.9694",C9696,H9696,B9696,"USD","SOFR",I9696,J9696,0,"Actual360","Simple","Annual","Annual","Annual")</f>
        <v/>
      </c>
      <c r="F9696" s="8">
        <f>QS.TRADE.CREATE("trade.9694",C9696,E9696,A9696,"Receive")</f>
        <v/>
      </c>
      <c r="G9696" s="5"/>
      <c r="H9696" s="7" t="s">
        <v>9736</v>
      </c>
      <c r="I9696" s="9">
        <v>1969400</v>
      </c>
      <c r="J9696" s="10">
        <v>0.0394</v>
      </c>
    </row>
    <row r="9697" spans="1:10">
      <c r="A9697" s="7" t="s">
        <v>9730</v>
      </c>
      <c r="B9697" s="7" t="s">
        <v>11564</v>
      </c>
      <c r="C9697" s="8">
        <f>QS.CONTEXT.CREATE("market.9695",A9697,"USD","SOFR")</f>
        <v/>
      </c>
      <c r="D9697" s="8">
        <f>QS.CONTEXT.ADD.CURVE(C9697,"SOFR",$K$2:$K$7,$L$2:$L$7,,,"Actual360","LogLinear",TRUE)</f>
        <v/>
      </c>
      <c r="E9697" s="8">
        <f>QS.INSTRUMENT.SWAP("swap.9695",C9697,H9697,B9697,"USD","SOFR",I9697,J9697,0,"Actual360","Simple","Annual","Annual","Annual")</f>
        <v/>
      </c>
      <c r="F9697" s="8">
        <f>QS.TRADE.CREATE("trade.9695",C9697,E9697,A9697,"Receive")</f>
        <v/>
      </c>
      <c r="G9697" s="5"/>
      <c r="H9697" s="7" t="s">
        <v>9737</v>
      </c>
      <c r="I9697" s="9">
        <v>1969500</v>
      </c>
      <c r="J9697" s="10">
        <v>0.03950000000000001</v>
      </c>
    </row>
    <row r="9698" spans="1:10">
      <c r="A9698" s="7" t="s">
        <v>9731</v>
      </c>
      <c r="B9698" s="7" t="s">
        <v>11565</v>
      </c>
      <c r="C9698" s="8">
        <f>QS.CONTEXT.CREATE("market.9696",A9698,"USD","SOFR")</f>
        <v/>
      </c>
      <c r="D9698" s="8">
        <f>QS.CONTEXT.ADD.CURVE(C9698,"SOFR",$K$2:$K$7,$L$2:$L$7,,,"Actual360","LogLinear",TRUE)</f>
        <v/>
      </c>
      <c r="E9698" s="8">
        <f>QS.INSTRUMENT.SWAP("swap.9696",C9698,H9698,B9698,"USD","SOFR",I9698,J9698,0,"Actual360","Simple","Annual","Annual","Annual")</f>
        <v/>
      </c>
      <c r="F9698" s="8">
        <f>QS.TRADE.CREATE("trade.9696",C9698,E9698,A9698,"Receive")</f>
        <v/>
      </c>
      <c r="G9698" s="5"/>
      <c r="H9698" s="7" t="s">
        <v>9738</v>
      </c>
      <c r="I9698" s="9">
        <v>1969600</v>
      </c>
      <c r="J9698" s="10">
        <v>0.0396</v>
      </c>
    </row>
    <row r="9699" spans="1:10">
      <c r="A9699" s="7" t="s">
        <v>9732</v>
      </c>
      <c r="B9699" s="7" t="s">
        <v>11566</v>
      </c>
      <c r="C9699" s="8">
        <f>QS.CONTEXT.CREATE("market.9697",A9699,"USD","SOFR")</f>
        <v/>
      </c>
      <c r="D9699" s="8">
        <f>QS.CONTEXT.ADD.CURVE(C9699,"SOFR",$K$2:$K$7,$L$2:$L$7,,,"Actual360","LogLinear",TRUE)</f>
        <v/>
      </c>
      <c r="E9699" s="8">
        <f>QS.INSTRUMENT.SWAP("swap.9697",C9699,H9699,B9699,"USD","SOFR",I9699,J9699,0,"Actual360","Simple","Annual","Annual","Annual")</f>
        <v/>
      </c>
      <c r="F9699" s="8">
        <f>QS.TRADE.CREATE("trade.9697",C9699,E9699,A9699,"Receive")</f>
        <v/>
      </c>
      <c r="G9699" s="5"/>
      <c r="H9699" s="7" t="s">
        <v>9739</v>
      </c>
      <c r="I9699" s="9">
        <v>1969700</v>
      </c>
      <c r="J9699" s="10">
        <v>0.03970000000000001</v>
      </c>
    </row>
    <row r="9700" spans="1:10">
      <c r="A9700" s="7" t="s">
        <v>9733</v>
      </c>
      <c r="B9700" s="7" t="s">
        <v>11567</v>
      </c>
      <c r="C9700" s="8">
        <f>QS.CONTEXT.CREATE("market.9698",A9700,"USD","SOFR")</f>
        <v/>
      </c>
      <c r="D9700" s="8">
        <f>QS.CONTEXT.ADD.CURVE(C9700,"SOFR",$K$2:$K$7,$L$2:$L$7,,,"Actual360","LogLinear",TRUE)</f>
        <v/>
      </c>
      <c r="E9700" s="8">
        <f>QS.INSTRUMENT.SWAP("swap.9698",C9700,H9700,B9700,"USD","SOFR",I9700,J9700,0,"Actual360","Simple","Annual","Annual","Annual")</f>
        <v/>
      </c>
      <c r="F9700" s="8">
        <f>QS.TRADE.CREATE("trade.9698",C9700,E9700,A9700,"Receive")</f>
        <v/>
      </c>
      <c r="G9700" s="5"/>
      <c r="H9700" s="7" t="s">
        <v>9740</v>
      </c>
      <c r="I9700" s="9">
        <v>1969800</v>
      </c>
      <c r="J9700" s="10">
        <v>0.0398</v>
      </c>
    </row>
    <row r="9701" spans="1:10">
      <c r="A9701" s="7" t="s">
        <v>9734</v>
      </c>
      <c r="B9701" s="7" t="s">
        <v>11568</v>
      </c>
      <c r="C9701" s="8">
        <f>QS.CONTEXT.CREATE("market.9699",A9701,"USD","SOFR")</f>
        <v/>
      </c>
      <c r="D9701" s="8">
        <f>QS.CONTEXT.ADD.CURVE(C9701,"SOFR",$K$2:$K$7,$L$2:$L$7,,,"Actual360","LogLinear",TRUE)</f>
        <v/>
      </c>
      <c r="E9701" s="8">
        <f>QS.INSTRUMENT.SWAP("swap.9699",C9701,H9701,B9701,"USD","SOFR",I9701,J9701,0,"Actual360","Simple","Annual","Annual","Annual")</f>
        <v/>
      </c>
      <c r="F9701" s="8">
        <f>QS.TRADE.CREATE("trade.9699",C9701,E9701,A9701,"Receive")</f>
        <v/>
      </c>
      <c r="G9701" s="5"/>
      <c r="H9701" s="7" t="s">
        <v>9741</v>
      </c>
      <c r="I9701" s="9">
        <v>1969900</v>
      </c>
      <c r="J9701" s="10">
        <v>0.0399</v>
      </c>
    </row>
    <row r="9702" spans="1:10">
      <c r="A9702" s="7" t="s">
        <v>9735</v>
      </c>
      <c r="B9702" s="7" t="s">
        <v>11569</v>
      </c>
      <c r="C9702" s="8">
        <f>QS.CONTEXT.CREATE("market.9700",A9702,"USD","SOFR")</f>
        <v/>
      </c>
      <c r="D9702" s="8">
        <f>QS.CONTEXT.ADD.CURVE(C9702,"SOFR",$K$2:$K$7,$L$2:$L$7,,,"Actual360","LogLinear",TRUE)</f>
        <v/>
      </c>
      <c r="E9702" s="8">
        <f>QS.INSTRUMENT.SWAP("swap.9700",C9702,H9702,B9702,"USD","SOFR",I9702,J9702,0,"Actual360","Simple","Annual","Annual","Annual")</f>
        <v/>
      </c>
      <c r="F9702" s="8">
        <f>QS.TRADE.CREATE("trade.9700",C9702,E9702,A9702,"Receive")</f>
        <v/>
      </c>
      <c r="G9702" s="5"/>
      <c r="H9702" s="7" t="s">
        <v>9742</v>
      </c>
      <c r="I9702" s="9">
        <v>1970000</v>
      </c>
      <c r="J9702" s="10">
        <v>0.035</v>
      </c>
    </row>
    <row r="9703" spans="1:10">
      <c r="A9703" s="7" t="s">
        <v>9736</v>
      </c>
      <c r="B9703" s="7" t="s">
        <v>11570</v>
      </c>
      <c r="C9703" s="8">
        <f>QS.CONTEXT.CREATE("market.9701",A9703,"USD","SOFR")</f>
        <v/>
      </c>
      <c r="D9703" s="8">
        <f>QS.CONTEXT.ADD.CURVE(C9703,"SOFR",$K$2:$K$7,$L$2:$L$7,,,"Actual360","LogLinear",TRUE)</f>
        <v/>
      </c>
      <c r="E9703" s="8">
        <f>QS.INSTRUMENT.SWAP("swap.9701",C9703,H9703,B9703,"USD","SOFR",I9703,J9703,0,"Actual360","Simple","Annual","Annual","Annual")</f>
        <v/>
      </c>
      <c r="F9703" s="8">
        <f>QS.TRADE.CREATE("trade.9701",C9703,E9703,A9703,"Receive")</f>
        <v/>
      </c>
      <c r="G9703" s="5"/>
      <c r="H9703" s="7" t="s">
        <v>9743</v>
      </c>
      <c r="I9703" s="9">
        <v>1970100</v>
      </c>
      <c r="J9703" s="10">
        <v>0.03510000000000001</v>
      </c>
    </row>
    <row r="9704" spans="1:10">
      <c r="A9704" s="7" t="s">
        <v>9737</v>
      </c>
      <c r="B9704" s="7" t="s">
        <v>11571</v>
      </c>
      <c r="C9704" s="8">
        <f>QS.CONTEXT.CREATE("market.9702",A9704,"USD","SOFR")</f>
        <v/>
      </c>
      <c r="D9704" s="8">
        <f>QS.CONTEXT.ADD.CURVE(C9704,"SOFR",$K$2:$K$7,$L$2:$L$7,,,"Actual360","LogLinear",TRUE)</f>
        <v/>
      </c>
      <c r="E9704" s="8">
        <f>QS.INSTRUMENT.SWAP("swap.9702",C9704,H9704,B9704,"USD","SOFR",I9704,J9704,0,"Actual360","Simple","Annual","Annual","Annual")</f>
        <v/>
      </c>
      <c r="F9704" s="8">
        <f>QS.TRADE.CREATE("trade.9702",C9704,E9704,A9704,"Receive")</f>
        <v/>
      </c>
      <c r="G9704" s="5"/>
      <c r="H9704" s="7" t="s">
        <v>9744</v>
      </c>
      <c r="I9704" s="9">
        <v>1970200</v>
      </c>
      <c r="J9704" s="10">
        <v>0.0352</v>
      </c>
    </row>
    <row r="9705" spans="1:10">
      <c r="A9705" s="7" t="s">
        <v>9738</v>
      </c>
      <c r="B9705" s="7" t="s">
        <v>11572</v>
      </c>
      <c r="C9705" s="8">
        <f>QS.CONTEXT.CREATE("market.9703",A9705,"USD","SOFR")</f>
        <v/>
      </c>
      <c r="D9705" s="8">
        <f>QS.CONTEXT.ADD.CURVE(C9705,"SOFR",$K$2:$K$7,$L$2:$L$7,,,"Actual360","LogLinear",TRUE)</f>
        <v/>
      </c>
      <c r="E9705" s="8">
        <f>QS.INSTRUMENT.SWAP("swap.9703",C9705,H9705,B9705,"USD","SOFR",I9705,J9705,0,"Actual360","Simple","Annual","Annual","Annual")</f>
        <v/>
      </c>
      <c r="F9705" s="8">
        <f>QS.TRADE.CREATE("trade.9703",C9705,E9705,A9705,"Receive")</f>
        <v/>
      </c>
      <c r="G9705" s="5"/>
      <c r="H9705" s="7" t="s">
        <v>9745</v>
      </c>
      <c r="I9705" s="9">
        <v>1970300</v>
      </c>
      <c r="J9705" s="10">
        <v>0.0353</v>
      </c>
    </row>
    <row r="9706" spans="1:10">
      <c r="A9706" s="7" t="s">
        <v>9739</v>
      </c>
      <c r="B9706" s="7" t="s">
        <v>11573</v>
      </c>
      <c r="C9706" s="8">
        <f>QS.CONTEXT.CREATE("market.9704",A9706,"USD","SOFR")</f>
        <v/>
      </c>
      <c r="D9706" s="8">
        <f>QS.CONTEXT.ADD.CURVE(C9706,"SOFR",$K$2:$K$7,$L$2:$L$7,,,"Actual360","LogLinear",TRUE)</f>
        <v/>
      </c>
      <c r="E9706" s="8">
        <f>QS.INSTRUMENT.SWAP("swap.9704",C9706,H9706,B9706,"USD","SOFR",I9706,J9706,0,"Actual360","Simple","Annual","Annual","Annual")</f>
        <v/>
      </c>
      <c r="F9706" s="8">
        <f>QS.TRADE.CREATE("trade.9704",C9706,E9706,A9706,"Receive")</f>
        <v/>
      </c>
      <c r="G9706" s="5"/>
      <c r="H9706" s="7" t="s">
        <v>9746</v>
      </c>
      <c r="I9706" s="9">
        <v>1970400</v>
      </c>
      <c r="J9706" s="10">
        <v>0.0354</v>
      </c>
    </row>
    <row r="9707" spans="1:10">
      <c r="A9707" s="7" t="s">
        <v>9740</v>
      </c>
      <c r="B9707" s="7" t="s">
        <v>11574</v>
      </c>
      <c r="C9707" s="8">
        <f>QS.CONTEXT.CREATE("market.9705",A9707,"USD","SOFR")</f>
        <v/>
      </c>
      <c r="D9707" s="8">
        <f>QS.CONTEXT.ADD.CURVE(C9707,"SOFR",$K$2:$K$7,$L$2:$L$7,,,"Actual360","LogLinear",TRUE)</f>
        <v/>
      </c>
      <c r="E9707" s="8">
        <f>QS.INSTRUMENT.SWAP("swap.9705",C9707,H9707,B9707,"USD","SOFR",I9707,J9707,0,"Actual360","Simple","Annual","Annual","Annual")</f>
        <v/>
      </c>
      <c r="F9707" s="8">
        <f>QS.TRADE.CREATE("trade.9705",C9707,E9707,A9707,"Receive")</f>
        <v/>
      </c>
      <c r="G9707" s="5"/>
      <c r="H9707" s="7" t="s">
        <v>9747</v>
      </c>
      <c r="I9707" s="9">
        <v>1970500</v>
      </c>
      <c r="J9707" s="10">
        <v>0.0355</v>
      </c>
    </row>
    <row r="9708" spans="1:10">
      <c r="A9708" s="7" t="s">
        <v>9741</v>
      </c>
      <c r="B9708" s="7" t="s">
        <v>11575</v>
      </c>
      <c r="C9708" s="8">
        <f>QS.CONTEXT.CREATE("market.9706",A9708,"USD","SOFR")</f>
        <v/>
      </c>
      <c r="D9708" s="8">
        <f>QS.CONTEXT.ADD.CURVE(C9708,"SOFR",$K$2:$K$7,$L$2:$L$7,,,"Actual360","LogLinear",TRUE)</f>
        <v/>
      </c>
      <c r="E9708" s="8">
        <f>QS.INSTRUMENT.SWAP("swap.9706",C9708,H9708,B9708,"USD","SOFR",I9708,J9708,0,"Actual360","Simple","Annual","Annual","Annual")</f>
        <v/>
      </c>
      <c r="F9708" s="8">
        <f>QS.TRADE.CREATE("trade.9706",C9708,E9708,A9708,"Receive")</f>
        <v/>
      </c>
      <c r="G9708" s="5"/>
      <c r="H9708" s="7" t="s">
        <v>9748</v>
      </c>
      <c r="I9708" s="9">
        <v>1970600</v>
      </c>
      <c r="J9708" s="10">
        <v>0.03560000000000001</v>
      </c>
    </row>
    <row r="9709" spans="1:10">
      <c r="A9709" s="7" t="s">
        <v>9742</v>
      </c>
      <c r="B9709" s="7" t="s">
        <v>11576</v>
      </c>
      <c r="C9709" s="8">
        <f>QS.CONTEXT.CREATE("market.9707",A9709,"USD","SOFR")</f>
        <v/>
      </c>
      <c r="D9709" s="8">
        <f>QS.CONTEXT.ADD.CURVE(C9709,"SOFR",$K$2:$K$7,$L$2:$L$7,,,"Actual360","LogLinear",TRUE)</f>
        <v/>
      </c>
      <c r="E9709" s="8">
        <f>QS.INSTRUMENT.SWAP("swap.9707",C9709,H9709,B9709,"USD","SOFR",I9709,J9709,0,"Actual360","Simple","Annual","Annual","Annual")</f>
        <v/>
      </c>
      <c r="F9709" s="8">
        <f>QS.TRADE.CREATE("trade.9707",C9709,E9709,A9709,"Receive")</f>
        <v/>
      </c>
      <c r="G9709" s="5"/>
      <c r="H9709" s="7" t="s">
        <v>9749</v>
      </c>
      <c r="I9709" s="9">
        <v>1970700</v>
      </c>
      <c r="J9709" s="10">
        <v>0.0357</v>
      </c>
    </row>
    <row r="9710" spans="1:10">
      <c r="A9710" s="7" t="s">
        <v>9743</v>
      </c>
      <c r="B9710" s="7" t="s">
        <v>11577</v>
      </c>
      <c r="C9710" s="8">
        <f>QS.CONTEXT.CREATE("market.9708",A9710,"USD","SOFR")</f>
        <v/>
      </c>
      <c r="D9710" s="8">
        <f>QS.CONTEXT.ADD.CURVE(C9710,"SOFR",$K$2:$K$7,$L$2:$L$7,,,"Actual360","LogLinear",TRUE)</f>
        <v/>
      </c>
      <c r="E9710" s="8">
        <f>QS.INSTRUMENT.SWAP("swap.9708",C9710,H9710,B9710,"USD","SOFR",I9710,J9710,0,"Actual360","Simple","Annual","Annual","Annual")</f>
        <v/>
      </c>
      <c r="F9710" s="8">
        <f>QS.TRADE.CREATE("trade.9708",C9710,E9710,A9710,"Receive")</f>
        <v/>
      </c>
      <c r="G9710" s="5"/>
      <c r="H9710" s="7" t="s">
        <v>9750</v>
      </c>
      <c r="I9710" s="9">
        <v>1970800</v>
      </c>
      <c r="J9710" s="10">
        <v>0.03580000000000001</v>
      </c>
    </row>
    <row r="9711" spans="1:10">
      <c r="A9711" s="7" t="s">
        <v>9744</v>
      </c>
      <c r="B9711" s="7" t="s">
        <v>11578</v>
      </c>
      <c r="C9711" s="8">
        <f>QS.CONTEXT.CREATE("market.9709",A9711,"USD","SOFR")</f>
        <v/>
      </c>
      <c r="D9711" s="8">
        <f>QS.CONTEXT.ADD.CURVE(C9711,"SOFR",$K$2:$K$7,$L$2:$L$7,,,"Actual360","LogLinear",TRUE)</f>
        <v/>
      </c>
      <c r="E9711" s="8">
        <f>QS.INSTRUMENT.SWAP("swap.9709",C9711,H9711,B9711,"USD","SOFR",I9711,J9711,0,"Actual360","Simple","Annual","Annual","Annual")</f>
        <v/>
      </c>
      <c r="F9711" s="8">
        <f>QS.TRADE.CREATE("trade.9709",C9711,E9711,A9711,"Receive")</f>
        <v/>
      </c>
      <c r="G9711" s="5"/>
      <c r="H9711" s="7" t="s">
        <v>9751</v>
      </c>
      <c r="I9711" s="9">
        <v>1970900</v>
      </c>
      <c r="J9711" s="10">
        <v>0.0359</v>
      </c>
    </row>
    <row r="9712" spans="1:10">
      <c r="A9712" s="7" t="s">
        <v>9745</v>
      </c>
      <c r="B9712" s="7" t="s">
        <v>11579</v>
      </c>
      <c r="C9712" s="8">
        <f>QS.CONTEXT.CREATE("market.9710",A9712,"USD","SOFR")</f>
        <v/>
      </c>
      <c r="D9712" s="8">
        <f>QS.CONTEXT.ADD.CURVE(C9712,"SOFR",$K$2:$K$7,$L$2:$L$7,,,"Actual360","LogLinear",TRUE)</f>
        <v/>
      </c>
      <c r="E9712" s="8">
        <f>QS.INSTRUMENT.SWAP("swap.9710",C9712,H9712,B9712,"USD","SOFR",I9712,J9712,0,"Actual360","Simple","Annual","Annual","Annual")</f>
        <v/>
      </c>
      <c r="F9712" s="8">
        <f>QS.TRADE.CREATE("trade.9710",C9712,E9712,A9712,"Receive")</f>
        <v/>
      </c>
      <c r="G9712" s="5"/>
      <c r="H9712" s="7" t="s">
        <v>9752</v>
      </c>
      <c r="I9712" s="9">
        <v>1971000</v>
      </c>
      <c r="J9712" s="10">
        <v>0.036</v>
      </c>
    </row>
    <row r="9713" spans="1:10">
      <c r="A9713" s="7" t="s">
        <v>9746</v>
      </c>
      <c r="B9713" s="7" t="s">
        <v>11580</v>
      </c>
      <c r="C9713" s="8">
        <f>QS.CONTEXT.CREATE("market.9711",A9713,"USD","SOFR")</f>
        <v/>
      </c>
      <c r="D9713" s="8">
        <f>QS.CONTEXT.ADD.CURVE(C9713,"SOFR",$K$2:$K$7,$L$2:$L$7,,,"Actual360","LogLinear",TRUE)</f>
        <v/>
      </c>
      <c r="E9713" s="8">
        <f>QS.INSTRUMENT.SWAP("swap.9711",C9713,H9713,B9713,"USD","SOFR",I9713,J9713,0,"Actual360","Simple","Annual","Annual","Annual")</f>
        <v/>
      </c>
      <c r="F9713" s="8">
        <f>QS.TRADE.CREATE("trade.9711",C9713,E9713,A9713,"Receive")</f>
        <v/>
      </c>
      <c r="G9713" s="5"/>
      <c r="H9713" s="7" t="s">
        <v>9753</v>
      </c>
      <c r="I9713" s="9">
        <v>1971100</v>
      </c>
      <c r="J9713" s="10">
        <v>0.0361</v>
      </c>
    </row>
    <row r="9714" spans="1:10">
      <c r="A9714" s="7" t="s">
        <v>9747</v>
      </c>
      <c r="B9714" s="7" t="s">
        <v>11581</v>
      </c>
      <c r="C9714" s="8">
        <f>QS.CONTEXT.CREATE("market.9712",A9714,"USD","SOFR")</f>
        <v/>
      </c>
      <c r="D9714" s="8">
        <f>QS.CONTEXT.ADD.CURVE(C9714,"SOFR",$K$2:$K$7,$L$2:$L$7,,,"Actual360","LogLinear",TRUE)</f>
        <v/>
      </c>
      <c r="E9714" s="8">
        <f>QS.INSTRUMENT.SWAP("swap.9712",C9714,H9714,B9714,"USD","SOFR",I9714,J9714,0,"Actual360","Simple","Annual","Annual","Annual")</f>
        <v/>
      </c>
      <c r="F9714" s="8">
        <f>QS.TRADE.CREATE("trade.9712",C9714,E9714,A9714,"Receive")</f>
        <v/>
      </c>
      <c r="G9714" s="5"/>
      <c r="H9714" s="7" t="s">
        <v>9754</v>
      </c>
      <c r="I9714" s="9">
        <v>1971200</v>
      </c>
      <c r="J9714" s="10">
        <v>0.0362</v>
      </c>
    </row>
    <row r="9715" spans="1:10">
      <c r="A9715" s="7" t="s">
        <v>9748</v>
      </c>
      <c r="B9715" s="7" t="s">
        <v>11582</v>
      </c>
      <c r="C9715" s="8">
        <f>QS.CONTEXT.CREATE("market.9713",A9715,"USD","SOFR")</f>
        <v/>
      </c>
      <c r="D9715" s="8">
        <f>QS.CONTEXT.ADD.CURVE(C9715,"SOFR",$K$2:$K$7,$L$2:$L$7,,,"Actual360","LogLinear",TRUE)</f>
        <v/>
      </c>
      <c r="E9715" s="8">
        <f>QS.INSTRUMENT.SWAP("swap.9713",C9715,H9715,B9715,"USD","SOFR",I9715,J9715,0,"Actual360","Simple","Annual","Annual","Annual")</f>
        <v/>
      </c>
      <c r="F9715" s="8">
        <f>QS.TRADE.CREATE("trade.9713",C9715,E9715,A9715,"Receive")</f>
        <v/>
      </c>
      <c r="G9715" s="5"/>
      <c r="H9715" s="7" t="s">
        <v>9755</v>
      </c>
      <c r="I9715" s="9">
        <v>1971300</v>
      </c>
      <c r="J9715" s="10">
        <v>0.03630000000000001</v>
      </c>
    </row>
    <row r="9716" spans="1:10">
      <c r="A9716" s="7" t="s">
        <v>9749</v>
      </c>
      <c r="B9716" s="7" t="s">
        <v>11583</v>
      </c>
      <c r="C9716" s="8">
        <f>QS.CONTEXT.CREATE("market.9714",A9716,"USD","SOFR")</f>
        <v/>
      </c>
      <c r="D9716" s="8">
        <f>QS.CONTEXT.ADD.CURVE(C9716,"SOFR",$K$2:$K$7,$L$2:$L$7,,,"Actual360","LogLinear",TRUE)</f>
        <v/>
      </c>
      <c r="E9716" s="8">
        <f>QS.INSTRUMENT.SWAP("swap.9714",C9716,H9716,B9716,"USD","SOFR",I9716,J9716,0,"Actual360","Simple","Annual","Annual","Annual")</f>
        <v/>
      </c>
      <c r="F9716" s="8">
        <f>QS.TRADE.CREATE("trade.9714",C9716,E9716,A9716,"Receive")</f>
        <v/>
      </c>
      <c r="G9716" s="5"/>
      <c r="H9716" s="7" t="s">
        <v>9756</v>
      </c>
      <c r="I9716" s="9">
        <v>1971400</v>
      </c>
      <c r="J9716" s="10">
        <v>0.0364</v>
      </c>
    </row>
    <row r="9717" spans="1:10">
      <c r="A9717" s="7" t="s">
        <v>9750</v>
      </c>
      <c r="B9717" s="7" t="s">
        <v>11584</v>
      </c>
      <c r="C9717" s="8">
        <f>QS.CONTEXT.CREATE("market.9715",A9717,"USD","SOFR")</f>
        <v/>
      </c>
      <c r="D9717" s="8">
        <f>QS.CONTEXT.ADD.CURVE(C9717,"SOFR",$K$2:$K$7,$L$2:$L$7,,,"Actual360","LogLinear",TRUE)</f>
        <v/>
      </c>
      <c r="E9717" s="8">
        <f>QS.INSTRUMENT.SWAP("swap.9715",C9717,H9717,B9717,"USD","SOFR",I9717,J9717,0,"Actual360","Simple","Annual","Annual","Annual")</f>
        <v/>
      </c>
      <c r="F9717" s="8">
        <f>QS.TRADE.CREATE("trade.9715",C9717,E9717,A9717,"Receive")</f>
        <v/>
      </c>
      <c r="G9717" s="5"/>
      <c r="H9717" s="7" t="s">
        <v>9757</v>
      </c>
      <c r="I9717" s="9">
        <v>1971500</v>
      </c>
      <c r="J9717" s="10">
        <v>0.0365</v>
      </c>
    </row>
    <row r="9718" spans="1:10">
      <c r="A9718" s="7" t="s">
        <v>9751</v>
      </c>
      <c r="B9718" s="7" t="s">
        <v>11585</v>
      </c>
      <c r="C9718" s="8">
        <f>QS.CONTEXT.CREATE("market.9716",A9718,"USD","SOFR")</f>
        <v/>
      </c>
      <c r="D9718" s="8">
        <f>QS.CONTEXT.ADD.CURVE(C9718,"SOFR",$K$2:$K$7,$L$2:$L$7,,,"Actual360","LogLinear",TRUE)</f>
        <v/>
      </c>
      <c r="E9718" s="8">
        <f>QS.INSTRUMENT.SWAP("swap.9716",C9718,H9718,B9718,"USD","SOFR",I9718,J9718,0,"Actual360","Simple","Annual","Annual","Annual")</f>
        <v/>
      </c>
      <c r="F9718" s="8">
        <f>QS.TRADE.CREATE("trade.9716",C9718,E9718,A9718,"Receive")</f>
        <v/>
      </c>
      <c r="G9718" s="5"/>
      <c r="H9718" s="7" t="s">
        <v>9758</v>
      </c>
      <c r="I9718" s="9">
        <v>1971600</v>
      </c>
      <c r="J9718" s="10">
        <v>0.0366</v>
      </c>
    </row>
    <row r="9719" spans="1:10">
      <c r="A9719" s="7" t="s">
        <v>9752</v>
      </c>
      <c r="B9719" s="7" t="s">
        <v>11586</v>
      </c>
      <c r="C9719" s="8">
        <f>QS.CONTEXT.CREATE("market.9717",A9719,"USD","SOFR")</f>
        <v/>
      </c>
      <c r="D9719" s="8">
        <f>QS.CONTEXT.ADD.CURVE(C9719,"SOFR",$K$2:$K$7,$L$2:$L$7,,,"Actual360","LogLinear",TRUE)</f>
        <v/>
      </c>
      <c r="E9719" s="8">
        <f>QS.INSTRUMENT.SWAP("swap.9717",C9719,H9719,B9719,"USD","SOFR",I9719,J9719,0,"Actual360","Simple","Annual","Annual","Annual")</f>
        <v/>
      </c>
      <c r="F9719" s="8">
        <f>QS.TRADE.CREATE("trade.9717",C9719,E9719,A9719,"Receive")</f>
        <v/>
      </c>
      <c r="G9719" s="5"/>
      <c r="H9719" s="7" t="s">
        <v>9759</v>
      </c>
      <c r="I9719" s="9">
        <v>1971700</v>
      </c>
      <c r="J9719" s="10">
        <v>0.0367</v>
      </c>
    </row>
    <row r="9720" spans="1:10">
      <c r="A9720" s="7" t="s">
        <v>9753</v>
      </c>
      <c r="B9720" s="7" t="s">
        <v>11587</v>
      </c>
      <c r="C9720" s="8">
        <f>QS.CONTEXT.CREATE("market.9718",A9720,"USD","SOFR")</f>
        <v/>
      </c>
      <c r="D9720" s="8">
        <f>QS.CONTEXT.ADD.CURVE(C9720,"SOFR",$K$2:$K$7,$L$2:$L$7,,,"Actual360","LogLinear",TRUE)</f>
        <v/>
      </c>
      <c r="E9720" s="8">
        <f>QS.INSTRUMENT.SWAP("swap.9718",C9720,H9720,B9720,"USD","SOFR",I9720,J9720,0,"Actual360","Simple","Annual","Annual","Annual")</f>
        <v/>
      </c>
      <c r="F9720" s="8">
        <f>QS.TRADE.CREATE("trade.9718",C9720,E9720,A9720,"Receive")</f>
        <v/>
      </c>
      <c r="G9720" s="5"/>
      <c r="H9720" s="7" t="s">
        <v>9760</v>
      </c>
      <c r="I9720" s="9">
        <v>1971800</v>
      </c>
      <c r="J9720" s="10">
        <v>0.03680000000000001</v>
      </c>
    </row>
    <row r="9721" spans="1:10">
      <c r="A9721" s="7" t="s">
        <v>9754</v>
      </c>
      <c r="B9721" s="7" t="s">
        <v>11588</v>
      </c>
      <c r="C9721" s="8">
        <f>QS.CONTEXT.CREATE("market.9719",A9721,"USD","SOFR")</f>
        <v/>
      </c>
      <c r="D9721" s="8">
        <f>QS.CONTEXT.ADD.CURVE(C9721,"SOFR",$K$2:$K$7,$L$2:$L$7,,,"Actual360","LogLinear",TRUE)</f>
        <v/>
      </c>
      <c r="E9721" s="8">
        <f>QS.INSTRUMENT.SWAP("swap.9719",C9721,H9721,B9721,"USD","SOFR",I9721,J9721,0,"Actual360","Simple","Annual","Annual","Annual")</f>
        <v/>
      </c>
      <c r="F9721" s="8">
        <f>QS.TRADE.CREATE("trade.9719",C9721,E9721,A9721,"Receive")</f>
        <v/>
      </c>
      <c r="G9721" s="5"/>
      <c r="H9721" s="7" t="s">
        <v>9761</v>
      </c>
      <c r="I9721" s="9">
        <v>1971900</v>
      </c>
      <c r="J9721" s="10">
        <v>0.0369</v>
      </c>
    </row>
    <row r="9722" spans="1:10">
      <c r="A9722" s="7" t="s">
        <v>9755</v>
      </c>
      <c r="B9722" s="7" t="s">
        <v>11589</v>
      </c>
      <c r="C9722" s="8">
        <f>QS.CONTEXT.CREATE("market.9720",A9722,"USD","SOFR")</f>
        <v/>
      </c>
      <c r="D9722" s="8">
        <f>QS.CONTEXT.ADD.CURVE(C9722,"SOFR",$K$2:$K$7,$L$2:$L$7,,,"Actual360","LogLinear",TRUE)</f>
        <v/>
      </c>
      <c r="E9722" s="8">
        <f>QS.INSTRUMENT.SWAP("swap.9720",C9722,H9722,B9722,"USD","SOFR",I9722,J9722,0,"Actual360","Simple","Annual","Annual","Annual")</f>
        <v/>
      </c>
      <c r="F9722" s="8">
        <f>QS.TRADE.CREATE("trade.9720",C9722,E9722,A9722,"Receive")</f>
        <v/>
      </c>
      <c r="G9722" s="5"/>
      <c r="H9722" s="7" t="s">
        <v>9762</v>
      </c>
      <c r="I9722" s="9">
        <v>1972000</v>
      </c>
      <c r="J9722" s="10">
        <v>0.03700000000000001</v>
      </c>
    </row>
    <row r="9723" spans="1:10">
      <c r="A9723" s="7" t="s">
        <v>9756</v>
      </c>
      <c r="B9723" s="7" t="s">
        <v>11590</v>
      </c>
      <c r="C9723" s="8">
        <f>QS.CONTEXT.CREATE("market.9721",A9723,"USD","SOFR")</f>
        <v/>
      </c>
      <c r="D9723" s="8">
        <f>QS.CONTEXT.ADD.CURVE(C9723,"SOFR",$K$2:$K$7,$L$2:$L$7,,,"Actual360","LogLinear",TRUE)</f>
        <v/>
      </c>
      <c r="E9723" s="8">
        <f>QS.INSTRUMENT.SWAP("swap.9721",C9723,H9723,B9723,"USD","SOFR",I9723,J9723,0,"Actual360","Simple","Annual","Annual","Annual")</f>
        <v/>
      </c>
      <c r="F9723" s="8">
        <f>QS.TRADE.CREATE("trade.9721",C9723,E9723,A9723,"Receive")</f>
        <v/>
      </c>
      <c r="G9723" s="5"/>
      <c r="H9723" s="7" t="s">
        <v>9763</v>
      </c>
      <c r="I9723" s="9">
        <v>1972100</v>
      </c>
      <c r="J9723" s="10">
        <v>0.0371</v>
      </c>
    </row>
    <row r="9724" spans="1:10">
      <c r="A9724" s="7" t="s">
        <v>9757</v>
      </c>
      <c r="B9724" s="7" t="s">
        <v>11591</v>
      </c>
      <c r="C9724" s="8">
        <f>QS.CONTEXT.CREATE("market.9722",A9724,"USD","SOFR")</f>
        <v/>
      </c>
      <c r="D9724" s="8">
        <f>QS.CONTEXT.ADD.CURVE(C9724,"SOFR",$K$2:$K$7,$L$2:$L$7,,,"Actual360","LogLinear",TRUE)</f>
        <v/>
      </c>
      <c r="E9724" s="8">
        <f>QS.INSTRUMENT.SWAP("swap.9722",C9724,H9724,B9724,"USD","SOFR",I9724,J9724,0,"Actual360","Simple","Annual","Annual","Annual")</f>
        <v/>
      </c>
      <c r="F9724" s="8">
        <f>QS.TRADE.CREATE("trade.9722",C9724,E9724,A9724,"Receive")</f>
        <v/>
      </c>
      <c r="G9724" s="5"/>
      <c r="H9724" s="7" t="s">
        <v>9764</v>
      </c>
      <c r="I9724" s="9">
        <v>1972200</v>
      </c>
      <c r="J9724" s="10">
        <v>0.0372</v>
      </c>
    </row>
    <row r="9725" spans="1:10">
      <c r="A9725" s="7" t="s">
        <v>9758</v>
      </c>
      <c r="B9725" s="7" t="s">
        <v>11592</v>
      </c>
      <c r="C9725" s="8">
        <f>QS.CONTEXT.CREATE("market.9723",A9725,"USD","SOFR")</f>
        <v/>
      </c>
      <c r="D9725" s="8">
        <f>QS.CONTEXT.ADD.CURVE(C9725,"SOFR",$K$2:$K$7,$L$2:$L$7,,,"Actual360","LogLinear",TRUE)</f>
        <v/>
      </c>
      <c r="E9725" s="8">
        <f>QS.INSTRUMENT.SWAP("swap.9723",C9725,H9725,B9725,"USD","SOFR",I9725,J9725,0,"Actual360","Simple","Annual","Annual","Annual")</f>
        <v/>
      </c>
      <c r="F9725" s="8">
        <f>QS.TRADE.CREATE("trade.9723",C9725,E9725,A9725,"Receive")</f>
        <v/>
      </c>
      <c r="G9725" s="5"/>
      <c r="H9725" s="7" t="s">
        <v>9765</v>
      </c>
      <c r="I9725" s="9">
        <v>1972300</v>
      </c>
      <c r="J9725" s="10">
        <v>0.0373</v>
      </c>
    </row>
    <row r="9726" spans="1:10">
      <c r="A9726" s="7" t="s">
        <v>9759</v>
      </c>
      <c r="B9726" s="7" t="s">
        <v>11593</v>
      </c>
      <c r="C9726" s="8">
        <f>QS.CONTEXT.CREATE("market.9724",A9726,"USD","SOFR")</f>
        <v/>
      </c>
      <c r="D9726" s="8">
        <f>QS.CONTEXT.ADD.CURVE(C9726,"SOFR",$K$2:$K$7,$L$2:$L$7,,,"Actual360","LogLinear",TRUE)</f>
        <v/>
      </c>
      <c r="E9726" s="8">
        <f>QS.INSTRUMENT.SWAP("swap.9724",C9726,H9726,B9726,"USD","SOFR",I9726,J9726,0,"Actual360","Simple","Annual","Annual","Annual")</f>
        <v/>
      </c>
      <c r="F9726" s="8">
        <f>QS.TRADE.CREATE("trade.9724",C9726,E9726,A9726,"Receive")</f>
        <v/>
      </c>
      <c r="G9726" s="5"/>
      <c r="H9726" s="7" t="s">
        <v>9766</v>
      </c>
      <c r="I9726" s="9">
        <v>1972400</v>
      </c>
      <c r="J9726" s="10">
        <v>0.0374</v>
      </c>
    </row>
    <row r="9727" spans="1:10">
      <c r="A9727" s="7" t="s">
        <v>9760</v>
      </c>
      <c r="B9727" s="7" t="s">
        <v>11594</v>
      </c>
      <c r="C9727" s="8">
        <f>QS.CONTEXT.CREATE("market.9725",A9727,"USD","SOFR")</f>
        <v/>
      </c>
      <c r="D9727" s="8">
        <f>QS.CONTEXT.ADD.CURVE(C9727,"SOFR",$K$2:$K$7,$L$2:$L$7,,,"Actual360","LogLinear",TRUE)</f>
        <v/>
      </c>
      <c r="E9727" s="8">
        <f>QS.INSTRUMENT.SWAP("swap.9725",C9727,H9727,B9727,"USD","SOFR",I9727,J9727,0,"Actual360","Simple","Annual","Annual","Annual")</f>
        <v/>
      </c>
      <c r="F9727" s="8">
        <f>QS.TRADE.CREATE("trade.9725",C9727,E9727,A9727,"Receive")</f>
        <v/>
      </c>
      <c r="G9727" s="5"/>
      <c r="H9727" s="7" t="s">
        <v>9767</v>
      </c>
      <c r="I9727" s="9">
        <v>1972500</v>
      </c>
      <c r="J9727" s="10">
        <v>0.03750000000000001</v>
      </c>
    </row>
    <row r="9728" spans="1:10">
      <c r="A9728" s="7" t="s">
        <v>9761</v>
      </c>
      <c r="B9728" s="7" t="s">
        <v>11595</v>
      </c>
      <c r="C9728" s="8">
        <f>QS.CONTEXT.CREATE("market.9726",A9728,"USD","SOFR")</f>
        <v/>
      </c>
      <c r="D9728" s="8">
        <f>QS.CONTEXT.ADD.CURVE(C9728,"SOFR",$K$2:$K$7,$L$2:$L$7,,,"Actual360","LogLinear",TRUE)</f>
        <v/>
      </c>
      <c r="E9728" s="8">
        <f>QS.INSTRUMENT.SWAP("swap.9726",C9728,H9728,B9728,"USD","SOFR",I9728,J9728,0,"Actual360","Simple","Annual","Annual","Annual")</f>
        <v/>
      </c>
      <c r="F9728" s="8">
        <f>QS.TRADE.CREATE("trade.9726",C9728,E9728,A9728,"Receive")</f>
        <v/>
      </c>
      <c r="G9728" s="5"/>
      <c r="H9728" s="7" t="s">
        <v>9768</v>
      </c>
      <c r="I9728" s="9">
        <v>1972600</v>
      </c>
      <c r="J9728" s="10">
        <v>0.0376</v>
      </c>
    </row>
    <row r="9729" spans="1:10">
      <c r="A9729" s="7" t="s">
        <v>9762</v>
      </c>
      <c r="B9729" s="7" t="s">
        <v>11596</v>
      </c>
      <c r="C9729" s="8">
        <f>QS.CONTEXT.CREATE("market.9727",A9729,"USD","SOFR")</f>
        <v/>
      </c>
      <c r="D9729" s="8">
        <f>QS.CONTEXT.ADD.CURVE(C9729,"SOFR",$K$2:$K$7,$L$2:$L$7,,,"Actual360","LogLinear",TRUE)</f>
        <v/>
      </c>
      <c r="E9729" s="8">
        <f>QS.INSTRUMENT.SWAP("swap.9727",C9729,H9729,B9729,"USD","SOFR",I9729,J9729,0,"Actual360","Simple","Annual","Annual","Annual")</f>
        <v/>
      </c>
      <c r="F9729" s="8">
        <f>QS.TRADE.CREATE("trade.9727",C9729,E9729,A9729,"Receive")</f>
        <v/>
      </c>
      <c r="G9729" s="5"/>
      <c r="H9729" s="7" t="s">
        <v>9769</v>
      </c>
      <c r="I9729" s="9">
        <v>1972700</v>
      </c>
      <c r="J9729" s="10">
        <v>0.0377</v>
      </c>
    </row>
    <row r="9730" spans="1:10">
      <c r="A9730" s="7" t="s">
        <v>9763</v>
      </c>
      <c r="B9730" s="7" t="s">
        <v>11597</v>
      </c>
      <c r="C9730" s="8">
        <f>QS.CONTEXT.CREATE("market.9728",A9730,"USD","SOFR")</f>
        <v/>
      </c>
      <c r="D9730" s="8">
        <f>QS.CONTEXT.ADD.CURVE(C9730,"SOFR",$K$2:$K$7,$L$2:$L$7,,,"Actual360","LogLinear",TRUE)</f>
        <v/>
      </c>
      <c r="E9730" s="8">
        <f>QS.INSTRUMENT.SWAP("swap.9728",C9730,H9730,B9730,"USD","SOFR",I9730,J9730,0,"Actual360","Simple","Annual","Annual","Annual")</f>
        <v/>
      </c>
      <c r="F9730" s="8">
        <f>QS.TRADE.CREATE("trade.9728",C9730,E9730,A9730,"Receive")</f>
        <v/>
      </c>
      <c r="G9730" s="5"/>
      <c r="H9730" s="7" t="s">
        <v>9770</v>
      </c>
      <c r="I9730" s="9">
        <v>1972800</v>
      </c>
      <c r="J9730" s="10">
        <v>0.0378</v>
      </c>
    </row>
    <row r="9731" spans="1:10">
      <c r="A9731" s="7" t="s">
        <v>9764</v>
      </c>
      <c r="B9731" s="7" t="s">
        <v>11598</v>
      </c>
      <c r="C9731" s="8">
        <f>QS.CONTEXT.CREATE("market.9729",A9731,"USD","SOFR")</f>
        <v/>
      </c>
      <c r="D9731" s="8">
        <f>QS.CONTEXT.ADD.CURVE(C9731,"SOFR",$K$2:$K$7,$L$2:$L$7,,,"Actual360","LogLinear",TRUE)</f>
        <v/>
      </c>
      <c r="E9731" s="8">
        <f>QS.INSTRUMENT.SWAP("swap.9729",C9731,H9731,B9731,"USD","SOFR",I9731,J9731,0,"Actual360","Simple","Annual","Annual","Annual")</f>
        <v/>
      </c>
      <c r="F9731" s="8">
        <f>QS.TRADE.CREATE("trade.9729",C9731,E9731,A9731,"Receive")</f>
        <v/>
      </c>
      <c r="G9731" s="5"/>
      <c r="H9731" s="7" t="s">
        <v>9771</v>
      </c>
      <c r="I9731" s="9">
        <v>1972900</v>
      </c>
      <c r="J9731" s="10">
        <v>0.0379</v>
      </c>
    </row>
    <row r="9732" spans="1:10">
      <c r="A9732" s="7" t="s">
        <v>9765</v>
      </c>
      <c r="B9732" s="7" t="s">
        <v>11599</v>
      </c>
      <c r="C9732" s="8">
        <f>QS.CONTEXT.CREATE("market.9730",A9732,"USD","SOFR")</f>
        <v/>
      </c>
      <c r="D9732" s="8">
        <f>QS.CONTEXT.ADD.CURVE(C9732,"SOFR",$K$2:$K$7,$L$2:$L$7,,,"Actual360","LogLinear",TRUE)</f>
        <v/>
      </c>
      <c r="E9732" s="8">
        <f>QS.INSTRUMENT.SWAP("swap.9730",C9732,H9732,B9732,"USD","SOFR",I9732,J9732,0,"Actual360","Simple","Annual","Annual","Annual")</f>
        <v/>
      </c>
      <c r="F9732" s="8">
        <f>QS.TRADE.CREATE("trade.9730",C9732,E9732,A9732,"Receive")</f>
        <v/>
      </c>
      <c r="G9732" s="5"/>
      <c r="H9732" s="7" t="s">
        <v>9772</v>
      </c>
      <c r="I9732" s="9">
        <v>1973000</v>
      </c>
      <c r="J9732" s="10">
        <v>0.03800000000000001</v>
      </c>
    </row>
    <row r="9733" spans="1:10">
      <c r="A9733" s="7" t="s">
        <v>9766</v>
      </c>
      <c r="B9733" s="7" t="s">
        <v>11600</v>
      </c>
      <c r="C9733" s="8">
        <f>QS.CONTEXT.CREATE("market.9731",A9733,"USD","SOFR")</f>
        <v/>
      </c>
      <c r="D9733" s="8">
        <f>QS.CONTEXT.ADD.CURVE(C9733,"SOFR",$K$2:$K$7,$L$2:$L$7,,,"Actual360","LogLinear",TRUE)</f>
        <v/>
      </c>
      <c r="E9733" s="8">
        <f>QS.INSTRUMENT.SWAP("swap.9731",C9733,H9733,B9733,"USD","SOFR",I9733,J9733,0,"Actual360","Simple","Annual","Annual","Annual")</f>
        <v/>
      </c>
      <c r="F9733" s="8">
        <f>QS.TRADE.CREATE("trade.9731",C9733,E9733,A9733,"Receive")</f>
        <v/>
      </c>
      <c r="G9733" s="5"/>
      <c r="H9733" s="7" t="s">
        <v>9773</v>
      </c>
      <c r="I9733" s="9">
        <v>1973100</v>
      </c>
      <c r="J9733" s="10">
        <v>0.0381</v>
      </c>
    </row>
    <row r="9734" spans="1:10">
      <c r="A9734" s="7" t="s">
        <v>9767</v>
      </c>
      <c r="B9734" s="7" t="s">
        <v>11601</v>
      </c>
      <c r="C9734" s="8">
        <f>QS.CONTEXT.CREATE("market.9732",A9734,"USD","SOFR")</f>
        <v/>
      </c>
      <c r="D9734" s="8">
        <f>QS.CONTEXT.ADD.CURVE(C9734,"SOFR",$K$2:$K$7,$L$2:$L$7,,,"Actual360","LogLinear",TRUE)</f>
        <v/>
      </c>
      <c r="E9734" s="8">
        <f>QS.INSTRUMENT.SWAP("swap.9732",C9734,H9734,B9734,"USD","SOFR",I9734,J9734,0,"Actual360","Simple","Annual","Annual","Annual")</f>
        <v/>
      </c>
      <c r="F9734" s="8">
        <f>QS.TRADE.CREATE("trade.9732",C9734,E9734,A9734,"Receive")</f>
        <v/>
      </c>
      <c r="G9734" s="5"/>
      <c r="H9734" s="7" t="s">
        <v>9774</v>
      </c>
      <c r="I9734" s="9">
        <v>1973200</v>
      </c>
      <c r="J9734" s="10">
        <v>0.0382</v>
      </c>
    </row>
    <row r="9735" spans="1:10">
      <c r="A9735" s="7" t="s">
        <v>9768</v>
      </c>
      <c r="B9735" s="7" t="s">
        <v>11602</v>
      </c>
      <c r="C9735" s="8">
        <f>QS.CONTEXT.CREATE("market.9733",A9735,"USD","SOFR")</f>
        <v/>
      </c>
      <c r="D9735" s="8">
        <f>QS.CONTEXT.ADD.CURVE(C9735,"SOFR",$K$2:$K$7,$L$2:$L$7,,,"Actual360","LogLinear",TRUE)</f>
        <v/>
      </c>
      <c r="E9735" s="8">
        <f>QS.INSTRUMENT.SWAP("swap.9733",C9735,H9735,B9735,"USD","SOFR",I9735,J9735,0,"Actual360","Simple","Annual","Annual","Annual")</f>
        <v/>
      </c>
      <c r="F9735" s="8">
        <f>QS.TRADE.CREATE("trade.9733",C9735,E9735,A9735,"Receive")</f>
        <v/>
      </c>
      <c r="G9735" s="5"/>
      <c r="H9735" s="7" t="s">
        <v>9775</v>
      </c>
      <c r="I9735" s="9">
        <v>1973300</v>
      </c>
      <c r="J9735" s="10">
        <v>0.0383</v>
      </c>
    </row>
    <row r="9736" spans="1:10">
      <c r="A9736" s="7" t="s">
        <v>9769</v>
      </c>
      <c r="B9736" s="7" t="s">
        <v>11603</v>
      </c>
      <c r="C9736" s="8">
        <f>QS.CONTEXT.CREATE("market.9734",A9736,"USD","SOFR")</f>
        <v/>
      </c>
      <c r="D9736" s="8">
        <f>QS.CONTEXT.ADD.CURVE(C9736,"SOFR",$K$2:$K$7,$L$2:$L$7,,,"Actual360","LogLinear",TRUE)</f>
        <v/>
      </c>
      <c r="E9736" s="8">
        <f>QS.INSTRUMENT.SWAP("swap.9734",C9736,H9736,B9736,"USD","SOFR",I9736,J9736,0,"Actual360","Simple","Annual","Annual","Annual")</f>
        <v/>
      </c>
      <c r="F9736" s="8">
        <f>QS.TRADE.CREATE("trade.9734",C9736,E9736,A9736,"Receive")</f>
        <v/>
      </c>
      <c r="G9736" s="5"/>
      <c r="H9736" s="7" t="s">
        <v>9776</v>
      </c>
      <c r="I9736" s="9">
        <v>1973400</v>
      </c>
      <c r="J9736" s="10">
        <v>0.0384</v>
      </c>
    </row>
    <row r="9737" spans="1:10">
      <c r="A9737" s="7" t="s">
        <v>9770</v>
      </c>
      <c r="B9737" s="7" t="s">
        <v>11604</v>
      </c>
      <c r="C9737" s="8">
        <f>QS.CONTEXT.CREATE("market.9735",A9737,"USD","SOFR")</f>
        <v/>
      </c>
      <c r="D9737" s="8">
        <f>QS.CONTEXT.ADD.CURVE(C9737,"SOFR",$K$2:$K$7,$L$2:$L$7,,,"Actual360","LogLinear",TRUE)</f>
        <v/>
      </c>
      <c r="E9737" s="8">
        <f>QS.INSTRUMENT.SWAP("swap.9735",C9737,H9737,B9737,"USD","SOFR",I9737,J9737,0,"Actual360","Simple","Annual","Annual","Annual")</f>
        <v/>
      </c>
      <c r="F9737" s="8">
        <f>QS.TRADE.CREATE("trade.9735",C9737,E9737,A9737,"Receive")</f>
        <v/>
      </c>
      <c r="G9737" s="5"/>
      <c r="H9737" s="7" t="s">
        <v>9777</v>
      </c>
      <c r="I9737" s="9">
        <v>1973500</v>
      </c>
      <c r="J9737" s="10">
        <v>0.03850000000000001</v>
      </c>
    </row>
    <row r="9738" spans="1:10">
      <c r="A9738" s="7" t="s">
        <v>9771</v>
      </c>
      <c r="B9738" s="7" t="s">
        <v>11605</v>
      </c>
      <c r="C9738" s="8">
        <f>QS.CONTEXT.CREATE("market.9736",A9738,"USD","SOFR")</f>
        <v/>
      </c>
      <c r="D9738" s="8">
        <f>QS.CONTEXT.ADD.CURVE(C9738,"SOFR",$K$2:$K$7,$L$2:$L$7,,,"Actual360","LogLinear",TRUE)</f>
        <v/>
      </c>
      <c r="E9738" s="8">
        <f>QS.INSTRUMENT.SWAP("swap.9736",C9738,H9738,B9738,"USD","SOFR",I9738,J9738,0,"Actual360","Simple","Annual","Annual","Annual")</f>
        <v/>
      </c>
      <c r="F9738" s="8">
        <f>QS.TRADE.CREATE("trade.9736",C9738,E9738,A9738,"Receive")</f>
        <v/>
      </c>
      <c r="G9738" s="5"/>
      <c r="H9738" s="7" t="s">
        <v>9778</v>
      </c>
      <c r="I9738" s="9">
        <v>1973600</v>
      </c>
      <c r="J9738" s="10">
        <v>0.0386</v>
      </c>
    </row>
    <row r="9739" spans="1:10">
      <c r="A9739" s="7" t="s">
        <v>9772</v>
      </c>
      <c r="B9739" s="7" t="s">
        <v>11606</v>
      </c>
      <c r="C9739" s="8">
        <f>QS.CONTEXT.CREATE("market.9737",A9739,"USD","SOFR")</f>
        <v/>
      </c>
      <c r="D9739" s="8">
        <f>QS.CONTEXT.ADD.CURVE(C9739,"SOFR",$K$2:$K$7,$L$2:$L$7,,,"Actual360","LogLinear",TRUE)</f>
        <v/>
      </c>
      <c r="E9739" s="8">
        <f>QS.INSTRUMENT.SWAP("swap.9737",C9739,H9739,B9739,"USD","SOFR",I9739,J9739,0,"Actual360","Simple","Annual","Annual","Annual")</f>
        <v/>
      </c>
      <c r="F9739" s="8">
        <f>QS.TRADE.CREATE("trade.9737",C9739,E9739,A9739,"Receive")</f>
        <v/>
      </c>
      <c r="G9739" s="5"/>
      <c r="H9739" s="7" t="s">
        <v>9779</v>
      </c>
      <c r="I9739" s="9">
        <v>1973700</v>
      </c>
      <c r="J9739" s="10">
        <v>0.03870000000000001</v>
      </c>
    </row>
    <row r="9740" spans="1:10">
      <c r="A9740" s="7" t="s">
        <v>9773</v>
      </c>
      <c r="B9740" s="7" t="s">
        <v>11607</v>
      </c>
      <c r="C9740" s="8">
        <f>QS.CONTEXT.CREATE("market.9738",A9740,"USD","SOFR")</f>
        <v/>
      </c>
      <c r="D9740" s="8">
        <f>QS.CONTEXT.ADD.CURVE(C9740,"SOFR",$K$2:$K$7,$L$2:$L$7,,,"Actual360","LogLinear",TRUE)</f>
        <v/>
      </c>
      <c r="E9740" s="8">
        <f>QS.INSTRUMENT.SWAP("swap.9738",C9740,H9740,B9740,"USD","SOFR",I9740,J9740,0,"Actual360","Simple","Annual","Annual","Annual")</f>
        <v/>
      </c>
      <c r="F9740" s="8">
        <f>QS.TRADE.CREATE("trade.9738",C9740,E9740,A9740,"Receive")</f>
        <v/>
      </c>
      <c r="G9740" s="5"/>
      <c r="H9740" s="7" t="s">
        <v>9780</v>
      </c>
      <c r="I9740" s="9">
        <v>1973800</v>
      </c>
      <c r="J9740" s="10">
        <v>0.0388</v>
      </c>
    </row>
    <row r="9741" spans="1:10">
      <c r="A9741" s="7" t="s">
        <v>9774</v>
      </c>
      <c r="B9741" s="7" t="s">
        <v>11608</v>
      </c>
      <c r="C9741" s="8">
        <f>QS.CONTEXT.CREATE("market.9739",A9741,"USD","SOFR")</f>
        <v/>
      </c>
      <c r="D9741" s="8">
        <f>QS.CONTEXT.ADD.CURVE(C9741,"SOFR",$K$2:$K$7,$L$2:$L$7,,,"Actual360","LogLinear",TRUE)</f>
        <v/>
      </c>
      <c r="E9741" s="8">
        <f>QS.INSTRUMENT.SWAP("swap.9739",C9741,H9741,B9741,"USD","SOFR",I9741,J9741,0,"Actual360","Simple","Annual","Annual","Annual")</f>
        <v/>
      </c>
      <c r="F9741" s="8">
        <f>QS.TRADE.CREATE("trade.9739",C9741,E9741,A9741,"Receive")</f>
        <v/>
      </c>
      <c r="G9741" s="5"/>
      <c r="H9741" s="7" t="s">
        <v>9781</v>
      </c>
      <c r="I9741" s="9">
        <v>1973900</v>
      </c>
      <c r="J9741" s="10">
        <v>0.0389</v>
      </c>
    </row>
    <row r="9742" spans="1:10">
      <c r="A9742" s="7" t="s">
        <v>9775</v>
      </c>
      <c r="B9742" s="7" t="s">
        <v>11609</v>
      </c>
      <c r="C9742" s="8">
        <f>QS.CONTEXT.CREATE("market.9740",A9742,"USD","SOFR")</f>
        <v/>
      </c>
      <c r="D9742" s="8">
        <f>QS.CONTEXT.ADD.CURVE(C9742,"SOFR",$K$2:$K$7,$L$2:$L$7,,,"Actual360","LogLinear",TRUE)</f>
        <v/>
      </c>
      <c r="E9742" s="8">
        <f>QS.INSTRUMENT.SWAP("swap.9740",C9742,H9742,B9742,"USD","SOFR",I9742,J9742,0,"Actual360","Simple","Annual","Annual","Annual")</f>
        <v/>
      </c>
      <c r="F9742" s="8">
        <f>QS.TRADE.CREATE("trade.9740",C9742,E9742,A9742,"Receive")</f>
        <v/>
      </c>
      <c r="G9742" s="5"/>
      <c r="H9742" s="7" t="s">
        <v>9782</v>
      </c>
      <c r="I9742" s="9">
        <v>1974000</v>
      </c>
      <c r="J9742" s="10">
        <v>0.03900000000000001</v>
      </c>
    </row>
    <row r="9743" spans="1:10">
      <c r="A9743" s="7" t="s">
        <v>9776</v>
      </c>
      <c r="B9743" s="7" t="s">
        <v>11610</v>
      </c>
      <c r="C9743" s="8">
        <f>QS.CONTEXT.CREATE("market.9741",A9743,"USD","SOFR")</f>
        <v/>
      </c>
      <c r="D9743" s="8">
        <f>QS.CONTEXT.ADD.CURVE(C9743,"SOFR",$K$2:$K$7,$L$2:$L$7,,,"Actual360","LogLinear",TRUE)</f>
        <v/>
      </c>
      <c r="E9743" s="8">
        <f>QS.INSTRUMENT.SWAP("swap.9741",C9743,H9743,B9743,"USD","SOFR",I9743,J9743,0,"Actual360","Simple","Annual","Annual","Annual")</f>
        <v/>
      </c>
      <c r="F9743" s="8">
        <f>QS.TRADE.CREATE("trade.9741",C9743,E9743,A9743,"Receive")</f>
        <v/>
      </c>
      <c r="G9743" s="5"/>
      <c r="H9743" s="7" t="s">
        <v>9783</v>
      </c>
      <c r="I9743" s="9">
        <v>1974100</v>
      </c>
      <c r="J9743" s="10">
        <v>0.0391</v>
      </c>
    </row>
    <row r="9744" spans="1:10">
      <c r="A9744" s="7" t="s">
        <v>9777</v>
      </c>
      <c r="B9744" s="7" t="s">
        <v>11611</v>
      </c>
      <c r="C9744" s="8">
        <f>QS.CONTEXT.CREATE("market.9742",A9744,"USD","SOFR")</f>
        <v/>
      </c>
      <c r="D9744" s="8">
        <f>QS.CONTEXT.ADD.CURVE(C9744,"SOFR",$K$2:$K$7,$L$2:$L$7,,,"Actual360","LogLinear",TRUE)</f>
        <v/>
      </c>
      <c r="E9744" s="8">
        <f>QS.INSTRUMENT.SWAP("swap.9742",C9744,H9744,B9744,"USD","SOFR",I9744,J9744,0,"Actual360","Simple","Annual","Annual","Annual")</f>
        <v/>
      </c>
      <c r="F9744" s="8">
        <f>QS.TRADE.CREATE("trade.9742",C9744,E9744,A9744,"Receive")</f>
        <v/>
      </c>
      <c r="G9744" s="5"/>
      <c r="H9744" s="7" t="s">
        <v>9784</v>
      </c>
      <c r="I9744" s="9">
        <v>1974200</v>
      </c>
      <c r="J9744" s="10">
        <v>0.03920000000000001</v>
      </c>
    </row>
    <row r="9745" spans="1:10">
      <c r="A9745" s="7" t="s">
        <v>9778</v>
      </c>
      <c r="B9745" s="7" t="s">
        <v>11612</v>
      </c>
      <c r="C9745" s="8">
        <f>QS.CONTEXT.CREATE("market.9743",A9745,"USD","SOFR")</f>
        <v/>
      </c>
      <c r="D9745" s="8">
        <f>QS.CONTEXT.ADD.CURVE(C9745,"SOFR",$K$2:$K$7,$L$2:$L$7,,,"Actual360","LogLinear",TRUE)</f>
        <v/>
      </c>
      <c r="E9745" s="8">
        <f>QS.INSTRUMENT.SWAP("swap.9743",C9745,H9745,B9745,"USD","SOFR",I9745,J9745,0,"Actual360","Simple","Annual","Annual","Annual")</f>
        <v/>
      </c>
      <c r="F9745" s="8">
        <f>QS.TRADE.CREATE("trade.9743",C9745,E9745,A9745,"Receive")</f>
        <v/>
      </c>
      <c r="G9745" s="5"/>
      <c r="H9745" s="7" t="s">
        <v>9785</v>
      </c>
      <c r="I9745" s="9">
        <v>1974300</v>
      </c>
      <c r="J9745" s="10">
        <v>0.0393</v>
      </c>
    </row>
    <row r="9746" spans="1:10">
      <c r="A9746" s="7" t="s">
        <v>9779</v>
      </c>
      <c r="B9746" s="7" t="s">
        <v>11613</v>
      </c>
      <c r="C9746" s="8">
        <f>QS.CONTEXT.CREATE("market.9744",A9746,"USD","SOFR")</f>
        <v/>
      </c>
      <c r="D9746" s="8">
        <f>QS.CONTEXT.ADD.CURVE(C9746,"SOFR",$K$2:$K$7,$L$2:$L$7,,,"Actual360","LogLinear",TRUE)</f>
        <v/>
      </c>
      <c r="E9746" s="8">
        <f>QS.INSTRUMENT.SWAP("swap.9744",C9746,H9746,B9746,"USD","SOFR",I9746,J9746,0,"Actual360","Simple","Annual","Annual","Annual")</f>
        <v/>
      </c>
      <c r="F9746" s="8">
        <f>QS.TRADE.CREATE("trade.9744",C9746,E9746,A9746,"Receive")</f>
        <v/>
      </c>
      <c r="G9746" s="5"/>
      <c r="H9746" s="7" t="s">
        <v>9786</v>
      </c>
      <c r="I9746" s="9">
        <v>1974400</v>
      </c>
      <c r="J9746" s="10">
        <v>0.0394</v>
      </c>
    </row>
    <row r="9747" spans="1:10">
      <c r="A9747" s="7" t="s">
        <v>9780</v>
      </c>
      <c r="B9747" s="7" t="s">
        <v>11614</v>
      </c>
      <c r="C9747" s="8">
        <f>QS.CONTEXT.CREATE("market.9745",A9747,"USD","SOFR")</f>
        <v/>
      </c>
      <c r="D9747" s="8">
        <f>QS.CONTEXT.ADD.CURVE(C9747,"SOFR",$K$2:$K$7,$L$2:$L$7,,,"Actual360","LogLinear",TRUE)</f>
        <v/>
      </c>
      <c r="E9747" s="8">
        <f>QS.INSTRUMENT.SWAP("swap.9745",C9747,H9747,B9747,"USD","SOFR",I9747,J9747,0,"Actual360","Simple","Annual","Annual","Annual")</f>
        <v/>
      </c>
      <c r="F9747" s="8">
        <f>QS.TRADE.CREATE("trade.9745",C9747,E9747,A9747,"Receive")</f>
        <v/>
      </c>
      <c r="G9747" s="5"/>
      <c r="H9747" s="7" t="s">
        <v>9787</v>
      </c>
      <c r="I9747" s="9">
        <v>1974500</v>
      </c>
      <c r="J9747" s="10">
        <v>0.03950000000000001</v>
      </c>
    </row>
    <row r="9748" spans="1:10">
      <c r="A9748" s="7" t="s">
        <v>9781</v>
      </c>
      <c r="B9748" s="7" t="s">
        <v>11615</v>
      </c>
      <c r="C9748" s="8">
        <f>QS.CONTEXT.CREATE("market.9746",A9748,"USD","SOFR")</f>
        <v/>
      </c>
      <c r="D9748" s="8">
        <f>QS.CONTEXT.ADD.CURVE(C9748,"SOFR",$K$2:$K$7,$L$2:$L$7,,,"Actual360","LogLinear",TRUE)</f>
        <v/>
      </c>
      <c r="E9748" s="8">
        <f>QS.INSTRUMENT.SWAP("swap.9746",C9748,H9748,B9748,"USD","SOFR",I9748,J9748,0,"Actual360","Simple","Annual","Annual","Annual")</f>
        <v/>
      </c>
      <c r="F9748" s="8">
        <f>QS.TRADE.CREATE("trade.9746",C9748,E9748,A9748,"Receive")</f>
        <v/>
      </c>
      <c r="G9748" s="5"/>
      <c r="H9748" s="7" t="s">
        <v>9788</v>
      </c>
      <c r="I9748" s="9">
        <v>1974600</v>
      </c>
      <c r="J9748" s="10">
        <v>0.0396</v>
      </c>
    </row>
    <row r="9749" spans="1:10">
      <c r="A9749" s="7" t="s">
        <v>9782</v>
      </c>
      <c r="B9749" s="7" t="s">
        <v>11616</v>
      </c>
      <c r="C9749" s="8">
        <f>QS.CONTEXT.CREATE("market.9747",A9749,"USD","SOFR")</f>
        <v/>
      </c>
      <c r="D9749" s="8">
        <f>QS.CONTEXT.ADD.CURVE(C9749,"SOFR",$K$2:$K$7,$L$2:$L$7,,,"Actual360","LogLinear",TRUE)</f>
        <v/>
      </c>
      <c r="E9749" s="8">
        <f>QS.INSTRUMENT.SWAP("swap.9747",C9749,H9749,B9749,"USD","SOFR",I9749,J9749,0,"Actual360","Simple","Annual","Annual","Annual")</f>
        <v/>
      </c>
      <c r="F9749" s="8">
        <f>QS.TRADE.CREATE("trade.9747",C9749,E9749,A9749,"Receive")</f>
        <v/>
      </c>
      <c r="G9749" s="5"/>
      <c r="H9749" s="7" t="s">
        <v>9789</v>
      </c>
      <c r="I9749" s="9">
        <v>1974700</v>
      </c>
      <c r="J9749" s="10">
        <v>0.03970000000000001</v>
      </c>
    </row>
    <row r="9750" spans="1:10">
      <c r="A9750" s="7" t="s">
        <v>9783</v>
      </c>
      <c r="B9750" s="7" t="s">
        <v>11617</v>
      </c>
      <c r="C9750" s="8">
        <f>QS.CONTEXT.CREATE("market.9748",A9750,"USD","SOFR")</f>
        <v/>
      </c>
      <c r="D9750" s="8">
        <f>QS.CONTEXT.ADD.CURVE(C9750,"SOFR",$K$2:$K$7,$L$2:$L$7,,,"Actual360","LogLinear",TRUE)</f>
        <v/>
      </c>
      <c r="E9750" s="8">
        <f>QS.INSTRUMENT.SWAP("swap.9748",C9750,H9750,B9750,"USD","SOFR",I9750,J9750,0,"Actual360","Simple","Annual","Annual","Annual")</f>
        <v/>
      </c>
      <c r="F9750" s="8">
        <f>QS.TRADE.CREATE("trade.9748",C9750,E9750,A9750,"Receive")</f>
        <v/>
      </c>
      <c r="G9750" s="5"/>
      <c r="H9750" s="7" t="s">
        <v>9790</v>
      </c>
      <c r="I9750" s="9">
        <v>1974800</v>
      </c>
      <c r="J9750" s="10">
        <v>0.0398</v>
      </c>
    </row>
    <row r="9751" spans="1:10">
      <c r="A9751" s="7" t="s">
        <v>9784</v>
      </c>
      <c r="B9751" s="7" t="s">
        <v>11618</v>
      </c>
      <c r="C9751" s="8">
        <f>QS.CONTEXT.CREATE("market.9749",A9751,"USD","SOFR")</f>
        <v/>
      </c>
      <c r="D9751" s="8">
        <f>QS.CONTEXT.ADD.CURVE(C9751,"SOFR",$K$2:$K$7,$L$2:$L$7,,,"Actual360","LogLinear",TRUE)</f>
        <v/>
      </c>
      <c r="E9751" s="8">
        <f>QS.INSTRUMENT.SWAP("swap.9749",C9751,H9751,B9751,"USD","SOFR",I9751,J9751,0,"Actual360","Simple","Annual","Annual","Annual")</f>
        <v/>
      </c>
      <c r="F9751" s="8">
        <f>QS.TRADE.CREATE("trade.9749",C9751,E9751,A9751,"Receive")</f>
        <v/>
      </c>
      <c r="G9751" s="5"/>
      <c r="H9751" s="7" t="s">
        <v>9791</v>
      </c>
      <c r="I9751" s="9">
        <v>1974900</v>
      </c>
      <c r="J9751" s="10">
        <v>0.0399</v>
      </c>
    </row>
    <row r="9752" spans="1:10">
      <c r="A9752" s="7" t="s">
        <v>9785</v>
      </c>
      <c r="B9752" s="7" t="s">
        <v>11619</v>
      </c>
      <c r="C9752" s="8">
        <f>QS.CONTEXT.CREATE("market.9750",A9752,"USD","SOFR")</f>
        <v/>
      </c>
      <c r="D9752" s="8">
        <f>QS.CONTEXT.ADD.CURVE(C9752,"SOFR",$K$2:$K$7,$L$2:$L$7,,,"Actual360","LogLinear",TRUE)</f>
        <v/>
      </c>
      <c r="E9752" s="8">
        <f>QS.INSTRUMENT.SWAP("swap.9750",C9752,H9752,B9752,"USD","SOFR",I9752,J9752,0,"Actual360","Simple","Annual","Annual","Annual")</f>
        <v/>
      </c>
      <c r="F9752" s="8">
        <f>QS.TRADE.CREATE("trade.9750",C9752,E9752,A9752,"Receive")</f>
        <v/>
      </c>
      <c r="G9752" s="5"/>
      <c r="H9752" s="7" t="s">
        <v>9792</v>
      </c>
      <c r="I9752" s="9">
        <v>1975000</v>
      </c>
      <c r="J9752" s="10">
        <v>0.035</v>
      </c>
    </row>
    <row r="9753" spans="1:10">
      <c r="A9753" s="7" t="s">
        <v>9786</v>
      </c>
      <c r="B9753" s="7" t="s">
        <v>11620</v>
      </c>
      <c r="C9753" s="8">
        <f>QS.CONTEXT.CREATE("market.9751",A9753,"USD","SOFR")</f>
        <v/>
      </c>
      <c r="D9753" s="8">
        <f>QS.CONTEXT.ADD.CURVE(C9753,"SOFR",$K$2:$K$7,$L$2:$L$7,,,"Actual360","LogLinear",TRUE)</f>
        <v/>
      </c>
      <c r="E9753" s="8">
        <f>QS.INSTRUMENT.SWAP("swap.9751",C9753,H9753,B9753,"USD","SOFR",I9753,J9753,0,"Actual360","Simple","Annual","Annual","Annual")</f>
        <v/>
      </c>
      <c r="F9753" s="8">
        <f>QS.TRADE.CREATE("trade.9751",C9753,E9753,A9753,"Receive")</f>
        <v/>
      </c>
      <c r="G9753" s="5"/>
      <c r="H9753" s="7" t="s">
        <v>9793</v>
      </c>
      <c r="I9753" s="9">
        <v>1975100</v>
      </c>
      <c r="J9753" s="10">
        <v>0.03510000000000001</v>
      </c>
    </row>
    <row r="9754" spans="1:10">
      <c r="A9754" s="7" t="s">
        <v>9787</v>
      </c>
      <c r="B9754" s="7" t="s">
        <v>11621</v>
      </c>
      <c r="C9754" s="8">
        <f>QS.CONTEXT.CREATE("market.9752",A9754,"USD","SOFR")</f>
        <v/>
      </c>
      <c r="D9754" s="8">
        <f>QS.CONTEXT.ADD.CURVE(C9754,"SOFR",$K$2:$K$7,$L$2:$L$7,,,"Actual360","LogLinear",TRUE)</f>
        <v/>
      </c>
      <c r="E9754" s="8">
        <f>QS.INSTRUMENT.SWAP("swap.9752",C9754,H9754,B9754,"USD","SOFR",I9754,J9754,0,"Actual360","Simple","Annual","Annual","Annual")</f>
        <v/>
      </c>
      <c r="F9754" s="8">
        <f>QS.TRADE.CREATE("trade.9752",C9754,E9754,A9754,"Receive")</f>
        <v/>
      </c>
      <c r="G9754" s="5"/>
      <c r="H9754" s="7" t="s">
        <v>9794</v>
      </c>
      <c r="I9754" s="9">
        <v>1975200</v>
      </c>
      <c r="J9754" s="10">
        <v>0.0352</v>
      </c>
    </row>
    <row r="9755" spans="1:10">
      <c r="A9755" s="7" t="s">
        <v>9788</v>
      </c>
      <c r="B9755" s="7" t="s">
        <v>11622</v>
      </c>
      <c r="C9755" s="8">
        <f>QS.CONTEXT.CREATE("market.9753",A9755,"USD","SOFR")</f>
        <v/>
      </c>
      <c r="D9755" s="8">
        <f>QS.CONTEXT.ADD.CURVE(C9755,"SOFR",$K$2:$K$7,$L$2:$L$7,,,"Actual360","LogLinear",TRUE)</f>
        <v/>
      </c>
      <c r="E9755" s="8">
        <f>QS.INSTRUMENT.SWAP("swap.9753",C9755,H9755,B9755,"USD","SOFR",I9755,J9755,0,"Actual360","Simple","Annual","Annual","Annual")</f>
        <v/>
      </c>
      <c r="F9755" s="8">
        <f>QS.TRADE.CREATE("trade.9753",C9755,E9755,A9755,"Receive")</f>
        <v/>
      </c>
      <c r="G9755" s="5"/>
      <c r="H9755" s="7" t="s">
        <v>9795</v>
      </c>
      <c r="I9755" s="9">
        <v>1975300</v>
      </c>
      <c r="J9755" s="10">
        <v>0.0353</v>
      </c>
    </row>
    <row r="9756" spans="1:10">
      <c r="A9756" s="7" t="s">
        <v>9789</v>
      </c>
      <c r="B9756" s="7" t="s">
        <v>11623</v>
      </c>
      <c r="C9756" s="8">
        <f>QS.CONTEXT.CREATE("market.9754",A9756,"USD","SOFR")</f>
        <v/>
      </c>
      <c r="D9756" s="8">
        <f>QS.CONTEXT.ADD.CURVE(C9756,"SOFR",$K$2:$K$7,$L$2:$L$7,,,"Actual360","LogLinear",TRUE)</f>
        <v/>
      </c>
      <c r="E9756" s="8">
        <f>QS.INSTRUMENT.SWAP("swap.9754",C9756,H9756,B9756,"USD","SOFR",I9756,J9756,0,"Actual360","Simple","Annual","Annual","Annual")</f>
        <v/>
      </c>
      <c r="F9756" s="8">
        <f>QS.TRADE.CREATE("trade.9754",C9756,E9756,A9756,"Receive")</f>
        <v/>
      </c>
      <c r="G9756" s="5"/>
      <c r="H9756" s="7" t="s">
        <v>9796</v>
      </c>
      <c r="I9756" s="9">
        <v>1975400</v>
      </c>
      <c r="J9756" s="10">
        <v>0.0354</v>
      </c>
    </row>
    <row r="9757" spans="1:10">
      <c r="A9757" s="7" t="s">
        <v>9790</v>
      </c>
      <c r="B9757" s="7" t="s">
        <v>11624</v>
      </c>
      <c r="C9757" s="8">
        <f>QS.CONTEXT.CREATE("market.9755",A9757,"USD","SOFR")</f>
        <v/>
      </c>
      <c r="D9757" s="8">
        <f>QS.CONTEXT.ADD.CURVE(C9757,"SOFR",$K$2:$K$7,$L$2:$L$7,,,"Actual360","LogLinear",TRUE)</f>
        <v/>
      </c>
      <c r="E9757" s="8">
        <f>QS.INSTRUMENT.SWAP("swap.9755",C9757,H9757,B9757,"USD","SOFR",I9757,J9757,0,"Actual360","Simple","Annual","Annual","Annual")</f>
        <v/>
      </c>
      <c r="F9757" s="8">
        <f>QS.TRADE.CREATE("trade.9755",C9757,E9757,A9757,"Receive")</f>
        <v/>
      </c>
      <c r="G9757" s="5"/>
      <c r="H9757" s="7" t="s">
        <v>9797</v>
      </c>
      <c r="I9757" s="9">
        <v>1975500</v>
      </c>
      <c r="J9757" s="10">
        <v>0.0355</v>
      </c>
    </row>
    <row r="9758" spans="1:10">
      <c r="A9758" s="7" t="s">
        <v>9791</v>
      </c>
      <c r="B9758" s="7" t="s">
        <v>11625</v>
      </c>
      <c r="C9758" s="8">
        <f>QS.CONTEXT.CREATE("market.9756",A9758,"USD","SOFR")</f>
        <v/>
      </c>
      <c r="D9758" s="8">
        <f>QS.CONTEXT.ADD.CURVE(C9758,"SOFR",$K$2:$K$7,$L$2:$L$7,,,"Actual360","LogLinear",TRUE)</f>
        <v/>
      </c>
      <c r="E9758" s="8">
        <f>QS.INSTRUMENT.SWAP("swap.9756",C9758,H9758,B9758,"USD","SOFR",I9758,J9758,0,"Actual360","Simple","Annual","Annual","Annual")</f>
        <v/>
      </c>
      <c r="F9758" s="8">
        <f>QS.TRADE.CREATE("trade.9756",C9758,E9758,A9758,"Receive")</f>
        <v/>
      </c>
      <c r="G9758" s="5"/>
      <c r="H9758" s="7" t="s">
        <v>9798</v>
      </c>
      <c r="I9758" s="9">
        <v>1975600</v>
      </c>
      <c r="J9758" s="10">
        <v>0.03560000000000001</v>
      </c>
    </row>
    <row r="9759" spans="1:10">
      <c r="A9759" s="7" t="s">
        <v>9792</v>
      </c>
      <c r="B9759" s="7" t="s">
        <v>11626</v>
      </c>
      <c r="C9759" s="8">
        <f>QS.CONTEXT.CREATE("market.9757",A9759,"USD","SOFR")</f>
        <v/>
      </c>
      <c r="D9759" s="8">
        <f>QS.CONTEXT.ADD.CURVE(C9759,"SOFR",$K$2:$K$7,$L$2:$L$7,,,"Actual360","LogLinear",TRUE)</f>
        <v/>
      </c>
      <c r="E9759" s="8">
        <f>QS.INSTRUMENT.SWAP("swap.9757",C9759,H9759,B9759,"USD","SOFR",I9759,J9759,0,"Actual360","Simple","Annual","Annual","Annual")</f>
        <v/>
      </c>
      <c r="F9759" s="8">
        <f>QS.TRADE.CREATE("trade.9757",C9759,E9759,A9759,"Receive")</f>
        <v/>
      </c>
      <c r="G9759" s="5"/>
      <c r="H9759" s="7" t="s">
        <v>9799</v>
      </c>
      <c r="I9759" s="9">
        <v>1975700</v>
      </c>
      <c r="J9759" s="10">
        <v>0.0357</v>
      </c>
    </row>
    <row r="9760" spans="1:10">
      <c r="A9760" s="7" t="s">
        <v>9793</v>
      </c>
      <c r="B9760" s="7" t="s">
        <v>11627</v>
      </c>
      <c r="C9760" s="8">
        <f>QS.CONTEXT.CREATE("market.9758",A9760,"USD","SOFR")</f>
        <v/>
      </c>
      <c r="D9760" s="8">
        <f>QS.CONTEXT.ADD.CURVE(C9760,"SOFR",$K$2:$K$7,$L$2:$L$7,,,"Actual360","LogLinear",TRUE)</f>
        <v/>
      </c>
      <c r="E9760" s="8">
        <f>QS.INSTRUMENT.SWAP("swap.9758",C9760,H9760,B9760,"USD","SOFR",I9760,J9760,0,"Actual360","Simple","Annual","Annual","Annual")</f>
        <v/>
      </c>
      <c r="F9760" s="8">
        <f>QS.TRADE.CREATE("trade.9758",C9760,E9760,A9760,"Receive")</f>
        <v/>
      </c>
      <c r="G9760" s="5"/>
      <c r="H9760" s="7" t="s">
        <v>9800</v>
      </c>
      <c r="I9760" s="9">
        <v>1975800</v>
      </c>
      <c r="J9760" s="10">
        <v>0.03580000000000001</v>
      </c>
    </row>
    <row r="9761" spans="1:10">
      <c r="A9761" s="7" t="s">
        <v>9794</v>
      </c>
      <c r="B9761" s="7" t="s">
        <v>11628</v>
      </c>
      <c r="C9761" s="8">
        <f>QS.CONTEXT.CREATE("market.9759",A9761,"USD","SOFR")</f>
        <v/>
      </c>
      <c r="D9761" s="8">
        <f>QS.CONTEXT.ADD.CURVE(C9761,"SOFR",$K$2:$K$7,$L$2:$L$7,,,"Actual360","LogLinear",TRUE)</f>
        <v/>
      </c>
      <c r="E9761" s="8">
        <f>QS.INSTRUMENT.SWAP("swap.9759",C9761,H9761,B9761,"USD","SOFR",I9761,J9761,0,"Actual360","Simple","Annual","Annual","Annual")</f>
        <v/>
      </c>
      <c r="F9761" s="8">
        <f>QS.TRADE.CREATE("trade.9759",C9761,E9761,A9761,"Receive")</f>
        <v/>
      </c>
      <c r="G9761" s="5"/>
      <c r="H9761" s="7" t="s">
        <v>9801</v>
      </c>
      <c r="I9761" s="9">
        <v>1975900</v>
      </c>
      <c r="J9761" s="10">
        <v>0.0359</v>
      </c>
    </row>
    <row r="9762" spans="1:10">
      <c r="A9762" s="7" t="s">
        <v>9795</v>
      </c>
      <c r="B9762" s="7" t="s">
        <v>11629</v>
      </c>
      <c r="C9762" s="8">
        <f>QS.CONTEXT.CREATE("market.9760",A9762,"USD","SOFR")</f>
        <v/>
      </c>
      <c r="D9762" s="8">
        <f>QS.CONTEXT.ADD.CURVE(C9762,"SOFR",$K$2:$K$7,$L$2:$L$7,,,"Actual360","LogLinear",TRUE)</f>
        <v/>
      </c>
      <c r="E9762" s="8">
        <f>QS.INSTRUMENT.SWAP("swap.9760",C9762,H9762,B9762,"USD","SOFR",I9762,J9762,0,"Actual360","Simple","Annual","Annual","Annual")</f>
        <v/>
      </c>
      <c r="F9762" s="8">
        <f>QS.TRADE.CREATE("trade.9760",C9762,E9762,A9762,"Receive")</f>
        <v/>
      </c>
      <c r="G9762" s="5"/>
      <c r="H9762" s="7" t="s">
        <v>9802</v>
      </c>
      <c r="I9762" s="9">
        <v>1976000</v>
      </c>
      <c r="J9762" s="10">
        <v>0.036</v>
      </c>
    </row>
    <row r="9763" spans="1:10">
      <c r="A9763" s="7" t="s">
        <v>9796</v>
      </c>
      <c r="B9763" s="7" t="s">
        <v>11630</v>
      </c>
      <c r="C9763" s="8">
        <f>QS.CONTEXT.CREATE("market.9761",A9763,"USD","SOFR")</f>
        <v/>
      </c>
      <c r="D9763" s="8">
        <f>QS.CONTEXT.ADD.CURVE(C9763,"SOFR",$K$2:$K$7,$L$2:$L$7,,,"Actual360","LogLinear",TRUE)</f>
        <v/>
      </c>
      <c r="E9763" s="8">
        <f>QS.INSTRUMENT.SWAP("swap.9761",C9763,H9763,B9763,"USD","SOFR",I9763,J9763,0,"Actual360","Simple","Annual","Annual","Annual")</f>
        <v/>
      </c>
      <c r="F9763" s="8">
        <f>QS.TRADE.CREATE("trade.9761",C9763,E9763,A9763,"Receive")</f>
        <v/>
      </c>
      <c r="G9763" s="5"/>
      <c r="H9763" s="7" t="s">
        <v>9803</v>
      </c>
      <c r="I9763" s="9">
        <v>1976100</v>
      </c>
      <c r="J9763" s="10">
        <v>0.0361</v>
      </c>
    </row>
    <row r="9764" spans="1:10">
      <c r="A9764" s="7" t="s">
        <v>9797</v>
      </c>
      <c r="B9764" s="7" t="s">
        <v>11631</v>
      </c>
      <c r="C9764" s="8">
        <f>QS.CONTEXT.CREATE("market.9762",A9764,"USD","SOFR")</f>
        <v/>
      </c>
      <c r="D9764" s="8">
        <f>QS.CONTEXT.ADD.CURVE(C9764,"SOFR",$K$2:$K$7,$L$2:$L$7,,,"Actual360","LogLinear",TRUE)</f>
        <v/>
      </c>
      <c r="E9764" s="8">
        <f>QS.INSTRUMENT.SWAP("swap.9762",C9764,H9764,B9764,"USD","SOFR",I9764,J9764,0,"Actual360","Simple","Annual","Annual","Annual")</f>
        <v/>
      </c>
      <c r="F9764" s="8">
        <f>QS.TRADE.CREATE("trade.9762",C9764,E9764,A9764,"Receive")</f>
        <v/>
      </c>
      <c r="G9764" s="5"/>
      <c r="H9764" s="7" t="s">
        <v>9804</v>
      </c>
      <c r="I9764" s="9">
        <v>1976200</v>
      </c>
      <c r="J9764" s="10">
        <v>0.0362</v>
      </c>
    </row>
    <row r="9765" spans="1:10">
      <c r="A9765" s="7" t="s">
        <v>9798</v>
      </c>
      <c r="B9765" s="7" t="s">
        <v>11632</v>
      </c>
      <c r="C9765" s="8">
        <f>QS.CONTEXT.CREATE("market.9763",A9765,"USD","SOFR")</f>
        <v/>
      </c>
      <c r="D9765" s="8">
        <f>QS.CONTEXT.ADD.CURVE(C9765,"SOFR",$K$2:$K$7,$L$2:$L$7,,,"Actual360","LogLinear",TRUE)</f>
        <v/>
      </c>
      <c r="E9765" s="8">
        <f>QS.INSTRUMENT.SWAP("swap.9763",C9765,H9765,B9765,"USD","SOFR",I9765,J9765,0,"Actual360","Simple","Annual","Annual","Annual")</f>
        <v/>
      </c>
      <c r="F9765" s="8">
        <f>QS.TRADE.CREATE("trade.9763",C9765,E9765,A9765,"Receive")</f>
        <v/>
      </c>
      <c r="G9765" s="5"/>
      <c r="H9765" s="7" t="s">
        <v>9805</v>
      </c>
      <c r="I9765" s="9">
        <v>1976300</v>
      </c>
      <c r="J9765" s="10">
        <v>0.03630000000000001</v>
      </c>
    </row>
    <row r="9766" spans="1:10">
      <c r="A9766" s="7" t="s">
        <v>9799</v>
      </c>
      <c r="B9766" s="7" t="s">
        <v>11633</v>
      </c>
      <c r="C9766" s="8">
        <f>QS.CONTEXT.CREATE("market.9764",A9766,"USD","SOFR")</f>
        <v/>
      </c>
      <c r="D9766" s="8">
        <f>QS.CONTEXT.ADD.CURVE(C9766,"SOFR",$K$2:$K$7,$L$2:$L$7,,,"Actual360","LogLinear",TRUE)</f>
        <v/>
      </c>
      <c r="E9766" s="8">
        <f>QS.INSTRUMENT.SWAP("swap.9764",C9766,H9766,B9766,"USD","SOFR",I9766,J9766,0,"Actual360","Simple","Annual","Annual","Annual")</f>
        <v/>
      </c>
      <c r="F9766" s="8">
        <f>QS.TRADE.CREATE("trade.9764",C9766,E9766,A9766,"Receive")</f>
        <v/>
      </c>
      <c r="G9766" s="5"/>
      <c r="H9766" s="7" t="s">
        <v>9806</v>
      </c>
      <c r="I9766" s="9">
        <v>1976400</v>
      </c>
      <c r="J9766" s="10">
        <v>0.0364</v>
      </c>
    </row>
    <row r="9767" spans="1:10">
      <c r="A9767" s="7" t="s">
        <v>9800</v>
      </c>
      <c r="B9767" s="7" t="s">
        <v>11634</v>
      </c>
      <c r="C9767" s="8">
        <f>QS.CONTEXT.CREATE("market.9765",A9767,"USD","SOFR")</f>
        <v/>
      </c>
      <c r="D9767" s="8">
        <f>QS.CONTEXT.ADD.CURVE(C9767,"SOFR",$K$2:$K$7,$L$2:$L$7,,,"Actual360","LogLinear",TRUE)</f>
        <v/>
      </c>
      <c r="E9767" s="8">
        <f>QS.INSTRUMENT.SWAP("swap.9765",C9767,H9767,B9767,"USD","SOFR",I9767,J9767,0,"Actual360","Simple","Annual","Annual","Annual")</f>
        <v/>
      </c>
      <c r="F9767" s="8">
        <f>QS.TRADE.CREATE("trade.9765",C9767,E9767,A9767,"Receive")</f>
        <v/>
      </c>
      <c r="G9767" s="5"/>
      <c r="H9767" s="7" t="s">
        <v>9807</v>
      </c>
      <c r="I9767" s="9">
        <v>1976500</v>
      </c>
      <c r="J9767" s="10">
        <v>0.0365</v>
      </c>
    </row>
    <row r="9768" spans="1:10">
      <c r="A9768" s="7" t="s">
        <v>9801</v>
      </c>
      <c r="B9768" s="7" t="s">
        <v>11635</v>
      </c>
      <c r="C9768" s="8">
        <f>QS.CONTEXT.CREATE("market.9766",A9768,"USD","SOFR")</f>
        <v/>
      </c>
      <c r="D9768" s="8">
        <f>QS.CONTEXT.ADD.CURVE(C9768,"SOFR",$K$2:$K$7,$L$2:$L$7,,,"Actual360","LogLinear",TRUE)</f>
        <v/>
      </c>
      <c r="E9768" s="8">
        <f>QS.INSTRUMENT.SWAP("swap.9766",C9768,H9768,B9768,"USD","SOFR",I9768,J9768,0,"Actual360","Simple","Annual","Annual","Annual")</f>
        <v/>
      </c>
      <c r="F9768" s="8">
        <f>QS.TRADE.CREATE("trade.9766",C9768,E9768,A9768,"Receive")</f>
        <v/>
      </c>
      <c r="G9768" s="5"/>
      <c r="H9768" s="7" t="s">
        <v>9808</v>
      </c>
      <c r="I9768" s="9">
        <v>1976600</v>
      </c>
      <c r="J9768" s="10">
        <v>0.0366</v>
      </c>
    </row>
    <row r="9769" spans="1:10">
      <c r="A9769" s="7" t="s">
        <v>9802</v>
      </c>
      <c r="B9769" s="7" t="s">
        <v>11636</v>
      </c>
      <c r="C9769" s="8">
        <f>QS.CONTEXT.CREATE("market.9767",A9769,"USD","SOFR")</f>
        <v/>
      </c>
      <c r="D9769" s="8">
        <f>QS.CONTEXT.ADD.CURVE(C9769,"SOFR",$K$2:$K$7,$L$2:$L$7,,,"Actual360","LogLinear",TRUE)</f>
        <v/>
      </c>
      <c r="E9769" s="8">
        <f>QS.INSTRUMENT.SWAP("swap.9767",C9769,H9769,B9769,"USD","SOFR",I9769,J9769,0,"Actual360","Simple","Annual","Annual","Annual")</f>
        <v/>
      </c>
      <c r="F9769" s="8">
        <f>QS.TRADE.CREATE("trade.9767",C9769,E9769,A9769,"Receive")</f>
        <v/>
      </c>
      <c r="G9769" s="5"/>
      <c r="H9769" s="7" t="s">
        <v>9809</v>
      </c>
      <c r="I9769" s="9">
        <v>1976700</v>
      </c>
      <c r="J9769" s="10">
        <v>0.0367</v>
      </c>
    </row>
    <row r="9770" spans="1:10">
      <c r="A9770" s="7" t="s">
        <v>9803</v>
      </c>
      <c r="B9770" s="7" t="s">
        <v>11637</v>
      </c>
      <c r="C9770" s="8">
        <f>QS.CONTEXT.CREATE("market.9768",A9770,"USD","SOFR")</f>
        <v/>
      </c>
      <c r="D9770" s="8">
        <f>QS.CONTEXT.ADD.CURVE(C9770,"SOFR",$K$2:$K$7,$L$2:$L$7,,,"Actual360","LogLinear",TRUE)</f>
        <v/>
      </c>
      <c r="E9770" s="8">
        <f>QS.INSTRUMENT.SWAP("swap.9768",C9770,H9770,B9770,"USD","SOFR",I9770,J9770,0,"Actual360","Simple","Annual","Annual","Annual")</f>
        <v/>
      </c>
      <c r="F9770" s="8">
        <f>QS.TRADE.CREATE("trade.9768",C9770,E9770,A9770,"Receive")</f>
        <v/>
      </c>
      <c r="G9770" s="5"/>
      <c r="H9770" s="7" t="s">
        <v>9810</v>
      </c>
      <c r="I9770" s="9">
        <v>1976800</v>
      </c>
      <c r="J9770" s="10">
        <v>0.03680000000000001</v>
      </c>
    </row>
    <row r="9771" spans="1:10">
      <c r="A9771" s="7" t="s">
        <v>9804</v>
      </c>
      <c r="B9771" s="7" t="s">
        <v>11638</v>
      </c>
      <c r="C9771" s="8">
        <f>QS.CONTEXT.CREATE("market.9769",A9771,"USD","SOFR")</f>
        <v/>
      </c>
      <c r="D9771" s="8">
        <f>QS.CONTEXT.ADD.CURVE(C9771,"SOFR",$K$2:$K$7,$L$2:$L$7,,,"Actual360","LogLinear",TRUE)</f>
        <v/>
      </c>
      <c r="E9771" s="8">
        <f>QS.INSTRUMENT.SWAP("swap.9769",C9771,H9771,B9771,"USD","SOFR",I9771,J9771,0,"Actual360","Simple","Annual","Annual","Annual")</f>
        <v/>
      </c>
      <c r="F9771" s="8">
        <f>QS.TRADE.CREATE("trade.9769",C9771,E9771,A9771,"Receive")</f>
        <v/>
      </c>
      <c r="G9771" s="5"/>
      <c r="H9771" s="7" t="s">
        <v>9811</v>
      </c>
      <c r="I9771" s="9">
        <v>1976900</v>
      </c>
      <c r="J9771" s="10">
        <v>0.0369</v>
      </c>
    </row>
    <row r="9772" spans="1:10">
      <c r="A9772" s="7" t="s">
        <v>9805</v>
      </c>
      <c r="B9772" s="7" t="s">
        <v>11639</v>
      </c>
      <c r="C9772" s="8">
        <f>QS.CONTEXT.CREATE("market.9770",A9772,"USD","SOFR")</f>
        <v/>
      </c>
      <c r="D9772" s="8">
        <f>QS.CONTEXT.ADD.CURVE(C9772,"SOFR",$K$2:$K$7,$L$2:$L$7,,,"Actual360","LogLinear",TRUE)</f>
        <v/>
      </c>
      <c r="E9772" s="8">
        <f>QS.INSTRUMENT.SWAP("swap.9770",C9772,H9772,B9772,"USD","SOFR",I9772,J9772,0,"Actual360","Simple","Annual","Annual","Annual")</f>
        <v/>
      </c>
      <c r="F9772" s="8">
        <f>QS.TRADE.CREATE("trade.9770",C9772,E9772,A9772,"Receive")</f>
        <v/>
      </c>
      <c r="G9772" s="5"/>
      <c r="H9772" s="7" t="s">
        <v>9812</v>
      </c>
      <c r="I9772" s="9">
        <v>1977000</v>
      </c>
      <c r="J9772" s="10">
        <v>0.03700000000000001</v>
      </c>
    </row>
    <row r="9773" spans="1:10">
      <c r="A9773" s="7" t="s">
        <v>9806</v>
      </c>
      <c r="B9773" s="7" t="s">
        <v>11640</v>
      </c>
      <c r="C9773" s="8">
        <f>QS.CONTEXT.CREATE("market.9771",A9773,"USD","SOFR")</f>
        <v/>
      </c>
      <c r="D9773" s="8">
        <f>QS.CONTEXT.ADD.CURVE(C9773,"SOFR",$K$2:$K$7,$L$2:$L$7,,,"Actual360","LogLinear",TRUE)</f>
        <v/>
      </c>
      <c r="E9773" s="8">
        <f>QS.INSTRUMENT.SWAP("swap.9771",C9773,H9773,B9773,"USD","SOFR",I9773,J9773,0,"Actual360","Simple","Annual","Annual","Annual")</f>
        <v/>
      </c>
      <c r="F9773" s="8">
        <f>QS.TRADE.CREATE("trade.9771",C9773,E9773,A9773,"Receive")</f>
        <v/>
      </c>
      <c r="G9773" s="5"/>
      <c r="H9773" s="7" t="s">
        <v>9813</v>
      </c>
      <c r="I9773" s="9">
        <v>1977100</v>
      </c>
      <c r="J9773" s="10">
        <v>0.0371</v>
      </c>
    </row>
    <row r="9774" spans="1:10">
      <c r="A9774" s="7" t="s">
        <v>9807</v>
      </c>
      <c r="B9774" s="7" t="s">
        <v>11641</v>
      </c>
      <c r="C9774" s="8">
        <f>QS.CONTEXT.CREATE("market.9772",A9774,"USD","SOFR")</f>
        <v/>
      </c>
      <c r="D9774" s="8">
        <f>QS.CONTEXT.ADD.CURVE(C9774,"SOFR",$K$2:$K$7,$L$2:$L$7,,,"Actual360","LogLinear",TRUE)</f>
        <v/>
      </c>
      <c r="E9774" s="8">
        <f>QS.INSTRUMENT.SWAP("swap.9772",C9774,H9774,B9774,"USD","SOFR",I9774,J9774,0,"Actual360","Simple","Annual","Annual","Annual")</f>
        <v/>
      </c>
      <c r="F9774" s="8">
        <f>QS.TRADE.CREATE("trade.9772",C9774,E9774,A9774,"Receive")</f>
        <v/>
      </c>
      <c r="G9774" s="5"/>
      <c r="H9774" s="7" t="s">
        <v>9814</v>
      </c>
      <c r="I9774" s="9">
        <v>1977200</v>
      </c>
      <c r="J9774" s="10">
        <v>0.0372</v>
      </c>
    </row>
    <row r="9775" spans="1:10">
      <c r="A9775" s="7" t="s">
        <v>9808</v>
      </c>
      <c r="B9775" s="7" t="s">
        <v>11642</v>
      </c>
      <c r="C9775" s="8">
        <f>QS.CONTEXT.CREATE("market.9773",A9775,"USD","SOFR")</f>
        <v/>
      </c>
      <c r="D9775" s="8">
        <f>QS.CONTEXT.ADD.CURVE(C9775,"SOFR",$K$2:$K$7,$L$2:$L$7,,,"Actual360","LogLinear",TRUE)</f>
        <v/>
      </c>
      <c r="E9775" s="8">
        <f>QS.INSTRUMENT.SWAP("swap.9773",C9775,H9775,B9775,"USD","SOFR",I9775,J9775,0,"Actual360","Simple","Annual","Annual","Annual")</f>
        <v/>
      </c>
      <c r="F9775" s="8">
        <f>QS.TRADE.CREATE("trade.9773",C9775,E9775,A9775,"Receive")</f>
        <v/>
      </c>
      <c r="G9775" s="5"/>
      <c r="H9775" s="7" t="s">
        <v>9815</v>
      </c>
      <c r="I9775" s="9">
        <v>1977300</v>
      </c>
      <c r="J9775" s="10">
        <v>0.0373</v>
      </c>
    </row>
    <row r="9776" spans="1:10">
      <c r="A9776" s="7" t="s">
        <v>9809</v>
      </c>
      <c r="B9776" s="7" t="s">
        <v>11643</v>
      </c>
      <c r="C9776" s="8">
        <f>QS.CONTEXT.CREATE("market.9774",A9776,"USD","SOFR")</f>
        <v/>
      </c>
      <c r="D9776" s="8">
        <f>QS.CONTEXT.ADD.CURVE(C9776,"SOFR",$K$2:$K$7,$L$2:$L$7,,,"Actual360","LogLinear",TRUE)</f>
        <v/>
      </c>
      <c r="E9776" s="8">
        <f>QS.INSTRUMENT.SWAP("swap.9774",C9776,H9776,B9776,"USD","SOFR",I9776,J9776,0,"Actual360","Simple","Annual","Annual","Annual")</f>
        <v/>
      </c>
      <c r="F9776" s="8">
        <f>QS.TRADE.CREATE("trade.9774",C9776,E9776,A9776,"Receive")</f>
        <v/>
      </c>
      <c r="G9776" s="5"/>
      <c r="H9776" s="7" t="s">
        <v>9816</v>
      </c>
      <c r="I9776" s="9">
        <v>1977400</v>
      </c>
      <c r="J9776" s="10">
        <v>0.0374</v>
      </c>
    </row>
    <row r="9777" spans="1:10">
      <c r="A9777" s="7" t="s">
        <v>9810</v>
      </c>
      <c r="B9777" s="7" t="s">
        <v>11644</v>
      </c>
      <c r="C9777" s="8">
        <f>QS.CONTEXT.CREATE("market.9775",A9777,"USD","SOFR")</f>
        <v/>
      </c>
      <c r="D9777" s="8">
        <f>QS.CONTEXT.ADD.CURVE(C9777,"SOFR",$K$2:$K$7,$L$2:$L$7,,,"Actual360","LogLinear",TRUE)</f>
        <v/>
      </c>
      <c r="E9777" s="8">
        <f>QS.INSTRUMENT.SWAP("swap.9775",C9777,H9777,B9777,"USD","SOFR",I9777,J9777,0,"Actual360","Simple","Annual","Annual","Annual")</f>
        <v/>
      </c>
      <c r="F9777" s="8">
        <f>QS.TRADE.CREATE("trade.9775",C9777,E9777,A9777,"Receive")</f>
        <v/>
      </c>
      <c r="G9777" s="5"/>
      <c r="H9777" s="7" t="s">
        <v>9817</v>
      </c>
      <c r="I9777" s="9">
        <v>1977500</v>
      </c>
      <c r="J9777" s="10">
        <v>0.03750000000000001</v>
      </c>
    </row>
    <row r="9778" spans="1:10">
      <c r="A9778" s="7" t="s">
        <v>9811</v>
      </c>
      <c r="B9778" s="7" t="s">
        <v>11645</v>
      </c>
      <c r="C9778" s="8">
        <f>QS.CONTEXT.CREATE("market.9776",A9778,"USD","SOFR")</f>
        <v/>
      </c>
      <c r="D9778" s="8">
        <f>QS.CONTEXT.ADD.CURVE(C9778,"SOFR",$K$2:$K$7,$L$2:$L$7,,,"Actual360","LogLinear",TRUE)</f>
        <v/>
      </c>
      <c r="E9778" s="8">
        <f>QS.INSTRUMENT.SWAP("swap.9776",C9778,H9778,B9778,"USD","SOFR",I9778,J9778,0,"Actual360","Simple","Annual","Annual","Annual")</f>
        <v/>
      </c>
      <c r="F9778" s="8">
        <f>QS.TRADE.CREATE("trade.9776",C9778,E9778,A9778,"Receive")</f>
        <v/>
      </c>
      <c r="G9778" s="5"/>
      <c r="H9778" s="7" t="s">
        <v>9818</v>
      </c>
      <c r="I9778" s="9">
        <v>1977600</v>
      </c>
      <c r="J9778" s="10">
        <v>0.0376</v>
      </c>
    </row>
    <row r="9779" spans="1:10">
      <c r="A9779" s="7" t="s">
        <v>9812</v>
      </c>
      <c r="B9779" s="7" t="s">
        <v>11646</v>
      </c>
      <c r="C9779" s="8">
        <f>QS.CONTEXT.CREATE("market.9777",A9779,"USD","SOFR")</f>
        <v/>
      </c>
      <c r="D9779" s="8">
        <f>QS.CONTEXT.ADD.CURVE(C9779,"SOFR",$K$2:$K$7,$L$2:$L$7,,,"Actual360","LogLinear",TRUE)</f>
        <v/>
      </c>
      <c r="E9779" s="8">
        <f>QS.INSTRUMENT.SWAP("swap.9777",C9779,H9779,B9779,"USD","SOFR",I9779,J9779,0,"Actual360","Simple","Annual","Annual","Annual")</f>
        <v/>
      </c>
      <c r="F9779" s="8">
        <f>QS.TRADE.CREATE("trade.9777",C9779,E9779,A9779,"Receive")</f>
        <v/>
      </c>
      <c r="G9779" s="5"/>
      <c r="H9779" s="7" t="s">
        <v>9819</v>
      </c>
      <c r="I9779" s="9">
        <v>1977700</v>
      </c>
      <c r="J9779" s="10">
        <v>0.0377</v>
      </c>
    </row>
    <row r="9780" spans="1:10">
      <c r="A9780" s="7" t="s">
        <v>9813</v>
      </c>
      <c r="B9780" s="7" t="s">
        <v>11647</v>
      </c>
      <c r="C9780" s="8">
        <f>QS.CONTEXT.CREATE("market.9778",A9780,"USD","SOFR")</f>
        <v/>
      </c>
      <c r="D9780" s="8">
        <f>QS.CONTEXT.ADD.CURVE(C9780,"SOFR",$K$2:$K$7,$L$2:$L$7,,,"Actual360","LogLinear",TRUE)</f>
        <v/>
      </c>
      <c r="E9780" s="8">
        <f>QS.INSTRUMENT.SWAP("swap.9778",C9780,H9780,B9780,"USD","SOFR",I9780,J9780,0,"Actual360","Simple","Annual","Annual","Annual")</f>
        <v/>
      </c>
      <c r="F9780" s="8">
        <f>QS.TRADE.CREATE("trade.9778",C9780,E9780,A9780,"Receive")</f>
        <v/>
      </c>
      <c r="G9780" s="5"/>
      <c r="H9780" s="7" t="s">
        <v>9820</v>
      </c>
      <c r="I9780" s="9">
        <v>1977800</v>
      </c>
      <c r="J9780" s="10">
        <v>0.0378</v>
      </c>
    </row>
    <row r="9781" spans="1:10">
      <c r="A9781" s="7" t="s">
        <v>9814</v>
      </c>
      <c r="B9781" s="7" t="s">
        <v>11648</v>
      </c>
      <c r="C9781" s="8">
        <f>QS.CONTEXT.CREATE("market.9779",A9781,"USD","SOFR")</f>
        <v/>
      </c>
      <c r="D9781" s="8">
        <f>QS.CONTEXT.ADD.CURVE(C9781,"SOFR",$K$2:$K$7,$L$2:$L$7,,,"Actual360","LogLinear",TRUE)</f>
        <v/>
      </c>
      <c r="E9781" s="8">
        <f>QS.INSTRUMENT.SWAP("swap.9779",C9781,H9781,B9781,"USD","SOFR",I9781,J9781,0,"Actual360","Simple","Annual","Annual","Annual")</f>
        <v/>
      </c>
      <c r="F9781" s="8">
        <f>QS.TRADE.CREATE("trade.9779",C9781,E9781,A9781,"Receive")</f>
        <v/>
      </c>
      <c r="G9781" s="5"/>
      <c r="H9781" s="7" t="s">
        <v>9821</v>
      </c>
      <c r="I9781" s="9">
        <v>1977900</v>
      </c>
      <c r="J9781" s="10">
        <v>0.0379</v>
      </c>
    </row>
    <row r="9782" spans="1:10">
      <c r="A9782" s="7" t="s">
        <v>9815</v>
      </c>
      <c r="B9782" s="7" t="s">
        <v>11649</v>
      </c>
      <c r="C9782" s="8">
        <f>QS.CONTEXT.CREATE("market.9780",A9782,"USD","SOFR")</f>
        <v/>
      </c>
      <c r="D9782" s="8">
        <f>QS.CONTEXT.ADD.CURVE(C9782,"SOFR",$K$2:$K$7,$L$2:$L$7,,,"Actual360","LogLinear",TRUE)</f>
        <v/>
      </c>
      <c r="E9782" s="8">
        <f>QS.INSTRUMENT.SWAP("swap.9780",C9782,H9782,B9782,"USD","SOFR",I9782,J9782,0,"Actual360","Simple","Annual","Annual","Annual")</f>
        <v/>
      </c>
      <c r="F9782" s="8">
        <f>QS.TRADE.CREATE("trade.9780",C9782,E9782,A9782,"Receive")</f>
        <v/>
      </c>
      <c r="G9782" s="5"/>
      <c r="H9782" s="7" t="s">
        <v>9822</v>
      </c>
      <c r="I9782" s="9">
        <v>1978000</v>
      </c>
      <c r="J9782" s="10">
        <v>0.03800000000000001</v>
      </c>
    </row>
    <row r="9783" spans="1:10">
      <c r="A9783" s="7" t="s">
        <v>9816</v>
      </c>
      <c r="B9783" s="7" t="s">
        <v>11650</v>
      </c>
      <c r="C9783" s="8">
        <f>QS.CONTEXT.CREATE("market.9781",A9783,"USD","SOFR")</f>
        <v/>
      </c>
      <c r="D9783" s="8">
        <f>QS.CONTEXT.ADD.CURVE(C9783,"SOFR",$K$2:$K$7,$L$2:$L$7,,,"Actual360","LogLinear",TRUE)</f>
        <v/>
      </c>
      <c r="E9783" s="8">
        <f>QS.INSTRUMENT.SWAP("swap.9781",C9783,H9783,B9783,"USD","SOFR",I9783,J9783,0,"Actual360","Simple","Annual","Annual","Annual")</f>
        <v/>
      </c>
      <c r="F9783" s="8">
        <f>QS.TRADE.CREATE("trade.9781",C9783,E9783,A9783,"Receive")</f>
        <v/>
      </c>
      <c r="G9783" s="5"/>
      <c r="H9783" s="7" t="s">
        <v>9823</v>
      </c>
      <c r="I9783" s="9">
        <v>1978100</v>
      </c>
      <c r="J9783" s="10">
        <v>0.0381</v>
      </c>
    </row>
    <row r="9784" spans="1:10">
      <c r="A9784" s="7" t="s">
        <v>9817</v>
      </c>
      <c r="B9784" s="7" t="s">
        <v>11651</v>
      </c>
      <c r="C9784" s="8">
        <f>QS.CONTEXT.CREATE("market.9782",A9784,"USD","SOFR")</f>
        <v/>
      </c>
      <c r="D9784" s="8">
        <f>QS.CONTEXT.ADD.CURVE(C9784,"SOFR",$K$2:$K$7,$L$2:$L$7,,,"Actual360","LogLinear",TRUE)</f>
        <v/>
      </c>
      <c r="E9784" s="8">
        <f>QS.INSTRUMENT.SWAP("swap.9782",C9784,H9784,B9784,"USD","SOFR",I9784,J9784,0,"Actual360","Simple","Annual","Annual","Annual")</f>
        <v/>
      </c>
      <c r="F9784" s="8">
        <f>QS.TRADE.CREATE("trade.9782",C9784,E9784,A9784,"Receive")</f>
        <v/>
      </c>
      <c r="G9784" s="5"/>
      <c r="H9784" s="7" t="s">
        <v>9824</v>
      </c>
      <c r="I9784" s="9">
        <v>1978200</v>
      </c>
      <c r="J9784" s="10">
        <v>0.0382</v>
      </c>
    </row>
    <row r="9785" spans="1:10">
      <c r="A9785" s="7" t="s">
        <v>9818</v>
      </c>
      <c r="B9785" s="7" t="s">
        <v>11652</v>
      </c>
      <c r="C9785" s="8">
        <f>QS.CONTEXT.CREATE("market.9783",A9785,"USD","SOFR")</f>
        <v/>
      </c>
      <c r="D9785" s="8">
        <f>QS.CONTEXT.ADD.CURVE(C9785,"SOFR",$K$2:$K$7,$L$2:$L$7,,,"Actual360","LogLinear",TRUE)</f>
        <v/>
      </c>
      <c r="E9785" s="8">
        <f>QS.INSTRUMENT.SWAP("swap.9783",C9785,H9785,B9785,"USD","SOFR",I9785,J9785,0,"Actual360","Simple","Annual","Annual","Annual")</f>
        <v/>
      </c>
      <c r="F9785" s="8">
        <f>QS.TRADE.CREATE("trade.9783",C9785,E9785,A9785,"Receive")</f>
        <v/>
      </c>
      <c r="G9785" s="5"/>
      <c r="H9785" s="7" t="s">
        <v>9825</v>
      </c>
      <c r="I9785" s="9">
        <v>1978300</v>
      </c>
      <c r="J9785" s="10">
        <v>0.0383</v>
      </c>
    </row>
    <row r="9786" spans="1:10">
      <c r="A9786" s="7" t="s">
        <v>9819</v>
      </c>
      <c r="B9786" s="7" t="s">
        <v>11653</v>
      </c>
      <c r="C9786" s="8">
        <f>QS.CONTEXT.CREATE("market.9784",A9786,"USD","SOFR")</f>
        <v/>
      </c>
      <c r="D9786" s="8">
        <f>QS.CONTEXT.ADD.CURVE(C9786,"SOFR",$K$2:$K$7,$L$2:$L$7,,,"Actual360","LogLinear",TRUE)</f>
        <v/>
      </c>
      <c r="E9786" s="8">
        <f>QS.INSTRUMENT.SWAP("swap.9784",C9786,H9786,B9786,"USD","SOFR",I9786,J9786,0,"Actual360","Simple","Annual","Annual","Annual")</f>
        <v/>
      </c>
      <c r="F9786" s="8">
        <f>QS.TRADE.CREATE("trade.9784",C9786,E9786,A9786,"Receive")</f>
        <v/>
      </c>
      <c r="G9786" s="5"/>
      <c r="H9786" s="7" t="s">
        <v>9826</v>
      </c>
      <c r="I9786" s="9">
        <v>1978400</v>
      </c>
      <c r="J9786" s="10">
        <v>0.0384</v>
      </c>
    </row>
    <row r="9787" spans="1:10">
      <c r="A9787" s="7" t="s">
        <v>9820</v>
      </c>
      <c r="B9787" s="7" t="s">
        <v>11654</v>
      </c>
      <c r="C9787" s="8">
        <f>QS.CONTEXT.CREATE("market.9785",A9787,"USD","SOFR")</f>
        <v/>
      </c>
      <c r="D9787" s="8">
        <f>QS.CONTEXT.ADD.CURVE(C9787,"SOFR",$K$2:$K$7,$L$2:$L$7,,,"Actual360","LogLinear",TRUE)</f>
        <v/>
      </c>
      <c r="E9787" s="8">
        <f>QS.INSTRUMENT.SWAP("swap.9785",C9787,H9787,B9787,"USD","SOFR",I9787,J9787,0,"Actual360","Simple","Annual","Annual","Annual")</f>
        <v/>
      </c>
      <c r="F9787" s="8">
        <f>QS.TRADE.CREATE("trade.9785",C9787,E9787,A9787,"Receive")</f>
        <v/>
      </c>
      <c r="G9787" s="5"/>
      <c r="H9787" s="7" t="s">
        <v>9827</v>
      </c>
      <c r="I9787" s="9">
        <v>1978500</v>
      </c>
      <c r="J9787" s="10">
        <v>0.03850000000000001</v>
      </c>
    </row>
    <row r="9788" spans="1:10">
      <c r="A9788" s="7" t="s">
        <v>9821</v>
      </c>
      <c r="B9788" s="7" t="s">
        <v>11655</v>
      </c>
      <c r="C9788" s="8">
        <f>QS.CONTEXT.CREATE("market.9786",A9788,"USD","SOFR")</f>
        <v/>
      </c>
      <c r="D9788" s="8">
        <f>QS.CONTEXT.ADD.CURVE(C9788,"SOFR",$K$2:$K$7,$L$2:$L$7,,,"Actual360","LogLinear",TRUE)</f>
        <v/>
      </c>
      <c r="E9788" s="8">
        <f>QS.INSTRUMENT.SWAP("swap.9786",C9788,H9788,B9788,"USD","SOFR",I9788,J9788,0,"Actual360","Simple","Annual","Annual","Annual")</f>
        <v/>
      </c>
      <c r="F9788" s="8">
        <f>QS.TRADE.CREATE("trade.9786",C9788,E9788,A9788,"Receive")</f>
        <v/>
      </c>
      <c r="G9788" s="5"/>
      <c r="H9788" s="7" t="s">
        <v>9828</v>
      </c>
      <c r="I9788" s="9">
        <v>1978600</v>
      </c>
      <c r="J9788" s="10">
        <v>0.0386</v>
      </c>
    </row>
    <row r="9789" spans="1:10">
      <c r="A9789" s="7" t="s">
        <v>9822</v>
      </c>
      <c r="B9789" s="7" t="s">
        <v>11656</v>
      </c>
      <c r="C9789" s="8">
        <f>QS.CONTEXT.CREATE("market.9787",A9789,"USD","SOFR")</f>
        <v/>
      </c>
      <c r="D9789" s="8">
        <f>QS.CONTEXT.ADD.CURVE(C9789,"SOFR",$K$2:$K$7,$L$2:$L$7,,,"Actual360","LogLinear",TRUE)</f>
        <v/>
      </c>
      <c r="E9789" s="8">
        <f>QS.INSTRUMENT.SWAP("swap.9787",C9789,H9789,B9789,"USD","SOFR",I9789,J9789,0,"Actual360","Simple","Annual","Annual","Annual")</f>
        <v/>
      </c>
      <c r="F9789" s="8">
        <f>QS.TRADE.CREATE("trade.9787",C9789,E9789,A9789,"Receive")</f>
        <v/>
      </c>
      <c r="G9789" s="5"/>
      <c r="H9789" s="7" t="s">
        <v>9829</v>
      </c>
      <c r="I9789" s="9">
        <v>1978700</v>
      </c>
      <c r="J9789" s="10">
        <v>0.03870000000000001</v>
      </c>
    </row>
    <row r="9790" spans="1:10">
      <c r="A9790" s="7" t="s">
        <v>9823</v>
      </c>
      <c r="B9790" s="7" t="s">
        <v>11657</v>
      </c>
      <c r="C9790" s="8">
        <f>QS.CONTEXT.CREATE("market.9788",A9790,"USD","SOFR")</f>
        <v/>
      </c>
      <c r="D9790" s="8">
        <f>QS.CONTEXT.ADD.CURVE(C9790,"SOFR",$K$2:$K$7,$L$2:$L$7,,,"Actual360","LogLinear",TRUE)</f>
        <v/>
      </c>
      <c r="E9790" s="8">
        <f>QS.INSTRUMENT.SWAP("swap.9788",C9790,H9790,B9790,"USD","SOFR",I9790,J9790,0,"Actual360","Simple","Annual","Annual","Annual")</f>
        <v/>
      </c>
      <c r="F9790" s="8">
        <f>QS.TRADE.CREATE("trade.9788",C9790,E9790,A9790,"Receive")</f>
        <v/>
      </c>
      <c r="G9790" s="5"/>
      <c r="H9790" s="7" t="s">
        <v>9830</v>
      </c>
      <c r="I9790" s="9">
        <v>1978800</v>
      </c>
      <c r="J9790" s="10">
        <v>0.0388</v>
      </c>
    </row>
    <row r="9791" spans="1:10">
      <c r="A9791" s="7" t="s">
        <v>9824</v>
      </c>
      <c r="B9791" s="7" t="s">
        <v>11658</v>
      </c>
      <c r="C9791" s="8">
        <f>QS.CONTEXT.CREATE("market.9789",A9791,"USD","SOFR")</f>
        <v/>
      </c>
      <c r="D9791" s="8">
        <f>QS.CONTEXT.ADD.CURVE(C9791,"SOFR",$K$2:$K$7,$L$2:$L$7,,,"Actual360","LogLinear",TRUE)</f>
        <v/>
      </c>
      <c r="E9791" s="8">
        <f>QS.INSTRUMENT.SWAP("swap.9789",C9791,H9791,B9791,"USD","SOFR",I9791,J9791,0,"Actual360","Simple","Annual","Annual","Annual")</f>
        <v/>
      </c>
      <c r="F9791" s="8">
        <f>QS.TRADE.CREATE("trade.9789",C9791,E9791,A9791,"Receive")</f>
        <v/>
      </c>
      <c r="G9791" s="5"/>
      <c r="H9791" s="7" t="s">
        <v>9831</v>
      </c>
      <c r="I9791" s="9">
        <v>1978900</v>
      </c>
      <c r="J9791" s="10">
        <v>0.0389</v>
      </c>
    </row>
    <row r="9792" spans="1:10">
      <c r="A9792" s="7" t="s">
        <v>9825</v>
      </c>
      <c r="B9792" s="7" t="s">
        <v>11659</v>
      </c>
      <c r="C9792" s="8">
        <f>QS.CONTEXT.CREATE("market.9790",A9792,"USD","SOFR")</f>
        <v/>
      </c>
      <c r="D9792" s="8">
        <f>QS.CONTEXT.ADD.CURVE(C9792,"SOFR",$K$2:$K$7,$L$2:$L$7,,,"Actual360","LogLinear",TRUE)</f>
        <v/>
      </c>
      <c r="E9792" s="8">
        <f>QS.INSTRUMENT.SWAP("swap.9790",C9792,H9792,B9792,"USD","SOFR",I9792,J9792,0,"Actual360","Simple","Annual","Annual","Annual")</f>
        <v/>
      </c>
      <c r="F9792" s="8">
        <f>QS.TRADE.CREATE("trade.9790",C9792,E9792,A9792,"Receive")</f>
        <v/>
      </c>
      <c r="G9792" s="5"/>
      <c r="H9792" s="7" t="s">
        <v>9832</v>
      </c>
      <c r="I9792" s="9">
        <v>1979000</v>
      </c>
      <c r="J9792" s="10">
        <v>0.03900000000000001</v>
      </c>
    </row>
    <row r="9793" spans="1:10">
      <c r="A9793" s="7" t="s">
        <v>9826</v>
      </c>
      <c r="B9793" s="7" t="s">
        <v>11660</v>
      </c>
      <c r="C9793" s="8">
        <f>QS.CONTEXT.CREATE("market.9791",A9793,"USD","SOFR")</f>
        <v/>
      </c>
      <c r="D9793" s="8">
        <f>QS.CONTEXT.ADD.CURVE(C9793,"SOFR",$K$2:$K$7,$L$2:$L$7,,,"Actual360","LogLinear",TRUE)</f>
        <v/>
      </c>
      <c r="E9793" s="8">
        <f>QS.INSTRUMENT.SWAP("swap.9791",C9793,H9793,B9793,"USD","SOFR",I9793,J9793,0,"Actual360","Simple","Annual","Annual","Annual")</f>
        <v/>
      </c>
      <c r="F9793" s="8">
        <f>QS.TRADE.CREATE("trade.9791",C9793,E9793,A9793,"Receive")</f>
        <v/>
      </c>
      <c r="G9793" s="5"/>
      <c r="H9793" s="7" t="s">
        <v>9833</v>
      </c>
      <c r="I9793" s="9">
        <v>1979100</v>
      </c>
      <c r="J9793" s="10">
        <v>0.0391</v>
      </c>
    </row>
    <row r="9794" spans="1:10">
      <c r="A9794" s="7" t="s">
        <v>9827</v>
      </c>
      <c r="B9794" s="7" t="s">
        <v>11661</v>
      </c>
      <c r="C9794" s="8">
        <f>QS.CONTEXT.CREATE("market.9792",A9794,"USD","SOFR")</f>
        <v/>
      </c>
      <c r="D9794" s="8">
        <f>QS.CONTEXT.ADD.CURVE(C9794,"SOFR",$K$2:$K$7,$L$2:$L$7,,,"Actual360","LogLinear",TRUE)</f>
        <v/>
      </c>
      <c r="E9794" s="8">
        <f>QS.INSTRUMENT.SWAP("swap.9792",C9794,H9794,B9794,"USD","SOFR",I9794,J9794,0,"Actual360","Simple","Annual","Annual","Annual")</f>
        <v/>
      </c>
      <c r="F9794" s="8">
        <f>QS.TRADE.CREATE("trade.9792",C9794,E9794,A9794,"Receive")</f>
        <v/>
      </c>
      <c r="G9794" s="5"/>
      <c r="H9794" s="7" t="s">
        <v>9834</v>
      </c>
      <c r="I9794" s="9">
        <v>1979200</v>
      </c>
      <c r="J9794" s="10">
        <v>0.03920000000000001</v>
      </c>
    </row>
    <row r="9795" spans="1:10">
      <c r="A9795" s="7" t="s">
        <v>9828</v>
      </c>
      <c r="B9795" s="7" t="s">
        <v>11662</v>
      </c>
      <c r="C9795" s="8">
        <f>QS.CONTEXT.CREATE("market.9793",A9795,"USD","SOFR")</f>
        <v/>
      </c>
      <c r="D9795" s="8">
        <f>QS.CONTEXT.ADD.CURVE(C9795,"SOFR",$K$2:$K$7,$L$2:$L$7,,,"Actual360","LogLinear",TRUE)</f>
        <v/>
      </c>
      <c r="E9795" s="8">
        <f>QS.INSTRUMENT.SWAP("swap.9793",C9795,H9795,B9795,"USD","SOFR",I9795,J9795,0,"Actual360","Simple","Annual","Annual","Annual")</f>
        <v/>
      </c>
      <c r="F9795" s="8">
        <f>QS.TRADE.CREATE("trade.9793",C9795,E9795,A9795,"Receive")</f>
        <v/>
      </c>
      <c r="G9795" s="5"/>
      <c r="H9795" s="7" t="s">
        <v>9835</v>
      </c>
      <c r="I9795" s="9">
        <v>1979300</v>
      </c>
      <c r="J9795" s="10">
        <v>0.0393</v>
      </c>
    </row>
    <row r="9796" spans="1:10">
      <c r="A9796" s="7" t="s">
        <v>9829</v>
      </c>
      <c r="B9796" s="7" t="s">
        <v>11663</v>
      </c>
      <c r="C9796" s="8">
        <f>QS.CONTEXT.CREATE("market.9794",A9796,"USD","SOFR")</f>
        <v/>
      </c>
      <c r="D9796" s="8">
        <f>QS.CONTEXT.ADD.CURVE(C9796,"SOFR",$K$2:$K$7,$L$2:$L$7,,,"Actual360","LogLinear",TRUE)</f>
        <v/>
      </c>
      <c r="E9796" s="8">
        <f>QS.INSTRUMENT.SWAP("swap.9794",C9796,H9796,B9796,"USD","SOFR",I9796,J9796,0,"Actual360","Simple","Annual","Annual","Annual")</f>
        <v/>
      </c>
      <c r="F9796" s="8">
        <f>QS.TRADE.CREATE("trade.9794",C9796,E9796,A9796,"Receive")</f>
        <v/>
      </c>
      <c r="G9796" s="5"/>
      <c r="H9796" s="7" t="s">
        <v>9836</v>
      </c>
      <c r="I9796" s="9">
        <v>1979400</v>
      </c>
      <c r="J9796" s="10">
        <v>0.0394</v>
      </c>
    </row>
    <row r="9797" spans="1:10">
      <c r="A9797" s="7" t="s">
        <v>9830</v>
      </c>
      <c r="B9797" s="7" t="s">
        <v>11664</v>
      </c>
      <c r="C9797" s="8">
        <f>QS.CONTEXT.CREATE("market.9795",A9797,"USD","SOFR")</f>
        <v/>
      </c>
      <c r="D9797" s="8">
        <f>QS.CONTEXT.ADD.CURVE(C9797,"SOFR",$K$2:$K$7,$L$2:$L$7,,,"Actual360","LogLinear",TRUE)</f>
        <v/>
      </c>
      <c r="E9797" s="8">
        <f>QS.INSTRUMENT.SWAP("swap.9795",C9797,H9797,B9797,"USD","SOFR",I9797,J9797,0,"Actual360","Simple","Annual","Annual","Annual")</f>
        <v/>
      </c>
      <c r="F9797" s="8">
        <f>QS.TRADE.CREATE("trade.9795",C9797,E9797,A9797,"Receive")</f>
        <v/>
      </c>
      <c r="G9797" s="5"/>
      <c r="H9797" s="7" t="s">
        <v>9837</v>
      </c>
      <c r="I9797" s="9">
        <v>1979500</v>
      </c>
      <c r="J9797" s="10">
        <v>0.03950000000000001</v>
      </c>
    </row>
    <row r="9798" spans="1:10">
      <c r="A9798" s="7" t="s">
        <v>9831</v>
      </c>
      <c r="B9798" s="7" t="s">
        <v>11665</v>
      </c>
      <c r="C9798" s="8">
        <f>QS.CONTEXT.CREATE("market.9796",A9798,"USD","SOFR")</f>
        <v/>
      </c>
      <c r="D9798" s="8">
        <f>QS.CONTEXT.ADD.CURVE(C9798,"SOFR",$K$2:$K$7,$L$2:$L$7,,,"Actual360","LogLinear",TRUE)</f>
        <v/>
      </c>
      <c r="E9798" s="8">
        <f>QS.INSTRUMENT.SWAP("swap.9796",C9798,H9798,B9798,"USD","SOFR",I9798,J9798,0,"Actual360","Simple","Annual","Annual","Annual")</f>
        <v/>
      </c>
      <c r="F9798" s="8">
        <f>QS.TRADE.CREATE("trade.9796",C9798,E9798,A9798,"Receive")</f>
        <v/>
      </c>
      <c r="G9798" s="5"/>
      <c r="H9798" s="7" t="s">
        <v>9838</v>
      </c>
      <c r="I9798" s="9">
        <v>1979600</v>
      </c>
      <c r="J9798" s="10">
        <v>0.0396</v>
      </c>
    </row>
    <row r="9799" spans="1:10">
      <c r="A9799" s="7" t="s">
        <v>9832</v>
      </c>
      <c r="B9799" s="7" t="s">
        <v>11666</v>
      </c>
      <c r="C9799" s="8">
        <f>QS.CONTEXT.CREATE("market.9797",A9799,"USD","SOFR")</f>
        <v/>
      </c>
      <c r="D9799" s="8">
        <f>QS.CONTEXT.ADD.CURVE(C9799,"SOFR",$K$2:$K$7,$L$2:$L$7,,,"Actual360","LogLinear",TRUE)</f>
        <v/>
      </c>
      <c r="E9799" s="8">
        <f>QS.INSTRUMENT.SWAP("swap.9797",C9799,H9799,B9799,"USD","SOFR",I9799,J9799,0,"Actual360","Simple","Annual","Annual","Annual")</f>
        <v/>
      </c>
      <c r="F9799" s="8">
        <f>QS.TRADE.CREATE("trade.9797",C9799,E9799,A9799,"Receive")</f>
        <v/>
      </c>
      <c r="G9799" s="5"/>
      <c r="H9799" s="7" t="s">
        <v>9839</v>
      </c>
      <c r="I9799" s="9">
        <v>1979700</v>
      </c>
      <c r="J9799" s="10">
        <v>0.03970000000000001</v>
      </c>
    </row>
    <row r="9800" spans="1:10">
      <c r="A9800" s="7" t="s">
        <v>9833</v>
      </c>
      <c r="B9800" s="7" t="s">
        <v>11667</v>
      </c>
      <c r="C9800" s="8">
        <f>QS.CONTEXT.CREATE("market.9798",A9800,"USD","SOFR")</f>
        <v/>
      </c>
      <c r="D9800" s="8">
        <f>QS.CONTEXT.ADD.CURVE(C9800,"SOFR",$K$2:$K$7,$L$2:$L$7,,,"Actual360","LogLinear",TRUE)</f>
        <v/>
      </c>
      <c r="E9800" s="8">
        <f>QS.INSTRUMENT.SWAP("swap.9798",C9800,H9800,B9800,"USD","SOFR",I9800,J9800,0,"Actual360","Simple","Annual","Annual","Annual")</f>
        <v/>
      </c>
      <c r="F9800" s="8">
        <f>QS.TRADE.CREATE("trade.9798",C9800,E9800,A9800,"Receive")</f>
        <v/>
      </c>
      <c r="G9800" s="5"/>
      <c r="H9800" s="7" t="s">
        <v>9840</v>
      </c>
      <c r="I9800" s="9">
        <v>1979800</v>
      </c>
      <c r="J9800" s="10">
        <v>0.0398</v>
      </c>
    </row>
    <row r="9801" spans="1:10">
      <c r="A9801" s="7" t="s">
        <v>9834</v>
      </c>
      <c r="B9801" s="7" t="s">
        <v>11668</v>
      </c>
      <c r="C9801" s="8">
        <f>QS.CONTEXT.CREATE("market.9799",A9801,"USD","SOFR")</f>
        <v/>
      </c>
      <c r="D9801" s="8">
        <f>QS.CONTEXT.ADD.CURVE(C9801,"SOFR",$K$2:$K$7,$L$2:$L$7,,,"Actual360","LogLinear",TRUE)</f>
        <v/>
      </c>
      <c r="E9801" s="8">
        <f>QS.INSTRUMENT.SWAP("swap.9799",C9801,H9801,B9801,"USD","SOFR",I9801,J9801,0,"Actual360","Simple","Annual","Annual","Annual")</f>
        <v/>
      </c>
      <c r="F9801" s="8">
        <f>QS.TRADE.CREATE("trade.9799",C9801,E9801,A9801,"Receive")</f>
        <v/>
      </c>
      <c r="G9801" s="5"/>
      <c r="H9801" s="7" t="s">
        <v>9841</v>
      </c>
      <c r="I9801" s="9">
        <v>1979900</v>
      </c>
      <c r="J9801" s="10">
        <v>0.0399</v>
      </c>
    </row>
    <row r="9802" spans="1:10">
      <c r="A9802" s="7" t="s">
        <v>9835</v>
      </c>
      <c r="B9802" s="7" t="s">
        <v>11669</v>
      </c>
      <c r="C9802" s="8">
        <f>QS.CONTEXT.CREATE("market.9800",A9802,"USD","SOFR")</f>
        <v/>
      </c>
      <c r="D9802" s="8">
        <f>QS.CONTEXT.ADD.CURVE(C9802,"SOFR",$K$2:$K$7,$L$2:$L$7,,,"Actual360","LogLinear",TRUE)</f>
        <v/>
      </c>
      <c r="E9802" s="8">
        <f>QS.INSTRUMENT.SWAP("swap.9800",C9802,H9802,B9802,"USD","SOFR",I9802,J9802,0,"Actual360","Simple","Annual","Annual","Annual")</f>
        <v/>
      </c>
      <c r="F9802" s="8">
        <f>QS.TRADE.CREATE("trade.9800",C9802,E9802,A9802,"Receive")</f>
        <v/>
      </c>
      <c r="G9802" s="5"/>
      <c r="H9802" s="7" t="s">
        <v>9842</v>
      </c>
      <c r="I9802" s="9">
        <v>1980000</v>
      </c>
      <c r="J9802" s="10">
        <v>0.035</v>
      </c>
    </row>
    <row r="9803" spans="1:10">
      <c r="A9803" s="7" t="s">
        <v>9836</v>
      </c>
      <c r="B9803" s="7" t="s">
        <v>11670</v>
      </c>
      <c r="C9803" s="8">
        <f>QS.CONTEXT.CREATE("market.9801",A9803,"USD","SOFR")</f>
        <v/>
      </c>
      <c r="D9803" s="8">
        <f>QS.CONTEXT.ADD.CURVE(C9803,"SOFR",$K$2:$K$7,$L$2:$L$7,,,"Actual360","LogLinear",TRUE)</f>
        <v/>
      </c>
      <c r="E9803" s="8">
        <f>QS.INSTRUMENT.SWAP("swap.9801",C9803,H9803,B9803,"USD","SOFR",I9803,J9803,0,"Actual360","Simple","Annual","Annual","Annual")</f>
        <v/>
      </c>
      <c r="F9803" s="8">
        <f>QS.TRADE.CREATE("trade.9801",C9803,E9803,A9803,"Receive")</f>
        <v/>
      </c>
      <c r="G9803" s="5"/>
      <c r="H9803" s="7" t="s">
        <v>9843</v>
      </c>
      <c r="I9803" s="9">
        <v>1980100</v>
      </c>
      <c r="J9803" s="10">
        <v>0.03510000000000001</v>
      </c>
    </row>
    <row r="9804" spans="1:10">
      <c r="A9804" s="7" t="s">
        <v>9837</v>
      </c>
      <c r="B9804" s="7" t="s">
        <v>11671</v>
      </c>
      <c r="C9804" s="8">
        <f>QS.CONTEXT.CREATE("market.9802",A9804,"USD","SOFR")</f>
        <v/>
      </c>
      <c r="D9804" s="8">
        <f>QS.CONTEXT.ADD.CURVE(C9804,"SOFR",$K$2:$K$7,$L$2:$L$7,,,"Actual360","LogLinear",TRUE)</f>
        <v/>
      </c>
      <c r="E9804" s="8">
        <f>QS.INSTRUMENT.SWAP("swap.9802",C9804,H9804,B9804,"USD","SOFR",I9804,J9804,0,"Actual360","Simple","Annual","Annual","Annual")</f>
        <v/>
      </c>
      <c r="F9804" s="8">
        <f>QS.TRADE.CREATE("trade.9802",C9804,E9804,A9804,"Receive")</f>
        <v/>
      </c>
      <c r="G9804" s="5"/>
      <c r="H9804" s="7" t="s">
        <v>9844</v>
      </c>
      <c r="I9804" s="9">
        <v>1980200</v>
      </c>
      <c r="J9804" s="10">
        <v>0.0352</v>
      </c>
    </row>
    <row r="9805" spans="1:10">
      <c r="A9805" s="7" t="s">
        <v>9838</v>
      </c>
      <c r="B9805" s="7" t="s">
        <v>11672</v>
      </c>
      <c r="C9805" s="8">
        <f>QS.CONTEXT.CREATE("market.9803",A9805,"USD","SOFR")</f>
        <v/>
      </c>
      <c r="D9805" s="8">
        <f>QS.CONTEXT.ADD.CURVE(C9805,"SOFR",$K$2:$K$7,$L$2:$L$7,,,"Actual360","LogLinear",TRUE)</f>
        <v/>
      </c>
      <c r="E9805" s="8">
        <f>QS.INSTRUMENT.SWAP("swap.9803",C9805,H9805,B9805,"USD","SOFR",I9805,J9805,0,"Actual360","Simple","Annual","Annual","Annual")</f>
        <v/>
      </c>
      <c r="F9805" s="8">
        <f>QS.TRADE.CREATE("trade.9803",C9805,E9805,A9805,"Receive")</f>
        <v/>
      </c>
      <c r="G9805" s="5"/>
      <c r="H9805" s="7" t="s">
        <v>9845</v>
      </c>
      <c r="I9805" s="9">
        <v>1980300</v>
      </c>
      <c r="J9805" s="10">
        <v>0.0353</v>
      </c>
    </row>
    <row r="9806" spans="1:10">
      <c r="A9806" s="7" t="s">
        <v>9839</v>
      </c>
      <c r="B9806" s="7" t="s">
        <v>11673</v>
      </c>
      <c r="C9806" s="8">
        <f>QS.CONTEXT.CREATE("market.9804",A9806,"USD","SOFR")</f>
        <v/>
      </c>
      <c r="D9806" s="8">
        <f>QS.CONTEXT.ADD.CURVE(C9806,"SOFR",$K$2:$K$7,$L$2:$L$7,,,"Actual360","LogLinear",TRUE)</f>
        <v/>
      </c>
      <c r="E9806" s="8">
        <f>QS.INSTRUMENT.SWAP("swap.9804",C9806,H9806,B9806,"USD","SOFR",I9806,J9806,0,"Actual360","Simple","Annual","Annual","Annual")</f>
        <v/>
      </c>
      <c r="F9806" s="8">
        <f>QS.TRADE.CREATE("trade.9804",C9806,E9806,A9806,"Receive")</f>
        <v/>
      </c>
      <c r="G9806" s="5"/>
      <c r="H9806" s="7" t="s">
        <v>9846</v>
      </c>
      <c r="I9806" s="9">
        <v>1980400</v>
      </c>
      <c r="J9806" s="10">
        <v>0.0354</v>
      </c>
    </row>
    <row r="9807" spans="1:10">
      <c r="A9807" s="7" t="s">
        <v>9840</v>
      </c>
      <c r="B9807" s="7" t="s">
        <v>11674</v>
      </c>
      <c r="C9807" s="8">
        <f>QS.CONTEXT.CREATE("market.9805",A9807,"USD","SOFR")</f>
        <v/>
      </c>
      <c r="D9807" s="8">
        <f>QS.CONTEXT.ADD.CURVE(C9807,"SOFR",$K$2:$K$7,$L$2:$L$7,,,"Actual360","LogLinear",TRUE)</f>
        <v/>
      </c>
      <c r="E9807" s="8">
        <f>QS.INSTRUMENT.SWAP("swap.9805",C9807,H9807,B9807,"USD","SOFR",I9807,J9807,0,"Actual360","Simple","Annual","Annual","Annual")</f>
        <v/>
      </c>
      <c r="F9807" s="8">
        <f>QS.TRADE.CREATE("trade.9805",C9807,E9807,A9807,"Receive")</f>
        <v/>
      </c>
      <c r="G9807" s="5"/>
      <c r="H9807" s="7" t="s">
        <v>9847</v>
      </c>
      <c r="I9807" s="9">
        <v>1980500</v>
      </c>
      <c r="J9807" s="10">
        <v>0.0355</v>
      </c>
    </row>
    <row r="9808" spans="1:10">
      <c r="A9808" s="7" t="s">
        <v>9841</v>
      </c>
      <c r="B9808" s="7" t="s">
        <v>11675</v>
      </c>
      <c r="C9808" s="8">
        <f>QS.CONTEXT.CREATE("market.9806",A9808,"USD","SOFR")</f>
        <v/>
      </c>
      <c r="D9808" s="8">
        <f>QS.CONTEXT.ADD.CURVE(C9808,"SOFR",$K$2:$K$7,$L$2:$L$7,,,"Actual360","LogLinear",TRUE)</f>
        <v/>
      </c>
      <c r="E9808" s="8">
        <f>QS.INSTRUMENT.SWAP("swap.9806",C9808,H9808,B9808,"USD","SOFR",I9808,J9808,0,"Actual360","Simple","Annual","Annual","Annual")</f>
        <v/>
      </c>
      <c r="F9808" s="8">
        <f>QS.TRADE.CREATE("trade.9806",C9808,E9808,A9808,"Receive")</f>
        <v/>
      </c>
      <c r="G9808" s="5"/>
      <c r="H9808" s="7" t="s">
        <v>9848</v>
      </c>
      <c r="I9808" s="9">
        <v>1980600</v>
      </c>
      <c r="J9808" s="10">
        <v>0.03560000000000001</v>
      </c>
    </row>
    <row r="9809" spans="1:10">
      <c r="A9809" s="7" t="s">
        <v>9842</v>
      </c>
      <c r="B9809" s="7" t="s">
        <v>11676</v>
      </c>
      <c r="C9809" s="8">
        <f>QS.CONTEXT.CREATE("market.9807",A9809,"USD","SOFR")</f>
        <v/>
      </c>
      <c r="D9809" s="8">
        <f>QS.CONTEXT.ADD.CURVE(C9809,"SOFR",$K$2:$K$7,$L$2:$L$7,,,"Actual360","LogLinear",TRUE)</f>
        <v/>
      </c>
      <c r="E9809" s="8">
        <f>QS.INSTRUMENT.SWAP("swap.9807",C9809,H9809,B9809,"USD","SOFR",I9809,J9809,0,"Actual360","Simple","Annual","Annual","Annual")</f>
        <v/>
      </c>
      <c r="F9809" s="8">
        <f>QS.TRADE.CREATE("trade.9807",C9809,E9809,A9809,"Receive")</f>
        <v/>
      </c>
      <c r="G9809" s="5"/>
      <c r="H9809" s="7" t="s">
        <v>9849</v>
      </c>
      <c r="I9809" s="9">
        <v>1980700</v>
      </c>
      <c r="J9809" s="10">
        <v>0.0357</v>
      </c>
    </row>
    <row r="9810" spans="1:10">
      <c r="A9810" s="7" t="s">
        <v>9843</v>
      </c>
      <c r="B9810" s="7" t="s">
        <v>11677</v>
      </c>
      <c r="C9810" s="8">
        <f>QS.CONTEXT.CREATE("market.9808",A9810,"USD","SOFR")</f>
        <v/>
      </c>
      <c r="D9810" s="8">
        <f>QS.CONTEXT.ADD.CURVE(C9810,"SOFR",$K$2:$K$7,$L$2:$L$7,,,"Actual360","LogLinear",TRUE)</f>
        <v/>
      </c>
      <c r="E9810" s="8">
        <f>QS.INSTRUMENT.SWAP("swap.9808",C9810,H9810,B9810,"USD","SOFR",I9810,J9810,0,"Actual360","Simple","Annual","Annual","Annual")</f>
        <v/>
      </c>
      <c r="F9810" s="8">
        <f>QS.TRADE.CREATE("trade.9808",C9810,E9810,A9810,"Receive")</f>
        <v/>
      </c>
      <c r="G9810" s="5"/>
      <c r="H9810" s="7" t="s">
        <v>9850</v>
      </c>
      <c r="I9810" s="9">
        <v>1980800</v>
      </c>
      <c r="J9810" s="10">
        <v>0.03580000000000001</v>
      </c>
    </row>
    <row r="9811" spans="1:10">
      <c r="A9811" s="7" t="s">
        <v>9844</v>
      </c>
      <c r="B9811" s="7" t="s">
        <v>11678</v>
      </c>
      <c r="C9811" s="8">
        <f>QS.CONTEXT.CREATE("market.9809",A9811,"USD","SOFR")</f>
        <v/>
      </c>
      <c r="D9811" s="8">
        <f>QS.CONTEXT.ADD.CURVE(C9811,"SOFR",$K$2:$K$7,$L$2:$L$7,,,"Actual360","LogLinear",TRUE)</f>
        <v/>
      </c>
      <c r="E9811" s="8">
        <f>QS.INSTRUMENT.SWAP("swap.9809",C9811,H9811,B9811,"USD","SOFR",I9811,J9811,0,"Actual360","Simple","Annual","Annual","Annual")</f>
        <v/>
      </c>
      <c r="F9811" s="8">
        <f>QS.TRADE.CREATE("trade.9809",C9811,E9811,A9811,"Receive")</f>
        <v/>
      </c>
      <c r="G9811" s="5"/>
      <c r="H9811" s="7" t="s">
        <v>9851</v>
      </c>
      <c r="I9811" s="9">
        <v>1980900</v>
      </c>
      <c r="J9811" s="10">
        <v>0.0359</v>
      </c>
    </row>
    <row r="9812" spans="1:10">
      <c r="A9812" s="7" t="s">
        <v>9845</v>
      </c>
      <c r="B9812" s="7" t="s">
        <v>11679</v>
      </c>
      <c r="C9812" s="8">
        <f>QS.CONTEXT.CREATE("market.9810",A9812,"USD","SOFR")</f>
        <v/>
      </c>
      <c r="D9812" s="8">
        <f>QS.CONTEXT.ADD.CURVE(C9812,"SOFR",$K$2:$K$7,$L$2:$L$7,,,"Actual360","LogLinear",TRUE)</f>
        <v/>
      </c>
      <c r="E9812" s="8">
        <f>QS.INSTRUMENT.SWAP("swap.9810",C9812,H9812,B9812,"USD","SOFR",I9812,J9812,0,"Actual360","Simple","Annual","Annual","Annual")</f>
        <v/>
      </c>
      <c r="F9812" s="8">
        <f>QS.TRADE.CREATE("trade.9810",C9812,E9812,A9812,"Receive")</f>
        <v/>
      </c>
      <c r="G9812" s="5"/>
      <c r="H9812" s="7" t="s">
        <v>9852</v>
      </c>
      <c r="I9812" s="9">
        <v>1981000</v>
      </c>
      <c r="J9812" s="10">
        <v>0.036</v>
      </c>
    </row>
    <row r="9813" spans="1:10">
      <c r="A9813" s="7" t="s">
        <v>9846</v>
      </c>
      <c r="B9813" s="7" t="s">
        <v>11680</v>
      </c>
      <c r="C9813" s="8">
        <f>QS.CONTEXT.CREATE("market.9811",A9813,"USD","SOFR")</f>
        <v/>
      </c>
      <c r="D9813" s="8">
        <f>QS.CONTEXT.ADD.CURVE(C9813,"SOFR",$K$2:$K$7,$L$2:$L$7,,,"Actual360","LogLinear",TRUE)</f>
        <v/>
      </c>
      <c r="E9813" s="8">
        <f>QS.INSTRUMENT.SWAP("swap.9811",C9813,H9813,B9813,"USD","SOFR",I9813,J9813,0,"Actual360","Simple","Annual","Annual","Annual")</f>
        <v/>
      </c>
      <c r="F9813" s="8">
        <f>QS.TRADE.CREATE("trade.9811",C9813,E9813,A9813,"Receive")</f>
        <v/>
      </c>
      <c r="G9813" s="5"/>
      <c r="H9813" s="7" t="s">
        <v>9853</v>
      </c>
      <c r="I9813" s="9">
        <v>1981100</v>
      </c>
      <c r="J9813" s="10">
        <v>0.0361</v>
      </c>
    </row>
    <row r="9814" spans="1:10">
      <c r="A9814" s="7" t="s">
        <v>9847</v>
      </c>
      <c r="B9814" s="7" t="s">
        <v>11681</v>
      </c>
      <c r="C9814" s="8">
        <f>QS.CONTEXT.CREATE("market.9812",A9814,"USD","SOFR")</f>
        <v/>
      </c>
      <c r="D9814" s="8">
        <f>QS.CONTEXT.ADD.CURVE(C9814,"SOFR",$K$2:$K$7,$L$2:$L$7,,,"Actual360","LogLinear",TRUE)</f>
        <v/>
      </c>
      <c r="E9814" s="8">
        <f>QS.INSTRUMENT.SWAP("swap.9812",C9814,H9814,B9814,"USD","SOFR",I9814,J9814,0,"Actual360","Simple","Annual","Annual","Annual")</f>
        <v/>
      </c>
      <c r="F9814" s="8">
        <f>QS.TRADE.CREATE("trade.9812",C9814,E9814,A9814,"Receive")</f>
        <v/>
      </c>
      <c r="G9814" s="5"/>
      <c r="H9814" s="7" t="s">
        <v>9854</v>
      </c>
      <c r="I9814" s="9">
        <v>1981200</v>
      </c>
      <c r="J9814" s="10">
        <v>0.0362</v>
      </c>
    </row>
    <row r="9815" spans="1:10">
      <c r="A9815" s="7" t="s">
        <v>9848</v>
      </c>
      <c r="B9815" s="7" t="s">
        <v>11682</v>
      </c>
      <c r="C9815" s="8">
        <f>QS.CONTEXT.CREATE("market.9813",A9815,"USD","SOFR")</f>
        <v/>
      </c>
      <c r="D9815" s="8">
        <f>QS.CONTEXT.ADD.CURVE(C9815,"SOFR",$K$2:$K$7,$L$2:$L$7,,,"Actual360","LogLinear",TRUE)</f>
        <v/>
      </c>
      <c r="E9815" s="8">
        <f>QS.INSTRUMENT.SWAP("swap.9813",C9815,H9815,B9815,"USD","SOFR",I9815,J9815,0,"Actual360","Simple","Annual","Annual","Annual")</f>
        <v/>
      </c>
      <c r="F9815" s="8">
        <f>QS.TRADE.CREATE("trade.9813",C9815,E9815,A9815,"Receive")</f>
        <v/>
      </c>
      <c r="G9815" s="5"/>
      <c r="H9815" s="7" t="s">
        <v>9855</v>
      </c>
      <c r="I9815" s="9">
        <v>1981300</v>
      </c>
      <c r="J9815" s="10">
        <v>0.03630000000000001</v>
      </c>
    </row>
    <row r="9816" spans="1:10">
      <c r="A9816" s="7" t="s">
        <v>9849</v>
      </c>
      <c r="B9816" s="7" t="s">
        <v>11683</v>
      </c>
      <c r="C9816" s="8">
        <f>QS.CONTEXT.CREATE("market.9814",A9816,"USD","SOFR")</f>
        <v/>
      </c>
      <c r="D9816" s="8">
        <f>QS.CONTEXT.ADD.CURVE(C9816,"SOFR",$K$2:$K$7,$L$2:$L$7,,,"Actual360","LogLinear",TRUE)</f>
        <v/>
      </c>
      <c r="E9816" s="8">
        <f>QS.INSTRUMENT.SWAP("swap.9814",C9816,H9816,B9816,"USD","SOFR",I9816,J9816,0,"Actual360","Simple","Annual","Annual","Annual")</f>
        <v/>
      </c>
      <c r="F9816" s="8">
        <f>QS.TRADE.CREATE("trade.9814",C9816,E9816,A9816,"Receive")</f>
        <v/>
      </c>
      <c r="G9816" s="5"/>
      <c r="H9816" s="7" t="s">
        <v>9856</v>
      </c>
      <c r="I9816" s="9">
        <v>1981400</v>
      </c>
      <c r="J9816" s="10">
        <v>0.0364</v>
      </c>
    </row>
    <row r="9817" spans="1:10">
      <c r="A9817" s="7" t="s">
        <v>9850</v>
      </c>
      <c r="B9817" s="7" t="s">
        <v>11684</v>
      </c>
      <c r="C9817" s="8">
        <f>QS.CONTEXT.CREATE("market.9815",A9817,"USD","SOFR")</f>
        <v/>
      </c>
      <c r="D9817" s="8">
        <f>QS.CONTEXT.ADD.CURVE(C9817,"SOFR",$K$2:$K$7,$L$2:$L$7,,,"Actual360","LogLinear",TRUE)</f>
        <v/>
      </c>
      <c r="E9817" s="8">
        <f>QS.INSTRUMENT.SWAP("swap.9815",C9817,H9817,B9817,"USD","SOFR",I9817,J9817,0,"Actual360","Simple","Annual","Annual","Annual")</f>
        <v/>
      </c>
      <c r="F9817" s="8">
        <f>QS.TRADE.CREATE("trade.9815",C9817,E9817,A9817,"Receive")</f>
        <v/>
      </c>
      <c r="G9817" s="5"/>
      <c r="H9817" s="7" t="s">
        <v>9857</v>
      </c>
      <c r="I9817" s="9">
        <v>1981500</v>
      </c>
      <c r="J9817" s="10">
        <v>0.0365</v>
      </c>
    </row>
    <row r="9818" spans="1:10">
      <c r="A9818" s="7" t="s">
        <v>9851</v>
      </c>
      <c r="B9818" s="7" t="s">
        <v>11685</v>
      </c>
      <c r="C9818" s="8">
        <f>QS.CONTEXT.CREATE("market.9816",A9818,"USD","SOFR")</f>
        <v/>
      </c>
      <c r="D9818" s="8">
        <f>QS.CONTEXT.ADD.CURVE(C9818,"SOFR",$K$2:$K$7,$L$2:$L$7,,,"Actual360","LogLinear",TRUE)</f>
        <v/>
      </c>
      <c r="E9818" s="8">
        <f>QS.INSTRUMENT.SWAP("swap.9816",C9818,H9818,B9818,"USD","SOFR",I9818,J9818,0,"Actual360","Simple","Annual","Annual","Annual")</f>
        <v/>
      </c>
      <c r="F9818" s="8">
        <f>QS.TRADE.CREATE("trade.9816",C9818,E9818,A9818,"Receive")</f>
        <v/>
      </c>
      <c r="G9818" s="5"/>
      <c r="H9818" s="7" t="s">
        <v>9858</v>
      </c>
      <c r="I9818" s="9">
        <v>1981600</v>
      </c>
      <c r="J9818" s="10">
        <v>0.0366</v>
      </c>
    </row>
    <row r="9819" spans="1:10">
      <c r="A9819" s="7" t="s">
        <v>9852</v>
      </c>
      <c r="B9819" s="7" t="s">
        <v>11686</v>
      </c>
      <c r="C9819" s="8">
        <f>QS.CONTEXT.CREATE("market.9817",A9819,"USD","SOFR")</f>
        <v/>
      </c>
      <c r="D9819" s="8">
        <f>QS.CONTEXT.ADD.CURVE(C9819,"SOFR",$K$2:$K$7,$L$2:$L$7,,,"Actual360","LogLinear",TRUE)</f>
        <v/>
      </c>
      <c r="E9819" s="8">
        <f>QS.INSTRUMENT.SWAP("swap.9817",C9819,H9819,B9819,"USD","SOFR",I9819,J9819,0,"Actual360","Simple","Annual","Annual","Annual")</f>
        <v/>
      </c>
      <c r="F9819" s="8">
        <f>QS.TRADE.CREATE("trade.9817",C9819,E9819,A9819,"Receive")</f>
        <v/>
      </c>
      <c r="G9819" s="5"/>
      <c r="H9819" s="7" t="s">
        <v>9859</v>
      </c>
      <c r="I9819" s="9">
        <v>1981700</v>
      </c>
      <c r="J9819" s="10">
        <v>0.0367</v>
      </c>
    </row>
    <row r="9820" spans="1:10">
      <c r="A9820" s="7" t="s">
        <v>9853</v>
      </c>
      <c r="B9820" s="7" t="s">
        <v>11687</v>
      </c>
      <c r="C9820" s="8">
        <f>QS.CONTEXT.CREATE("market.9818",A9820,"USD","SOFR")</f>
        <v/>
      </c>
      <c r="D9820" s="8">
        <f>QS.CONTEXT.ADD.CURVE(C9820,"SOFR",$K$2:$K$7,$L$2:$L$7,,,"Actual360","LogLinear",TRUE)</f>
        <v/>
      </c>
      <c r="E9820" s="8">
        <f>QS.INSTRUMENT.SWAP("swap.9818",C9820,H9820,B9820,"USD","SOFR",I9820,J9820,0,"Actual360","Simple","Annual","Annual","Annual")</f>
        <v/>
      </c>
      <c r="F9820" s="8">
        <f>QS.TRADE.CREATE("trade.9818",C9820,E9820,A9820,"Receive")</f>
        <v/>
      </c>
      <c r="G9820" s="5"/>
      <c r="H9820" s="7" t="s">
        <v>9860</v>
      </c>
      <c r="I9820" s="9">
        <v>1981800</v>
      </c>
      <c r="J9820" s="10">
        <v>0.03680000000000001</v>
      </c>
    </row>
    <row r="9821" spans="1:10">
      <c r="A9821" s="7" t="s">
        <v>9854</v>
      </c>
      <c r="B9821" s="7" t="s">
        <v>11688</v>
      </c>
      <c r="C9821" s="8">
        <f>QS.CONTEXT.CREATE("market.9819",A9821,"USD","SOFR")</f>
        <v/>
      </c>
      <c r="D9821" s="8">
        <f>QS.CONTEXT.ADD.CURVE(C9821,"SOFR",$K$2:$K$7,$L$2:$L$7,,,"Actual360","LogLinear",TRUE)</f>
        <v/>
      </c>
      <c r="E9821" s="8">
        <f>QS.INSTRUMENT.SWAP("swap.9819",C9821,H9821,B9821,"USD","SOFR",I9821,J9821,0,"Actual360","Simple","Annual","Annual","Annual")</f>
        <v/>
      </c>
      <c r="F9821" s="8">
        <f>QS.TRADE.CREATE("trade.9819",C9821,E9821,A9821,"Receive")</f>
        <v/>
      </c>
      <c r="G9821" s="5"/>
      <c r="H9821" s="7" t="s">
        <v>9861</v>
      </c>
      <c r="I9821" s="9">
        <v>1981900</v>
      </c>
      <c r="J9821" s="10">
        <v>0.0369</v>
      </c>
    </row>
    <row r="9822" spans="1:10">
      <c r="A9822" s="7" t="s">
        <v>9855</v>
      </c>
      <c r="B9822" s="7" t="s">
        <v>11689</v>
      </c>
      <c r="C9822" s="8">
        <f>QS.CONTEXT.CREATE("market.9820",A9822,"USD","SOFR")</f>
        <v/>
      </c>
      <c r="D9822" s="8">
        <f>QS.CONTEXT.ADD.CURVE(C9822,"SOFR",$K$2:$K$7,$L$2:$L$7,,,"Actual360","LogLinear",TRUE)</f>
        <v/>
      </c>
      <c r="E9822" s="8">
        <f>QS.INSTRUMENT.SWAP("swap.9820",C9822,H9822,B9822,"USD","SOFR",I9822,J9822,0,"Actual360","Simple","Annual","Annual","Annual")</f>
        <v/>
      </c>
      <c r="F9822" s="8">
        <f>QS.TRADE.CREATE("trade.9820",C9822,E9822,A9822,"Receive")</f>
        <v/>
      </c>
      <c r="G9822" s="5"/>
      <c r="H9822" s="7" t="s">
        <v>9862</v>
      </c>
      <c r="I9822" s="9">
        <v>1982000</v>
      </c>
      <c r="J9822" s="10">
        <v>0.03700000000000001</v>
      </c>
    </row>
    <row r="9823" spans="1:10">
      <c r="A9823" s="7" t="s">
        <v>9856</v>
      </c>
      <c r="B9823" s="7" t="s">
        <v>11690</v>
      </c>
      <c r="C9823" s="8">
        <f>QS.CONTEXT.CREATE("market.9821",A9823,"USD","SOFR")</f>
        <v/>
      </c>
      <c r="D9823" s="8">
        <f>QS.CONTEXT.ADD.CURVE(C9823,"SOFR",$K$2:$K$7,$L$2:$L$7,,,"Actual360","LogLinear",TRUE)</f>
        <v/>
      </c>
      <c r="E9823" s="8">
        <f>QS.INSTRUMENT.SWAP("swap.9821",C9823,H9823,B9823,"USD","SOFR",I9823,J9823,0,"Actual360","Simple","Annual","Annual","Annual")</f>
        <v/>
      </c>
      <c r="F9823" s="8">
        <f>QS.TRADE.CREATE("trade.9821",C9823,E9823,A9823,"Receive")</f>
        <v/>
      </c>
      <c r="G9823" s="5"/>
      <c r="H9823" s="7" t="s">
        <v>9863</v>
      </c>
      <c r="I9823" s="9">
        <v>1982100</v>
      </c>
      <c r="J9823" s="10">
        <v>0.0371</v>
      </c>
    </row>
    <row r="9824" spans="1:10">
      <c r="A9824" s="7" t="s">
        <v>9857</v>
      </c>
      <c r="B9824" s="7" t="s">
        <v>11691</v>
      </c>
      <c r="C9824" s="8">
        <f>QS.CONTEXT.CREATE("market.9822",A9824,"USD","SOFR")</f>
        <v/>
      </c>
      <c r="D9824" s="8">
        <f>QS.CONTEXT.ADD.CURVE(C9824,"SOFR",$K$2:$K$7,$L$2:$L$7,,,"Actual360","LogLinear",TRUE)</f>
        <v/>
      </c>
      <c r="E9824" s="8">
        <f>QS.INSTRUMENT.SWAP("swap.9822",C9824,H9824,B9824,"USD","SOFR",I9824,J9824,0,"Actual360","Simple","Annual","Annual","Annual")</f>
        <v/>
      </c>
      <c r="F9824" s="8">
        <f>QS.TRADE.CREATE("trade.9822",C9824,E9824,A9824,"Receive")</f>
        <v/>
      </c>
      <c r="G9824" s="5"/>
      <c r="H9824" s="7" t="s">
        <v>9864</v>
      </c>
      <c r="I9824" s="9">
        <v>1982200</v>
      </c>
      <c r="J9824" s="10">
        <v>0.0372</v>
      </c>
    </row>
    <row r="9825" spans="1:10">
      <c r="A9825" s="7" t="s">
        <v>9858</v>
      </c>
      <c r="B9825" s="7" t="s">
        <v>11692</v>
      </c>
      <c r="C9825" s="8">
        <f>QS.CONTEXT.CREATE("market.9823",A9825,"USD","SOFR")</f>
        <v/>
      </c>
      <c r="D9825" s="8">
        <f>QS.CONTEXT.ADD.CURVE(C9825,"SOFR",$K$2:$K$7,$L$2:$L$7,,,"Actual360","LogLinear",TRUE)</f>
        <v/>
      </c>
      <c r="E9825" s="8">
        <f>QS.INSTRUMENT.SWAP("swap.9823",C9825,H9825,B9825,"USD","SOFR",I9825,J9825,0,"Actual360","Simple","Annual","Annual","Annual")</f>
        <v/>
      </c>
      <c r="F9825" s="8">
        <f>QS.TRADE.CREATE("trade.9823",C9825,E9825,A9825,"Receive")</f>
        <v/>
      </c>
      <c r="G9825" s="5"/>
      <c r="H9825" s="7" t="s">
        <v>9865</v>
      </c>
      <c r="I9825" s="9">
        <v>1982300</v>
      </c>
      <c r="J9825" s="10">
        <v>0.0373</v>
      </c>
    </row>
    <row r="9826" spans="1:10">
      <c r="A9826" s="7" t="s">
        <v>9859</v>
      </c>
      <c r="B9826" s="7" t="s">
        <v>11693</v>
      </c>
      <c r="C9826" s="8">
        <f>QS.CONTEXT.CREATE("market.9824",A9826,"USD","SOFR")</f>
        <v/>
      </c>
      <c r="D9826" s="8">
        <f>QS.CONTEXT.ADD.CURVE(C9826,"SOFR",$K$2:$K$7,$L$2:$L$7,,,"Actual360","LogLinear",TRUE)</f>
        <v/>
      </c>
      <c r="E9826" s="8">
        <f>QS.INSTRUMENT.SWAP("swap.9824",C9826,H9826,B9826,"USD","SOFR",I9826,J9826,0,"Actual360","Simple","Annual","Annual","Annual")</f>
        <v/>
      </c>
      <c r="F9826" s="8">
        <f>QS.TRADE.CREATE("trade.9824",C9826,E9826,A9826,"Receive")</f>
        <v/>
      </c>
      <c r="G9826" s="5"/>
      <c r="H9826" s="7" t="s">
        <v>9866</v>
      </c>
      <c r="I9826" s="9">
        <v>1982400</v>
      </c>
      <c r="J9826" s="10">
        <v>0.0374</v>
      </c>
    </row>
    <row r="9827" spans="1:10">
      <c r="A9827" s="7" t="s">
        <v>9860</v>
      </c>
      <c r="B9827" s="7" t="s">
        <v>11694</v>
      </c>
      <c r="C9827" s="8">
        <f>QS.CONTEXT.CREATE("market.9825",A9827,"USD","SOFR")</f>
        <v/>
      </c>
      <c r="D9827" s="8">
        <f>QS.CONTEXT.ADD.CURVE(C9827,"SOFR",$K$2:$K$7,$L$2:$L$7,,,"Actual360","LogLinear",TRUE)</f>
        <v/>
      </c>
      <c r="E9827" s="8">
        <f>QS.INSTRUMENT.SWAP("swap.9825",C9827,H9827,B9827,"USD","SOFR",I9827,J9827,0,"Actual360","Simple","Annual","Annual","Annual")</f>
        <v/>
      </c>
      <c r="F9827" s="8">
        <f>QS.TRADE.CREATE("trade.9825",C9827,E9827,A9827,"Receive")</f>
        <v/>
      </c>
      <c r="G9827" s="5"/>
      <c r="H9827" s="7" t="s">
        <v>9867</v>
      </c>
      <c r="I9827" s="9">
        <v>1982500</v>
      </c>
      <c r="J9827" s="10">
        <v>0.03750000000000001</v>
      </c>
    </row>
    <row r="9828" spans="1:10">
      <c r="A9828" s="7" t="s">
        <v>9861</v>
      </c>
      <c r="B9828" s="7" t="s">
        <v>11695</v>
      </c>
      <c r="C9828" s="8">
        <f>QS.CONTEXT.CREATE("market.9826",A9828,"USD","SOFR")</f>
        <v/>
      </c>
      <c r="D9828" s="8">
        <f>QS.CONTEXT.ADD.CURVE(C9828,"SOFR",$K$2:$K$7,$L$2:$L$7,,,"Actual360","LogLinear",TRUE)</f>
        <v/>
      </c>
      <c r="E9828" s="8">
        <f>QS.INSTRUMENT.SWAP("swap.9826",C9828,H9828,B9828,"USD","SOFR",I9828,J9828,0,"Actual360","Simple","Annual","Annual","Annual")</f>
        <v/>
      </c>
      <c r="F9828" s="8">
        <f>QS.TRADE.CREATE("trade.9826",C9828,E9828,A9828,"Receive")</f>
        <v/>
      </c>
      <c r="G9828" s="5"/>
      <c r="H9828" s="7" t="s">
        <v>9868</v>
      </c>
      <c r="I9828" s="9">
        <v>1982600</v>
      </c>
      <c r="J9828" s="10">
        <v>0.0376</v>
      </c>
    </row>
    <row r="9829" spans="1:10">
      <c r="A9829" s="7" t="s">
        <v>9862</v>
      </c>
      <c r="B9829" s="7" t="s">
        <v>11696</v>
      </c>
      <c r="C9829" s="8">
        <f>QS.CONTEXT.CREATE("market.9827",A9829,"USD","SOFR")</f>
        <v/>
      </c>
      <c r="D9829" s="8">
        <f>QS.CONTEXT.ADD.CURVE(C9829,"SOFR",$K$2:$K$7,$L$2:$L$7,,,"Actual360","LogLinear",TRUE)</f>
        <v/>
      </c>
      <c r="E9829" s="8">
        <f>QS.INSTRUMENT.SWAP("swap.9827",C9829,H9829,B9829,"USD","SOFR",I9829,J9829,0,"Actual360","Simple","Annual","Annual","Annual")</f>
        <v/>
      </c>
      <c r="F9829" s="8">
        <f>QS.TRADE.CREATE("trade.9827",C9829,E9829,A9829,"Receive")</f>
        <v/>
      </c>
      <c r="G9829" s="5"/>
      <c r="H9829" s="7" t="s">
        <v>9869</v>
      </c>
      <c r="I9829" s="9">
        <v>1982700</v>
      </c>
      <c r="J9829" s="10">
        <v>0.0377</v>
      </c>
    </row>
    <row r="9830" spans="1:10">
      <c r="A9830" s="7" t="s">
        <v>9863</v>
      </c>
      <c r="B9830" s="7" t="s">
        <v>11697</v>
      </c>
      <c r="C9830" s="8">
        <f>QS.CONTEXT.CREATE("market.9828",A9830,"USD","SOFR")</f>
        <v/>
      </c>
      <c r="D9830" s="8">
        <f>QS.CONTEXT.ADD.CURVE(C9830,"SOFR",$K$2:$K$7,$L$2:$L$7,,,"Actual360","LogLinear",TRUE)</f>
        <v/>
      </c>
      <c r="E9830" s="8">
        <f>QS.INSTRUMENT.SWAP("swap.9828",C9830,H9830,B9830,"USD","SOFR",I9830,J9830,0,"Actual360","Simple","Annual","Annual","Annual")</f>
        <v/>
      </c>
      <c r="F9830" s="8">
        <f>QS.TRADE.CREATE("trade.9828",C9830,E9830,A9830,"Receive")</f>
        <v/>
      </c>
      <c r="G9830" s="5"/>
      <c r="H9830" s="7" t="s">
        <v>9870</v>
      </c>
      <c r="I9830" s="9">
        <v>1982800</v>
      </c>
      <c r="J9830" s="10">
        <v>0.0378</v>
      </c>
    </row>
    <row r="9831" spans="1:10">
      <c r="A9831" s="7" t="s">
        <v>9864</v>
      </c>
      <c r="B9831" s="7" t="s">
        <v>11698</v>
      </c>
      <c r="C9831" s="8">
        <f>QS.CONTEXT.CREATE("market.9829",A9831,"USD","SOFR")</f>
        <v/>
      </c>
      <c r="D9831" s="8">
        <f>QS.CONTEXT.ADD.CURVE(C9831,"SOFR",$K$2:$K$7,$L$2:$L$7,,,"Actual360","LogLinear",TRUE)</f>
        <v/>
      </c>
      <c r="E9831" s="8">
        <f>QS.INSTRUMENT.SWAP("swap.9829",C9831,H9831,B9831,"USD","SOFR",I9831,J9831,0,"Actual360","Simple","Annual","Annual","Annual")</f>
        <v/>
      </c>
      <c r="F9831" s="8">
        <f>QS.TRADE.CREATE("trade.9829",C9831,E9831,A9831,"Receive")</f>
        <v/>
      </c>
      <c r="G9831" s="5"/>
      <c r="H9831" s="7" t="s">
        <v>9871</v>
      </c>
      <c r="I9831" s="9">
        <v>1982900</v>
      </c>
      <c r="J9831" s="10">
        <v>0.0379</v>
      </c>
    </row>
    <row r="9832" spans="1:10">
      <c r="A9832" s="7" t="s">
        <v>9865</v>
      </c>
      <c r="B9832" s="7" t="s">
        <v>11699</v>
      </c>
      <c r="C9832" s="8">
        <f>QS.CONTEXT.CREATE("market.9830",A9832,"USD","SOFR")</f>
        <v/>
      </c>
      <c r="D9832" s="8">
        <f>QS.CONTEXT.ADD.CURVE(C9832,"SOFR",$K$2:$K$7,$L$2:$L$7,,,"Actual360","LogLinear",TRUE)</f>
        <v/>
      </c>
      <c r="E9832" s="8">
        <f>QS.INSTRUMENT.SWAP("swap.9830",C9832,H9832,B9832,"USD","SOFR",I9832,J9832,0,"Actual360","Simple","Annual","Annual","Annual")</f>
        <v/>
      </c>
      <c r="F9832" s="8">
        <f>QS.TRADE.CREATE("trade.9830",C9832,E9832,A9832,"Receive")</f>
        <v/>
      </c>
      <c r="G9832" s="5"/>
      <c r="H9832" s="7" t="s">
        <v>9872</v>
      </c>
      <c r="I9832" s="9">
        <v>1983000</v>
      </c>
      <c r="J9832" s="10">
        <v>0.03800000000000001</v>
      </c>
    </row>
    <row r="9833" spans="1:10">
      <c r="A9833" s="7" t="s">
        <v>9866</v>
      </c>
      <c r="B9833" s="7" t="s">
        <v>11700</v>
      </c>
      <c r="C9833" s="8">
        <f>QS.CONTEXT.CREATE("market.9831",A9833,"USD","SOFR")</f>
        <v/>
      </c>
      <c r="D9833" s="8">
        <f>QS.CONTEXT.ADD.CURVE(C9833,"SOFR",$K$2:$K$7,$L$2:$L$7,,,"Actual360","LogLinear",TRUE)</f>
        <v/>
      </c>
      <c r="E9833" s="8">
        <f>QS.INSTRUMENT.SWAP("swap.9831",C9833,H9833,B9833,"USD","SOFR",I9833,J9833,0,"Actual360","Simple","Annual","Annual","Annual")</f>
        <v/>
      </c>
      <c r="F9833" s="8">
        <f>QS.TRADE.CREATE("trade.9831",C9833,E9833,A9833,"Receive")</f>
        <v/>
      </c>
      <c r="G9833" s="5"/>
      <c r="H9833" s="7" t="s">
        <v>9873</v>
      </c>
      <c r="I9833" s="9">
        <v>1983100</v>
      </c>
      <c r="J9833" s="10">
        <v>0.0381</v>
      </c>
    </row>
    <row r="9834" spans="1:10">
      <c r="A9834" s="7" t="s">
        <v>9867</v>
      </c>
      <c r="B9834" s="7" t="s">
        <v>11701</v>
      </c>
      <c r="C9834" s="8">
        <f>QS.CONTEXT.CREATE("market.9832",A9834,"USD","SOFR")</f>
        <v/>
      </c>
      <c r="D9834" s="8">
        <f>QS.CONTEXT.ADD.CURVE(C9834,"SOFR",$K$2:$K$7,$L$2:$L$7,,,"Actual360","LogLinear",TRUE)</f>
        <v/>
      </c>
      <c r="E9834" s="8">
        <f>QS.INSTRUMENT.SWAP("swap.9832",C9834,H9834,B9834,"USD","SOFR",I9834,J9834,0,"Actual360","Simple","Annual","Annual","Annual")</f>
        <v/>
      </c>
      <c r="F9834" s="8">
        <f>QS.TRADE.CREATE("trade.9832",C9834,E9834,A9834,"Receive")</f>
        <v/>
      </c>
      <c r="G9834" s="5"/>
      <c r="H9834" s="7" t="s">
        <v>9874</v>
      </c>
      <c r="I9834" s="9">
        <v>1983200</v>
      </c>
      <c r="J9834" s="10">
        <v>0.0382</v>
      </c>
    </row>
    <row r="9835" spans="1:10">
      <c r="A9835" s="7" t="s">
        <v>9868</v>
      </c>
      <c r="B9835" s="7" t="s">
        <v>11702</v>
      </c>
      <c r="C9835" s="8">
        <f>QS.CONTEXT.CREATE("market.9833",A9835,"USD","SOFR")</f>
        <v/>
      </c>
      <c r="D9835" s="8">
        <f>QS.CONTEXT.ADD.CURVE(C9835,"SOFR",$K$2:$K$7,$L$2:$L$7,,,"Actual360","LogLinear",TRUE)</f>
        <v/>
      </c>
      <c r="E9835" s="8">
        <f>QS.INSTRUMENT.SWAP("swap.9833",C9835,H9835,B9835,"USD","SOFR",I9835,J9835,0,"Actual360","Simple","Annual","Annual","Annual")</f>
        <v/>
      </c>
      <c r="F9835" s="8">
        <f>QS.TRADE.CREATE("trade.9833",C9835,E9835,A9835,"Receive")</f>
        <v/>
      </c>
      <c r="G9835" s="5"/>
      <c r="H9835" s="7" t="s">
        <v>9875</v>
      </c>
      <c r="I9835" s="9">
        <v>1983300</v>
      </c>
      <c r="J9835" s="10">
        <v>0.0383</v>
      </c>
    </row>
    <row r="9836" spans="1:10">
      <c r="A9836" s="7" t="s">
        <v>9869</v>
      </c>
      <c r="B9836" s="7" t="s">
        <v>11703</v>
      </c>
      <c r="C9836" s="8">
        <f>QS.CONTEXT.CREATE("market.9834",A9836,"USD","SOFR")</f>
        <v/>
      </c>
      <c r="D9836" s="8">
        <f>QS.CONTEXT.ADD.CURVE(C9836,"SOFR",$K$2:$K$7,$L$2:$L$7,,,"Actual360","LogLinear",TRUE)</f>
        <v/>
      </c>
      <c r="E9836" s="8">
        <f>QS.INSTRUMENT.SWAP("swap.9834",C9836,H9836,B9836,"USD","SOFR",I9836,J9836,0,"Actual360","Simple","Annual","Annual","Annual")</f>
        <v/>
      </c>
      <c r="F9836" s="8">
        <f>QS.TRADE.CREATE("trade.9834",C9836,E9836,A9836,"Receive")</f>
        <v/>
      </c>
      <c r="G9836" s="5"/>
      <c r="H9836" s="7" t="s">
        <v>9876</v>
      </c>
      <c r="I9836" s="9">
        <v>1983400</v>
      </c>
      <c r="J9836" s="10">
        <v>0.0384</v>
      </c>
    </row>
    <row r="9837" spans="1:10">
      <c r="A9837" s="7" t="s">
        <v>9870</v>
      </c>
      <c r="B9837" s="7" t="s">
        <v>11704</v>
      </c>
      <c r="C9837" s="8">
        <f>QS.CONTEXT.CREATE("market.9835",A9837,"USD","SOFR")</f>
        <v/>
      </c>
      <c r="D9837" s="8">
        <f>QS.CONTEXT.ADD.CURVE(C9837,"SOFR",$K$2:$K$7,$L$2:$L$7,,,"Actual360","LogLinear",TRUE)</f>
        <v/>
      </c>
      <c r="E9837" s="8">
        <f>QS.INSTRUMENT.SWAP("swap.9835",C9837,H9837,B9837,"USD","SOFR",I9837,J9837,0,"Actual360","Simple","Annual","Annual","Annual")</f>
        <v/>
      </c>
      <c r="F9837" s="8">
        <f>QS.TRADE.CREATE("trade.9835",C9837,E9837,A9837,"Receive")</f>
        <v/>
      </c>
      <c r="G9837" s="5"/>
      <c r="H9837" s="7" t="s">
        <v>9877</v>
      </c>
      <c r="I9837" s="9">
        <v>1983500</v>
      </c>
      <c r="J9837" s="10">
        <v>0.03850000000000001</v>
      </c>
    </row>
    <row r="9838" spans="1:10">
      <c r="A9838" s="7" t="s">
        <v>9871</v>
      </c>
      <c r="B9838" s="7" t="s">
        <v>11705</v>
      </c>
      <c r="C9838" s="8">
        <f>QS.CONTEXT.CREATE("market.9836",A9838,"USD","SOFR")</f>
        <v/>
      </c>
      <c r="D9838" s="8">
        <f>QS.CONTEXT.ADD.CURVE(C9838,"SOFR",$K$2:$K$7,$L$2:$L$7,,,"Actual360","LogLinear",TRUE)</f>
        <v/>
      </c>
      <c r="E9838" s="8">
        <f>QS.INSTRUMENT.SWAP("swap.9836",C9838,H9838,B9838,"USD","SOFR",I9838,J9838,0,"Actual360","Simple","Annual","Annual","Annual")</f>
        <v/>
      </c>
      <c r="F9838" s="8">
        <f>QS.TRADE.CREATE("trade.9836",C9838,E9838,A9838,"Receive")</f>
        <v/>
      </c>
      <c r="G9838" s="5"/>
      <c r="H9838" s="7" t="s">
        <v>9878</v>
      </c>
      <c r="I9838" s="9">
        <v>1983600</v>
      </c>
      <c r="J9838" s="10">
        <v>0.0386</v>
      </c>
    </row>
    <row r="9839" spans="1:10">
      <c r="A9839" s="7" t="s">
        <v>9872</v>
      </c>
      <c r="B9839" s="7" t="s">
        <v>11706</v>
      </c>
      <c r="C9839" s="8">
        <f>QS.CONTEXT.CREATE("market.9837",A9839,"USD","SOFR")</f>
        <v/>
      </c>
      <c r="D9839" s="8">
        <f>QS.CONTEXT.ADD.CURVE(C9839,"SOFR",$K$2:$K$7,$L$2:$L$7,,,"Actual360","LogLinear",TRUE)</f>
        <v/>
      </c>
      <c r="E9839" s="8">
        <f>QS.INSTRUMENT.SWAP("swap.9837",C9839,H9839,B9839,"USD","SOFR",I9839,J9839,0,"Actual360","Simple","Annual","Annual","Annual")</f>
        <v/>
      </c>
      <c r="F9839" s="8">
        <f>QS.TRADE.CREATE("trade.9837",C9839,E9839,A9839,"Receive")</f>
        <v/>
      </c>
      <c r="G9839" s="5"/>
      <c r="H9839" s="7" t="s">
        <v>9879</v>
      </c>
      <c r="I9839" s="9">
        <v>1983700</v>
      </c>
      <c r="J9839" s="10">
        <v>0.03870000000000001</v>
      </c>
    </row>
    <row r="9840" spans="1:10">
      <c r="A9840" s="7" t="s">
        <v>9873</v>
      </c>
      <c r="B9840" s="7" t="s">
        <v>11707</v>
      </c>
      <c r="C9840" s="8">
        <f>QS.CONTEXT.CREATE("market.9838",A9840,"USD","SOFR")</f>
        <v/>
      </c>
      <c r="D9840" s="8">
        <f>QS.CONTEXT.ADD.CURVE(C9840,"SOFR",$K$2:$K$7,$L$2:$L$7,,,"Actual360","LogLinear",TRUE)</f>
        <v/>
      </c>
      <c r="E9840" s="8">
        <f>QS.INSTRUMENT.SWAP("swap.9838",C9840,H9840,B9840,"USD","SOFR",I9840,J9840,0,"Actual360","Simple","Annual","Annual","Annual")</f>
        <v/>
      </c>
      <c r="F9840" s="8">
        <f>QS.TRADE.CREATE("trade.9838",C9840,E9840,A9840,"Receive")</f>
        <v/>
      </c>
      <c r="G9840" s="5"/>
      <c r="H9840" s="7" t="s">
        <v>9880</v>
      </c>
      <c r="I9840" s="9">
        <v>1983800</v>
      </c>
      <c r="J9840" s="10">
        <v>0.0388</v>
      </c>
    </row>
    <row r="9841" spans="1:10">
      <c r="A9841" s="7" t="s">
        <v>9874</v>
      </c>
      <c r="B9841" s="7" t="s">
        <v>11708</v>
      </c>
      <c r="C9841" s="8">
        <f>QS.CONTEXT.CREATE("market.9839",A9841,"USD","SOFR")</f>
        <v/>
      </c>
      <c r="D9841" s="8">
        <f>QS.CONTEXT.ADD.CURVE(C9841,"SOFR",$K$2:$K$7,$L$2:$L$7,,,"Actual360","LogLinear",TRUE)</f>
        <v/>
      </c>
      <c r="E9841" s="8">
        <f>QS.INSTRUMENT.SWAP("swap.9839",C9841,H9841,B9841,"USD","SOFR",I9841,J9841,0,"Actual360","Simple","Annual","Annual","Annual")</f>
        <v/>
      </c>
      <c r="F9841" s="8">
        <f>QS.TRADE.CREATE("trade.9839",C9841,E9841,A9841,"Receive")</f>
        <v/>
      </c>
      <c r="G9841" s="5"/>
      <c r="H9841" s="7" t="s">
        <v>9881</v>
      </c>
      <c r="I9841" s="9">
        <v>1983900</v>
      </c>
      <c r="J9841" s="10">
        <v>0.0389</v>
      </c>
    </row>
    <row r="9842" spans="1:10">
      <c r="A9842" s="7" t="s">
        <v>9875</v>
      </c>
      <c r="B9842" s="7" t="s">
        <v>11709</v>
      </c>
      <c r="C9842" s="8">
        <f>QS.CONTEXT.CREATE("market.9840",A9842,"USD","SOFR")</f>
        <v/>
      </c>
      <c r="D9842" s="8">
        <f>QS.CONTEXT.ADD.CURVE(C9842,"SOFR",$K$2:$K$7,$L$2:$L$7,,,"Actual360","LogLinear",TRUE)</f>
        <v/>
      </c>
      <c r="E9842" s="8">
        <f>QS.INSTRUMENT.SWAP("swap.9840",C9842,H9842,B9842,"USD","SOFR",I9842,J9842,0,"Actual360","Simple","Annual","Annual","Annual")</f>
        <v/>
      </c>
      <c r="F9842" s="8">
        <f>QS.TRADE.CREATE("trade.9840",C9842,E9842,A9842,"Receive")</f>
        <v/>
      </c>
      <c r="G9842" s="5"/>
      <c r="H9842" s="7" t="s">
        <v>9882</v>
      </c>
      <c r="I9842" s="9">
        <v>1984000</v>
      </c>
      <c r="J9842" s="10">
        <v>0.03900000000000001</v>
      </c>
    </row>
    <row r="9843" spans="1:10">
      <c r="A9843" s="7" t="s">
        <v>9876</v>
      </c>
      <c r="B9843" s="7" t="s">
        <v>11710</v>
      </c>
      <c r="C9843" s="8">
        <f>QS.CONTEXT.CREATE("market.9841",A9843,"USD","SOFR")</f>
        <v/>
      </c>
      <c r="D9843" s="8">
        <f>QS.CONTEXT.ADD.CURVE(C9843,"SOFR",$K$2:$K$7,$L$2:$L$7,,,"Actual360","LogLinear",TRUE)</f>
        <v/>
      </c>
      <c r="E9843" s="8">
        <f>QS.INSTRUMENT.SWAP("swap.9841",C9843,H9843,B9843,"USD","SOFR",I9843,J9843,0,"Actual360","Simple","Annual","Annual","Annual")</f>
        <v/>
      </c>
      <c r="F9843" s="8">
        <f>QS.TRADE.CREATE("trade.9841",C9843,E9843,A9843,"Receive")</f>
        <v/>
      </c>
      <c r="G9843" s="5"/>
      <c r="H9843" s="7" t="s">
        <v>9883</v>
      </c>
      <c r="I9843" s="9">
        <v>1984100</v>
      </c>
      <c r="J9843" s="10">
        <v>0.0391</v>
      </c>
    </row>
    <row r="9844" spans="1:10">
      <c r="A9844" s="7" t="s">
        <v>9877</v>
      </c>
      <c r="B9844" s="7" t="s">
        <v>11711</v>
      </c>
      <c r="C9844" s="8">
        <f>QS.CONTEXT.CREATE("market.9842",A9844,"USD","SOFR")</f>
        <v/>
      </c>
      <c r="D9844" s="8">
        <f>QS.CONTEXT.ADD.CURVE(C9844,"SOFR",$K$2:$K$7,$L$2:$L$7,,,"Actual360","LogLinear",TRUE)</f>
        <v/>
      </c>
      <c r="E9844" s="8">
        <f>QS.INSTRUMENT.SWAP("swap.9842",C9844,H9844,B9844,"USD","SOFR",I9844,J9844,0,"Actual360","Simple","Annual","Annual","Annual")</f>
        <v/>
      </c>
      <c r="F9844" s="8">
        <f>QS.TRADE.CREATE("trade.9842",C9844,E9844,A9844,"Receive")</f>
        <v/>
      </c>
      <c r="G9844" s="5"/>
      <c r="H9844" s="7" t="s">
        <v>9884</v>
      </c>
      <c r="I9844" s="9">
        <v>1984200</v>
      </c>
      <c r="J9844" s="10">
        <v>0.03920000000000001</v>
      </c>
    </row>
    <row r="9845" spans="1:10">
      <c r="A9845" s="7" t="s">
        <v>9878</v>
      </c>
      <c r="B9845" s="7" t="s">
        <v>11712</v>
      </c>
      <c r="C9845" s="8">
        <f>QS.CONTEXT.CREATE("market.9843",A9845,"USD","SOFR")</f>
        <v/>
      </c>
      <c r="D9845" s="8">
        <f>QS.CONTEXT.ADD.CURVE(C9845,"SOFR",$K$2:$K$7,$L$2:$L$7,,,"Actual360","LogLinear",TRUE)</f>
        <v/>
      </c>
      <c r="E9845" s="8">
        <f>QS.INSTRUMENT.SWAP("swap.9843",C9845,H9845,B9845,"USD","SOFR",I9845,J9845,0,"Actual360","Simple","Annual","Annual","Annual")</f>
        <v/>
      </c>
      <c r="F9845" s="8">
        <f>QS.TRADE.CREATE("trade.9843",C9845,E9845,A9845,"Receive")</f>
        <v/>
      </c>
      <c r="G9845" s="5"/>
      <c r="H9845" s="7" t="s">
        <v>9885</v>
      </c>
      <c r="I9845" s="9">
        <v>1984300</v>
      </c>
      <c r="J9845" s="10">
        <v>0.0393</v>
      </c>
    </row>
    <row r="9846" spans="1:10">
      <c r="A9846" s="7" t="s">
        <v>9879</v>
      </c>
      <c r="B9846" s="7" t="s">
        <v>11713</v>
      </c>
      <c r="C9846" s="8">
        <f>QS.CONTEXT.CREATE("market.9844",A9846,"USD","SOFR")</f>
        <v/>
      </c>
      <c r="D9846" s="8">
        <f>QS.CONTEXT.ADD.CURVE(C9846,"SOFR",$K$2:$K$7,$L$2:$L$7,,,"Actual360","LogLinear",TRUE)</f>
        <v/>
      </c>
      <c r="E9846" s="8">
        <f>QS.INSTRUMENT.SWAP("swap.9844",C9846,H9846,B9846,"USD","SOFR",I9846,J9846,0,"Actual360","Simple","Annual","Annual","Annual")</f>
        <v/>
      </c>
      <c r="F9846" s="8">
        <f>QS.TRADE.CREATE("trade.9844",C9846,E9846,A9846,"Receive")</f>
        <v/>
      </c>
      <c r="G9846" s="5"/>
      <c r="H9846" s="7" t="s">
        <v>9886</v>
      </c>
      <c r="I9846" s="9">
        <v>1984400</v>
      </c>
      <c r="J9846" s="10">
        <v>0.0394</v>
      </c>
    </row>
    <row r="9847" spans="1:10">
      <c r="A9847" s="7" t="s">
        <v>9880</v>
      </c>
      <c r="B9847" s="7" t="s">
        <v>11714</v>
      </c>
      <c r="C9847" s="8">
        <f>QS.CONTEXT.CREATE("market.9845",A9847,"USD","SOFR")</f>
        <v/>
      </c>
      <c r="D9847" s="8">
        <f>QS.CONTEXT.ADD.CURVE(C9847,"SOFR",$K$2:$K$7,$L$2:$L$7,,,"Actual360","LogLinear",TRUE)</f>
        <v/>
      </c>
      <c r="E9847" s="8">
        <f>QS.INSTRUMENT.SWAP("swap.9845",C9847,H9847,B9847,"USD","SOFR",I9847,J9847,0,"Actual360","Simple","Annual","Annual","Annual")</f>
        <v/>
      </c>
      <c r="F9847" s="8">
        <f>QS.TRADE.CREATE("trade.9845",C9847,E9847,A9847,"Receive")</f>
        <v/>
      </c>
      <c r="G9847" s="5"/>
      <c r="H9847" s="7" t="s">
        <v>9887</v>
      </c>
      <c r="I9847" s="9">
        <v>1984500</v>
      </c>
      <c r="J9847" s="10">
        <v>0.03950000000000001</v>
      </c>
    </row>
    <row r="9848" spans="1:10">
      <c r="A9848" s="7" t="s">
        <v>9881</v>
      </c>
      <c r="B9848" s="7" t="s">
        <v>11715</v>
      </c>
      <c r="C9848" s="8">
        <f>QS.CONTEXT.CREATE("market.9846",A9848,"USD","SOFR")</f>
        <v/>
      </c>
      <c r="D9848" s="8">
        <f>QS.CONTEXT.ADD.CURVE(C9848,"SOFR",$K$2:$K$7,$L$2:$L$7,,,"Actual360","LogLinear",TRUE)</f>
        <v/>
      </c>
      <c r="E9848" s="8">
        <f>QS.INSTRUMENT.SWAP("swap.9846",C9848,H9848,B9848,"USD","SOFR",I9848,J9848,0,"Actual360","Simple","Annual","Annual","Annual")</f>
        <v/>
      </c>
      <c r="F9848" s="8">
        <f>QS.TRADE.CREATE("trade.9846",C9848,E9848,A9848,"Receive")</f>
        <v/>
      </c>
      <c r="G9848" s="5"/>
      <c r="H9848" s="7" t="s">
        <v>9888</v>
      </c>
      <c r="I9848" s="9">
        <v>1984600</v>
      </c>
      <c r="J9848" s="10">
        <v>0.0396</v>
      </c>
    </row>
    <row r="9849" spans="1:10">
      <c r="A9849" s="7" t="s">
        <v>9882</v>
      </c>
      <c r="B9849" s="7" t="s">
        <v>11716</v>
      </c>
      <c r="C9849" s="8">
        <f>QS.CONTEXT.CREATE("market.9847",A9849,"USD","SOFR")</f>
        <v/>
      </c>
      <c r="D9849" s="8">
        <f>QS.CONTEXT.ADD.CURVE(C9849,"SOFR",$K$2:$K$7,$L$2:$L$7,,,"Actual360","LogLinear",TRUE)</f>
        <v/>
      </c>
      <c r="E9849" s="8">
        <f>QS.INSTRUMENT.SWAP("swap.9847",C9849,H9849,B9849,"USD","SOFR",I9849,J9849,0,"Actual360","Simple","Annual","Annual","Annual")</f>
        <v/>
      </c>
      <c r="F9849" s="8">
        <f>QS.TRADE.CREATE("trade.9847",C9849,E9849,A9849,"Receive")</f>
        <v/>
      </c>
      <c r="G9849" s="5"/>
      <c r="H9849" s="7" t="s">
        <v>9889</v>
      </c>
      <c r="I9849" s="9">
        <v>1984700</v>
      </c>
      <c r="J9849" s="10">
        <v>0.03970000000000001</v>
      </c>
    </row>
    <row r="9850" spans="1:10">
      <c r="A9850" s="7" t="s">
        <v>9883</v>
      </c>
      <c r="B9850" s="7" t="s">
        <v>11717</v>
      </c>
      <c r="C9850" s="8">
        <f>QS.CONTEXT.CREATE("market.9848",A9850,"USD","SOFR")</f>
        <v/>
      </c>
      <c r="D9850" s="8">
        <f>QS.CONTEXT.ADD.CURVE(C9850,"SOFR",$K$2:$K$7,$L$2:$L$7,,,"Actual360","LogLinear",TRUE)</f>
        <v/>
      </c>
      <c r="E9850" s="8">
        <f>QS.INSTRUMENT.SWAP("swap.9848",C9850,H9850,B9850,"USD","SOFR",I9850,J9850,0,"Actual360","Simple","Annual","Annual","Annual")</f>
        <v/>
      </c>
      <c r="F9850" s="8">
        <f>QS.TRADE.CREATE("trade.9848",C9850,E9850,A9850,"Receive")</f>
        <v/>
      </c>
      <c r="G9850" s="5"/>
      <c r="H9850" s="7" t="s">
        <v>9890</v>
      </c>
      <c r="I9850" s="9">
        <v>1984800</v>
      </c>
      <c r="J9850" s="10">
        <v>0.0398</v>
      </c>
    </row>
    <row r="9851" spans="1:10">
      <c r="A9851" s="7" t="s">
        <v>9884</v>
      </c>
      <c r="B9851" s="7" t="s">
        <v>11718</v>
      </c>
      <c r="C9851" s="8">
        <f>QS.CONTEXT.CREATE("market.9849",A9851,"USD","SOFR")</f>
        <v/>
      </c>
      <c r="D9851" s="8">
        <f>QS.CONTEXT.ADD.CURVE(C9851,"SOFR",$K$2:$K$7,$L$2:$L$7,,,"Actual360","LogLinear",TRUE)</f>
        <v/>
      </c>
      <c r="E9851" s="8">
        <f>QS.INSTRUMENT.SWAP("swap.9849",C9851,H9851,B9851,"USD","SOFR",I9851,J9851,0,"Actual360","Simple","Annual","Annual","Annual")</f>
        <v/>
      </c>
      <c r="F9851" s="8">
        <f>QS.TRADE.CREATE("trade.9849",C9851,E9851,A9851,"Receive")</f>
        <v/>
      </c>
      <c r="G9851" s="5"/>
      <c r="H9851" s="7" t="s">
        <v>9891</v>
      </c>
      <c r="I9851" s="9">
        <v>1984900</v>
      </c>
      <c r="J9851" s="10">
        <v>0.0399</v>
      </c>
    </row>
    <row r="9852" spans="1:10">
      <c r="A9852" s="7" t="s">
        <v>9885</v>
      </c>
      <c r="B9852" s="7" t="s">
        <v>11719</v>
      </c>
      <c r="C9852" s="8">
        <f>QS.CONTEXT.CREATE("market.9850",A9852,"USD","SOFR")</f>
        <v/>
      </c>
      <c r="D9852" s="8">
        <f>QS.CONTEXT.ADD.CURVE(C9852,"SOFR",$K$2:$K$7,$L$2:$L$7,,,"Actual360","LogLinear",TRUE)</f>
        <v/>
      </c>
      <c r="E9852" s="8">
        <f>QS.INSTRUMENT.SWAP("swap.9850",C9852,H9852,B9852,"USD","SOFR",I9852,J9852,0,"Actual360","Simple","Annual","Annual","Annual")</f>
        <v/>
      </c>
      <c r="F9852" s="8">
        <f>QS.TRADE.CREATE("trade.9850",C9852,E9852,A9852,"Receive")</f>
        <v/>
      </c>
      <c r="G9852" s="5"/>
      <c r="H9852" s="7" t="s">
        <v>9892</v>
      </c>
      <c r="I9852" s="9">
        <v>1985000</v>
      </c>
      <c r="J9852" s="10">
        <v>0.035</v>
      </c>
    </row>
    <row r="9853" spans="1:10">
      <c r="A9853" s="7" t="s">
        <v>9886</v>
      </c>
      <c r="B9853" s="7" t="s">
        <v>11720</v>
      </c>
      <c r="C9853" s="8">
        <f>QS.CONTEXT.CREATE("market.9851",A9853,"USD","SOFR")</f>
        <v/>
      </c>
      <c r="D9853" s="8">
        <f>QS.CONTEXT.ADD.CURVE(C9853,"SOFR",$K$2:$K$7,$L$2:$L$7,,,"Actual360","LogLinear",TRUE)</f>
        <v/>
      </c>
      <c r="E9853" s="8">
        <f>QS.INSTRUMENT.SWAP("swap.9851",C9853,H9853,B9853,"USD","SOFR",I9853,J9853,0,"Actual360","Simple","Annual","Annual","Annual")</f>
        <v/>
      </c>
      <c r="F9853" s="8">
        <f>QS.TRADE.CREATE("trade.9851",C9853,E9853,A9853,"Receive")</f>
        <v/>
      </c>
      <c r="G9853" s="5"/>
      <c r="H9853" s="7" t="s">
        <v>9893</v>
      </c>
      <c r="I9853" s="9">
        <v>1985100</v>
      </c>
      <c r="J9853" s="10">
        <v>0.03510000000000001</v>
      </c>
    </row>
    <row r="9854" spans="1:10">
      <c r="A9854" s="7" t="s">
        <v>9887</v>
      </c>
      <c r="B9854" s="7" t="s">
        <v>11721</v>
      </c>
      <c r="C9854" s="8">
        <f>QS.CONTEXT.CREATE("market.9852",A9854,"USD","SOFR")</f>
        <v/>
      </c>
      <c r="D9854" s="8">
        <f>QS.CONTEXT.ADD.CURVE(C9854,"SOFR",$K$2:$K$7,$L$2:$L$7,,,"Actual360","LogLinear",TRUE)</f>
        <v/>
      </c>
      <c r="E9854" s="8">
        <f>QS.INSTRUMENT.SWAP("swap.9852",C9854,H9854,B9854,"USD","SOFR",I9854,J9854,0,"Actual360","Simple","Annual","Annual","Annual")</f>
        <v/>
      </c>
      <c r="F9854" s="8">
        <f>QS.TRADE.CREATE("trade.9852",C9854,E9854,A9854,"Receive")</f>
        <v/>
      </c>
      <c r="G9854" s="5"/>
      <c r="H9854" s="7" t="s">
        <v>9894</v>
      </c>
      <c r="I9854" s="9">
        <v>1985200</v>
      </c>
      <c r="J9854" s="10">
        <v>0.0352</v>
      </c>
    </row>
    <row r="9855" spans="1:10">
      <c r="A9855" s="7" t="s">
        <v>9888</v>
      </c>
      <c r="B9855" s="7" t="s">
        <v>11722</v>
      </c>
      <c r="C9855" s="8">
        <f>QS.CONTEXT.CREATE("market.9853",A9855,"USD","SOFR")</f>
        <v/>
      </c>
      <c r="D9855" s="8">
        <f>QS.CONTEXT.ADD.CURVE(C9855,"SOFR",$K$2:$K$7,$L$2:$L$7,,,"Actual360","LogLinear",TRUE)</f>
        <v/>
      </c>
      <c r="E9855" s="8">
        <f>QS.INSTRUMENT.SWAP("swap.9853",C9855,H9855,B9855,"USD","SOFR",I9855,J9855,0,"Actual360","Simple","Annual","Annual","Annual")</f>
        <v/>
      </c>
      <c r="F9855" s="8">
        <f>QS.TRADE.CREATE("trade.9853",C9855,E9855,A9855,"Receive")</f>
        <v/>
      </c>
      <c r="G9855" s="5"/>
      <c r="H9855" s="7" t="s">
        <v>9895</v>
      </c>
      <c r="I9855" s="9">
        <v>1985300</v>
      </c>
      <c r="J9855" s="10">
        <v>0.0353</v>
      </c>
    </row>
    <row r="9856" spans="1:10">
      <c r="A9856" s="7" t="s">
        <v>9889</v>
      </c>
      <c r="B9856" s="7" t="s">
        <v>11723</v>
      </c>
      <c r="C9856" s="8">
        <f>QS.CONTEXT.CREATE("market.9854",A9856,"USD","SOFR")</f>
        <v/>
      </c>
      <c r="D9856" s="8">
        <f>QS.CONTEXT.ADD.CURVE(C9856,"SOFR",$K$2:$K$7,$L$2:$L$7,,,"Actual360","LogLinear",TRUE)</f>
        <v/>
      </c>
      <c r="E9856" s="8">
        <f>QS.INSTRUMENT.SWAP("swap.9854",C9856,H9856,B9856,"USD","SOFR",I9856,J9856,0,"Actual360","Simple","Annual","Annual","Annual")</f>
        <v/>
      </c>
      <c r="F9856" s="8">
        <f>QS.TRADE.CREATE("trade.9854",C9856,E9856,A9856,"Receive")</f>
        <v/>
      </c>
      <c r="G9856" s="5"/>
      <c r="H9856" s="7" t="s">
        <v>9896</v>
      </c>
      <c r="I9856" s="9">
        <v>1985400</v>
      </c>
      <c r="J9856" s="10">
        <v>0.0354</v>
      </c>
    </row>
    <row r="9857" spans="1:10">
      <c r="A9857" s="7" t="s">
        <v>9890</v>
      </c>
      <c r="B9857" s="7" t="s">
        <v>11724</v>
      </c>
      <c r="C9857" s="8">
        <f>QS.CONTEXT.CREATE("market.9855",A9857,"USD","SOFR")</f>
        <v/>
      </c>
      <c r="D9857" s="8">
        <f>QS.CONTEXT.ADD.CURVE(C9857,"SOFR",$K$2:$K$7,$L$2:$L$7,,,"Actual360","LogLinear",TRUE)</f>
        <v/>
      </c>
      <c r="E9857" s="8">
        <f>QS.INSTRUMENT.SWAP("swap.9855",C9857,H9857,B9857,"USD","SOFR",I9857,J9857,0,"Actual360","Simple","Annual","Annual","Annual")</f>
        <v/>
      </c>
      <c r="F9857" s="8">
        <f>QS.TRADE.CREATE("trade.9855",C9857,E9857,A9857,"Receive")</f>
        <v/>
      </c>
      <c r="G9857" s="5"/>
      <c r="H9857" s="7" t="s">
        <v>9897</v>
      </c>
      <c r="I9857" s="9">
        <v>1985500</v>
      </c>
      <c r="J9857" s="10">
        <v>0.0355</v>
      </c>
    </row>
    <row r="9858" spans="1:10">
      <c r="A9858" s="7" t="s">
        <v>9891</v>
      </c>
      <c r="B9858" s="7" t="s">
        <v>11725</v>
      </c>
      <c r="C9858" s="8">
        <f>QS.CONTEXT.CREATE("market.9856",A9858,"USD","SOFR")</f>
        <v/>
      </c>
      <c r="D9858" s="8">
        <f>QS.CONTEXT.ADD.CURVE(C9858,"SOFR",$K$2:$K$7,$L$2:$L$7,,,"Actual360","LogLinear",TRUE)</f>
        <v/>
      </c>
      <c r="E9858" s="8">
        <f>QS.INSTRUMENT.SWAP("swap.9856",C9858,H9858,B9858,"USD","SOFR",I9858,J9858,0,"Actual360","Simple","Annual","Annual","Annual")</f>
        <v/>
      </c>
      <c r="F9858" s="8">
        <f>QS.TRADE.CREATE("trade.9856",C9858,E9858,A9858,"Receive")</f>
        <v/>
      </c>
      <c r="G9858" s="5"/>
      <c r="H9858" s="7" t="s">
        <v>9898</v>
      </c>
      <c r="I9858" s="9">
        <v>1985600</v>
      </c>
      <c r="J9858" s="10">
        <v>0.03560000000000001</v>
      </c>
    </row>
    <row r="9859" spans="1:10">
      <c r="A9859" s="7" t="s">
        <v>9892</v>
      </c>
      <c r="B9859" s="7" t="s">
        <v>11726</v>
      </c>
      <c r="C9859" s="8">
        <f>QS.CONTEXT.CREATE("market.9857",A9859,"USD","SOFR")</f>
        <v/>
      </c>
      <c r="D9859" s="8">
        <f>QS.CONTEXT.ADD.CURVE(C9859,"SOFR",$K$2:$K$7,$L$2:$L$7,,,"Actual360","LogLinear",TRUE)</f>
        <v/>
      </c>
      <c r="E9859" s="8">
        <f>QS.INSTRUMENT.SWAP("swap.9857",C9859,H9859,B9859,"USD","SOFR",I9859,J9859,0,"Actual360","Simple","Annual","Annual","Annual")</f>
        <v/>
      </c>
      <c r="F9859" s="8">
        <f>QS.TRADE.CREATE("trade.9857",C9859,E9859,A9859,"Receive")</f>
        <v/>
      </c>
      <c r="G9859" s="5"/>
      <c r="H9859" s="7" t="s">
        <v>9899</v>
      </c>
      <c r="I9859" s="9">
        <v>1985700</v>
      </c>
      <c r="J9859" s="10">
        <v>0.0357</v>
      </c>
    </row>
    <row r="9860" spans="1:10">
      <c r="A9860" s="7" t="s">
        <v>9893</v>
      </c>
      <c r="B9860" s="7" t="s">
        <v>11727</v>
      </c>
      <c r="C9860" s="8">
        <f>QS.CONTEXT.CREATE("market.9858",A9860,"USD","SOFR")</f>
        <v/>
      </c>
      <c r="D9860" s="8">
        <f>QS.CONTEXT.ADD.CURVE(C9860,"SOFR",$K$2:$K$7,$L$2:$L$7,,,"Actual360","LogLinear",TRUE)</f>
        <v/>
      </c>
      <c r="E9860" s="8">
        <f>QS.INSTRUMENT.SWAP("swap.9858",C9860,H9860,B9860,"USD","SOFR",I9860,J9860,0,"Actual360","Simple","Annual","Annual","Annual")</f>
        <v/>
      </c>
      <c r="F9860" s="8">
        <f>QS.TRADE.CREATE("trade.9858",C9860,E9860,A9860,"Receive")</f>
        <v/>
      </c>
      <c r="G9860" s="5"/>
      <c r="H9860" s="7" t="s">
        <v>9900</v>
      </c>
      <c r="I9860" s="9">
        <v>1985800</v>
      </c>
      <c r="J9860" s="10">
        <v>0.03580000000000001</v>
      </c>
    </row>
    <row r="9861" spans="1:10">
      <c r="A9861" s="7" t="s">
        <v>9894</v>
      </c>
      <c r="B9861" s="7" t="s">
        <v>11728</v>
      </c>
      <c r="C9861" s="8">
        <f>QS.CONTEXT.CREATE("market.9859",A9861,"USD","SOFR")</f>
        <v/>
      </c>
      <c r="D9861" s="8">
        <f>QS.CONTEXT.ADD.CURVE(C9861,"SOFR",$K$2:$K$7,$L$2:$L$7,,,"Actual360","LogLinear",TRUE)</f>
        <v/>
      </c>
      <c r="E9861" s="8">
        <f>QS.INSTRUMENT.SWAP("swap.9859",C9861,H9861,B9861,"USD","SOFR",I9861,J9861,0,"Actual360","Simple","Annual","Annual","Annual")</f>
        <v/>
      </c>
      <c r="F9861" s="8">
        <f>QS.TRADE.CREATE("trade.9859",C9861,E9861,A9861,"Receive")</f>
        <v/>
      </c>
      <c r="G9861" s="5"/>
      <c r="H9861" s="7" t="s">
        <v>9901</v>
      </c>
      <c r="I9861" s="9">
        <v>1985900</v>
      </c>
      <c r="J9861" s="10">
        <v>0.0359</v>
      </c>
    </row>
    <row r="9862" spans="1:10">
      <c r="A9862" s="7" t="s">
        <v>9895</v>
      </c>
      <c r="B9862" s="7" t="s">
        <v>11729</v>
      </c>
      <c r="C9862" s="8">
        <f>QS.CONTEXT.CREATE("market.9860",A9862,"USD","SOFR")</f>
        <v/>
      </c>
      <c r="D9862" s="8">
        <f>QS.CONTEXT.ADD.CURVE(C9862,"SOFR",$K$2:$K$7,$L$2:$L$7,,,"Actual360","LogLinear",TRUE)</f>
        <v/>
      </c>
      <c r="E9862" s="8">
        <f>QS.INSTRUMENT.SWAP("swap.9860",C9862,H9862,B9862,"USD","SOFR",I9862,J9862,0,"Actual360","Simple","Annual","Annual","Annual")</f>
        <v/>
      </c>
      <c r="F9862" s="8">
        <f>QS.TRADE.CREATE("trade.9860",C9862,E9862,A9862,"Receive")</f>
        <v/>
      </c>
      <c r="G9862" s="5"/>
      <c r="H9862" s="7" t="s">
        <v>9902</v>
      </c>
      <c r="I9862" s="9">
        <v>1986000</v>
      </c>
      <c r="J9862" s="10">
        <v>0.036</v>
      </c>
    </row>
    <row r="9863" spans="1:10">
      <c r="A9863" s="7" t="s">
        <v>9896</v>
      </c>
      <c r="B9863" s="7" t="s">
        <v>11730</v>
      </c>
      <c r="C9863" s="8">
        <f>QS.CONTEXT.CREATE("market.9861",A9863,"USD","SOFR")</f>
        <v/>
      </c>
      <c r="D9863" s="8">
        <f>QS.CONTEXT.ADD.CURVE(C9863,"SOFR",$K$2:$K$7,$L$2:$L$7,,,"Actual360","LogLinear",TRUE)</f>
        <v/>
      </c>
      <c r="E9863" s="8">
        <f>QS.INSTRUMENT.SWAP("swap.9861",C9863,H9863,B9863,"USD","SOFR",I9863,J9863,0,"Actual360","Simple","Annual","Annual","Annual")</f>
        <v/>
      </c>
      <c r="F9863" s="8">
        <f>QS.TRADE.CREATE("trade.9861",C9863,E9863,A9863,"Receive")</f>
        <v/>
      </c>
      <c r="G9863" s="5"/>
      <c r="H9863" s="7" t="s">
        <v>9903</v>
      </c>
      <c r="I9863" s="9">
        <v>1986100</v>
      </c>
      <c r="J9863" s="10">
        <v>0.0361</v>
      </c>
    </row>
    <row r="9864" spans="1:10">
      <c r="A9864" s="7" t="s">
        <v>9897</v>
      </c>
      <c r="B9864" s="7" t="s">
        <v>11731</v>
      </c>
      <c r="C9864" s="8">
        <f>QS.CONTEXT.CREATE("market.9862",A9864,"USD","SOFR")</f>
        <v/>
      </c>
      <c r="D9864" s="8">
        <f>QS.CONTEXT.ADD.CURVE(C9864,"SOFR",$K$2:$K$7,$L$2:$L$7,,,"Actual360","LogLinear",TRUE)</f>
        <v/>
      </c>
      <c r="E9864" s="8">
        <f>QS.INSTRUMENT.SWAP("swap.9862",C9864,H9864,B9864,"USD","SOFR",I9864,J9864,0,"Actual360","Simple","Annual","Annual","Annual")</f>
        <v/>
      </c>
      <c r="F9864" s="8">
        <f>QS.TRADE.CREATE("trade.9862",C9864,E9864,A9864,"Receive")</f>
        <v/>
      </c>
      <c r="G9864" s="5"/>
      <c r="H9864" s="7" t="s">
        <v>9904</v>
      </c>
      <c r="I9864" s="9">
        <v>1986200</v>
      </c>
      <c r="J9864" s="10">
        <v>0.0362</v>
      </c>
    </row>
    <row r="9865" spans="1:10">
      <c r="A9865" s="7" t="s">
        <v>9898</v>
      </c>
      <c r="B9865" s="7" t="s">
        <v>11732</v>
      </c>
      <c r="C9865" s="8">
        <f>QS.CONTEXT.CREATE("market.9863",A9865,"USD","SOFR")</f>
        <v/>
      </c>
      <c r="D9865" s="8">
        <f>QS.CONTEXT.ADD.CURVE(C9865,"SOFR",$K$2:$K$7,$L$2:$L$7,,,"Actual360","LogLinear",TRUE)</f>
        <v/>
      </c>
      <c r="E9865" s="8">
        <f>QS.INSTRUMENT.SWAP("swap.9863",C9865,H9865,B9865,"USD","SOFR",I9865,J9865,0,"Actual360","Simple","Annual","Annual","Annual")</f>
        <v/>
      </c>
      <c r="F9865" s="8">
        <f>QS.TRADE.CREATE("trade.9863",C9865,E9865,A9865,"Receive")</f>
        <v/>
      </c>
      <c r="G9865" s="5"/>
      <c r="H9865" s="7" t="s">
        <v>9905</v>
      </c>
      <c r="I9865" s="9">
        <v>1986300</v>
      </c>
      <c r="J9865" s="10">
        <v>0.03630000000000001</v>
      </c>
    </row>
    <row r="9866" spans="1:10">
      <c r="A9866" s="7" t="s">
        <v>9899</v>
      </c>
      <c r="B9866" s="7" t="s">
        <v>11733</v>
      </c>
      <c r="C9866" s="8">
        <f>QS.CONTEXT.CREATE("market.9864",A9866,"USD","SOFR")</f>
        <v/>
      </c>
      <c r="D9866" s="8">
        <f>QS.CONTEXT.ADD.CURVE(C9866,"SOFR",$K$2:$K$7,$L$2:$L$7,,,"Actual360","LogLinear",TRUE)</f>
        <v/>
      </c>
      <c r="E9866" s="8">
        <f>QS.INSTRUMENT.SWAP("swap.9864",C9866,H9866,B9866,"USD","SOFR",I9866,J9866,0,"Actual360","Simple","Annual","Annual","Annual")</f>
        <v/>
      </c>
      <c r="F9866" s="8">
        <f>QS.TRADE.CREATE("trade.9864",C9866,E9866,A9866,"Receive")</f>
        <v/>
      </c>
      <c r="G9866" s="5"/>
      <c r="H9866" s="7" t="s">
        <v>9906</v>
      </c>
      <c r="I9866" s="9">
        <v>1986400</v>
      </c>
      <c r="J9866" s="10">
        <v>0.0364</v>
      </c>
    </row>
    <row r="9867" spans="1:10">
      <c r="A9867" s="7" t="s">
        <v>9900</v>
      </c>
      <c r="B9867" s="7" t="s">
        <v>11734</v>
      </c>
      <c r="C9867" s="8">
        <f>QS.CONTEXT.CREATE("market.9865",A9867,"USD","SOFR")</f>
        <v/>
      </c>
      <c r="D9867" s="8">
        <f>QS.CONTEXT.ADD.CURVE(C9867,"SOFR",$K$2:$K$7,$L$2:$L$7,,,"Actual360","LogLinear",TRUE)</f>
        <v/>
      </c>
      <c r="E9867" s="8">
        <f>QS.INSTRUMENT.SWAP("swap.9865",C9867,H9867,B9867,"USD","SOFR",I9867,J9867,0,"Actual360","Simple","Annual","Annual","Annual")</f>
        <v/>
      </c>
      <c r="F9867" s="8">
        <f>QS.TRADE.CREATE("trade.9865",C9867,E9867,A9867,"Receive")</f>
        <v/>
      </c>
      <c r="G9867" s="5"/>
      <c r="H9867" s="7" t="s">
        <v>9907</v>
      </c>
      <c r="I9867" s="9">
        <v>1986500</v>
      </c>
      <c r="J9867" s="10">
        <v>0.0365</v>
      </c>
    </row>
    <row r="9868" spans="1:10">
      <c r="A9868" s="7" t="s">
        <v>9901</v>
      </c>
      <c r="B9868" s="7" t="s">
        <v>11735</v>
      </c>
      <c r="C9868" s="8">
        <f>QS.CONTEXT.CREATE("market.9866",A9868,"USD","SOFR")</f>
        <v/>
      </c>
      <c r="D9868" s="8">
        <f>QS.CONTEXT.ADD.CURVE(C9868,"SOFR",$K$2:$K$7,$L$2:$L$7,,,"Actual360","LogLinear",TRUE)</f>
        <v/>
      </c>
      <c r="E9868" s="8">
        <f>QS.INSTRUMENT.SWAP("swap.9866",C9868,H9868,B9868,"USD","SOFR",I9868,J9868,0,"Actual360","Simple","Annual","Annual","Annual")</f>
        <v/>
      </c>
      <c r="F9868" s="8">
        <f>QS.TRADE.CREATE("trade.9866",C9868,E9868,A9868,"Receive")</f>
        <v/>
      </c>
      <c r="G9868" s="5"/>
      <c r="H9868" s="7" t="s">
        <v>9908</v>
      </c>
      <c r="I9868" s="9">
        <v>1986600</v>
      </c>
      <c r="J9868" s="10">
        <v>0.0366</v>
      </c>
    </row>
    <row r="9869" spans="1:10">
      <c r="A9869" s="7" t="s">
        <v>9902</v>
      </c>
      <c r="B9869" s="7" t="s">
        <v>11736</v>
      </c>
      <c r="C9869" s="8">
        <f>QS.CONTEXT.CREATE("market.9867",A9869,"USD","SOFR")</f>
        <v/>
      </c>
      <c r="D9869" s="8">
        <f>QS.CONTEXT.ADD.CURVE(C9869,"SOFR",$K$2:$K$7,$L$2:$L$7,,,"Actual360","LogLinear",TRUE)</f>
        <v/>
      </c>
      <c r="E9869" s="8">
        <f>QS.INSTRUMENT.SWAP("swap.9867",C9869,H9869,B9869,"USD","SOFR",I9869,J9869,0,"Actual360","Simple","Annual","Annual","Annual")</f>
        <v/>
      </c>
      <c r="F9869" s="8">
        <f>QS.TRADE.CREATE("trade.9867",C9869,E9869,A9869,"Receive")</f>
        <v/>
      </c>
      <c r="G9869" s="5"/>
      <c r="H9869" s="7" t="s">
        <v>9909</v>
      </c>
      <c r="I9869" s="9">
        <v>1986700</v>
      </c>
      <c r="J9869" s="10">
        <v>0.0367</v>
      </c>
    </row>
    <row r="9870" spans="1:10">
      <c r="A9870" s="7" t="s">
        <v>9903</v>
      </c>
      <c r="B9870" s="7" t="s">
        <v>11737</v>
      </c>
      <c r="C9870" s="8">
        <f>QS.CONTEXT.CREATE("market.9868",A9870,"USD","SOFR")</f>
        <v/>
      </c>
      <c r="D9870" s="8">
        <f>QS.CONTEXT.ADD.CURVE(C9870,"SOFR",$K$2:$K$7,$L$2:$L$7,,,"Actual360","LogLinear",TRUE)</f>
        <v/>
      </c>
      <c r="E9870" s="8">
        <f>QS.INSTRUMENT.SWAP("swap.9868",C9870,H9870,B9870,"USD","SOFR",I9870,J9870,0,"Actual360","Simple","Annual","Annual","Annual")</f>
        <v/>
      </c>
      <c r="F9870" s="8">
        <f>QS.TRADE.CREATE("trade.9868",C9870,E9870,A9870,"Receive")</f>
        <v/>
      </c>
      <c r="G9870" s="5"/>
      <c r="H9870" s="7" t="s">
        <v>9910</v>
      </c>
      <c r="I9870" s="9">
        <v>1986800</v>
      </c>
      <c r="J9870" s="10">
        <v>0.03680000000000001</v>
      </c>
    </row>
    <row r="9871" spans="1:10">
      <c r="A9871" s="7" t="s">
        <v>9904</v>
      </c>
      <c r="B9871" s="7" t="s">
        <v>11738</v>
      </c>
      <c r="C9871" s="8">
        <f>QS.CONTEXT.CREATE("market.9869",A9871,"USD","SOFR")</f>
        <v/>
      </c>
      <c r="D9871" s="8">
        <f>QS.CONTEXT.ADD.CURVE(C9871,"SOFR",$K$2:$K$7,$L$2:$L$7,,,"Actual360","LogLinear",TRUE)</f>
        <v/>
      </c>
      <c r="E9871" s="8">
        <f>QS.INSTRUMENT.SWAP("swap.9869",C9871,H9871,B9871,"USD","SOFR",I9871,J9871,0,"Actual360","Simple","Annual","Annual","Annual")</f>
        <v/>
      </c>
      <c r="F9871" s="8">
        <f>QS.TRADE.CREATE("trade.9869",C9871,E9871,A9871,"Receive")</f>
        <v/>
      </c>
      <c r="G9871" s="5"/>
      <c r="H9871" s="7" t="s">
        <v>9911</v>
      </c>
      <c r="I9871" s="9">
        <v>1986900</v>
      </c>
      <c r="J9871" s="10">
        <v>0.0369</v>
      </c>
    </row>
    <row r="9872" spans="1:10">
      <c r="A9872" s="7" t="s">
        <v>9905</v>
      </c>
      <c r="B9872" s="7" t="s">
        <v>11739</v>
      </c>
      <c r="C9872" s="8">
        <f>QS.CONTEXT.CREATE("market.9870",A9872,"USD","SOFR")</f>
        <v/>
      </c>
      <c r="D9872" s="8">
        <f>QS.CONTEXT.ADD.CURVE(C9872,"SOFR",$K$2:$K$7,$L$2:$L$7,,,"Actual360","LogLinear",TRUE)</f>
        <v/>
      </c>
      <c r="E9872" s="8">
        <f>QS.INSTRUMENT.SWAP("swap.9870",C9872,H9872,B9872,"USD","SOFR",I9872,J9872,0,"Actual360","Simple","Annual","Annual","Annual")</f>
        <v/>
      </c>
      <c r="F9872" s="8">
        <f>QS.TRADE.CREATE("trade.9870",C9872,E9872,A9872,"Receive")</f>
        <v/>
      </c>
      <c r="G9872" s="5"/>
      <c r="H9872" s="7" t="s">
        <v>9912</v>
      </c>
      <c r="I9872" s="9">
        <v>1987000</v>
      </c>
      <c r="J9872" s="10">
        <v>0.03700000000000001</v>
      </c>
    </row>
    <row r="9873" spans="1:10">
      <c r="A9873" s="7" t="s">
        <v>9906</v>
      </c>
      <c r="B9873" s="7" t="s">
        <v>11740</v>
      </c>
      <c r="C9873" s="8">
        <f>QS.CONTEXT.CREATE("market.9871",A9873,"USD","SOFR")</f>
        <v/>
      </c>
      <c r="D9873" s="8">
        <f>QS.CONTEXT.ADD.CURVE(C9873,"SOFR",$K$2:$K$7,$L$2:$L$7,,,"Actual360","LogLinear",TRUE)</f>
        <v/>
      </c>
      <c r="E9873" s="8">
        <f>QS.INSTRUMENT.SWAP("swap.9871",C9873,H9873,B9873,"USD","SOFR",I9873,J9873,0,"Actual360","Simple","Annual","Annual","Annual")</f>
        <v/>
      </c>
      <c r="F9873" s="8">
        <f>QS.TRADE.CREATE("trade.9871",C9873,E9873,A9873,"Receive")</f>
        <v/>
      </c>
      <c r="G9873" s="5"/>
      <c r="H9873" s="7" t="s">
        <v>9913</v>
      </c>
      <c r="I9873" s="9">
        <v>1987100</v>
      </c>
      <c r="J9873" s="10">
        <v>0.0371</v>
      </c>
    </row>
    <row r="9874" spans="1:10">
      <c r="A9874" s="7" t="s">
        <v>9907</v>
      </c>
      <c r="B9874" s="7" t="s">
        <v>11741</v>
      </c>
      <c r="C9874" s="8">
        <f>QS.CONTEXT.CREATE("market.9872",A9874,"USD","SOFR")</f>
        <v/>
      </c>
      <c r="D9874" s="8">
        <f>QS.CONTEXT.ADD.CURVE(C9874,"SOFR",$K$2:$K$7,$L$2:$L$7,,,"Actual360","LogLinear",TRUE)</f>
        <v/>
      </c>
      <c r="E9874" s="8">
        <f>QS.INSTRUMENT.SWAP("swap.9872",C9874,H9874,B9874,"USD","SOFR",I9874,J9874,0,"Actual360","Simple","Annual","Annual","Annual")</f>
        <v/>
      </c>
      <c r="F9874" s="8">
        <f>QS.TRADE.CREATE("trade.9872",C9874,E9874,A9874,"Receive")</f>
        <v/>
      </c>
      <c r="G9874" s="5"/>
      <c r="H9874" s="7" t="s">
        <v>9914</v>
      </c>
      <c r="I9874" s="9">
        <v>1987200</v>
      </c>
      <c r="J9874" s="10">
        <v>0.0372</v>
      </c>
    </row>
    <row r="9875" spans="1:10">
      <c r="A9875" s="7" t="s">
        <v>9908</v>
      </c>
      <c r="B9875" s="7" t="s">
        <v>11742</v>
      </c>
      <c r="C9875" s="8">
        <f>QS.CONTEXT.CREATE("market.9873",A9875,"USD","SOFR")</f>
        <v/>
      </c>
      <c r="D9875" s="8">
        <f>QS.CONTEXT.ADD.CURVE(C9875,"SOFR",$K$2:$K$7,$L$2:$L$7,,,"Actual360","LogLinear",TRUE)</f>
        <v/>
      </c>
      <c r="E9875" s="8">
        <f>QS.INSTRUMENT.SWAP("swap.9873",C9875,H9875,B9875,"USD","SOFR",I9875,J9875,0,"Actual360","Simple","Annual","Annual","Annual")</f>
        <v/>
      </c>
      <c r="F9875" s="8">
        <f>QS.TRADE.CREATE("trade.9873",C9875,E9875,A9875,"Receive")</f>
        <v/>
      </c>
      <c r="G9875" s="5"/>
      <c r="H9875" s="7" t="s">
        <v>9915</v>
      </c>
      <c r="I9875" s="9">
        <v>1987300</v>
      </c>
      <c r="J9875" s="10">
        <v>0.0373</v>
      </c>
    </row>
    <row r="9876" spans="1:10">
      <c r="A9876" s="7" t="s">
        <v>9909</v>
      </c>
      <c r="B9876" s="7" t="s">
        <v>11743</v>
      </c>
      <c r="C9876" s="8">
        <f>QS.CONTEXT.CREATE("market.9874",A9876,"USD","SOFR")</f>
        <v/>
      </c>
      <c r="D9876" s="8">
        <f>QS.CONTEXT.ADD.CURVE(C9876,"SOFR",$K$2:$K$7,$L$2:$L$7,,,"Actual360","LogLinear",TRUE)</f>
        <v/>
      </c>
      <c r="E9876" s="8">
        <f>QS.INSTRUMENT.SWAP("swap.9874",C9876,H9876,B9876,"USD","SOFR",I9876,J9876,0,"Actual360","Simple","Annual","Annual","Annual")</f>
        <v/>
      </c>
      <c r="F9876" s="8">
        <f>QS.TRADE.CREATE("trade.9874",C9876,E9876,A9876,"Receive")</f>
        <v/>
      </c>
      <c r="G9876" s="5"/>
      <c r="H9876" s="7" t="s">
        <v>9916</v>
      </c>
      <c r="I9876" s="9">
        <v>1987400</v>
      </c>
      <c r="J9876" s="10">
        <v>0.0374</v>
      </c>
    </row>
    <row r="9877" spans="1:10">
      <c r="A9877" s="7" t="s">
        <v>9910</v>
      </c>
      <c r="B9877" s="7" t="s">
        <v>11744</v>
      </c>
      <c r="C9877" s="8">
        <f>QS.CONTEXT.CREATE("market.9875",A9877,"USD","SOFR")</f>
        <v/>
      </c>
      <c r="D9877" s="8">
        <f>QS.CONTEXT.ADD.CURVE(C9877,"SOFR",$K$2:$K$7,$L$2:$L$7,,,"Actual360","LogLinear",TRUE)</f>
        <v/>
      </c>
      <c r="E9877" s="8">
        <f>QS.INSTRUMENT.SWAP("swap.9875",C9877,H9877,B9877,"USD","SOFR",I9877,J9877,0,"Actual360","Simple","Annual","Annual","Annual")</f>
        <v/>
      </c>
      <c r="F9877" s="8">
        <f>QS.TRADE.CREATE("trade.9875",C9877,E9877,A9877,"Receive")</f>
        <v/>
      </c>
      <c r="G9877" s="5"/>
      <c r="H9877" s="7" t="s">
        <v>9917</v>
      </c>
      <c r="I9877" s="9">
        <v>1987500</v>
      </c>
      <c r="J9877" s="10">
        <v>0.03750000000000001</v>
      </c>
    </row>
    <row r="9878" spans="1:10">
      <c r="A9878" s="7" t="s">
        <v>9911</v>
      </c>
      <c r="B9878" s="7" t="s">
        <v>11745</v>
      </c>
      <c r="C9878" s="8">
        <f>QS.CONTEXT.CREATE("market.9876",A9878,"USD","SOFR")</f>
        <v/>
      </c>
      <c r="D9878" s="8">
        <f>QS.CONTEXT.ADD.CURVE(C9878,"SOFR",$K$2:$K$7,$L$2:$L$7,,,"Actual360","LogLinear",TRUE)</f>
        <v/>
      </c>
      <c r="E9878" s="8">
        <f>QS.INSTRUMENT.SWAP("swap.9876",C9878,H9878,B9878,"USD","SOFR",I9878,J9878,0,"Actual360","Simple","Annual","Annual","Annual")</f>
        <v/>
      </c>
      <c r="F9878" s="8">
        <f>QS.TRADE.CREATE("trade.9876",C9878,E9878,A9878,"Receive")</f>
        <v/>
      </c>
      <c r="G9878" s="5"/>
      <c r="H9878" s="7" t="s">
        <v>9918</v>
      </c>
      <c r="I9878" s="9">
        <v>1987600</v>
      </c>
      <c r="J9878" s="10">
        <v>0.0376</v>
      </c>
    </row>
    <row r="9879" spans="1:10">
      <c r="A9879" s="7" t="s">
        <v>9912</v>
      </c>
      <c r="B9879" s="7" t="s">
        <v>11746</v>
      </c>
      <c r="C9879" s="8">
        <f>QS.CONTEXT.CREATE("market.9877",A9879,"USD","SOFR")</f>
        <v/>
      </c>
      <c r="D9879" s="8">
        <f>QS.CONTEXT.ADD.CURVE(C9879,"SOFR",$K$2:$K$7,$L$2:$L$7,,,"Actual360","LogLinear",TRUE)</f>
        <v/>
      </c>
      <c r="E9879" s="8">
        <f>QS.INSTRUMENT.SWAP("swap.9877",C9879,H9879,B9879,"USD","SOFR",I9879,J9879,0,"Actual360","Simple","Annual","Annual","Annual")</f>
        <v/>
      </c>
      <c r="F9879" s="8">
        <f>QS.TRADE.CREATE("trade.9877",C9879,E9879,A9879,"Receive")</f>
        <v/>
      </c>
      <c r="G9879" s="5"/>
      <c r="H9879" s="7" t="s">
        <v>9919</v>
      </c>
      <c r="I9879" s="9">
        <v>1987700</v>
      </c>
      <c r="J9879" s="10">
        <v>0.0377</v>
      </c>
    </row>
    <row r="9880" spans="1:10">
      <c r="A9880" s="7" t="s">
        <v>9913</v>
      </c>
      <c r="B9880" s="7" t="s">
        <v>11747</v>
      </c>
      <c r="C9880" s="8">
        <f>QS.CONTEXT.CREATE("market.9878",A9880,"USD","SOFR")</f>
        <v/>
      </c>
      <c r="D9880" s="8">
        <f>QS.CONTEXT.ADD.CURVE(C9880,"SOFR",$K$2:$K$7,$L$2:$L$7,,,"Actual360","LogLinear",TRUE)</f>
        <v/>
      </c>
      <c r="E9880" s="8">
        <f>QS.INSTRUMENT.SWAP("swap.9878",C9880,H9880,B9880,"USD","SOFR",I9880,J9880,0,"Actual360","Simple","Annual","Annual","Annual")</f>
        <v/>
      </c>
      <c r="F9880" s="8">
        <f>QS.TRADE.CREATE("trade.9878",C9880,E9880,A9880,"Receive")</f>
        <v/>
      </c>
      <c r="G9880" s="5"/>
      <c r="H9880" s="7" t="s">
        <v>9920</v>
      </c>
      <c r="I9880" s="9">
        <v>1987800</v>
      </c>
      <c r="J9880" s="10">
        <v>0.0378</v>
      </c>
    </row>
    <row r="9881" spans="1:10">
      <c r="A9881" s="7" t="s">
        <v>9914</v>
      </c>
      <c r="B9881" s="7" t="s">
        <v>11748</v>
      </c>
      <c r="C9881" s="8">
        <f>QS.CONTEXT.CREATE("market.9879",A9881,"USD","SOFR")</f>
        <v/>
      </c>
      <c r="D9881" s="8">
        <f>QS.CONTEXT.ADD.CURVE(C9881,"SOFR",$K$2:$K$7,$L$2:$L$7,,,"Actual360","LogLinear",TRUE)</f>
        <v/>
      </c>
      <c r="E9881" s="8">
        <f>QS.INSTRUMENT.SWAP("swap.9879",C9881,H9881,B9881,"USD","SOFR",I9881,J9881,0,"Actual360","Simple","Annual","Annual","Annual")</f>
        <v/>
      </c>
      <c r="F9881" s="8">
        <f>QS.TRADE.CREATE("trade.9879",C9881,E9881,A9881,"Receive")</f>
        <v/>
      </c>
      <c r="G9881" s="5"/>
      <c r="H9881" s="7" t="s">
        <v>9921</v>
      </c>
      <c r="I9881" s="9">
        <v>1987900</v>
      </c>
      <c r="J9881" s="10">
        <v>0.0379</v>
      </c>
    </row>
    <row r="9882" spans="1:10">
      <c r="A9882" s="7" t="s">
        <v>9915</v>
      </c>
      <c r="B9882" s="7" t="s">
        <v>11749</v>
      </c>
      <c r="C9882" s="8">
        <f>QS.CONTEXT.CREATE("market.9880",A9882,"USD","SOFR")</f>
        <v/>
      </c>
      <c r="D9882" s="8">
        <f>QS.CONTEXT.ADD.CURVE(C9882,"SOFR",$K$2:$K$7,$L$2:$L$7,,,"Actual360","LogLinear",TRUE)</f>
        <v/>
      </c>
      <c r="E9882" s="8">
        <f>QS.INSTRUMENT.SWAP("swap.9880",C9882,H9882,B9882,"USD","SOFR",I9882,J9882,0,"Actual360","Simple","Annual","Annual","Annual")</f>
        <v/>
      </c>
      <c r="F9882" s="8">
        <f>QS.TRADE.CREATE("trade.9880",C9882,E9882,A9882,"Receive")</f>
        <v/>
      </c>
      <c r="G9882" s="5"/>
      <c r="H9882" s="7" t="s">
        <v>9922</v>
      </c>
      <c r="I9882" s="9">
        <v>1988000</v>
      </c>
      <c r="J9882" s="10">
        <v>0.03800000000000001</v>
      </c>
    </row>
    <row r="9883" spans="1:10">
      <c r="A9883" s="7" t="s">
        <v>9916</v>
      </c>
      <c r="B9883" s="7" t="s">
        <v>11750</v>
      </c>
      <c r="C9883" s="8">
        <f>QS.CONTEXT.CREATE("market.9881",A9883,"USD","SOFR")</f>
        <v/>
      </c>
      <c r="D9883" s="8">
        <f>QS.CONTEXT.ADD.CURVE(C9883,"SOFR",$K$2:$K$7,$L$2:$L$7,,,"Actual360","LogLinear",TRUE)</f>
        <v/>
      </c>
      <c r="E9883" s="8">
        <f>QS.INSTRUMENT.SWAP("swap.9881",C9883,H9883,B9883,"USD","SOFR",I9883,J9883,0,"Actual360","Simple","Annual","Annual","Annual")</f>
        <v/>
      </c>
      <c r="F9883" s="8">
        <f>QS.TRADE.CREATE("trade.9881",C9883,E9883,A9883,"Receive")</f>
        <v/>
      </c>
      <c r="G9883" s="5"/>
      <c r="H9883" s="7" t="s">
        <v>9923</v>
      </c>
      <c r="I9883" s="9">
        <v>1988100</v>
      </c>
      <c r="J9883" s="10">
        <v>0.0381</v>
      </c>
    </row>
    <row r="9884" spans="1:10">
      <c r="A9884" s="7" t="s">
        <v>9917</v>
      </c>
      <c r="B9884" s="7" t="s">
        <v>11751</v>
      </c>
      <c r="C9884" s="8">
        <f>QS.CONTEXT.CREATE("market.9882",A9884,"USD","SOFR")</f>
        <v/>
      </c>
      <c r="D9884" s="8">
        <f>QS.CONTEXT.ADD.CURVE(C9884,"SOFR",$K$2:$K$7,$L$2:$L$7,,,"Actual360","LogLinear",TRUE)</f>
        <v/>
      </c>
      <c r="E9884" s="8">
        <f>QS.INSTRUMENT.SWAP("swap.9882",C9884,H9884,B9884,"USD","SOFR",I9884,J9884,0,"Actual360","Simple","Annual","Annual","Annual")</f>
        <v/>
      </c>
      <c r="F9884" s="8">
        <f>QS.TRADE.CREATE("trade.9882",C9884,E9884,A9884,"Receive")</f>
        <v/>
      </c>
      <c r="G9884" s="5"/>
      <c r="H9884" s="7" t="s">
        <v>9924</v>
      </c>
      <c r="I9884" s="9">
        <v>1988200</v>
      </c>
      <c r="J9884" s="10">
        <v>0.0382</v>
      </c>
    </row>
    <row r="9885" spans="1:10">
      <c r="A9885" s="7" t="s">
        <v>9918</v>
      </c>
      <c r="B9885" s="7" t="s">
        <v>11752</v>
      </c>
      <c r="C9885" s="8">
        <f>QS.CONTEXT.CREATE("market.9883",A9885,"USD","SOFR")</f>
        <v/>
      </c>
      <c r="D9885" s="8">
        <f>QS.CONTEXT.ADD.CURVE(C9885,"SOFR",$K$2:$K$7,$L$2:$L$7,,,"Actual360","LogLinear",TRUE)</f>
        <v/>
      </c>
      <c r="E9885" s="8">
        <f>QS.INSTRUMENT.SWAP("swap.9883",C9885,H9885,B9885,"USD","SOFR",I9885,J9885,0,"Actual360","Simple","Annual","Annual","Annual")</f>
        <v/>
      </c>
      <c r="F9885" s="8">
        <f>QS.TRADE.CREATE("trade.9883",C9885,E9885,A9885,"Receive")</f>
        <v/>
      </c>
      <c r="G9885" s="5"/>
      <c r="H9885" s="7" t="s">
        <v>9925</v>
      </c>
      <c r="I9885" s="9">
        <v>1988300</v>
      </c>
      <c r="J9885" s="10">
        <v>0.0383</v>
      </c>
    </row>
    <row r="9886" spans="1:10">
      <c r="A9886" s="7" t="s">
        <v>9919</v>
      </c>
      <c r="B9886" s="7" t="s">
        <v>11753</v>
      </c>
      <c r="C9886" s="8">
        <f>QS.CONTEXT.CREATE("market.9884",A9886,"USD","SOFR")</f>
        <v/>
      </c>
      <c r="D9886" s="8">
        <f>QS.CONTEXT.ADD.CURVE(C9886,"SOFR",$K$2:$K$7,$L$2:$L$7,,,"Actual360","LogLinear",TRUE)</f>
        <v/>
      </c>
      <c r="E9886" s="8">
        <f>QS.INSTRUMENT.SWAP("swap.9884",C9886,H9886,B9886,"USD","SOFR",I9886,J9886,0,"Actual360","Simple","Annual","Annual","Annual")</f>
        <v/>
      </c>
      <c r="F9886" s="8">
        <f>QS.TRADE.CREATE("trade.9884",C9886,E9886,A9886,"Receive")</f>
        <v/>
      </c>
      <c r="G9886" s="5"/>
      <c r="H9886" s="7" t="s">
        <v>9926</v>
      </c>
      <c r="I9886" s="9">
        <v>1988400</v>
      </c>
      <c r="J9886" s="10">
        <v>0.0384</v>
      </c>
    </row>
    <row r="9887" spans="1:10">
      <c r="A9887" s="7" t="s">
        <v>9920</v>
      </c>
      <c r="B9887" s="7" t="s">
        <v>11754</v>
      </c>
      <c r="C9887" s="8">
        <f>QS.CONTEXT.CREATE("market.9885",A9887,"USD","SOFR")</f>
        <v/>
      </c>
      <c r="D9887" s="8">
        <f>QS.CONTEXT.ADD.CURVE(C9887,"SOFR",$K$2:$K$7,$L$2:$L$7,,,"Actual360","LogLinear",TRUE)</f>
        <v/>
      </c>
      <c r="E9887" s="8">
        <f>QS.INSTRUMENT.SWAP("swap.9885",C9887,H9887,B9887,"USD","SOFR",I9887,J9887,0,"Actual360","Simple","Annual","Annual","Annual")</f>
        <v/>
      </c>
      <c r="F9887" s="8">
        <f>QS.TRADE.CREATE("trade.9885",C9887,E9887,A9887,"Receive")</f>
        <v/>
      </c>
      <c r="G9887" s="5"/>
      <c r="H9887" s="7" t="s">
        <v>9927</v>
      </c>
      <c r="I9887" s="9">
        <v>1988500</v>
      </c>
      <c r="J9887" s="10">
        <v>0.03850000000000001</v>
      </c>
    </row>
    <row r="9888" spans="1:10">
      <c r="A9888" s="7" t="s">
        <v>9921</v>
      </c>
      <c r="B9888" s="7" t="s">
        <v>11755</v>
      </c>
      <c r="C9888" s="8">
        <f>QS.CONTEXT.CREATE("market.9886",A9888,"USD","SOFR")</f>
        <v/>
      </c>
      <c r="D9888" s="8">
        <f>QS.CONTEXT.ADD.CURVE(C9888,"SOFR",$K$2:$K$7,$L$2:$L$7,,,"Actual360","LogLinear",TRUE)</f>
        <v/>
      </c>
      <c r="E9888" s="8">
        <f>QS.INSTRUMENT.SWAP("swap.9886",C9888,H9888,B9888,"USD","SOFR",I9888,J9888,0,"Actual360","Simple","Annual","Annual","Annual")</f>
        <v/>
      </c>
      <c r="F9888" s="8">
        <f>QS.TRADE.CREATE("trade.9886",C9888,E9888,A9888,"Receive")</f>
        <v/>
      </c>
      <c r="G9888" s="5"/>
      <c r="H9888" s="7" t="s">
        <v>9928</v>
      </c>
      <c r="I9888" s="9">
        <v>1988600</v>
      </c>
      <c r="J9888" s="10">
        <v>0.0386</v>
      </c>
    </row>
    <row r="9889" spans="1:10">
      <c r="A9889" s="7" t="s">
        <v>9922</v>
      </c>
      <c r="B9889" s="7" t="s">
        <v>11756</v>
      </c>
      <c r="C9889" s="8">
        <f>QS.CONTEXT.CREATE("market.9887",A9889,"USD","SOFR")</f>
        <v/>
      </c>
      <c r="D9889" s="8">
        <f>QS.CONTEXT.ADD.CURVE(C9889,"SOFR",$K$2:$K$7,$L$2:$L$7,,,"Actual360","LogLinear",TRUE)</f>
        <v/>
      </c>
      <c r="E9889" s="8">
        <f>QS.INSTRUMENT.SWAP("swap.9887",C9889,H9889,B9889,"USD","SOFR",I9889,J9889,0,"Actual360","Simple","Annual","Annual","Annual")</f>
        <v/>
      </c>
      <c r="F9889" s="8">
        <f>QS.TRADE.CREATE("trade.9887",C9889,E9889,A9889,"Receive")</f>
        <v/>
      </c>
      <c r="G9889" s="5"/>
      <c r="H9889" s="7" t="s">
        <v>9929</v>
      </c>
      <c r="I9889" s="9">
        <v>1988700</v>
      </c>
      <c r="J9889" s="10">
        <v>0.03870000000000001</v>
      </c>
    </row>
    <row r="9890" spans="1:10">
      <c r="A9890" s="7" t="s">
        <v>9923</v>
      </c>
      <c r="B9890" s="7" t="s">
        <v>11757</v>
      </c>
      <c r="C9890" s="8">
        <f>QS.CONTEXT.CREATE("market.9888",A9890,"USD","SOFR")</f>
        <v/>
      </c>
      <c r="D9890" s="8">
        <f>QS.CONTEXT.ADD.CURVE(C9890,"SOFR",$K$2:$K$7,$L$2:$L$7,,,"Actual360","LogLinear",TRUE)</f>
        <v/>
      </c>
      <c r="E9890" s="8">
        <f>QS.INSTRUMENT.SWAP("swap.9888",C9890,H9890,B9890,"USD","SOFR",I9890,J9890,0,"Actual360","Simple","Annual","Annual","Annual")</f>
        <v/>
      </c>
      <c r="F9890" s="8">
        <f>QS.TRADE.CREATE("trade.9888",C9890,E9890,A9890,"Receive")</f>
        <v/>
      </c>
      <c r="G9890" s="5"/>
      <c r="H9890" s="7" t="s">
        <v>9930</v>
      </c>
      <c r="I9890" s="9">
        <v>1988800</v>
      </c>
      <c r="J9890" s="10">
        <v>0.0388</v>
      </c>
    </row>
    <row r="9891" spans="1:10">
      <c r="A9891" s="7" t="s">
        <v>9924</v>
      </c>
      <c r="B9891" s="7" t="s">
        <v>11758</v>
      </c>
      <c r="C9891" s="8">
        <f>QS.CONTEXT.CREATE("market.9889",A9891,"USD","SOFR")</f>
        <v/>
      </c>
      <c r="D9891" s="8">
        <f>QS.CONTEXT.ADD.CURVE(C9891,"SOFR",$K$2:$K$7,$L$2:$L$7,,,"Actual360","LogLinear",TRUE)</f>
        <v/>
      </c>
      <c r="E9891" s="8">
        <f>QS.INSTRUMENT.SWAP("swap.9889",C9891,H9891,B9891,"USD","SOFR",I9891,J9891,0,"Actual360","Simple","Annual","Annual","Annual")</f>
        <v/>
      </c>
      <c r="F9891" s="8">
        <f>QS.TRADE.CREATE("trade.9889",C9891,E9891,A9891,"Receive")</f>
        <v/>
      </c>
      <c r="G9891" s="5"/>
      <c r="H9891" s="7" t="s">
        <v>9931</v>
      </c>
      <c r="I9891" s="9">
        <v>1988900</v>
      </c>
      <c r="J9891" s="10">
        <v>0.0389</v>
      </c>
    </row>
    <row r="9892" spans="1:10">
      <c r="A9892" s="7" t="s">
        <v>9925</v>
      </c>
      <c r="B9892" s="7" t="s">
        <v>11759</v>
      </c>
      <c r="C9892" s="8">
        <f>QS.CONTEXT.CREATE("market.9890",A9892,"USD","SOFR")</f>
        <v/>
      </c>
      <c r="D9892" s="8">
        <f>QS.CONTEXT.ADD.CURVE(C9892,"SOFR",$K$2:$K$7,$L$2:$L$7,,,"Actual360","LogLinear",TRUE)</f>
        <v/>
      </c>
      <c r="E9892" s="8">
        <f>QS.INSTRUMENT.SWAP("swap.9890",C9892,H9892,B9892,"USD","SOFR",I9892,J9892,0,"Actual360","Simple","Annual","Annual","Annual")</f>
        <v/>
      </c>
      <c r="F9892" s="8">
        <f>QS.TRADE.CREATE("trade.9890",C9892,E9892,A9892,"Receive")</f>
        <v/>
      </c>
      <c r="G9892" s="5"/>
      <c r="H9892" s="7" t="s">
        <v>9932</v>
      </c>
      <c r="I9892" s="9">
        <v>1989000</v>
      </c>
      <c r="J9892" s="10">
        <v>0.03900000000000001</v>
      </c>
    </row>
    <row r="9893" spans="1:10">
      <c r="A9893" s="7" t="s">
        <v>9926</v>
      </c>
      <c r="B9893" s="7" t="s">
        <v>11760</v>
      </c>
      <c r="C9893" s="8">
        <f>QS.CONTEXT.CREATE("market.9891",A9893,"USD","SOFR")</f>
        <v/>
      </c>
      <c r="D9893" s="8">
        <f>QS.CONTEXT.ADD.CURVE(C9893,"SOFR",$K$2:$K$7,$L$2:$L$7,,,"Actual360","LogLinear",TRUE)</f>
        <v/>
      </c>
      <c r="E9893" s="8">
        <f>QS.INSTRUMENT.SWAP("swap.9891",C9893,H9893,B9893,"USD","SOFR",I9893,J9893,0,"Actual360","Simple","Annual","Annual","Annual")</f>
        <v/>
      </c>
      <c r="F9893" s="8">
        <f>QS.TRADE.CREATE("trade.9891",C9893,E9893,A9893,"Receive")</f>
        <v/>
      </c>
      <c r="G9893" s="5"/>
      <c r="H9893" s="7" t="s">
        <v>9933</v>
      </c>
      <c r="I9893" s="9">
        <v>1989100</v>
      </c>
      <c r="J9893" s="10">
        <v>0.0391</v>
      </c>
    </row>
    <row r="9894" spans="1:10">
      <c r="A9894" s="7" t="s">
        <v>9927</v>
      </c>
      <c r="B9894" s="7" t="s">
        <v>11761</v>
      </c>
      <c r="C9894" s="8">
        <f>QS.CONTEXT.CREATE("market.9892",A9894,"USD","SOFR")</f>
        <v/>
      </c>
      <c r="D9894" s="8">
        <f>QS.CONTEXT.ADD.CURVE(C9894,"SOFR",$K$2:$K$7,$L$2:$L$7,,,"Actual360","LogLinear",TRUE)</f>
        <v/>
      </c>
      <c r="E9894" s="8">
        <f>QS.INSTRUMENT.SWAP("swap.9892",C9894,H9894,B9894,"USD","SOFR",I9894,J9894,0,"Actual360","Simple","Annual","Annual","Annual")</f>
        <v/>
      </c>
      <c r="F9894" s="8">
        <f>QS.TRADE.CREATE("trade.9892",C9894,E9894,A9894,"Receive")</f>
        <v/>
      </c>
      <c r="G9894" s="5"/>
      <c r="H9894" s="7" t="s">
        <v>9934</v>
      </c>
      <c r="I9894" s="9">
        <v>1989200</v>
      </c>
      <c r="J9894" s="10">
        <v>0.03920000000000001</v>
      </c>
    </row>
    <row r="9895" spans="1:10">
      <c r="A9895" s="7" t="s">
        <v>9928</v>
      </c>
      <c r="B9895" s="7" t="s">
        <v>11762</v>
      </c>
      <c r="C9895" s="8">
        <f>QS.CONTEXT.CREATE("market.9893",A9895,"USD","SOFR")</f>
        <v/>
      </c>
      <c r="D9895" s="8">
        <f>QS.CONTEXT.ADD.CURVE(C9895,"SOFR",$K$2:$K$7,$L$2:$L$7,,,"Actual360","LogLinear",TRUE)</f>
        <v/>
      </c>
      <c r="E9895" s="8">
        <f>QS.INSTRUMENT.SWAP("swap.9893",C9895,H9895,B9895,"USD","SOFR",I9895,J9895,0,"Actual360","Simple","Annual","Annual","Annual")</f>
        <v/>
      </c>
      <c r="F9895" s="8">
        <f>QS.TRADE.CREATE("trade.9893",C9895,E9895,A9895,"Receive")</f>
        <v/>
      </c>
      <c r="G9895" s="5"/>
      <c r="H9895" s="7" t="s">
        <v>9935</v>
      </c>
      <c r="I9895" s="9">
        <v>1989300</v>
      </c>
      <c r="J9895" s="10">
        <v>0.0393</v>
      </c>
    </row>
    <row r="9896" spans="1:10">
      <c r="A9896" s="7" t="s">
        <v>9929</v>
      </c>
      <c r="B9896" s="7" t="s">
        <v>11763</v>
      </c>
      <c r="C9896" s="8">
        <f>QS.CONTEXT.CREATE("market.9894",A9896,"USD","SOFR")</f>
        <v/>
      </c>
      <c r="D9896" s="8">
        <f>QS.CONTEXT.ADD.CURVE(C9896,"SOFR",$K$2:$K$7,$L$2:$L$7,,,"Actual360","LogLinear",TRUE)</f>
        <v/>
      </c>
      <c r="E9896" s="8">
        <f>QS.INSTRUMENT.SWAP("swap.9894",C9896,H9896,B9896,"USD","SOFR",I9896,J9896,0,"Actual360","Simple","Annual","Annual","Annual")</f>
        <v/>
      </c>
      <c r="F9896" s="8">
        <f>QS.TRADE.CREATE("trade.9894",C9896,E9896,A9896,"Receive")</f>
        <v/>
      </c>
      <c r="G9896" s="5"/>
      <c r="H9896" s="7" t="s">
        <v>9936</v>
      </c>
      <c r="I9896" s="9">
        <v>1989400</v>
      </c>
      <c r="J9896" s="10">
        <v>0.0394</v>
      </c>
    </row>
    <row r="9897" spans="1:10">
      <c r="A9897" s="7" t="s">
        <v>9930</v>
      </c>
      <c r="B9897" s="7" t="s">
        <v>11764</v>
      </c>
      <c r="C9897" s="8">
        <f>QS.CONTEXT.CREATE("market.9895",A9897,"USD","SOFR")</f>
        <v/>
      </c>
      <c r="D9897" s="8">
        <f>QS.CONTEXT.ADD.CURVE(C9897,"SOFR",$K$2:$K$7,$L$2:$L$7,,,"Actual360","LogLinear",TRUE)</f>
        <v/>
      </c>
      <c r="E9897" s="8">
        <f>QS.INSTRUMENT.SWAP("swap.9895",C9897,H9897,B9897,"USD","SOFR",I9897,J9897,0,"Actual360","Simple","Annual","Annual","Annual")</f>
        <v/>
      </c>
      <c r="F9897" s="8">
        <f>QS.TRADE.CREATE("trade.9895",C9897,E9897,A9897,"Receive")</f>
        <v/>
      </c>
      <c r="G9897" s="5"/>
      <c r="H9897" s="7" t="s">
        <v>9937</v>
      </c>
      <c r="I9897" s="9">
        <v>1989500</v>
      </c>
      <c r="J9897" s="10">
        <v>0.03950000000000001</v>
      </c>
    </row>
    <row r="9898" spans="1:10">
      <c r="A9898" s="7" t="s">
        <v>9931</v>
      </c>
      <c r="B9898" s="7" t="s">
        <v>11765</v>
      </c>
      <c r="C9898" s="8">
        <f>QS.CONTEXT.CREATE("market.9896",A9898,"USD","SOFR")</f>
        <v/>
      </c>
      <c r="D9898" s="8">
        <f>QS.CONTEXT.ADD.CURVE(C9898,"SOFR",$K$2:$K$7,$L$2:$L$7,,,"Actual360","LogLinear",TRUE)</f>
        <v/>
      </c>
      <c r="E9898" s="8">
        <f>QS.INSTRUMENT.SWAP("swap.9896",C9898,H9898,B9898,"USD","SOFR",I9898,J9898,0,"Actual360","Simple","Annual","Annual","Annual")</f>
        <v/>
      </c>
      <c r="F9898" s="8">
        <f>QS.TRADE.CREATE("trade.9896",C9898,E9898,A9898,"Receive")</f>
        <v/>
      </c>
      <c r="G9898" s="5"/>
      <c r="H9898" s="7" t="s">
        <v>9938</v>
      </c>
      <c r="I9898" s="9">
        <v>1989600</v>
      </c>
      <c r="J9898" s="10">
        <v>0.0396</v>
      </c>
    </row>
    <row r="9899" spans="1:10">
      <c r="A9899" s="7" t="s">
        <v>9932</v>
      </c>
      <c r="B9899" s="7" t="s">
        <v>11766</v>
      </c>
      <c r="C9899" s="8">
        <f>QS.CONTEXT.CREATE("market.9897",A9899,"USD","SOFR")</f>
        <v/>
      </c>
      <c r="D9899" s="8">
        <f>QS.CONTEXT.ADD.CURVE(C9899,"SOFR",$K$2:$K$7,$L$2:$L$7,,,"Actual360","LogLinear",TRUE)</f>
        <v/>
      </c>
      <c r="E9899" s="8">
        <f>QS.INSTRUMENT.SWAP("swap.9897",C9899,H9899,B9899,"USD","SOFR",I9899,J9899,0,"Actual360","Simple","Annual","Annual","Annual")</f>
        <v/>
      </c>
      <c r="F9899" s="8">
        <f>QS.TRADE.CREATE("trade.9897",C9899,E9899,A9899,"Receive")</f>
        <v/>
      </c>
      <c r="G9899" s="5"/>
      <c r="H9899" s="7" t="s">
        <v>9939</v>
      </c>
      <c r="I9899" s="9">
        <v>1989700</v>
      </c>
      <c r="J9899" s="10">
        <v>0.03970000000000001</v>
      </c>
    </row>
    <row r="9900" spans="1:10">
      <c r="A9900" s="7" t="s">
        <v>9933</v>
      </c>
      <c r="B9900" s="7" t="s">
        <v>11767</v>
      </c>
      <c r="C9900" s="8">
        <f>QS.CONTEXT.CREATE("market.9898",A9900,"USD","SOFR")</f>
        <v/>
      </c>
      <c r="D9900" s="8">
        <f>QS.CONTEXT.ADD.CURVE(C9900,"SOFR",$K$2:$K$7,$L$2:$L$7,,,"Actual360","LogLinear",TRUE)</f>
        <v/>
      </c>
      <c r="E9900" s="8">
        <f>QS.INSTRUMENT.SWAP("swap.9898",C9900,H9900,B9900,"USD","SOFR",I9900,J9900,0,"Actual360","Simple","Annual","Annual","Annual")</f>
        <v/>
      </c>
      <c r="F9900" s="8">
        <f>QS.TRADE.CREATE("trade.9898",C9900,E9900,A9900,"Receive")</f>
        <v/>
      </c>
      <c r="G9900" s="5"/>
      <c r="H9900" s="7" t="s">
        <v>9940</v>
      </c>
      <c r="I9900" s="9">
        <v>1989800</v>
      </c>
      <c r="J9900" s="10">
        <v>0.0398</v>
      </c>
    </row>
    <row r="9901" spans="1:10">
      <c r="A9901" s="7" t="s">
        <v>9934</v>
      </c>
      <c r="B9901" s="7" t="s">
        <v>11768</v>
      </c>
      <c r="C9901" s="8">
        <f>QS.CONTEXT.CREATE("market.9899",A9901,"USD","SOFR")</f>
        <v/>
      </c>
      <c r="D9901" s="8">
        <f>QS.CONTEXT.ADD.CURVE(C9901,"SOFR",$K$2:$K$7,$L$2:$L$7,,,"Actual360","LogLinear",TRUE)</f>
        <v/>
      </c>
      <c r="E9901" s="8">
        <f>QS.INSTRUMENT.SWAP("swap.9899",C9901,H9901,B9901,"USD","SOFR",I9901,J9901,0,"Actual360","Simple","Annual","Annual","Annual")</f>
        <v/>
      </c>
      <c r="F9901" s="8">
        <f>QS.TRADE.CREATE("trade.9899",C9901,E9901,A9901,"Receive")</f>
        <v/>
      </c>
      <c r="G9901" s="5"/>
      <c r="H9901" s="7" t="s">
        <v>9941</v>
      </c>
      <c r="I9901" s="9">
        <v>1989900</v>
      </c>
      <c r="J9901" s="10">
        <v>0.0399</v>
      </c>
    </row>
    <row r="9902" spans="1:10">
      <c r="A9902" s="7" t="s">
        <v>9935</v>
      </c>
      <c r="B9902" s="7" t="s">
        <v>11769</v>
      </c>
      <c r="C9902" s="8">
        <f>QS.CONTEXT.CREATE("market.9900",A9902,"USD","SOFR")</f>
        <v/>
      </c>
      <c r="D9902" s="8">
        <f>QS.CONTEXT.ADD.CURVE(C9902,"SOFR",$K$2:$K$7,$L$2:$L$7,,,"Actual360","LogLinear",TRUE)</f>
        <v/>
      </c>
      <c r="E9902" s="8">
        <f>QS.INSTRUMENT.SWAP("swap.9900",C9902,H9902,B9902,"USD","SOFR",I9902,J9902,0,"Actual360","Simple","Annual","Annual","Annual")</f>
        <v/>
      </c>
      <c r="F9902" s="8">
        <f>QS.TRADE.CREATE("trade.9900",C9902,E9902,A9902,"Receive")</f>
        <v/>
      </c>
      <c r="G9902" s="5"/>
      <c r="H9902" s="7" t="s">
        <v>9942</v>
      </c>
      <c r="I9902" s="9">
        <v>1990000</v>
      </c>
      <c r="J9902" s="10">
        <v>0.035</v>
      </c>
    </row>
    <row r="9903" spans="1:10">
      <c r="A9903" s="7" t="s">
        <v>9936</v>
      </c>
      <c r="B9903" s="7" t="s">
        <v>11770</v>
      </c>
      <c r="C9903" s="8">
        <f>QS.CONTEXT.CREATE("market.9901",A9903,"USD","SOFR")</f>
        <v/>
      </c>
      <c r="D9903" s="8">
        <f>QS.CONTEXT.ADD.CURVE(C9903,"SOFR",$K$2:$K$7,$L$2:$L$7,,,"Actual360","LogLinear",TRUE)</f>
        <v/>
      </c>
      <c r="E9903" s="8">
        <f>QS.INSTRUMENT.SWAP("swap.9901",C9903,H9903,B9903,"USD","SOFR",I9903,J9903,0,"Actual360","Simple","Annual","Annual","Annual")</f>
        <v/>
      </c>
      <c r="F9903" s="8">
        <f>QS.TRADE.CREATE("trade.9901",C9903,E9903,A9903,"Receive")</f>
        <v/>
      </c>
      <c r="G9903" s="5"/>
      <c r="H9903" s="7" t="s">
        <v>9943</v>
      </c>
      <c r="I9903" s="9">
        <v>1990100</v>
      </c>
      <c r="J9903" s="10">
        <v>0.03510000000000001</v>
      </c>
    </row>
    <row r="9904" spans="1:10">
      <c r="A9904" s="7" t="s">
        <v>9937</v>
      </c>
      <c r="B9904" s="7" t="s">
        <v>11771</v>
      </c>
      <c r="C9904" s="8">
        <f>QS.CONTEXT.CREATE("market.9902",A9904,"USD","SOFR")</f>
        <v/>
      </c>
      <c r="D9904" s="8">
        <f>QS.CONTEXT.ADD.CURVE(C9904,"SOFR",$K$2:$K$7,$L$2:$L$7,,,"Actual360","LogLinear",TRUE)</f>
        <v/>
      </c>
      <c r="E9904" s="8">
        <f>QS.INSTRUMENT.SWAP("swap.9902",C9904,H9904,B9904,"USD","SOFR",I9904,J9904,0,"Actual360","Simple","Annual","Annual","Annual")</f>
        <v/>
      </c>
      <c r="F9904" s="8">
        <f>QS.TRADE.CREATE("trade.9902",C9904,E9904,A9904,"Receive")</f>
        <v/>
      </c>
      <c r="G9904" s="5"/>
      <c r="H9904" s="7" t="s">
        <v>9944</v>
      </c>
      <c r="I9904" s="9">
        <v>1990200</v>
      </c>
      <c r="J9904" s="10">
        <v>0.0352</v>
      </c>
    </row>
    <row r="9905" spans="1:10">
      <c r="A9905" s="7" t="s">
        <v>9938</v>
      </c>
      <c r="B9905" s="7" t="s">
        <v>11772</v>
      </c>
      <c r="C9905" s="8">
        <f>QS.CONTEXT.CREATE("market.9903",A9905,"USD","SOFR")</f>
        <v/>
      </c>
      <c r="D9905" s="8">
        <f>QS.CONTEXT.ADD.CURVE(C9905,"SOFR",$K$2:$K$7,$L$2:$L$7,,,"Actual360","LogLinear",TRUE)</f>
        <v/>
      </c>
      <c r="E9905" s="8">
        <f>QS.INSTRUMENT.SWAP("swap.9903",C9905,H9905,B9905,"USD","SOFR",I9905,J9905,0,"Actual360","Simple","Annual","Annual","Annual")</f>
        <v/>
      </c>
      <c r="F9905" s="8">
        <f>QS.TRADE.CREATE("trade.9903",C9905,E9905,A9905,"Receive")</f>
        <v/>
      </c>
      <c r="G9905" s="5"/>
      <c r="H9905" s="7" t="s">
        <v>9945</v>
      </c>
      <c r="I9905" s="9">
        <v>1990300</v>
      </c>
      <c r="J9905" s="10">
        <v>0.0353</v>
      </c>
    </row>
    <row r="9906" spans="1:10">
      <c r="A9906" s="7" t="s">
        <v>9939</v>
      </c>
      <c r="B9906" s="7" t="s">
        <v>11773</v>
      </c>
      <c r="C9906" s="8">
        <f>QS.CONTEXT.CREATE("market.9904",A9906,"USD","SOFR")</f>
        <v/>
      </c>
      <c r="D9906" s="8">
        <f>QS.CONTEXT.ADD.CURVE(C9906,"SOFR",$K$2:$K$7,$L$2:$L$7,,,"Actual360","LogLinear",TRUE)</f>
        <v/>
      </c>
      <c r="E9906" s="8">
        <f>QS.INSTRUMENT.SWAP("swap.9904",C9906,H9906,B9906,"USD","SOFR",I9906,J9906,0,"Actual360","Simple","Annual","Annual","Annual")</f>
        <v/>
      </c>
      <c r="F9906" s="8">
        <f>QS.TRADE.CREATE("trade.9904",C9906,E9906,A9906,"Receive")</f>
        <v/>
      </c>
      <c r="G9906" s="5"/>
      <c r="H9906" s="7" t="s">
        <v>9946</v>
      </c>
      <c r="I9906" s="9">
        <v>1990400</v>
      </c>
      <c r="J9906" s="10">
        <v>0.0354</v>
      </c>
    </row>
    <row r="9907" spans="1:10">
      <c r="A9907" s="7" t="s">
        <v>9940</v>
      </c>
      <c r="B9907" s="7" t="s">
        <v>11774</v>
      </c>
      <c r="C9907" s="8">
        <f>QS.CONTEXT.CREATE("market.9905",A9907,"USD","SOFR")</f>
        <v/>
      </c>
      <c r="D9907" s="8">
        <f>QS.CONTEXT.ADD.CURVE(C9907,"SOFR",$K$2:$K$7,$L$2:$L$7,,,"Actual360","LogLinear",TRUE)</f>
        <v/>
      </c>
      <c r="E9907" s="8">
        <f>QS.INSTRUMENT.SWAP("swap.9905",C9907,H9907,B9907,"USD","SOFR",I9907,J9907,0,"Actual360","Simple","Annual","Annual","Annual")</f>
        <v/>
      </c>
      <c r="F9907" s="8">
        <f>QS.TRADE.CREATE("trade.9905",C9907,E9907,A9907,"Receive")</f>
        <v/>
      </c>
      <c r="G9907" s="5"/>
      <c r="H9907" s="7" t="s">
        <v>9947</v>
      </c>
      <c r="I9907" s="9">
        <v>1990500</v>
      </c>
      <c r="J9907" s="10">
        <v>0.0355</v>
      </c>
    </row>
    <row r="9908" spans="1:10">
      <c r="A9908" s="7" t="s">
        <v>9941</v>
      </c>
      <c r="B9908" s="7" t="s">
        <v>11775</v>
      </c>
      <c r="C9908" s="8">
        <f>QS.CONTEXT.CREATE("market.9906",A9908,"USD","SOFR")</f>
        <v/>
      </c>
      <c r="D9908" s="8">
        <f>QS.CONTEXT.ADD.CURVE(C9908,"SOFR",$K$2:$K$7,$L$2:$L$7,,,"Actual360","LogLinear",TRUE)</f>
        <v/>
      </c>
      <c r="E9908" s="8">
        <f>QS.INSTRUMENT.SWAP("swap.9906",C9908,H9908,B9908,"USD","SOFR",I9908,J9908,0,"Actual360","Simple","Annual","Annual","Annual")</f>
        <v/>
      </c>
      <c r="F9908" s="8">
        <f>QS.TRADE.CREATE("trade.9906",C9908,E9908,A9908,"Receive")</f>
        <v/>
      </c>
      <c r="G9908" s="5"/>
      <c r="H9908" s="7" t="s">
        <v>9948</v>
      </c>
      <c r="I9908" s="9">
        <v>1990600</v>
      </c>
      <c r="J9908" s="10">
        <v>0.03560000000000001</v>
      </c>
    </row>
    <row r="9909" spans="1:10">
      <c r="A9909" s="7" t="s">
        <v>9942</v>
      </c>
      <c r="B9909" s="7" t="s">
        <v>11776</v>
      </c>
      <c r="C9909" s="8">
        <f>QS.CONTEXT.CREATE("market.9907",A9909,"USD","SOFR")</f>
        <v/>
      </c>
      <c r="D9909" s="8">
        <f>QS.CONTEXT.ADD.CURVE(C9909,"SOFR",$K$2:$K$7,$L$2:$L$7,,,"Actual360","LogLinear",TRUE)</f>
        <v/>
      </c>
      <c r="E9909" s="8">
        <f>QS.INSTRUMENT.SWAP("swap.9907",C9909,H9909,B9909,"USD","SOFR",I9909,J9909,0,"Actual360","Simple","Annual","Annual","Annual")</f>
        <v/>
      </c>
      <c r="F9909" s="8">
        <f>QS.TRADE.CREATE("trade.9907",C9909,E9909,A9909,"Receive")</f>
        <v/>
      </c>
      <c r="G9909" s="5"/>
      <c r="H9909" s="7" t="s">
        <v>9949</v>
      </c>
      <c r="I9909" s="9">
        <v>1990700</v>
      </c>
      <c r="J9909" s="10">
        <v>0.0357</v>
      </c>
    </row>
    <row r="9910" spans="1:10">
      <c r="A9910" s="7" t="s">
        <v>9943</v>
      </c>
      <c r="B9910" s="7" t="s">
        <v>11777</v>
      </c>
      <c r="C9910" s="8">
        <f>QS.CONTEXT.CREATE("market.9908",A9910,"USD","SOFR")</f>
        <v/>
      </c>
      <c r="D9910" s="8">
        <f>QS.CONTEXT.ADD.CURVE(C9910,"SOFR",$K$2:$K$7,$L$2:$L$7,,,"Actual360","LogLinear",TRUE)</f>
        <v/>
      </c>
      <c r="E9910" s="8">
        <f>QS.INSTRUMENT.SWAP("swap.9908",C9910,H9910,B9910,"USD","SOFR",I9910,J9910,0,"Actual360","Simple","Annual","Annual","Annual")</f>
        <v/>
      </c>
      <c r="F9910" s="8">
        <f>QS.TRADE.CREATE("trade.9908",C9910,E9910,A9910,"Receive")</f>
        <v/>
      </c>
      <c r="G9910" s="5"/>
      <c r="H9910" s="7" t="s">
        <v>9950</v>
      </c>
      <c r="I9910" s="9">
        <v>1990800</v>
      </c>
      <c r="J9910" s="10">
        <v>0.03580000000000001</v>
      </c>
    </row>
    <row r="9911" spans="1:10">
      <c r="A9911" s="7" t="s">
        <v>9944</v>
      </c>
      <c r="B9911" s="7" t="s">
        <v>11778</v>
      </c>
      <c r="C9911" s="8">
        <f>QS.CONTEXT.CREATE("market.9909",A9911,"USD","SOFR")</f>
        <v/>
      </c>
      <c r="D9911" s="8">
        <f>QS.CONTEXT.ADD.CURVE(C9911,"SOFR",$K$2:$K$7,$L$2:$L$7,,,"Actual360","LogLinear",TRUE)</f>
        <v/>
      </c>
      <c r="E9911" s="8">
        <f>QS.INSTRUMENT.SWAP("swap.9909",C9911,H9911,B9911,"USD","SOFR",I9911,J9911,0,"Actual360","Simple","Annual","Annual","Annual")</f>
        <v/>
      </c>
      <c r="F9911" s="8">
        <f>QS.TRADE.CREATE("trade.9909",C9911,E9911,A9911,"Receive")</f>
        <v/>
      </c>
      <c r="G9911" s="5"/>
      <c r="H9911" s="7" t="s">
        <v>9951</v>
      </c>
      <c r="I9911" s="9">
        <v>1990900</v>
      </c>
      <c r="J9911" s="10">
        <v>0.0359</v>
      </c>
    </row>
    <row r="9912" spans="1:10">
      <c r="A9912" s="7" t="s">
        <v>9945</v>
      </c>
      <c r="B9912" s="7" t="s">
        <v>11779</v>
      </c>
      <c r="C9912" s="8">
        <f>QS.CONTEXT.CREATE("market.9910",A9912,"USD","SOFR")</f>
        <v/>
      </c>
      <c r="D9912" s="8">
        <f>QS.CONTEXT.ADD.CURVE(C9912,"SOFR",$K$2:$K$7,$L$2:$L$7,,,"Actual360","LogLinear",TRUE)</f>
        <v/>
      </c>
      <c r="E9912" s="8">
        <f>QS.INSTRUMENT.SWAP("swap.9910",C9912,H9912,B9912,"USD","SOFR",I9912,J9912,0,"Actual360","Simple","Annual","Annual","Annual")</f>
        <v/>
      </c>
      <c r="F9912" s="8">
        <f>QS.TRADE.CREATE("trade.9910",C9912,E9912,A9912,"Receive")</f>
        <v/>
      </c>
      <c r="G9912" s="5"/>
      <c r="H9912" s="7" t="s">
        <v>9952</v>
      </c>
      <c r="I9912" s="9">
        <v>1991000</v>
      </c>
      <c r="J9912" s="10">
        <v>0.036</v>
      </c>
    </row>
    <row r="9913" spans="1:10">
      <c r="A9913" s="7" t="s">
        <v>9946</v>
      </c>
      <c r="B9913" s="7" t="s">
        <v>11780</v>
      </c>
      <c r="C9913" s="8">
        <f>QS.CONTEXT.CREATE("market.9911",A9913,"USD","SOFR")</f>
        <v/>
      </c>
      <c r="D9913" s="8">
        <f>QS.CONTEXT.ADD.CURVE(C9913,"SOFR",$K$2:$K$7,$L$2:$L$7,,,"Actual360","LogLinear",TRUE)</f>
        <v/>
      </c>
      <c r="E9913" s="8">
        <f>QS.INSTRUMENT.SWAP("swap.9911",C9913,H9913,B9913,"USD","SOFR",I9913,J9913,0,"Actual360","Simple","Annual","Annual","Annual")</f>
        <v/>
      </c>
      <c r="F9913" s="8">
        <f>QS.TRADE.CREATE("trade.9911",C9913,E9913,A9913,"Receive")</f>
        <v/>
      </c>
      <c r="G9913" s="5"/>
      <c r="H9913" s="7" t="s">
        <v>9953</v>
      </c>
      <c r="I9913" s="9">
        <v>1991100</v>
      </c>
      <c r="J9913" s="10">
        <v>0.0361</v>
      </c>
    </row>
    <row r="9914" spans="1:10">
      <c r="A9914" s="7" t="s">
        <v>9947</v>
      </c>
      <c r="B9914" s="7" t="s">
        <v>11781</v>
      </c>
      <c r="C9914" s="8">
        <f>QS.CONTEXT.CREATE("market.9912",A9914,"USD","SOFR")</f>
        <v/>
      </c>
      <c r="D9914" s="8">
        <f>QS.CONTEXT.ADD.CURVE(C9914,"SOFR",$K$2:$K$7,$L$2:$L$7,,,"Actual360","LogLinear",TRUE)</f>
        <v/>
      </c>
      <c r="E9914" s="8">
        <f>QS.INSTRUMENT.SWAP("swap.9912",C9914,H9914,B9914,"USD","SOFR",I9914,J9914,0,"Actual360","Simple","Annual","Annual","Annual")</f>
        <v/>
      </c>
      <c r="F9914" s="8">
        <f>QS.TRADE.CREATE("trade.9912",C9914,E9914,A9914,"Receive")</f>
        <v/>
      </c>
      <c r="G9914" s="5"/>
      <c r="H9914" s="7" t="s">
        <v>9954</v>
      </c>
      <c r="I9914" s="9">
        <v>1991200</v>
      </c>
      <c r="J9914" s="10">
        <v>0.0362</v>
      </c>
    </row>
    <row r="9915" spans="1:10">
      <c r="A9915" s="7" t="s">
        <v>9948</v>
      </c>
      <c r="B9915" s="7" t="s">
        <v>11782</v>
      </c>
      <c r="C9915" s="8">
        <f>QS.CONTEXT.CREATE("market.9913",A9915,"USD","SOFR")</f>
        <v/>
      </c>
      <c r="D9915" s="8">
        <f>QS.CONTEXT.ADD.CURVE(C9915,"SOFR",$K$2:$K$7,$L$2:$L$7,,,"Actual360","LogLinear",TRUE)</f>
        <v/>
      </c>
      <c r="E9915" s="8">
        <f>QS.INSTRUMENT.SWAP("swap.9913",C9915,H9915,B9915,"USD","SOFR",I9915,J9915,0,"Actual360","Simple","Annual","Annual","Annual")</f>
        <v/>
      </c>
      <c r="F9915" s="8">
        <f>QS.TRADE.CREATE("trade.9913",C9915,E9915,A9915,"Receive")</f>
        <v/>
      </c>
      <c r="G9915" s="5"/>
      <c r="H9915" s="7" t="s">
        <v>9955</v>
      </c>
      <c r="I9915" s="9">
        <v>1991300</v>
      </c>
      <c r="J9915" s="10">
        <v>0.03630000000000001</v>
      </c>
    </row>
    <row r="9916" spans="1:10">
      <c r="A9916" s="7" t="s">
        <v>9949</v>
      </c>
      <c r="B9916" s="7" t="s">
        <v>11783</v>
      </c>
      <c r="C9916" s="8">
        <f>QS.CONTEXT.CREATE("market.9914",A9916,"USD","SOFR")</f>
        <v/>
      </c>
      <c r="D9916" s="8">
        <f>QS.CONTEXT.ADD.CURVE(C9916,"SOFR",$K$2:$K$7,$L$2:$L$7,,,"Actual360","LogLinear",TRUE)</f>
        <v/>
      </c>
      <c r="E9916" s="8">
        <f>QS.INSTRUMENT.SWAP("swap.9914",C9916,H9916,B9916,"USD","SOFR",I9916,J9916,0,"Actual360","Simple","Annual","Annual","Annual")</f>
        <v/>
      </c>
      <c r="F9916" s="8">
        <f>QS.TRADE.CREATE("trade.9914",C9916,E9916,A9916,"Receive")</f>
        <v/>
      </c>
      <c r="G9916" s="5"/>
      <c r="H9916" s="7" t="s">
        <v>9957</v>
      </c>
      <c r="I9916" s="9">
        <v>1991400</v>
      </c>
      <c r="J9916" s="10">
        <v>0.0364</v>
      </c>
    </row>
    <row r="9917" spans="1:10">
      <c r="A9917" s="7" t="s">
        <v>9950</v>
      </c>
      <c r="B9917" s="7" t="s">
        <v>11784</v>
      </c>
      <c r="C9917" s="8">
        <f>QS.CONTEXT.CREATE("market.9915",A9917,"USD","SOFR")</f>
        <v/>
      </c>
      <c r="D9917" s="8">
        <f>QS.CONTEXT.ADD.CURVE(C9917,"SOFR",$K$2:$K$7,$L$2:$L$7,,,"Actual360","LogLinear",TRUE)</f>
        <v/>
      </c>
      <c r="E9917" s="8">
        <f>QS.INSTRUMENT.SWAP("swap.9915",C9917,H9917,B9917,"USD","SOFR",I9917,J9917,0,"Actual360","Simple","Annual","Annual","Annual")</f>
        <v/>
      </c>
      <c r="F9917" s="8">
        <f>QS.TRADE.CREATE("trade.9915",C9917,E9917,A9917,"Receive")</f>
        <v/>
      </c>
      <c r="G9917" s="5"/>
      <c r="H9917" s="7" t="s">
        <v>9958</v>
      </c>
      <c r="I9917" s="9">
        <v>1991500</v>
      </c>
      <c r="J9917" s="10">
        <v>0.0365</v>
      </c>
    </row>
    <row r="9918" spans="1:10">
      <c r="A9918" s="7" t="s">
        <v>9951</v>
      </c>
      <c r="B9918" s="7" t="s">
        <v>11785</v>
      </c>
      <c r="C9918" s="8">
        <f>QS.CONTEXT.CREATE("market.9916",A9918,"USD","SOFR")</f>
        <v/>
      </c>
      <c r="D9918" s="8">
        <f>QS.CONTEXT.ADD.CURVE(C9918,"SOFR",$K$2:$K$7,$L$2:$L$7,,,"Actual360","LogLinear",TRUE)</f>
        <v/>
      </c>
      <c r="E9918" s="8">
        <f>QS.INSTRUMENT.SWAP("swap.9916",C9918,H9918,B9918,"USD","SOFR",I9918,J9918,0,"Actual360","Simple","Annual","Annual","Annual")</f>
        <v/>
      </c>
      <c r="F9918" s="8">
        <f>QS.TRADE.CREATE("trade.9916",C9918,E9918,A9918,"Receive")</f>
        <v/>
      </c>
      <c r="G9918" s="5"/>
      <c r="H9918" s="7" t="s">
        <v>9959</v>
      </c>
      <c r="I9918" s="9">
        <v>1991600</v>
      </c>
      <c r="J9918" s="10">
        <v>0.0366</v>
      </c>
    </row>
    <row r="9919" spans="1:10">
      <c r="A9919" s="7" t="s">
        <v>9952</v>
      </c>
      <c r="B9919" s="7" t="s">
        <v>11786</v>
      </c>
      <c r="C9919" s="8">
        <f>QS.CONTEXT.CREATE("market.9917",A9919,"USD","SOFR")</f>
        <v/>
      </c>
      <c r="D9919" s="8">
        <f>QS.CONTEXT.ADD.CURVE(C9919,"SOFR",$K$2:$K$7,$L$2:$L$7,,,"Actual360","LogLinear",TRUE)</f>
        <v/>
      </c>
      <c r="E9919" s="8">
        <f>QS.INSTRUMENT.SWAP("swap.9917",C9919,H9919,B9919,"USD","SOFR",I9919,J9919,0,"Actual360","Simple","Annual","Annual","Annual")</f>
        <v/>
      </c>
      <c r="F9919" s="8">
        <f>QS.TRADE.CREATE("trade.9917",C9919,E9919,A9919,"Receive")</f>
        <v/>
      </c>
      <c r="G9919" s="5"/>
      <c r="H9919" s="7" t="s">
        <v>9960</v>
      </c>
      <c r="I9919" s="9">
        <v>1991700</v>
      </c>
      <c r="J9919" s="10">
        <v>0.0367</v>
      </c>
    </row>
    <row r="9920" spans="1:10">
      <c r="A9920" s="7" t="s">
        <v>9953</v>
      </c>
      <c r="B9920" s="7" t="s">
        <v>11787</v>
      </c>
      <c r="C9920" s="8">
        <f>QS.CONTEXT.CREATE("market.9918",A9920,"USD","SOFR")</f>
        <v/>
      </c>
      <c r="D9920" s="8">
        <f>QS.CONTEXT.ADD.CURVE(C9920,"SOFR",$K$2:$K$7,$L$2:$L$7,,,"Actual360","LogLinear",TRUE)</f>
        <v/>
      </c>
      <c r="E9920" s="8">
        <f>QS.INSTRUMENT.SWAP("swap.9918",C9920,H9920,B9920,"USD","SOFR",I9920,J9920,0,"Actual360","Simple","Annual","Annual","Annual")</f>
        <v/>
      </c>
      <c r="F9920" s="8">
        <f>QS.TRADE.CREATE("trade.9918",C9920,E9920,A9920,"Receive")</f>
        <v/>
      </c>
      <c r="G9920" s="5"/>
      <c r="H9920" s="7" t="s">
        <v>9961</v>
      </c>
      <c r="I9920" s="9">
        <v>1991800</v>
      </c>
      <c r="J9920" s="10">
        <v>0.03680000000000001</v>
      </c>
    </row>
    <row r="9921" spans="1:10">
      <c r="A9921" s="7" t="s">
        <v>9954</v>
      </c>
      <c r="B9921" s="7" t="s">
        <v>11788</v>
      </c>
      <c r="C9921" s="8">
        <f>QS.CONTEXT.CREATE("market.9919",A9921,"USD","SOFR")</f>
        <v/>
      </c>
      <c r="D9921" s="8">
        <f>QS.CONTEXT.ADD.CURVE(C9921,"SOFR",$K$2:$K$7,$L$2:$L$7,,,"Actual360","LogLinear",TRUE)</f>
        <v/>
      </c>
      <c r="E9921" s="8">
        <f>QS.INSTRUMENT.SWAP("swap.9919",C9921,H9921,B9921,"USD","SOFR",I9921,J9921,0,"Actual360","Simple","Annual","Annual","Annual")</f>
        <v/>
      </c>
      <c r="F9921" s="8">
        <f>QS.TRADE.CREATE("trade.9919",C9921,E9921,A9921,"Receive")</f>
        <v/>
      </c>
      <c r="G9921" s="5"/>
      <c r="H9921" s="7" t="s">
        <v>9962</v>
      </c>
      <c r="I9921" s="9">
        <v>1991900</v>
      </c>
      <c r="J9921" s="10">
        <v>0.0369</v>
      </c>
    </row>
    <row r="9922" spans="1:10">
      <c r="A9922" s="7" t="s">
        <v>9955</v>
      </c>
      <c r="B9922" s="7" t="s">
        <v>11789</v>
      </c>
      <c r="C9922" s="8">
        <f>QS.CONTEXT.CREATE("market.9920",A9922,"USD","SOFR")</f>
        <v/>
      </c>
      <c r="D9922" s="8">
        <f>QS.CONTEXT.ADD.CURVE(C9922,"SOFR",$K$2:$K$7,$L$2:$L$7,,,"Actual360","LogLinear",TRUE)</f>
        <v/>
      </c>
      <c r="E9922" s="8">
        <f>QS.INSTRUMENT.SWAP("swap.9920",C9922,H9922,B9922,"USD","SOFR",I9922,J9922,0,"Actual360","Simple","Annual","Annual","Annual")</f>
        <v/>
      </c>
      <c r="F9922" s="8">
        <f>QS.TRADE.CREATE("trade.9920",C9922,E9922,A9922,"Receive")</f>
        <v/>
      </c>
      <c r="G9922" s="5"/>
      <c r="H9922" s="7" t="s">
        <v>9963</v>
      </c>
      <c r="I9922" s="9">
        <v>1992000</v>
      </c>
      <c r="J9922" s="10">
        <v>0.03700000000000001</v>
      </c>
    </row>
    <row r="9923" spans="1:10">
      <c r="A9923" s="7" t="s">
        <v>9957</v>
      </c>
      <c r="B9923" s="7" t="s">
        <v>11790</v>
      </c>
      <c r="C9923" s="8">
        <f>QS.CONTEXT.CREATE("market.9921",A9923,"USD","SOFR")</f>
        <v/>
      </c>
      <c r="D9923" s="8">
        <f>QS.CONTEXT.ADD.CURVE(C9923,"SOFR",$K$2:$K$7,$L$2:$L$7,,,"Actual360","LogLinear",TRUE)</f>
        <v/>
      </c>
      <c r="E9923" s="8">
        <f>QS.INSTRUMENT.SWAP("swap.9921",C9923,H9923,B9923,"USD","SOFR",I9923,J9923,0,"Actual360","Simple","Annual","Annual","Annual")</f>
        <v/>
      </c>
      <c r="F9923" s="8">
        <f>QS.TRADE.CREATE("trade.9921",C9923,E9923,A9923,"Receive")</f>
        <v/>
      </c>
      <c r="G9923" s="5"/>
      <c r="H9923" s="7" t="s">
        <v>9964</v>
      </c>
      <c r="I9923" s="9">
        <v>1992100</v>
      </c>
      <c r="J9923" s="10">
        <v>0.0371</v>
      </c>
    </row>
    <row r="9924" spans="1:10">
      <c r="A9924" s="7" t="s">
        <v>9958</v>
      </c>
      <c r="B9924" s="7" t="s">
        <v>11791</v>
      </c>
      <c r="C9924" s="8">
        <f>QS.CONTEXT.CREATE("market.9922",A9924,"USD","SOFR")</f>
        <v/>
      </c>
      <c r="D9924" s="8">
        <f>QS.CONTEXT.ADD.CURVE(C9924,"SOFR",$K$2:$K$7,$L$2:$L$7,,,"Actual360","LogLinear",TRUE)</f>
        <v/>
      </c>
      <c r="E9924" s="8">
        <f>QS.INSTRUMENT.SWAP("swap.9922",C9924,H9924,B9924,"USD","SOFR",I9924,J9924,0,"Actual360","Simple","Annual","Annual","Annual")</f>
        <v/>
      </c>
      <c r="F9924" s="8">
        <f>QS.TRADE.CREATE("trade.9922",C9924,E9924,A9924,"Receive")</f>
        <v/>
      </c>
      <c r="G9924" s="5"/>
      <c r="H9924" s="7" t="s">
        <v>9965</v>
      </c>
      <c r="I9924" s="9">
        <v>1992200</v>
      </c>
      <c r="J9924" s="10">
        <v>0.0372</v>
      </c>
    </row>
    <row r="9925" spans="1:10">
      <c r="A9925" s="7" t="s">
        <v>9959</v>
      </c>
      <c r="B9925" s="7" t="s">
        <v>11792</v>
      </c>
      <c r="C9925" s="8">
        <f>QS.CONTEXT.CREATE("market.9923",A9925,"USD","SOFR")</f>
        <v/>
      </c>
      <c r="D9925" s="8">
        <f>QS.CONTEXT.ADD.CURVE(C9925,"SOFR",$K$2:$K$7,$L$2:$L$7,,,"Actual360","LogLinear",TRUE)</f>
        <v/>
      </c>
      <c r="E9925" s="8">
        <f>QS.INSTRUMENT.SWAP("swap.9923",C9925,H9925,B9925,"USD","SOFR",I9925,J9925,0,"Actual360","Simple","Annual","Annual","Annual")</f>
        <v/>
      </c>
      <c r="F9925" s="8">
        <f>QS.TRADE.CREATE("trade.9923",C9925,E9925,A9925,"Receive")</f>
        <v/>
      </c>
      <c r="G9925" s="5"/>
      <c r="H9925" s="7" t="s">
        <v>9966</v>
      </c>
      <c r="I9925" s="9">
        <v>1992300</v>
      </c>
      <c r="J9925" s="10">
        <v>0.0373</v>
      </c>
    </row>
    <row r="9926" spans="1:10">
      <c r="A9926" s="7" t="s">
        <v>9960</v>
      </c>
      <c r="B9926" s="7" t="s">
        <v>11793</v>
      </c>
      <c r="C9926" s="8">
        <f>QS.CONTEXT.CREATE("market.9924",A9926,"USD","SOFR")</f>
        <v/>
      </c>
      <c r="D9926" s="8">
        <f>QS.CONTEXT.ADD.CURVE(C9926,"SOFR",$K$2:$K$7,$L$2:$L$7,,,"Actual360","LogLinear",TRUE)</f>
        <v/>
      </c>
      <c r="E9926" s="8">
        <f>QS.INSTRUMENT.SWAP("swap.9924",C9926,H9926,B9926,"USD","SOFR",I9926,J9926,0,"Actual360","Simple","Annual","Annual","Annual")</f>
        <v/>
      </c>
      <c r="F9926" s="8">
        <f>QS.TRADE.CREATE("trade.9924",C9926,E9926,A9926,"Receive")</f>
        <v/>
      </c>
      <c r="G9926" s="5"/>
      <c r="H9926" s="7" t="s">
        <v>9967</v>
      </c>
      <c r="I9926" s="9">
        <v>1992400</v>
      </c>
      <c r="J9926" s="10">
        <v>0.0374</v>
      </c>
    </row>
    <row r="9927" spans="1:10">
      <c r="A9927" s="7" t="s">
        <v>9961</v>
      </c>
      <c r="B9927" s="7" t="s">
        <v>11794</v>
      </c>
      <c r="C9927" s="8">
        <f>QS.CONTEXT.CREATE("market.9925",A9927,"USD","SOFR")</f>
        <v/>
      </c>
      <c r="D9927" s="8">
        <f>QS.CONTEXT.ADD.CURVE(C9927,"SOFR",$K$2:$K$7,$L$2:$L$7,,,"Actual360","LogLinear",TRUE)</f>
        <v/>
      </c>
      <c r="E9927" s="8">
        <f>QS.INSTRUMENT.SWAP("swap.9925",C9927,H9927,B9927,"USD","SOFR",I9927,J9927,0,"Actual360","Simple","Annual","Annual","Annual")</f>
        <v/>
      </c>
      <c r="F9927" s="8">
        <f>QS.TRADE.CREATE("trade.9925",C9927,E9927,A9927,"Receive")</f>
        <v/>
      </c>
      <c r="G9927" s="5"/>
      <c r="H9927" s="7" t="s">
        <v>9968</v>
      </c>
      <c r="I9927" s="9">
        <v>1992500</v>
      </c>
      <c r="J9927" s="10">
        <v>0.03750000000000001</v>
      </c>
    </row>
    <row r="9928" spans="1:10">
      <c r="A9928" s="7" t="s">
        <v>9962</v>
      </c>
      <c r="B9928" s="7" t="s">
        <v>11795</v>
      </c>
      <c r="C9928" s="8">
        <f>QS.CONTEXT.CREATE("market.9926",A9928,"USD","SOFR")</f>
        <v/>
      </c>
      <c r="D9928" s="8">
        <f>QS.CONTEXT.ADD.CURVE(C9928,"SOFR",$K$2:$K$7,$L$2:$L$7,,,"Actual360","LogLinear",TRUE)</f>
        <v/>
      </c>
      <c r="E9928" s="8">
        <f>QS.INSTRUMENT.SWAP("swap.9926",C9928,H9928,B9928,"USD","SOFR",I9928,J9928,0,"Actual360","Simple","Annual","Annual","Annual")</f>
        <v/>
      </c>
      <c r="F9928" s="8">
        <f>QS.TRADE.CREATE("trade.9926",C9928,E9928,A9928,"Receive")</f>
        <v/>
      </c>
      <c r="G9928" s="5"/>
      <c r="H9928" s="7" t="s">
        <v>9969</v>
      </c>
      <c r="I9928" s="9">
        <v>1992600</v>
      </c>
      <c r="J9928" s="10">
        <v>0.0376</v>
      </c>
    </row>
    <row r="9929" spans="1:10">
      <c r="A9929" s="7" t="s">
        <v>9963</v>
      </c>
      <c r="B9929" s="7" t="s">
        <v>11796</v>
      </c>
      <c r="C9929" s="8">
        <f>QS.CONTEXT.CREATE("market.9927",A9929,"USD","SOFR")</f>
        <v/>
      </c>
      <c r="D9929" s="8">
        <f>QS.CONTEXT.ADD.CURVE(C9929,"SOFR",$K$2:$K$7,$L$2:$L$7,,,"Actual360","LogLinear",TRUE)</f>
        <v/>
      </c>
      <c r="E9929" s="8">
        <f>QS.INSTRUMENT.SWAP("swap.9927",C9929,H9929,B9929,"USD","SOFR",I9929,J9929,0,"Actual360","Simple","Annual","Annual","Annual")</f>
        <v/>
      </c>
      <c r="F9929" s="8">
        <f>QS.TRADE.CREATE("trade.9927",C9929,E9929,A9929,"Receive")</f>
        <v/>
      </c>
      <c r="G9929" s="5"/>
      <c r="H9929" s="7" t="s">
        <v>9970</v>
      </c>
      <c r="I9929" s="9">
        <v>1992700</v>
      </c>
      <c r="J9929" s="10">
        <v>0.0377</v>
      </c>
    </row>
    <row r="9930" spans="1:10">
      <c r="A9930" s="7" t="s">
        <v>9964</v>
      </c>
      <c r="B9930" s="7" t="s">
        <v>11797</v>
      </c>
      <c r="C9930" s="8">
        <f>QS.CONTEXT.CREATE("market.9928",A9930,"USD","SOFR")</f>
        <v/>
      </c>
      <c r="D9930" s="8">
        <f>QS.CONTEXT.ADD.CURVE(C9930,"SOFR",$K$2:$K$7,$L$2:$L$7,,,"Actual360","LogLinear",TRUE)</f>
        <v/>
      </c>
      <c r="E9930" s="8">
        <f>QS.INSTRUMENT.SWAP("swap.9928",C9930,H9930,B9930,"USD","SOFR",I9930,J9930,0,"Actual360","Simple","Annual","Annual","Annual")</f>
        <v/>
      </c>
      <c r="F9930" s="8">
        <f>QS.TRADE.CREATE("trade.9928",C9930,E9930,A9930,"Receive")</f>
        <v/>
      </c>
      <c r="G9930" s="5"/>
      <c r="H9930" s="7" t="s">
        <v>9971</v>
      </c>
      <c r="I9930" s="9">
        <v>1992800</v>
      </c>
      <c r="J9930" s="10">
        <v>0.0378</v>
      </c>
    </row>
    <row r="9931" spans="1:10">
      <c r="A9931" s="7" t="s">
        <v>9965</v>
      </c>
      <c r="B9931" s="7" t="s">
        <v>11798</v>
      </c>
      <c r="C9931" s="8">
        <f>QS.CONTEXT.CREATE("market.9929",A9931,"USD","SOFR")</f>
        <v/>
      </c>
      <c r="D9931" s="8">
        <f>QS.CONTEXT.ADD.CURVE(C9931,"SOFR",$K$2:$K$7,$L$2:$L$7,,,"Actual360","LogLinear",TRUE)</f>
        <v/>
      </c>
      <c r="E9931" s="8">
        <f>QS.INSTRUMENT.SWAP("swap.9929",C9931,H9931,B9931,"USD","SOFR",I9931,J9931,0,"Actual360","Simple","Annual","Annual","Annual")</f>
        <v/>
      </c>
      <c r="F9931" s="8">
        <f>QS.TRADE.CREATE("trade.9929",C9931,E9931,A9931,"Receive")</f>
        <v/>
      </c>
      <c r="G9931" s="5"/>
      <c r="H9931" s="7" t="s">
        <v>9972</v>
      </c>
      <c r="I9931" s="9">
        <v>1992900</v>
      </c>
      <c r="J9931" s="10">
        <v>0.0379</v>
      </c>
    </row>
    <row r="9932" spans="1:10">
      <c r="A9932" s="7" t="s">
        <v>9966</v>
      </c>
      <c r="B9932" s="7" t="s">
        <v>11799</v>
      </c>
      <c r="C9932" s="8">
        <f>QS.CONTEXT.CREATE("market.9930",A9932,"USD","SOFR")</f>
        <v/>
      </c>
      <c r="D9932" s="8">
        <f>QS.CONTEXT.ADD.CURVE(C9932,"SOFR",$K$2:$K$7,$L$2:$L$7,,,"Actual360","LogLinear",TRUE)</f>
        <v/>
      </c>
      <c r="E9932" s="8">
        <f>QS.INSTRUMENT.SWAP("swap.9930",C9932,H9932,B9932,"USD","SOFR",I9932,J9932,0,"Actual360","Simple","Annual","Annual","Annual")</f>
        <v/>
      </c>
      <c r="F9932" s="8">
        <f>QS.TRADE.CREATE("trade.9930",C9932,E9932,A9932,"Receive")</f>
        <v/>
      </c>
      <c r="G9932" s="5"/>
      <c r="H9932" s="7" t="s">
        <v>9973</v>
      </c>
      <c r="I9932" s="9">
        <v>1993000</v>
      </c>
      <c r="J9932" s="10">
        <v>0.03800000000000001</v>
      </c>
    </row>
    <row r="9933" spans="1:10">
      <c r="A9933" s="7" t="s">
        <v>9967</v>
      </c>
      <c r="B9933" s="7" t="s">
        <v>11800</v>
      </c>
      <c r="C9933" s="8">
        <f>QS.CONTEXT.CREATE("market.9931",A9933,"USD","SOFR")</f>
        <v/>
      </c>
      <c r="D9933" s="8">
        <f>QS.CONTEXT.ADD.CURVE(C9933,"SOFR",$K$2:$K$7,$L$2:$L$7,,,"Actual360","LogLinear",TRUE)</f>
        <v/>
      </c>
      <c r="E9933" s="8">
        <f>QS.INSTRUMENT.SWAP("swap.9931",C9933,H9933,B9933,"USD","SOFR",I9933,J9933,0,"Actual360","Simple","Annual","Annual","Annual")</f>
        <v/>
      </c>
      <c r="F9933" s="8">
        <f>QS.TRADE.CREATE("trade.9931",C9933,E9933,A9933,"Receive")</f>
        <v/>
      </c>
      <c r="G9933" s="5"/>
      <c r="H9933" s="7" t="s">
        <v>9974</v>
      </c>
      <c r="I9933" s="9">
        <v>1993100</v>
      </c>
      <c r="J9933" s="10">
        <v>0.0381</v>
      </c>
    </row>
    <row r="9934" spans="1:10">
      <c r="A9934" s="7" t="s">
        <v>9968</v>
      </c>
      <c r="B9934" s="7" t="s">
        <v>11801</v>
      </c>
      <c r="C9934" s="8">
        <f>QS.CONTEXT.CREATE("market.9932",A9934,"USD","SOFR")</f>
        <v/>
      </c>
      <c r="D9934" s="8">
        <f>QS.CONTEXT.ADD.CURVE(C9934,"SOFR",$K$2:$K$7,$L$2:$L$7,,,"Actual360","LogLinear",TRUE)</f>
        <v/>
      </c>
      <c r="E9934" s="8">
        <f>QS.INSTRUMENT.SWAP("swap.9932",C9934,H9934,B9934,"USD","SOFR",I9934,J9934,0,"Actual360","Simple","Annual","Annual","Annual")</f>
        <v/>
      </c>
      <c r="F9934" s="8">
        <f>QS.TRADE.CREATE("trade.9932",C9934,E9934,A9934,"Receive")</f>
        <v/>
      </c>
      <c r="G9934" s="5"/>
      <c r="H9934" s="7" t="s">
        <v>9975</v>
      </c>
      <c r="I9934" s="9">
        <v>1993200</v>
      </c>
      <c r="J9934" s="10">
        <v>0.0382</v>
      </c>
    </row>
    <row r="9935" spans="1:10">
      <c r="A9935" s="7" t="s">
        <v>9969</v>
      </c>
      <c r="B9935" s="7" t="s">
        <v>11802</v>
      </c>
      <c r="C9935" s="8">
        <f>QS.CONTEXT.CREATE("market.9933",A9935,"USD","SOFR")</f>
        <v/>
      </c>
      <c r="D9935" s="8">
        <f>QS.CONTEXT.ADD.CURVE(C9935,"SOFR",$K$2:$K$7,$L$2:$L$7,,,"Actual360","LogLinear",TRUE)</f>
        <v/>
      </c>
      <c r="E9935" s="8">
        <f>QS.INSTRUMENT.SWAP("swap.9933",C9935,H9935,B9935,"USD","SOFR",I9935,J9935,0,"Actual360","Simple","Annual","Annual","Annual")</f>
        <v/>
      </c>
      <c r="F9935" s="8">
        <f>QS.TRADE.CREATE("trade.9933",C9935,E9935,A9935,"Receive")</f>
        <v/>
      </c>
      <c r="G9935" s="5"/>
      <c r="H9935" s="7" t="s">
        <v>9976</v>
      </c>
      <c r="I9935" s="9">
        <v>1993300</v>
      </c>
      <c r="J9935" s="10">
        <v>0.0383</v>
      </c>
    </row>
    <row r="9936" spans="1:10">
      <c r="A9936" s="7" t="s">
        <v>9970</v>
      </c>
      <c r="B9936" s="7" t="s">
        <v>11803</v>
      </c>
      <c r="C9936" s="8">
        <f>QS.CONTEXT.CREATE("market.9934",A9936,"USD","SOFR")</f>
        <v/>
      </c>
      <c r="D9936" s="8">
        <f>QS.CONTEXT.ADD.CURVE(C9936,"SOFR",$K$2:$K$7,$L$2:$L$7,,,"Actual360","LogLinear",TRUE)</f>
        <v/>
      </c>
      <c r="E9936" s="8">
        <f>QS.INSTRUMENT.SWAP("swap.9934",C9936,H9936,B9936,"USD","SOFR",I9936,J9936,0,"Actual360","Simple","Annual","Annual","Annual")</f>
        <v/>
      </c>
      <c r="F9936" s="8">
        <f>QS.TRADE.CREATE("trade.9934",C9936,E9936,A9936,"Receive")</f>
        <v/>
      </c>
      <c r="G9936" s="5"/>
      <c r="H9936" s="7" t="s">
        <v>9977</v>
      </c>
      <c r="I9936" s="9">
        <v>1993400</v>
      </c>
      <c r="J9936" s="10">
        <v>0.0384</v>
      </c>
    </row>
    <row r="9937" spans="1:10">
      <c r="A9937" s="7" t="s">
        <v>9971</v>
      </c>
      <c r="B9937" s="7" t="s">
        <v>11804</v>
      </c>
      <c r="C9937" s="8">
        <f>QS.CONTEXT.CREATE("market.9935",A9937,"USD","SOFR")</f>
        <v/>
      </c>
      <c r="D9937" s="8">
        <f>QS.CONTEXT.ADD.CURVE(C9937,"SOFR",$K$2:$K$7,$L$2:$L$7,,,"Actual360","LogLinear",TRUE)</f>
        <v/>
      </c>
      <c r="E9937" s="8">
        <f>QS.INSTRUMENT.SWAP("swap.9935",C9937,H9937,B9937,"USD","SOFR",I9937,J9937,0,"Actual360","Simple","Annual","Annual","Annual")</f>
        <v/>
      </c>
      <c r="F9937" s="8">
        <f>QS.TRADE.CREATE("trade.9935",C9937,E9937,A9937,"Receive")</f>
        <v/>
      </c>
      <c r="G9937" s="5"/>
      <c r="H9937" s="7" t="s">
        <v>9978</v>
      </c>
      <c r="I9937" s="9">
        <v>1993500</v>
      </c>
      <c r="J9937" s="10">
        <v>0.03850000000000001</v>
      </c>
    </row>
    <row r="9938" spans="1:10">
      <c r="A9938" s="7" t="s">
        <v>9972</v>
      </c>
      <c r="B9938" s="7" t="s">
        <v>11805</v>
      </c>
      <c r="C9938" s="8">
        <f>QS.CONTEXT.CREATE("market.9936",A9938,"USD","SOFR")</f>
        <v/>
      </c>
      <c r="D9938" s="8">
        <f>QS.CONTEXT.ADD.CURVE(C9938,"SOFR",$K$2:$K$7,$L$2:$L$7,,,"Actual360","LogLinear",TRUE)</f>
        <v/>
      </c>
      <c r="E9938" s="8">
        <f>QS.INSTRUMENT.SWAP("swap.9936",C9938,H9938,B9938,"USD","SOFR",I9938,J9938,0,"Actual360","Simple","Annual","Annual","Annual")</f>
        <v/>
      </c>
      <c r="F9938" s="8">
        <f>QS.TRADE.CREATE("trade.9936",C9938,E9938,A9938,"Receive")</f>
        <v/>
      </c>
      <c r="G9938" s="5"/>
      <c r="H9938" s="7" t="s">
        <v>9979</v>
      </c>
      <c r="I9938" s="9">
        <v>1993600</v>
      </c>
      <c r="J9938" s="10">
        <v>0.0386</v>
      </c>
    </row>
    <row r="9939" spans="1:10">
      <c r="A9939" s="7" t="s">
        <v>9973</v>
      </c>
      <c r="B9939" s="7" t="s">
        <v>11806</v>
      </c>
      <c r="C9939" s="8">
        <f>QS.CONTEXT.CREATE("market.9937",A9939,"USD","SOFR")</f>
        <v/>
      </c>
      <c r="D9939" s="8">
        <f>QS.CONTEXT.ADD.CURVE(C9939,"SOFR",$K$2:$K$7,$L$2:$L$7,,,"Actual360","LogLinear",TRUE)</f>
        <v/>
      </c>
      <c r="E9939" s="8">
        <f>QS.INSTRUMENT.SWAP("swap.9937",C9939,H9939,B9939,"USD","SOFR",I9939,J9939,0,"Actual360","Simple","Annual","Annual","Annual")</f>
        <v/>
      </c>
      <c r="F9939" s="8">
        <f>QS.TRADE.CREATE("trade.9937",C9939,E9939,A9939,"Receive")</f>
        <v/>
      </c>
      <c r="G9939" s="5"/>
      <c r="H9939" s="7" t="s">
        <v>9980</v>
      </c>
      <c r="I9939" s="9">
        <v>1993700</v>
      </c>
      <c r="J9939" s="10">
        <v>0.03870000000000001</v>
      </c>
    </row>
    <row r="9940" spans="1:10">
      <c r="A9940" s="7" t="s">
        <v>9974</v>
      </c>
      <c r="B9940" s="7" t="s">
        <v>11807</v>
      </c>
      <c r="C9940" s="8">
        <f>QS.CONTEXT.CREATE("market.9938",A9940,"USD","SOFR")</f>
        <v/>
      </c>
      <c r="D9940" s="8">
        <f>QS.CONTEXT.ADD.CURVE(C9940,"SOFR",$K$2:$K$7,$L$2:$L$7,,,"Actual360","LogLinear",TRUE)</f>
        <v/>
      </c>
      <c r="E9940" s="8">
        <f>QS.INSTRUMENT.SWAP("swap.9938",C9940,H9940,B9940,"USD","SOFR",I9940,J9940,0,"Actual360","Simple","Annual","Annual","Annual")</f>
        <v/>
      </c>
      <c r="F9940" s="8">
        <f>QS.TRADE.CREATE("trade.9938",C9940,E9940,A9940,"Receive")</f>
        <v/>
      </c>
      <c r="G9940" s="5"/>
      <c r="H9940" s="7" t="s">
        <v>9981</v>
      </c>
      <c r="I9940" s="9">
        <v>1993800</v>
      </c>
      <c r="J9940" s="10">
        <v>0.0388</v>
      </c>
    </row>
    <row r="9941" spans="1:10">
      <c r="A9941" s="7" t="s">
        <v>9975</v>
      </c>
      <c r="B9941" s="7" t="s">
        <v>11808</v>
      </c>
      <c r="C9941" s="8">
        <f>QS.CONTEXT.CREATE("market.9939",A9941,"USD","SOFR")</f>
        <v/>
      </c>
      <c r="D9941" s="8">
        <f>QS.CONTEXT.ADD.CURVE(C9941,"SOFR",$K$2:$K$7,$L$2:$L$7,,,"Actual360","LogLinear",TRUE)</f>
        <v/>
      </c>
      <c r="E9941" s="8">
        <f>QS.INSTRUMENT.SWAP("swap.9939",C9941,H9941,B9941,"USD","SOFR",I9941,J9941,0,"Actual360","Simple","Annual","Annual","Annual")</f>
        <v/>
      </c>
      <c r="F9941" s="8">
        <f>QS.TRADE.CREATE("trade.9939",C9941,E9941,A9941,"Receive")</f>
        <v/>
      </c>
      <c r="G9941" s="5"/>
      <c r="H9941" s="7" t="s">
        <v>9982</v>
      </c>
      <c r="I9941" s="9">
        <v>1993900</v>
      </c>
      <c r="J9941" s="10">
        <v>0.0389</v>
      </c>
    </row>
    <row r="9942" spans="1:10">
      <c r="A9942" s="7" t="s">
        <v>9976</v>
      </c>
      <c r="B9942" s="7" t="s">
        <v>11809</v>
      </c>
      <c r="C9942" s="8">
        <f>QS.CONTEXT.CREATE("market.9940",A9942,"USD","SOFR")</f>
        <v/>
      </c>
      <c r="D9942" s="8">
        <f>QS.CONTEXT.ADD.CURVE(C9942,"SOFR",$K$2:$K$7,$L$2:$L$7,,,"Actual360","LogLinear",TRUE)</f>
        <v/>
      </c>
      <c r="E9942" s="8">
        <f>QS.INSTRUMENT.SWAP("swap.9940",C9942,H9942,B9942,"USD","SOFR",I9942,J9942,0,"Actual360","Simple","Annual","Annual","Annual")</f>
        <v/>
      </c>
      <c r="F9942" s="8">
        <f>QS.TRADE.CREATE("trade.9940",C9942,E9942,A9942,"Receive")</f>
        <v/>
      </c>
      <c r="G9942" s="5"/>
      <c r="H9942" s="7" t="s">
        <v>9983</v>
      </c>
      <c r="I9942" s="9">
        <v>1994000</v>
      </c>
      <c r="J9942" s="10">
        <v>0.03900000000000001</v>
      </c>
    </row>
    <row r="9943" spans="1:10">
      <c r="A9943" s="7" t="s">
        <v>9977</v>
      </c>
      <c r="B9943" s="7" t="s">
        <v>11810</v>
      </c>
      <c r="C9943" s="8">
        <f>QS.CONTEXT.CREATE("market.9941",A9943,"USD","SOFR")</f>
        <v/>
      </c>
      <c r="D9943" s="8">
        <f>QS.CONTEXT.ADD.CURVE(C9943,"SOFR",$K$2:$K$7,$L$2:$L$7,,,"Actual360","LogLinear",TRUE)</f>
        <v/>
      </c>
      <c r="E9943" s="8">
        <f>QS.INSTRUMENT.SWAP("swap.9941",C9943,H9943,B9943,"USD","SOFR",I9943,J9943,0,"Actual360","Simple","Annual","Annual","Annual")</f>
        <v/>
      </c>
      <c r="F9943" s="8">
        <f>QS.TRADE.CREATE("trade.9941",C9943,E9943,A9943,"Receive")</f>
        <v/>
      </c>
      <c r="G9943" s="5"/>
      <c r="H9943" s="7" t="s">
        <v>9984</v>
      </c>
      <c r="I9943" s="9">
        <v>1994100</v>
      </c>
      <c r="J9943" s="10">
        <v>0.0391</v>
      </c>
    </row>
    <row r="9944" spans="1:10">
      <c r="A9944" s="7" t="s">
        <v>9978</v>
      </c>
      <c r="B9944" s="7" t="s">
        <v>11811</v>
      </c>
      <c r="C9944" s="8">
        <f>QS.CONTEXT.CREATE("market.9942",A9944,"USD","SOFR")</f>
        <v/>
      </c>
      <c r="D9944" s="8">
        <f>QS.CONTEXT.ADD.CURVE(C9944,"SOFR",$K$2:$K$7,$L$2:$L$7,,,"Actual360","LogLinear",TRUE)</f>
        <v/>
      </c>
      <c r="E9944" s="8">
        <f>QS.INSTRUMENT.SWAP("swap.9942",C9944,H9944,B9944,"USD","SOFR",I9944,J9944,0,"Actual360","Simple","Annual","Annual","Annual")</f>
        <v/>
      </c>
      <c r="F9944" s="8">
        <f>QS.TRADE.CREATE("trade.9942",C9944,E9944,A9944,"Receive")</f>
        <v/>
      </c>
      <c r="G9944" s="5"/>
      <c r="H9944" s="7" t="s">
        <v>9985</v>
      </c>
      <c r="I9944" s="9">
        <v>1994200</v>
      </c>
      <c r="J9944" s="10">
        <v>0.03920000000000001</v>
      </c>
    </row>
    <row r="9945" spans="1:10">
      <c r="A9945" s="7" t="s">
        <v>9979</v>
      </c>
      <c r="B9945" s="7" t="s">
        <v>11812</v>
      </c>
      <c r="C9945" s="8">
        <f>QS.CONTEXT.CREATE("market.9943",A9945,"USD","SOFR")</f>
        <v/>
      </c>
      <c r="D9945" s="8">
        <f>QS.CONTEXT.ADD.CURVE(C9945,"SOFR",$K$2:$K$7,$L$2:$L$7,,,"Actual360","LogLinear",TRUE)</f>
        <v/>
      </c>
      <c r="E9945" s="8">
        <f>QS.INSTRUMENT.SWAP("swap.9943",C9945,H9945,B9945,"USD","SOFR",I9945,J9945,0,"Actual360","Simple","Annual","Annual","Annual")</f>
        <v/>
      </c>
      <c r="F9945" s="8">
        <f>QS.TRADE.CREATE("trade.9943",C9945,E9945,A9945,"Receive")</f>
        <v/>
      </c>
      <c r="G9945" s="5"/>
      <c r="H9945" s="7" t="s">
        <v>9986</v>
      </c>
      <c r="I9945" s="9">
        <v>1994300</v>
      </c>
      <c r="J9945" s="10">
        <v>0.0393</v>
      </c>
    </row>
    <row r="9946" spans="1:10">
      <c r="A9946" s="7" t="s">
        <v>9980</v>
      </c>
      <c r="B9946" s="7" t="s">
        <v>11813</v>
      </c>
      <c r="C9946" s="8">
        <f>QS.CONTEXT.CREATE("market.9944",A9946,"USD","SOFR")</f>
        <v/>
      </c>
      <c r="D9946" s="8">
        <f>QS.CONTEXT.ADD.CURVE(C9946,"SOFR",$K$2:$K$7,$L$2:$L$7,,,"Actual360","LogLinear",TRUE)</f>
        <v/>
      </c>
      <c r="E9946" s="8">
        <f>QS.INSTRUMENT.SWAP("swap.9944",C9946,H9946,B9946,"USD","SOFR",I9946,J9946,0,"Actual360","Simple","Annual","Annual","Annual")</f>
        <v/>
      </c>
      <c r="F9946" s="8">
        <f>QS.TRADE.CREATE("trade.9944",C9946,E9946,A9946,"Receive")</f>
        <v/>
      </c>
      <c r="G9946" s="5"/>
      <c r="H9946" s="7" t="s">
        <v>9987</v>
      </c>
      <c r="I9946" s="9">
        <v>1994400</v>
      </c>
      <c r="J9946" s="10">
        <v>0.0394</v>
      </c>
    </row>
    <row r="9947" spans="1:10">
      <c r="A9947" s="7" t="s">
        <v>9981</v>
      </c>
      <c r="B9947" s="7" t="s">
        <v>11814</v>
      </c>
      <c r="C9947" s="8">
        <f>QS.CONTEXT.CREATE("market.9945",A9947,"USD","SOFR")</f>
        <v/>
      </c>
      <c r="D9947" s="8">
        <f>QS.CONTEXT.ADD.CURVE(C9947,"SOFR",$K$2:$K$7,$L$2:$L$7,,,"Actual360","LogLinear",TRUE)</f>
        <v/>
      </c>
      <c r="E9947" s="8">
        <f>QS.INSTRUMENT.SWAP("swap.9945",C9947,H9947,B9947,"USD","SOFR",I9947,J9947,0,"Actual360","Simple","Annual","Annual","Annual")</f>
        <v/>
      </c>
      <c r="F9947" s="8">
        <f>QS.TRADE.CREATE("trade.9945",C9947,E9947,A9947,"Receive")</f>
        <v/>
      </c>
      <c r="G9947" s="5"/>
      <c r="H9947" s="7" t="s">
        <v>9988</v>
      </c>
      <c r="I9947" s="9">
        <v>1994500</v>
      </c>
      <c r="J9947" s="10">
        <v>0.03950000000000001</v>
      </c>
    </row>
    <row r="9948" spans="1:10">
      <c r="A9948" s="7" t="s">
        <v>9982</v>
      </c>
      <c r="B9948" s="7" t="s">
        <v>11815</v>
      </c>
      <c r="C9948" s="8">
        <f>QS.CONTEXT.CREATE("market.9946",A9948,"USD","SOFR")</f>
        <v/>
      </c>
      <c r="D9948" s="8">
        <f>QS.CONTEXT.ADD.CURVE(C9948,"SOFR",$K$2:$K$7,$L$2:$L$7,,,"Actual360","LogLinear",TRUE)</f>
        <v/>
      </c>
      <c r="E9948" s="8">
        <f>QS.INSTRUMENT.SWAP("swap.9946",C9948,H9948,B9948,"USD","SOFR",I9948,J9948,0,"Actual360","Simple","Annual","Annual","Annual")</f>
        <v/>
      </c>
      <c r="F9948" s="8">
        <f>QS.TRADE.CREATE("trade.9946",C9948,E9948,A9948,"Receive")</f>
        <v/>
      </c>
      <c r="G9948" s="5"/>
      <c r="H9948" s="7" t="s">
        <v>9989</v>
      </c>
      <c r="I9948" s="9">
        <v>1994600</v>
      </c>
      <c r="J9948" s="10">
        <v>0.0396</v>
      </c>
    </row>
    <row r="9949" spans="1:10">
      <c r="A9949" s="7" t="s">
        <v>9983</v>
      </c>
      <c r="B9949" s="7" t="s">
        <v>11816</v>
      </c>
      <c r="C9949" s="8">
        <f>QS.CONTEXT.CREATE("market.9947",A9949,"USD","SOFR")</f>
        <v/>
      </c>
      <c r="D9949" s="8">
        <f>QS.CONTEXT.ADD.CURVE(C9949,"SOFR",$K$2:$K$7,$L$2:$L$7,,,"Actual360","LogLinear",TRUE)</f>
        <v/>
      </c>
      <c r="E9949" s="8">
        <f>QS.INSTRUMENT.SWAP("swap.9947",C9949,H9949,B9949,"USD","SOFR",I9949,J9949,0,"Actual360","Simple","Annual","Annual","Annual")</f>
        <v/>
      </c>
      <c r="F9949" s="8">
        <f>QS.TRADE.CREATE("trade.9947",C9949,E9949,A9949,"Receive")</f>
        <v/>
      </c>
      <c r="G9949" s="5"/>
      <c r="H9949" s="7" t="s">
        <v>9990</v>
      </c>
      <c r="I9949" s="9">
        <v>1994700</v>
      </c>
      <c r="J9949" s="10">
        <v>0.03970000000000001</v>
      </c>
    </row>
    <row r="9950" spans="1:10">
      <c r="A9950" s="7" t="s">
        <v>9984</v>
      </c>
      <c r="B9950" s="7" t="s">
        <v>11817</v>
      </c>
      <c r="C9950" s="8">
        <f>QS.CONTEXT.CREATE("market.9948",A9950,"USD","SOFR")</f>
        <v/>
      </c>
      <c r="D9950" s="8">
        <f>QS.CONTEXT.ADD.CURVE(C9950,"SOFR",$K$2:$K$7,$L$2:$L$7,,,"Actual360","LogLinear",TRUE)</f>
        <v/>
      </c>
      <c r="E9950" s="8">
        <f>QS.INSTRUMENT.SWAP("swap.9948",C9950,H9950,B9950,"USD","SOFR",I9950,J9950,0,"Actual360","Simple","Annual","Annual","Annual")</f>
        <v/>
      </c>
      <c r="F9950" s="8">
        <f>QS.TRADE.CREATE("trade.9948",C9950,E9950,A9950,"Receive")</f>
        <v/>
      </c>
      <c r="G9950" s="5"/>
      <c r="H9950" s="7" t="s">
        <v>9991</v>
      </c>
      <c r="I9950" s="9">
        <v>1994800</v>
      </c>
      <c r="J9950" s="10">
        <v>0.0398</v>
      </c>
    </row>
    <row r="9951" spans="1:10">
      <c r="A9951" s="7" t="s">
        <v>9985</v>
      </c>
      <c r="B9951" s="7" t="s">
        <v>11818</v>
      </c>
      <c r="C9951" s="8">
        <f>QS.CONTEXT.CREATE("market.9949",A9951,"USD","SOFR")</f>
        <v/>
      </c>
      <c r="D9951" s="8">
        <f>QS.CONTEXT.ADD.CURVE(C9951,"SOFR",$K$2:$K$7,$L$2:$L$7,,,"Actual360","LogLinear",TRUE)</f>
        <v/>
      </c>
      <c r="E9951" s="8">
        <f>QS.INSTRUMENT.SWAP("swap.9949",C9951,H9951,B9951,"USD","SOFR",I9951,J9951,0,"Actual360","Simple","Annual","Annual","Annual")</f>
        <v/>
      </c>
      <c r="F9951" s="8">
        <f>QS.TRADE.CREATE("trade.9949",C9951,E9951,A9951,"Receive")</f>
        <v/>
      </c>
      <c r="G9951" s="5"/>
      <c r="H9951" s="7" t="s">
        <v>9992</v>
      </c>
      <c r="I9951" s="9">
        <v>1994900</v>
      </c>
      <c r="J9951" s="10">
        <v>0.0399</v>
      </c>
    </row>
    <row r="9952" spans="1:10">
      <c r="A9952" s="7" t="s">
        <v>9986</v>
      </c>
      <c r="B9952" s="7" t="s">
        <v>11819</v>
      </c>
      <c r="C9952" s="8">
        <f>QS.CONTEXT.CREATE("market.9950",A9952,"USD","SOFR")</f>
        <v/>
      </c>
      <c r="D9952" s="8">
        <f>QS.CONTEXT.ADD.CURVE(C9952,"SOFR",$K$2:$K$7,$L$2:$L$7,,,"Actual360","LogLinear",TRUE)</f>
        <v/>
      </c>
      <c r="E9952" s="8">
        <f>QS.INSTRUMENT.SWAP("swap.9950",C9952,H9952,B9952,"USD","SOFR",I9952,J9952,0,"Actual360","Simple","Annual","Annual","Annual")</f>
        <v/>
      </c>
      <c r="F9952" s="8">
        <f>QS.TRADE.CREATE("trade.9950",C9952,E9952,A9952,"Receive")</f>
        <v/>
      </c>
      <c r="G9952" s="5"/>
      <c r="H9952" s="7" t="s">
        <v>9993</v>
      </c>
      <c r="I9952" s="9">
        <v>1995000</v>
      </c>
      <c r="J9952" s="10">
        <v>0.035</v>
      </c>
    </row>
    <row r="9953" spans="1:10">
      <c r="A9953" s="7" t="s">
        <v>9987</v>
      </c>
      <c r="B9953" s="7" t="s">
        <v>11820</v>
      </c>
      <c r="C9953" s="8">
        <f>QS.CONTEXT.CREATE("market.9951",A9953,"USD","SOFR")</f>
        <v/>
      </c>
      <c r="D9953" s="8">
        <f>QS.CONTEXT.ADD.CURVE(C9953,"SOFR",$K$2:$K$7,$L$2:$L$7,,,"Actual360","LogLinear",TRUE)</f>
        <v/>
      </c>
      <c r="E9953" s="8">
        <f>QS.INSTRUMENT.SWAP("swap.9951",C9953,H9953,B9953,"USD","SOFR",I9953,J9953,0,"Actual360","Simple","Annual","Annual","Annual")</f>
        <v/>
      </c>
      <c r="F9953" s="8">
        <f>QS.TRADE.CREATE("trade.9951",C9953,E9953,A9953,"Receive")</f>
        <v/>
      </c>
      <c r="G9953" s="5"/>
      <c r="H9953" s="7" t="s">
        <v>9994</v>
      </c>
      <c r="I9953" s="9">
        <v>1995100</v>
      </c>
      <c r="J9953" s="10">
        <v>0.03510000000000001</v>
      </c>
    </row>
    <row r="9954" spans="1:10">
      <c r="A9954" s="7" t="s">
        <v>9988</v>
      </c>
      <c r="B9954" s="7" t="s">
        <v>11821</v>
      </c>
      <c r="C9954" s="8">
        <f>QS.CONTEXT.CREATE("market.9952",A9954,"USD","SOFR")</f>
        <v/>
      </c>
      <c r="D9954" s="8">
        <f>QS.CONTEXT.ADD.CURVE(C9954,"SOFR",$K$2:$K$7,$L$2:$L$7,,,"Actual360","LogLinear",TRUE)</f>
        <v/>
      </c>
      <c r="E9954" s="8">
        <f>QS.INSTRUMENT.SWAP("swap.9952",C9954,H9954,B9954,"USD","SOFR",I9954,J9954,0,"Actual360","Simple","Annual","Annual","Annual")</f>
        <v/>
      </c>
      <c r="F9954" s="8">
        <f>QS.TRADE.CREATE("trade.9952",C9954,E9954,A9954,"Receive")</f>
        <v/>
      </c>
      <c r="G9954" s="5"/>
      <c r="H9954" s="7" t="s">
        <v>9995</v>
      </c>
      <c r="I9954" s="9">
        <v>1995200</v>
      </c>
      <c r="J9954" s="10">
        <v>0.0352</v>
      </c>
    </row>
    <row r="9955" spans="1:10">
      <c r="A9955" s="7" t="s">
        <v>9989</v>
      </c>
      <c r="B9955" s="7" t="s">
        <v>11822</v>
      </c>
      <c r="C9955" s="8">
        <f>QS.CONTEXT.CREATE("market.9953",A9955,"USD","SOFR")</f>
        <v/>
      </c>
      <c r="D9955" s="8">
        <f>QS.CONTEXT.ADD.CURVE(C9955,"SOFR",$K$2:$K$7,$L$2:$L$7,,,"Actual360","LogLinear",TRUE)</f>
        <v/>
      </c>
      <c r="E9955" s="8">
        <f>QS.INSTRUMENT.SWAP("swap.9953",C9955,H9955,B9955,"USD","SOFR",I9955,J9955,0,"Actual360","Simple","Annual","Annual","Annual")</f>
        <v/>
      </c>
      <c r="F9955" s="8">
        <f>QS.TRADE.CREATE("trade.9953",C9955,E9955,A9955,"Receive")</f>
        <v/>
      </c>
      <c r="G9955" s="5"/>
      <c r="H9955" s="7" t="s">
        <v>9996</v>
      </c>
      <c r="I9955" s="9">
        <v>1995300</v>
      </c>
      <c r="J9955" s="10">
        <v>0.0353</v>
      </c>
    </row>
    <row r="9956" spans="1:10">
      <c r="A9956" s="7" t="s">
        <v>9990</v>
      </c>
      <c r="B9956" s="7" t="s">
        <v>11823</v>
      </c>
      <c r="C9956" s="8">
        <f>QS.CONTEXT.CREATE("market.9954",A9956,"USD","SOFR")</f>
        <v/>
      </c>
      <c r="D9956" s="8">
        <f>QS.CONTEXT.ADD.CURVE(C9956,"SOFR",$K$2:$K$7,$L$2:$L$7,,,"Actual360","LogLinear",TRUE)</f>
        <v/>
      </c>
      <c r="E9956" s="8">
        <f>QS.INSTRUMENT.SWAP("swap.9954",C9956,H9956,B9956,"USD","SOFR",I9956,J9956,0,"Actual360","Simple","Annual","Annual","Annual")</f>
        <v/>
      </c>
      <c r="F9956" s="8">
        <f>QS.TRADE.CREATE("trade.9954",C9956,E9956,A9956,"Receive")</f>
        <v/>
      </c>
      <c r="G9956" s="5"/>
      <c r="H9956" s="7" t="s">
        <v>9997</v>
      </c>
      <c r="I9956" s="9">
        <v>1995400</v>
      </c>
      <c r="J9956" s="10">
        <v>0.0354</v>
      </c>
    </row>
    <row r="9957" spans="1:10">
      <c r="A9957" s="7" t="s">
        <v>9991</v>
      </c>
      <c r="B9957" s="7" t="s">
        <v>11824</v>
      </c>
      <c r="C9957" s="8">
        <f>QS.CONTEXT.CREATE("market.9955",A9957,"USD","SOFR")</f>
        <v/>
      </c>
      <c r="D9957" s="8">
        <f>QS.CONTEXT.ADD.CURVE(C9957,"SOFR",$K$2:$K$7,$L$2:$L$7,,,"Actual360","LogLinear",TRUE)</f>
        <v/>
      </c>
      <c r="E9957" s="8">
        <f>QS.INSTRUMENT.SWAP("swap.9955",C9957,H9957,B9957,"USD","SOFR",I9957,J9957,0,"Actual360","Simple","Annual","Annual","Annual")</f>
        <v/>
      </c>
      <c r="F9957" s="8">
        <f>QS.TRADE.CREATE("trade.9955",C9957,E9957,A9957,"Receive")</f>
        <v/>
      </c>
      <c r="G9957" s="5"/>
      <c r="H9957" s="7" t="s">
        <v>9998</v>
      </c>
      <c r="I9957" s="9">
        <v>1995500</v>
      </c>
      <c r="J9957" s="10">
        <v>0.0355</v>
      </c>
    </row>
    <row r="9958" spans="1:10">
      <c r="A9958" s="7" t="s">
        <v>9992</v>
      </c>
      <c r="B9958" s="7" t="s">
        <v>11825</v>
      </c>
      <c r="C9958" s="8">
        <f>QS.CONTEXT.CREATE("market.9956",A9958,"USD","SOFR")</f>
        <v/>
      </c>
      <c r="D9958" s="8">
        <f>QS.CONTEXT.ADD.CURVE(C9958,"SOFR",$K$2:$K$7,$L$2:$L$7,,,"Actual360","LogLinear",TRUE)</f>
        <v/>
      </c>
      <c r="E9958" s="8">
        <f>QS.INSTRUMENT.SWAP("swap.9956",C9958,H9958,B9958,"USD","SOFR",I9958,J9958,0,"Actual360","Simple","Annual","Annual","Annual")</f>
        <v/>
      </c>
      <c r="F9958" s="8">
        <f>QS.TRADE.CREATE("trade.9956",C9958,E9958,A9958,"Receive")</f>
        <v/>
      </c>
      <c r="G9958" s="5"/>
      <c r="H9958" s="7" t="s">
        <v>9999</v>
      </c>
      <c r="I9958" s="9">
        <v>1995600</v>
      </c>
      <c r="J9958" s="10">
        <v>0.03560000000000001</v>
      </c>
    </row>
    <row r="9959" spans="1:10">
      <c r="A9959" s="7" t="s">
        <v>9993</v>
      </c>
      <c r="B9959" s="7" t="s">
        <v>11826</v>
      </c>
      <c r="C9959" s="8">
        <f>QS.CONTEXT.CREATE("market.9957",A9959,"USD","SOFR")</f>
        <v/>
      </c>
      <c r="D9959" s="8">
        <f>QS.CONTEXT.ADD.CURVE(C9959,"SOFR",$K$2:$K$7,$L$2:$L$7,,,"Actual360","LogLinear",TRUE)</f>
        <v/>
      </c>
      <c r="E9959" s="8">
        <f>QS.INSTRUMENT.SWAP("swap.9957",C9959,H9959,B9959,"USD","SOFR",I9959,J9959,0,"Actual360","Simple","Annual","Annual","Annual")</f>
        <v/>
      </c>
      <c r="F9959" s="8">
        <f>QS.TRADE.CREATE("trade.9957",C9959,E9959,A9959,"Receive")</f>
        <v/>
      </c>
      <c r="G9959" s="5"/>
      <c r="H9959" s="7" t="s">
        <v>10000</v>
      </c>
      <c r="I9959" s="9">
        <v>1995700</v>
      </c>
      <c r="J9959" s="10">
        <v>0.0357</v>
      </c>
    </row>
    <row r="9960" spans="1:10">
      <c r="A9960" s="7" t="s">
        <v>9994</v>
      </c>
      <c r="B9960" s="7" t="s">
        <v>11827</v>
      </c>
      <c r="C9960" s="8">
        <f>QS.CONTEXT.CREATE("market.9958",A9960,"USD","SOFR")</f>
        <v/>
      </c>
      <c r="D9960" s="8">
        <f>QS.CONTEXT.ADD.CURVE(C9960,"SOFR",$K$2:$K$7,$L$2:$L$7,,,"Actual360","LogLinear",TRUE)</f>
        <v/>
      </c>
      <c r="E9960" s="8">
        <f>QS.INSTRUMENT.SWAP("swap.9958",C9960,H9960,B9960,"USD","SOFR",I9960,J9960,0,"Actual360","Simple","Annual","Annual","Annual")</f>
        <v/>
      </c>
      <c r="F9960" s="8">
        <f>QS.TRADE.CREATE("trade.9958",C9960,E9960,A9960,"Receive")</f>
        <v/>
      </c>
      <c r="G9960" s="5"/>
      <c r="H9960" s="7" t="s">
        <v>10001</v>
      </c>
      <c r="I9960" s="9">
        <v>1995800</v>
      </c>
      <c r="J9960" s="10">
        <v>0.03580000000000001</v>
      </c>
    </row>
    <row r="9961" spans="1:10">
      <c r="A9961" s="7" t="s">
        <v>9995</v>
      </c>
      <c r="B9961" s="7" t="s">
        <v>11828</v>
      </c>
      <c r="C9961" s="8">
        <f>QS.CONTEXT.CREATE("market.9959",A9961,"USD","SOFR")</f>
        <v/>
      </c>
      <c r="D9961" s="8">
        <f>QS.CONTEXT.ADD.CURVE(C9961,"SOFR",$K$2:$K$7,$L$2:$L$7,,,"Actual360","LogLinear",TRUE)</f>
        <v/>
      </c>
      <c r="E9961" s="8">
        <f>QS.INSTRUMENT.SWAP("swap.9959",C9961,H9961,B9961,"USD","SOFR",I9961,J9961,0,"Actual360","Simple","Annual","Annual","Annual")</f>
        <v/>
      </c>
      <c r="F9961" s="8">
        <f>QS.TRADE.CREATE("trade.9959",C9961,E9961,A9961,"Receive")</f>
        <v/>
      </c>
      <c r="G9961" s="5"/>
      <c r="H9961" s="7" t="s">
        <v>10002</v>
      </c>
      <c r="I9961" s="9">
        <v>1995900</v>
      </c>
      <c r="J9961" s="10">
        <v>0.0359</v>
      </c>
    </row>
    <row r="9962" spans="1:10">
      <c r="A9962" s="7" t="s">
        <v>9996</v>
      </c>
      <c r="B9962" s="7" t="s">
        <v>11829</v>
      </c>
      <c r="C9962" s="8">
        <f>QS.CONTEXT.CREATE("market.9960",A9962,"USD","SOFR")</f>
        <v/>
      </c>
      <c r="D9962" s="8">
        <f>QS.CONTEXT.ADD.CURVE(C9962,"SOFR",$K$2:$K$7,$L$2:$L$7,,,"Actual360","LogLinear",TRUE)</f>
        <v/>
      </c>
      <c r="E9962" s="8">
        <f>QS.INSTRUMENT.SWAP("swap.9960",C9962,H9962,B9962,"USD","SOFR",I9962,J9962,0,"Actual360","Simple","Annual","Annual","Annual")</f>
        <v/>
      </c>
      <c r="F9962" s="8">
        <f>QS.TRADE.CREATE("trade.9960",C9962,E9962,A9962,"Receive")</f>
        <v/>
      </c>
      <c r="G9962" s="5"/>
      <c r="H9962" s="7" t="s">
        <v>10003</v>
      </c>
      <c r="I9962" s="9">
        <v>1996000</v>
      </c>
      <c r="J9962" s="10">
        <v>0.036</v>
      </c>
    </row>
    <row r="9963" spans="1:10">
      <c r="A9963" s="7" t="s">
        <v>9997</v>
      </c>
      <c r="B9963" s="7" t="s">
        <v>11830</v>
      </c>
      <c r="C9963" s="8">
        <f>QS.CONTEXT.CREATE("market.9961",A9963,"USD","SOFR")</f>
        <v/>
      </c>
      <c r="D9963" s="8">
        <f>QS.CONTEXT.ADD.CURVE(C9963,"SOFR",$K$2:$K$7,$L$2:$L$7,,,"Actual360","LogLinear",TRUE)</f>
        <v/>
      </c>
      <c r="E9963" s="8">
        <f>QS.INSTRUMENT.SWAP("swap.9961",C9963,H9963,B9963,"USD","SOFR",I9963,J9963,0,"Actual360","Simple","Annual","Annual","Annual")</f>
        <v/>
      </c>
      <c r="F9963" s="8">
        <f>QS.TRADE.CREATE("trade.9961",C9963,E9963,A9963,"Receive")</f>
        <v/>
      </c>
      <c r="G9963" s="5"/>
      <c r="H9963" s="7" t="s">
        <v>10004</v>
      </c>
      <c r="I9963" s="9">
        <v>1996100</v>
      </c>
      <c r="J9963" s="10">
        <v>0.0361</v>
      </c>
    </row>
    <row r="9964" spans="1:10">
      <c r="A9964" s="7" t="s">
        <v>9998</v>
      </c>
      <c r="B9964" s="7" t="s">
        <v>11831</v>
      </c>
      <c r="C9964" s="8">
        <f>QS.CONTEXT.CREATE("market.9962",A9964,"USD","SOFR")</f>
        <v/>
      </c>
      <c r="D9964" s="8">
        <f>QS.CONTEXT.ADD.CURVE(C9964,"SOFR",$K$2:$K$7,$L$2:$L$7,,,"Actual360","LogLinear",TRUE)</f>
        <v/>
      </c>
      <c r="E9964" s="8">
        <f>QS.INSTRUMENT.SWAP("swap.9962",C9964,H9964,B9964,"USD","SOFR",I9964,J9964,0,"Actual360","Simple","Annual","Annual","Annual")</f>
        <v/>
      </c>
      <c r="F9964" s="8">
        <f>QS.TRADE.CREATE("trade.9962",C9964,E9964,A9964,"Receive")</f>
        <v/>
      </c>
      <c r="G9964" s="5"/>
      <c r="H9964" s="7" t="s">
        <v>10005</v>
      </c>
      <c r="I9964" s="9">
        <v>1996200</v>
      </c>
      <c r="J9964" s="10">
        <v>0.0362</v>
      </c>
    </row>
    <row r="9965" spans="1:10">
      <c r="A9965" s="7" t="s">
        <v>9999</v>
      </c>
      <c r="B9965" s="7" t="s">
        <v>11832</v>
      </c>
      <c r="C9965" s="8">
        <f>QS.CONTEXT.CREATE("market.9963",A9965,"USD","SOFR")</f>
        <v/>
      </c>
      <c r="D9965" s="8">
        <f>QS.CONTEXT.ADD.CURVE(C9965,"SOFR",$K$2:$K$7,$L$2:$L$7,,,"Actual360","LogLinear",TRUE)</f>
        <v/>
      </c>
      <c r="E9965" s="8">
        <f>QS.INSTRUMENT.SWAP("swap.9963",C9965,H9965,B9965,"USD","SOFR",I9965,J9965,0,"Actual360","Simple","Annual","Annual","Annual")</f>
        <v/>
      </c>
      <c r="F9965" s="8">
        <f>QS.TRADE.CREATE("trade.9963",C9965,E9965,A9965,"Receive")</f>
        <v/>
      </c>
      <c r="G9965" s="5"/>
      <c r="H9965" s="7" t="s">
        <v>10006</v>
      </c>
      <c r="I9965" s="9">
        <v>1996300</v>
      </c>
      <c r="J9965" s="10">
        <v>0.03630000000000001</v>
      </c>
    </row>
    <row r="9966" spans="1:10">
      <c r="A9966" s="7" t="s">
        <v>10000</v>
      </c>
      <c r="B9966" s="7" t="s">
        <v>11833</v>
      </c>
      <c r="C9966" s="8">
        <f>QS.CONTEXT.CREATE("market.9964",A9966,"USD","SOFR")</f>
        <v/>
      </c>
      <c r="D9966" s="8">
        <f>QS.CONTEXT.ADD.CURVE(C9966,"SOFR",$K$2:$K$7,$L$2:$L$7,,,"Actual360","LogLinear",TRUE)</f>
        <v/>
      </c>
      <c r="E9966" s="8">
        <f>QS.INSTRUMENT.SWAP("swap.9964",C9966,H9966,B9966,"USD","SOFR",I9966,J9966,0,"Actual360","Simple","Annual","Annual","Annual")</f>
        <v/>
      </c>
      <c r="F9966" s="8">
        <f>QS.TRADE.CREATE("trade.9964",C9966,E9966,A9966,"Receive")</f>
        <v/>
      </c>
      <c r="G9966" s="5"/>
      <c r="H9966" s="7" t="s">
        <v>10007</v>
      </c>
      <c r="I9966" s="9">
        <v>1996400</v>
      </c>
      <c r="J9966" s="10">
        <v>0.0364</v>
      </c>
    </row>
    <row r="9967" spans="1:10">
      <c r="A9967" s="7" t="s">
        <v>10001</v>
      </c>
      <c r="B9967" s="7" t="s">
        <v>11834</v>
      </c>
      <c r="C9967" s="8">
        <f>QS.CONTEXT.CREATE("market.9965",A9967,"USD","SOFR")</f>
        <v/>
      </c>
      <c r="D9967" s="8">
        <f>QS.CONTEXT.ADD.CURVE(C9967,"SOFR",$K$2:$K$7,$L$2:$L$7,,,"Actual360","LogLinear",TRUE)</f>
        <v/>
      </c>
      <c r="E9967" s="8">
        <f>QS.INSTRUMENT.SWAP("swap.9965",C9967,H9967,B9967,"USD","SOFR",I9967,J9967,0,"Actual360","Simple","Annual","Annual","Annual")</f>
        <v/>
      </c>
      <c r="F9967" s="8">
        <f>QS.TRADE.CREATE("trade.9965",C9967,E9967,A9967,"Receive")</f>
        <v/>
      </c>
      <c r="G9967" s="5"/>
      <c r="H9967" s="7" t="s">
        <v>10008</v>
      </c>
      <c r="I9967" s="9">
        <v>1996500</v>
      </c>
      <c r="J9967" s="10">
        <v>0.0365</v>
      </c>
    </row>
    <row r="9968" spans="1:10">
      <c r="A9968" s="7" t="s">
        <v>10002</v>
      </c>
      <c r="B9968" s="7" t="s">
        <v>11835</v>
      </c>
      <c r="C9968" s="8">
        <f>QS.CONTEXT.CREATE("market.9966",A9968,"USD","SOFR")</f>
        <v/>
      </c>
      <c r="D9968" s="8">
        <f>QS.CONTEXT.ADD.CURVE(C9968,"SOFR",$K$2:$K$7,$L$2:$L$7,,,"Actual360","LogLinear",TRUE)</f>
        <v/>
      </c>
      <c r="E9968" s="8">
        <f>QS.INSTRUMENT.SWAP("swap.9966",C9968,H9968,B9968,"USD","SOFR",I9968,J9968,0,"Actual360","Simple","Annual","Annual","Annual")</f>
        <v/>
      </c>
      <c r="F9968" s="8">
        <f>QS.TRADE.CREATE("trade.9966",C9968,E9968,A9968,"Receive")</f>
        <v/>
      </c>
      <c r="G9968" s="5"/>
      <c r="H9968" s="7" t="s">
        <v>10009</v>
      </c>
      <c r="I9968" s="9">
        <v>1996600</v>
      </c>
      <c r="J9968" s="10">
        <v>0.0366</v>
      </c>
    </row>
    <row r="9969" spans="1:10">
      <c r="A9969" s="7" t="s">
        <v>10003</v>
      </c>
      <c r="B9969" s="7" t="s">
        <v>11836</v>
      </c>
      <c r="C9969" s="8">
        <f>QS.CONTEXT.CREATE("market.9967",A9969,"USD","SOFR")</f>
        <v/>
      </c>
      <c r="D9969" s="8">
        <f>QS.CONTEXT.ADD.CURVE(C9969,"SOFR",$K$2:$K$7,$L$2:$L$7,,,"Actual360","LogLinear",TRUE)</f>
        <v/>
      </c>
      <c r="E9969" s="8">
        <f>QS.INSTRUMENT.SWAP("swap.9967",C9969,H9969,B9969,"USD","SOFR",I9969,J9969,0,"Actual360","Simple","Annual","Annual","Annual")</f>
        <v/>
      </c>
      <c r="F9969" s="8">
        <f>QS.TRADE.CREATE("trade.9967",C9969,E9969,A9969,"Receive")</f>
        <v/>
      </c>
      <c r="G9969" s="5"/>
      <c r="H9969" s="7" t="s">
        <v>10010</v>
      </c>
      <c r="I9969" s="9">
        <v>1996700</v>
      </c>
      <c r="J9969" s="10">
        <v>0.0367</v>
      </c>
    </row>
    <row r="9970" spans="1:10">
      <c r="A9970" s="7" t="s">
        <v>10004</v>
      </c>
      <c r="B9970" s="7" t="s">
        <v>11837</v>
      </c>
      <c r="C9970" s="8">
        <f>QS.CONTEXT.CREATE("market.9968",A9970,"USD","SOFR")</f>
        <v/>
      </c>
      <c r="D9970" s="8">
        <f>QS.CONTEXT.ADD.CURVE(C9970,"SOFR",$K$2:$K$7,$L$2:$L$7,,,"Actual360","LogLinear",TRUE)</f>
        <v/>
      </c>
      <c r="E9970" s="8">
        <f>QS.INSTRUMENT.SWAP("swap.9968",C9970,H9970,B9970,"USD","SOFR",I9970,J9970,0,"Actual360","Simple","Annual","Annual","Annual")</f>
        <v/>
      </c>
      <c r="F9970" s="8">
        <f>QS.TRADE.CREATE("trade.9968",C9970,E9970,A9970,"Receive")</f>
        <v/>
      </c>
      <c r="G9970" s="5"/>
      <c r="H9970" s="7" t="s">
        <v>10011</v>
      </c>
      <c r="I9970" s="9">
        <v>1996800</v>
      </c>
      <c r="J9970" s="10">
        <v>0.03680000000000001</v>
      </c>
    </row>
    <row r="9971" spans="1:10">
      <c r="A9971" s="7" t="s">
        <v>10005</v>
      </c>
      <c r="B9971" s="7" t="s">
        <v>11838</v>
      </c>
      <c r="C9971" s="8">
        <f>QS.CONTEXT.CREATE("market.9969",A9971,"USD","SOFR")</f>
        <v/>
      </c>
      <c r="D9971" s="8">
        <f>QS.CONTEXT.ADD.CURVE(C9971,"SOFR",$K$2:$K$7,$L$2:$L$7,,,"Actual360","LogLinear",TRUE)</f>
        <v/>
      </c>
      <c r="E9971" s="8">
        <f>QS.INSTRUMENT.SWAP("swap.9969",C9971,H9971,B9971,"USD","SOFR",I9971,J9971,0,"Actual360","Simple","Annual","Annual","Annual")</f>
        <v/>
      </c>
      <c r="F9971" s="8">
        <f>QS.TRADE.CREATE("trade.9969",C9971,E9971,A9971,"Receive")</f>
        <v/>
      </c>
      <c r="G9971" s="5"/>
      <c r="H9971" s="7" t="s">
        <v>10012</v>
      </c>
      <c r="I9971" s="9">
        <v>1996900</v>
      </c>
      <c r="J9971" s="10">
        <v>0.0369</v>
      </c>
    </row>
    <row r="9972" spans="1:10">
      <c r="A9972" s="7" t="s">
        <v>10006</v>
      </c>
      <c r="B9972" s="7" t="s">
        <v>11839</v>
      </c>
      <c r="C9972" s="8">
        <f>QS.CONTEXT.CREATE("market.9970",A9972,"USD","SOFR")</f>
        <v/>
      </c>
      <c r="D9972" s="8">
        <f>QS.CONTEXT.ADD.CURVE(C9972,"SOFR",$K$2:$K$7,$L$2:$L$7,,,"Actual360","LogLinear",TRUE)</f>
        <v/>
      </c>
      <c r="E9972" s="8">
        <f>QS.INSTRUMENT.SWAP("swap.9970",C9972,H9972,B9972,"USD","SOFR",I9972,J9972,0,"Actual360","Simple","Annual","Annual","Annual")</f>
        <v/>
      </c>
      <c r="F9972" s="8">
        <f>QS.TRADE.CREATE("trade.9970",C9972,E9972,A9972,"Receive")</f>
        <v/>
      </c>
      <c r="G9972" s="5"/>
      <c r="H9972" s="7" t="s">
        <v>10013</v>
      </c>
      <c r="I9972" s="9">
        <v>1997000</v>
      </c>
      <c r="J9972" s="10">
        <v>0.03700000000000001</v>
      </c>
    </row>
    <row r="9973" spans="1:10">
      <c r="A9973" s="7" t="s">
        <v>10007</v>
      </c>
      <c r="B9973" s="7" t="s">
        <v>11840</v>
      </c>
      <c r="C9973" s="8">
        <f>QS.CONTEXT.CREATE("market.9971",A9973,"USD","SOFR")</f>
        <v/>
      </c>
      <c r="D9973" s="8">
        <f>QS.CONTEXT.ADD.CURVE(C9973,"SOFR",$K$2:$K$7,$L$2:$L$7,,,"Actual360","LogLinear",TRUE)</f>
        <v/>
      </c>
      <c r="E9973" s="8">
        <f>QS.INSTRUMENT.SWAP("swap.9971",C9973,H9973,B9973,"USD","SOFR",I9973,J9973,0,"Actual360","Simple","Annual","Annual","Annual")</f>
        <v/>
      </c>
      <c r="F9973" s="8">
        <f>QS.TRADE.CREATE("trade.9971",C9973,E9973,A9973,"Receive")</f>
        <v/>
      </c>
      <c r="G9973" s="5"/>
      <c r="H9973" s="7" t="s">
        <v>10014</v>
      </c>
      <c r="I9973" s="9">
        <v>1997100</v>
      </c>
      <c r="J9973" s="10">
        <v>0.0371</v>
      </c>
    </row>
    <row r="9974" spans="1:10">
      <c r="A9974" s="7" t="s">
        <v>10008</v>
      </c>
      <c r="B9974" s="7" t="s">
        <v>11841</v>
      </c>
      <c r="C9974" s="8">
        <f>QS.CONTEXT.CREATE("market.9972",A9974,"USD","SOFR")</f>
        <v/>
      </c>
      <c r="D9974" s="8">
        <f>QS.CONTEXT.ADD.CURVE(C9974,"SOFR",$K$2:$K$7,$L$2:$L$7,,,"Actual360","LogLinear",TRUE)</f>
        <v/>
      </c>
      <c r="E9974" s="8">
        <f>QS.INSTRUMENT.SWAP("swap.9972",C9974,H9974,B9974,"USD","SOFR",I9974,J9974,0,"Actual360","Simple","Annual","Annual","Annual")</f>
        <v/>
      </c>
      <c r="F9974" s="8">
        <f>QS.TRADE.CREATE("trade.9972",C9974,E9974,A9974,"Receive")</f>
        <v/>
      </c>
      <c r="G9974" s="5"/>
      <c r="H9974" s="7" t="s">
        <v>10015</v>
      </c>
      <c r="I9974" s="9">
        <v>1997200</v>
      </c>
      <c r="J9974" s="10">
        <v>0.0372</v>
      </c>
    </row>
    <row r="9975" spans="1:10">
      <c r="A9975" s="7" t="s">
        <v>10009</v>
      </c>
      <c r="B9975" s="7" t="s">
        <v>11842</v>
      </c>
      <c r="C9975" s="8">
        <f>QS.CONTEXT.CREATE("market.9973",A9975,"USD","SOFR")</f>
        <v/>
      </c>
      <c r="D9975" s="8">
        <f>QS.CONTEXT.ADD.CURVE(C9975,"SOFR",$K$2:$K$7,$L$2:$L$7,,,"Actual360","LogLinear",TRUE)</f>
        <v/>
      </c>
      <c r="E9975" s="8">
        <f>QS.INSTRUMENT.SWAP("swap.9973",C9975,H9975,B9975,"USD","SOFR",I9975,J9975,0,"Actual360","Simple","Annual","Annual","Annual")</f>
        <v/>
      </c>
      <c r="F9975" s="8">
        <f>QS.TRADE.CREATE("trade.9973",C9975,E9975,A9975,"Receive")</f>
        <v/>
      </c>
      <c r="G9975" s="5"/>
      <c r="H9975" s="7" t="s">
        <v>10016</v>
      </c>
      <c r="I9975" s="9">
        <v>1997300</v>
      </c>
      <c r="J9975" s="10">
        <v>0.0373</v>
      </c>
    </row>
    <row r="9976" spans="1:10">
      <c r="A9976" s="7" t="s">
        <v>10010</v>
      </c>
      <c r="B9976" s="7" t="s">
        <v>11843</v>
      </c>
      <c r="C9976" s="8">
        <f>QS.CONTEXT.CREATE("market.9974",A9976,"USD","SOFR")</f>
        <v/>
      </c>
      <c r="D9976" s="8">
        <f>QS.CONTEXT.ADD.CURVE(C9976,"SOFR",$K$2:$K$7,$L$2:$L$7,,,"Actual360","LogLinear",TRUE)</f>
        <v/>
      </c>
      <c r="E9976" s="8">
        <f>QS.INSTRUMENT.SWAP("swap.9974",C9976,H9976,B9976,"USD","SOFR",I9976,J9976,0,"Actual360","Simple","Annual","Annual","Annual")</f>
        <v/>
      </c>
      <c r="F9976" s="8">
        <f>QS.TRADE.CREATE("trade.9974",C9976,E9976,A9976,"Receive")</f>
        <v/>
      </c>
      <c r="G9976" s="5"/>
      <c r="H9976" s="7" t="s">
        <v>10017</v>
      </c>
      <c r="I9976" s="9">
        <v>1997400</v>
      </c>
      <c r="J9976" s="10">
        <v>0.0374</v>
      </c>
    </row>
    <row r="9977" spans="1:10">
      <c r="A9977" s="7" t="s">
        <v>10011</v>
      </c>
      <c r="B9977" s="7" t="s">
        <v>11844</v>
      </c>
      <c r="C9977" s="8">
        <f>QS.CONTEXT.CREATE("market.9975",A9977,"USD","SOFR")</f>
        <v/>
      </c>
      <c r="D9977" s="8">
        <f>QS.CONTEXT.ADD.CURVE(C9977,"SOFR",$K$2:$K$7,$L$2:$L$7,,,"Actual360","LogLinear",TRUE)</f>
        <v/>
      </c>
      <c r="E9977" s="8">
        <f>QS.INSTRUMENT.SWAP("swap.9975",C9977,H9977,B9977,"USD","SOFR",I9977,J9977,0,"Actual360","Simple","Annual","Annual","Annual")</f>
        <v/>
      </c>
      <c r="F9977" s="8">
        <f>QS.TRADE.CREATE("trade.9975",C9977,E9977,A9977,"Receive")</f>
        <v/>
      </c>
      <c r="G9977" s="5"/>
      <c r="H9977" s="7" t="s">
        <v>10018</v>
      </c>
      <c r="I9977" s="9">
        <v>1997500</v>
      </c>
      <c r="J9977" s="10">
        <v>0.03750000000000001</v>
      </c>
    </row>
    <row r="9978" spans="1:10">
      <c r="A9978" s="7" t="s">
        <v>10012</v>
      </c>
      <c r="B9978" s="7" t="s">
        <v>11845</v>
      </c>
      <c r="C9978" s="8">
        <f>QS.CONTEXT.CREATE("market.9976",A9978,"USD","SOFR")</f>
        <v/>
      </c>
      <c r="D9978" s="8">
        <f>QS.CONTEXT.ADD.CURVE(C9978,"SOFR",$K$2:$K$7,$L$2:$L$7,,,"Actual360","LogLinear",TRUE)</f>
        <v/>
      </c>
      <c r="E9978" s="8">
        <f>QS.INSTRUMENT.SWAP("swap.9976",C9978,H9978,B9978,"USD","SOFR",I9978,J9978,0,"Actual360","Simple","Annual","Annual","Annual")</f>
        <v/>
      </c>
      <c r="F9978" s="8">
        <f>QS.TRADE.CREATE("trade.9976",C9978,E9978,A9978,"Receive")</f>
        <v/>
      </c>
      <c r="G9978" s="5"/>
      <c r="H9978" s="7" t="s">
        <v>10019</v>
      </c>
      <c r="I9978" s="9">
        <v>1997600</v>
      </c>
      <c r="J9978" s="10">
        <v>0.0376</v>
      </c>
    </row>
    <row r="9979" spans="1:10">
      <c r="A9979" s="7" t="s">
        <v>10013</v>
      </c>
      <c r="B9979" s="7" t="s">
        <v>11846</v>
      </c>
      <c r="C9979" s="8">
        <f>QS.CONTEXT.CREATE("market.9977",A9979,"USD","SOFR")</f>
        <v/>
      </c>
      <c r="D9979" s="8">
        <f>QS.CONTEXT.ADD.CURVE(C9979,"SOFR",$K$2:$K$7,$L$2:$L$7,,,"Actual360","LogLinear",TRUE)</f>
        <v/>
      </c>
      <c r="E9979" s="8">
        <f>QS.INSTRUMENT.SWAP("swap.9977",C9979,H9979,B9979,"USD","SOFR",I9979,J9979,0,"Actual360","Simple","Annual","Annual","Annual")</f>
        <v/>
      </c>
      <c r="F9979" s="8">
        <f>QS.TRADE.CREATE("trade.9977",C9979,E9979,A9979,"Receive")</f>
        <v/>
      </c>
      <c r="G9979" s="5"/>
      <c r="H9979" s="7" t="s">
        <v>10020</v>
      </c>
      <c r="I9979" s="9">
        <v>1997700</v>
      </c>
      <c r="J9979" s="10">
        <v>0.0377</v>
      </c>
    </row>
    <row r="9980" spans="1:10">
      <c r="A9980" s="7" t="s">
        <v>10014</v>
      </c>
      <c r="B9980" s="7" t="s">
        <v>11847</v>
      </c>
      <c r="C9980" s="8">
        <f>QS.CONTEXT.CREATE("market.9978",A9980,"USD","SOFR")</f>
        <v/>
      </c>
      <c r="D9980" s="8">
        <f>QS.CONTEXT.ADD.CURVE(C9980,"SOFR",$K$2:$K$7,$L$2:$L$7,,,"Actual360","LogLinear",TRUE)</f>
        <v/>
      </c>
      <c r="E9980" s="8">
        <f>QS.INSTRUMENT.SWAP("swap.9978",C9980,H9980,B9980,"USD","SOFR",I9980,J9980,0,"Actual360","Simple","Annual","Annual","Annual")</f>
        <v/>
      </c>
      <c r="F9980" s="8">
        <f>QS.TRADE.CREATE("trade.9978",C9980,E9980,A9980,"Receive")</f>
        <v/>
      </c>
      <c r="G9980" s="5"/>
      <c r="H9980" s="7" t="s">
        <v>10021</v>
      </c>
      <c r="I9980" s="9">
        <v>1997800</v>
      </c>
      <c r="J9980" s="10">
        <v>0.0378</v>
      </c>
    </row>
    <row r="9981" spans="1:10">
      <c r="A9981" s="7" t="s">
        <v>10015</v>
      </c>
      <c r="B9981" s="7" t="s">
        <v>11848</v>
      </c>
      <c r="C9981" s="8">
        <f>QS.CONTEXT.CREATE("market.9979",A9981,"USD","SOFR")</f>
        <v/>
      </c>
      <c r="D9981" s="8">
        <f>QS.CONTEXT.ADD.CURVE(C9981,"SOFR",$K$2:$K$7,$L$2:$L$7,,,"Actual360","LogLinear",TRUE)</f>
        <v/>
      </c>
      <c r="E9981" s="8">
        <f>QS.INSTRUMENT.SWAP("swap.9979",C9981,H9981,B9981,"USD","SOFR",I9981,J9981,0,"Actual360","Simple","Annual","Annual","Annual")</f>
        <v/>
      </c>
      <c r="F9981" s="8">
        <f>QS.TRADE.CREATE("trade.9979",C9981,E9981,A9981,"Receive")</f>
        <v/>
      </c>
      <c r="G9981" s="5"/>
      <c r="H9981" s="7" t="s">
        <v>10022</v>
      </c>
      <c r="I9981" s="9">
        <v>1997900</v>
      </c>
      <c r="J9981" s="10">
        <v>0.0379</v>
      </c>
    </row>
    <row r="9982" spans="1:10">
      <c r="A9982" s="7" t="s">
        <v>10016</v>
      </c>
      <c r="B9982" s="7" t="s">
        <v>11849</v>
      </c>
      <c r="C9982" s="8">
        <f>QS.CONTEXT.CREATE("market.9980",A9982,"USD","SOFR")</f>
        <v/>
      </c>
      <c r="D9982" s="8">
        <f>QS.CONTEXT.ADD.CURVE(C9982,"SOFR",$K$2:$K$7,$L$2:$L$7,,,"Actual360","LogLinear",TRUE)</f>
        <v/>
      </c>
      <c r="E9982" s="8">
        <f>QS.INSTRUMENT.SWAP("swap.9980",C9982,H9982,B9982,"USD","SOFR",I9982,J9982,0,"Actual360","Simple","Annual","Annual","Annual")</f>
        <v/>
      </c>
      <c r="F9982" s="8">
        <f>QS.TRADE.CREATE("trade.9980",C9982,E9982,A9982,"Receive")</f>
        <v/>
      </c>
      <c r="G9982" s="5"/>
      <c r="H9982" s="7" t="s">
        <v>10023</v>
      </c>
      <c r="I9982" s="9">
        <v>1998000</v>
      </c>
      <c r="J9982" s="10">
        <v>0.03800000000000001</v>
      </c>
    </row>
    <row r="9983" spans="1:10">
      <c r="A9983" s="7" t="s">
        <v>10017</v>
      </c>
      <c r="B9983" s="7" t="s">
        <v>11850</v>
      </c>
      <c r="C9983" s="8">
        <f>QS.CONTEXT.CREATE("market.9981",A9983,"USD","SOFR")</f>
        <v/>
      </c>
      <c r="D9983" s="8">
        <f>QS.CONTEXT.ADD.CURVE(C9983,"SOFR",$K$2:$K$7,$L$2:$L$7,,,"Actual360","LogLinear",TRUE)</f>
        <v/>
      </c>
      <c r="E9983" s="8">
        <f>QS.INSTRUMENT.SWAP("swap.9981",C9983,H9983,B9983,"USD","SOFR",I9983,J9983,0,"Actual360","Simple","Annual","Annual","Annual")</f>
        <v/>
      </c>
      <c r="F9983" s="8">
        <f>QS.TRADE.CREATE("trade.9981",C9983,E9983,A9983,"Receive")</f>
        <v/>
      </c>
      <c r="G9983" s="5"/>
      <c r="H9983" s="7" t="s">
        <v>10024</v>
      </c>
      <c r="I9983" s="9">
        <v>1998100</v>
      </c>
      <c r="J9983" s="10">
        <v>0.0381</v>
      </c>
    </row>
    <row r="9984" spans="1:10">
      <c r="A9984" s="7" t="s">
        <v>10018</v>
      </c>
      <c r="B9984" s="7" t="s">
        <v>11851</v>
      </c>
      <c r="C9984" s="8">
        <f>QS.CONTEXT.CREATE("market.9982",A9984,"USD","SOFR")</f>
        <v/>
      </c>
      <c r="D9984" s="8">
        <f>QS.CONTEXT.ADD.CURVE(C9984,"SOFR",$K$2:$K$7,$L$2:$L$7,,,"Actual360","LogLinear",TRUE)</f>
        <v/>
      </c>
      <c r="E9984" s="8">
        <f>QS.INSTRUMENT.SWAP("swap.9982",C9984,H9984,B9984,"USD","SOFR",I9984,J9984,0,"Actual360","Simple","Annual","Annual","Annual")</f>
        <v/>
      </c>
      <c r="F9984" s="8">
        <f>QS.TRADE.CREATE("trade.9982",C9984,E9984,A9984,"Receive")</f>
        <v/>
      </c>
      <c r="G9984" s="5"/>
      <c r="H9984" s="7" t="s">
        <v>10025</v>
      </c>
      <c r="I9984" s="9">
        <v>1998200</v>
      </c>
      <c r="J9984" s="10">
        <v>0.0382</v>
      </c>
    </row>
    <row r="9985" spans="1:10">
      <c r="A9985" s="7" t="s">
        <v>10019</v>
      </c>
      <c r="B9985" s="7" t="s">
        <v>11852</v>
      </c>
      <c r="C9985" s="8">
        <f>QS.CONTEXT.CREATE("market.9983",A9985,"USD","SOFR")</f>
        <v/>
      </c>
      <c r="D9985" s="8">
        <f>QS.CONTEXT.ADD.CURVE(C9985,"SOFR",$K$2:$K$7,$L$2:$L$7,,,"Actual360","LogLinear",TRUE)</f>
        <v/>
      </c>
      <c r="E9985" s="8">
        <f>QS.INSTRUMENT.SWAP("swap.9983",C9985,H9985,B9985,"USD","SOFR",I9985,J9985,0,"Actual360","Simple","Annual","Annual","Annual")</f>
        <v/>
      </c>
      <c r="F9985" s="8">
        <f>QS.TRADE.CREATE("trade.9983",C9985,E9985,A9985,"Receive")</f>
        <v/>
      </c>
      <c r="G9985" s="5"/>
      <c r="H9985" s="7" t="s">
        <v>10026</v>
      </c>
      <c r="I9985" s="9">
        <v>1998300</v>
      </c>
      <c r="J9985" s="10">
        <v>0.0383</v>
      </c>
    </row>
    <row r="9986" spans="1:10">
      <c r="A9986" s="7" t="s">
        <v>10020</v>
      </c>
      <c r="B9986" s="7" t="s">
        <v>11853</v>
      </c>
      <c r="C9986" s="8">
        <f>QS.CONTEXT.CREATE("market.9984",A9986,"USD","SOFR")</f>
        <v/>
      </c>
      <c r="D9986" s="8">
        <f>QS.CONTEXT.ADD.CURVE(C9986,"SOFR",$K$2:$K$7,$L$2:$L$7,,,"Actual360","LogLinear",TRUE)</f>
        <v/>
      </c>
      <c r="E9986" s="8">
        <f>QS.INSTRUMENT.SWAP("swap.9984",C9986,H9986,B9986,"USD","SOFR",I9986,J9986,0,"Actual360","Simple","Annual","Annual","Annual")</f>
        <v/>
      </c>
      <c r="F9986" s="8">
        <f>QS.TRADE.CREATE("trade.9984",C9986,E9986,A9986,"Receive")</f>
        <v/>
      </c>
      <c r="G9986" s="5"/>
      <c r="H9986" s="7" t="s">
        <v>10027</v>
      </c>
      <c r="I9986" s="9">
        <v>1998400</v>
      </c>
      <c r="J9986" s="10">
        <v>0.0384</v>
      </c>
    </row>
    <row r="9987" spans="1:10">
      <c r="A9987" s="7" t="s">
        <v>10021</v>
      </c>
      <c r="B9987" s="7" t="s">
        <v>11854</v>
      </c>
      <c r="C9987" s="8">
        <f>QS.CONTEXT.CREATE("market.9985",A9987,"USD","SOFR")</f>
        <v/>
      </c>
      <c r="D9987" s="8">
        <f>QS.CONTEXT.ADD.CURVE(C9987,"SOFR",$K$2:$K$7,$L$2:$L$7,,,"Actual360","LogLinear",TRUE)</f>
        <v/>
      </c>
      <c r="E9987" s="8">
        <f>QS.INSTRUMENT.SWAP("swap.9985",C9987,H9987,B9987,"USD","SOFR",I9987,J9987,0,"Actual360","Simple","Annual","Annual","Annual")</f>
        <v/>
      </c>
      <c r="F9987" s="8">
        <f>QS.TRADE.CREATE("trade.9985",C9987,E9987,A9987,"Receive")</f>
        <v/>
      </c>
      <c r="G9987" s="5"/>
      <c r="H9987" s="7" t="s">
        <v>10028</v>
      </c>
      <c r="I9987" s="9">
        <v>1998500</v>
      </c>
      <c r="J9987" s="10">
        <v>0.03850000000000001</v>
      </c>
    </row>
    <row r="9988" spans="1:10">
      <c r="A9988" s="7" t="s">
        <v>10022</v>
      </c>
      <c r="B9988" s="7" t="s">
        <v>11855</v>
      </c>
      <c r="C9988" s="8">
        <f>QS.CONTEXT.CREATE("market.9986",A9988,"USD","SOFR")</f>
        <v/>
      </c>
      <c r="D9988" s="8">
        <f>QS.CONTEXT.ADD.CURVE(C9988,"SOFR",$K$2:$K$7,$L$2:$L$7,,,"Actual360","LogLinear",TRUE)</f>
        <v/>
      </c>
      <c r="E9988" s="8">
        <f>QS.INSTRUMENT.SWAP("swap.9986",C9988,H9988,B9988,"USD","SOFR",I9988,J9988,0,"Actual360","Simple","Annual","Annual","Annual")</f>
        <v/>
      </c>
      <c r="F9988" s="8">
        <f>QS.TRADE.CREATE("trade.9986",C9988,E9988,A9988,"Receive")</f>
        <v/>
      </c>
      <c r="G9988" s="5"/>
      <c r="H9988" s="7" t="s">
        <v>10029</v>
      </c>
      <c r="I9988" s="9">
        <v>1998600</v>
      </c>
      <c r="J9988" s="10">
        <v>0.0386</v>
      </c>
    </row>
    <row r="9989" spans="1:10">
      <c r="A9989" s="7" t="s">
        <v>10023</v>
      </c>
      <c r="B9989" s="7" t="s">
        <v>11856</v>
      </c>
      <c r="C9989" s="8">
        <f>QS.CONTEXT.CREATE("market.9987",A9989,"USD","SOFR")</f>
        <v/>
      </c>
      <c r="D9989" s="8">
        <f>QS.CONTEXT.ADD.CURVE(C9989,"SOFR",$K$2:$K$7,$L$2:$L$7,,,"Actual360","LogLinear",TRUE)</f>
        <v/>
      </c>
      <c r="E9989" s="8">
        <f>QS.INSTRUMENT.SWAP("swap.9987",C9989,H9989,B9989,"USD","SOFR",I9989,J9989,0,"Actual360","Simple","Annual","Annual","Annual")</f>
        <v/>
      </c>
      <c r="F9989" s="8">
        <f>QS.TRADE.CREATE("trade.9987",C9989,E9989,A9989,"Receive")</f>
        <v/>
      </c>
      <c r="G9989" s="5"/>
      <c r="H9989" s="7" t="s">
        <v>10030</v>
      </c>
      <c r="I9989" s="9">
        <v>1998700</v>
      </c>
      <c r="J9989" s="10">
        <v>0.03870000000000001</v>
      </c>
    </row>
    <row r="9990" spans="1:10">
      <c r="A9990" s="7" t="s">
        <v>10024</v>
      </c>
      <c r="B9990" s="7" t="s">
        <v>11857</v>
      </c>
      <c r="C9990" s="8">
        <f>QS.CONTEXT.CREATE("market.9988",A9990,"USD","SOFR")</f>
        <v/>
      </c>
      <c r="D9990" s="8">
        <f>QS.CONTEXT.ADD.CURVE(C9990,"SOFR",$K$2:$K$7,$L$2:$L$7,,,"Actual360","LogLinear",TRUE)</f>
        <v/>
      </c>
      <c r="E9990" s="8">
        <f>QS.INSTRUMENT.SWAP("swap.9988",C9990,H9990,B9990,"USD","SOFR",I9990,J9990,0,"Actual360","Simple","Annual","Annual","Annual")</f>
        <v/>
      </c>
      <c r="F9990" s="8">
        <f>QS.TRADE.CREATE("trade.9988",C9990,E9990,A9990,"Receive")</f>
        <v/>
      </c>
      <c r="G9990" s="5"/>
      <c r="H9990" s="7" t="s">
        <v>10031</v>
      </c>
      <c r="I9990" s="9">
        <v>1998800</v>
      </c>
      <c r="J9990" s="10">
        <v>0.0388</v>
      </c>
    </row>
    <row r="9991" spans="1:10">
      <c r="A9991" s="7" t="s">
        <v>10025</v>
      </c>
      <c r="B9991" s="7" t="s">
        <v>11858</v>
      </c>
      <c r="C9991" s="8">
        <f>QS.CONTEXT.CREATE("market.9989",A9991,"USD","SOFR")</f>
        <v/>
      </c>
      <c r="D9991" s="8">
        <f>QS.CONTEXT.ADD.CURVE(C9991,"SOFR",$K$2:$K$7,$L$2:$L$7,,,"Actual360","LogLinear",TRUE)</f>
        <v/>
      </c>
      <c r="E9991" s="8">
        <f>QS.INSTRUMENT.SWAP("swap.9989",C9991,H9991,B9991,"USD","SOFR",I9991,J9991,0,"Actual360","Simple","Annual","Annual","Annual")</f>
        <v/>
      </c>
      <c r="F9991" s="8">
        <f>QS.TRADE.CREATE("trade.9989",C9991,E9991,A9991,"Receive")</f>
        <v/>
      </c>
      <c r="G9991" s="5"/>
      <c r="H9991" s="7" t="s">
        <v>10032</v>
      </c>
      <c r="I9991" s="9">
        <v>1998900</v>
      </c>
      <c r="J9991" s="10">
        <v>0.0389</v>
      </c>
    </row>
    <row r="9992" spans="1:10">
      <c r="A9992" s="7" t="s">
        <v>10026</v>
      </c>
      <c r="B9992" s="7" t="s">
        <v>11859</v>
      </c>
      <c r="C9992" s="8">
        <f>QS.CONTEXT.CREATE("market.9990",A9992,"USD","SOFR")</f>
        <v/>
      </c>
      <c r="D9992" s="8">
        <f>QS.CONTEXT.ADD.CURVE(C9992,"SOFR",$K$2:$K$7,$L$2:$L$7,,,"Actual360","LogLinear",TRUE)</f>
        <v/>
      </c>
      <c r="E9992" s="8">
        <f>QS.INSTRUMENT.SWAP("swap.9990",C9992,H9992,B9992,"USD","SOFR",I9992,J9992,0,"Actual360","Simple","Annual","Annual","Annual")</f>
        <v/>
      </c>
      <c r="F9992" s="8">
        <f>QS.TRADE.CREATE("trade.9990",C9992,E9992,A9992,"Receive")</f>
        <v/>
      </c>
      <c r="G9992" s="5"/>
      <c r="H9992" s="7" t="s">
        <v>10033</v>
      </c>
      <c r="I9992" s="9">
        <v>1999000</v>
      </c>
      <c r="J9992" s="10">
        <v>0.03900000000000001</v>
      </c>
    </row>
    <row r="9993" spans="1:10">
      <c r="A9993" s="7" t="s">
        <v>10027</v>
      </c>
      <c r="B9993" s="7" t="s">
        <v>11860</v>
      </c>
      <c r="C9993" s="8">
        <f>QS.CONTEXT.CREATE("market.9991",A9993,"USD","SOFR")</f>
        <v/>
      </c>
      <c r="D9993" s="8">
        <f>QS.CONTEXT.ADD.CURVE(C9993,"SOFR",$K$2:$K$7,$L$2:$L$7,,,"Actual360","LogLinear",TRUE)</f>
        <v/>
      </c>
      <c r="E9993" s="8">
        <f>QS.INSTRUMENT.SWAP("swap.9991",C9993,H9993,B9993,"USD","SOFR",I9993,J9993,0,"Actual360","Simple","Annual","Annual","Annual")</f>
        <v/>
      </c>
      <c r="F9993" s="8">
        <f>QS.TRADE.CREATE("trade.9991",C9993,E9993,A9993,"Receive")</f>
        <v/>
      </c>
      <c r="G9993" s="5"/>
      <c r="H9993" s="7" t="s">
        <v>10034</v>
      </c>
      <c r="I9993" s="9">
        <v>1999100</v>
      </c>
      <c r="J9993" s="10">
        <v>0.0391</v>
      </c>
    </row>
    <row r="9994" spans="1:10">
      <c r="A9994" s="7" t="s">
        <v>10028</v>
      </c>
      <c r="B9994" s="7" t="s">
        <v>11861</v>
      </c>
      <c r="C9994" s="8">
        <f>QS.CONTEXT.CREATE("market.9992",A9994,"USD","SOFR")</f>
        <v/>
      </c>
      <c r="D9994" s="8">
        <f>QS.CONTEXT.ADD.CURVE(C9994,"SOFR",$K$2:$K$7,$L$2:$L$7,,,"Actual360","LogLinear",TRUE)</f>
        <v/>
      </c>
      <c r="E9994" s="8">
        <f>QS.INSTRUMENT.SWAP("swap.9992",C9994,H9994,B9994,"USD","SOFR",I9994,J9994,0,"Actual360","Simple","Annual","Annual","Annual")</f>
        <v/>
      </c>
      <c r="F9994" s="8">
        <f>QS.TRADE.CREATE("trade.9992",C9994,E9994,A9994,"Receive")</f>
        <v/>
      </c>
      <c r="G9994" s="5"/>
      <c r="H9994" s="7" t="s">
        <v>10035</v>
      </c>
      <c r="I9994" s="9">
        <v>1999200</v>
      </c>
      <c r="J9994" s="10">
        <v>0.03920000000000001</v>
      </c>
    </row>
    <row r="9995" spans="1:10">
      <c r="A9995" s="7" t="s">
        <v>10029</v>
      </c>
      <c r="B9995" s="7" t="s">
        <v>11862</v>
      </c>
      <c r="C9995" s="8">
        <f>QS.CONTEXT.CREATE("market.9993",A9995,"USD","SOFR")</f>
        <v/>
      </c>
      <c r="D9995" s="8">
        <f>QS.CONTEXT.ADD.CURVE(C9995,"SOFR",$K$2:$K$7,$L$2:$L$7,,,"Actual360","LogLinear",TRUE)</f>
        <v/>
      </c>
      <c r="E9995" s="8">
        <f>QS.INSTRUMENT.SWAP("swap.9993",C9995,H9995,B9995,"USD","SOFR",I9995,J9995,0,"Actual360","Simple","Annual","Annual","Annual")</f>
        <v/>
      </c>
      <c r="F9995" s="8">
        <f>QS.TRADE.CREATE("trade.9993",C9995,E9995,A9995,"Receive")</f>
        <v/>
      </c>
      <c r="G9995" s="5"/>
      <c r="H9995" s="7" t="s">
        <v>10036</v>
      </c>
      <c r="I9995" s="9">
        <v>1999300</v>
      </c>
      <c r="J9995" s="10">
        <v>0.0393</v>
      </c>
    </row>
    <row r="9996" spans="1:10">
      <c r="A9996" s="7" t="s">
        <v>10030</v>
      </c>
      <c r="B9996" s="7" t="s">
        <v>11863</v>
      </c>
      <c r="C9996" s="8">
        <f>QS.CONTEXT.CREATE("market.9994",A9996,"USD","SOFR")</f>
        <v/>
      </c>
      <c r="D9996" s="8">
        <f>QS.CONTEXT.ADD.CURVE(C9996,"SOFR",$K$2:$K$7,$L$2:$L$7,,,"Actual360","LogLinear",TRUE)</f>
        <v/>
      </c>
      <c r="E9996" s="8">
        <f>QS.INSTRUMENT.SWAP("swap.9994",C9996,H9996,B9996,"USD","SOFR",I9996,J9996,0,"Actual360","Simple","Annual","Annual","Annual")</f>
        <v/>
      </c>
      <c r="F9996" s="8">
        <f>QS.TRADE.CREATE("trade.9994",C9996,E9996,A9996,"Receive")</f>
        <v/>
      </c>
      <c r="G9996" s="5"/>
      <c r="H9996" s="7" t="s">
        <v>10037</v>
      </c>
      <c r="I9996" s="9">
        <v>1999400</v>
      </c>
      <c r="J9996" s="10">
        <v>0.0394</v>
      </c>
    </row>
    <row r="9997" spans="1:10">
      <c r="A9997" s="7" t="s">
        <v>10031</v>
      </c>
      <c r="B9997" s="7" t="s">
        <v>11864</v>
      </c>
      <c r="C9997" s="8">
        <f>QS.CONTEXT.CREATE("market.9995",A9997,"USD","SOFR")</f>
        <v/>
      </c>
      <c r="D9997" s="8">
        <f>QS.CONTEXT.ADD.CURVE(C9997,"SOFR",$K$2:$K$7,$L$2:$L$7,,,"Actual360","LogLinear",TRUE)</f>
        <v/>
      </c>
      <c r="E9997" s="8">
        <f>QS.INSTRUMENT.SWAP("swap.9995",C9997,H9997,B9997,"USD","SOFR",I9997,J9997,0,"Actual360","Simple","Annual","Annual","Annual")</f>
        <v/>
      </c>
      <c r="F9997" s="8">
        <f>QS.TRADE.CREATE("trade.9995",C9997,E9997,A9997,"Receive")</f>
        <v/>
      </c>
      <c r="G9997" s="5"/>
      <c r="H9997" s="7" t="s">
        <v>10038</v>
      </c>
      <c r="I9997" s="9">
        <v>1999500</v>
      </c>
      <c r="J9997" s="10">
        <v>0.03950000000000001</v>
      </c>
    </row>
    <row r="9998" spans="1:10">
      <c r="A9998" s="7" t="s">
        <v>10032</v>
      </c>
      <c r="B9998" s="7" t="s">
        <v>11865</v>
      </c>
      <c r="C9998" s="8">
        <f>QS.CONTEXT.CREATE("market.9996",A9998,"USD","SOFR")</f>
        <v/>
      </c>
      <c r="D9998" s="8">
        <f>QS.CONTEXT.ADD.CURVE(C9998,"SOFR",$K$2:$K$7,$L$2:$L$7,,,"Actual360","LogLinear",TRUE)</f>
        <v/>
      </c>
      <c r="E9998" s="8">
        <f>QS.INSTRUMENT.SWAP("swap.9996",C9998,H9998,B9998,"USD","SOFR",I9998,J9998,0,"Actual360","Simple","Annual","Annual","Annual")</f>
        <v/>
      </c>
      <c r="F9998" s="8">
        <f>QS.TRADE.CREATE("trade.9996",C9998,E9998,A9998,"Receive")</f>
        <v/>
      </c>
      <c r="G9998" s="5"/>
      <c r="H9998" s="7" t="s">
        <v>10039</v>
      </c>
      <c r="I9998" s="9">
        <v>1999600</v>
      </c>
      <c r="J9998" s="10">
        <v>0.0396</v>
      </c>
    </row>
    <row r="9999" spans="1:10">
      <c r="A9999" s="7" t="s">
        <v>10033</v>
      </c>
      <c r="B9999" s="7" t="s">
        <v>11866</v>
      </c>
      <c r="C9999" s="8">
        <f>QS.CONTEXT.CREATE("market.9997",A9999,"USD","SOFR")</f>
        <v/>
      </c>
      <c r="D9999" s="8">
        <f>QS.CONTEXT.ADD.CURVE(C9999,"SOFR",$K$2:$K$7,$L$2:$L$7,,,"Actual360","LogLinear",TRUE)</f>
        <v/>
      </c>
      <c r="E9999" s="8">
        <f>QS.INSTRUMENT.SWAP("swap.9997",C9999,H9999,B9999,"USD","SOFR",I9999,J9999,0,"Actual360","Simple","Annual","Annual","Annual")</f>
        <v/>
      </c>
      <c r="F9999" s="8">
        <f>QS.TRADE.CREATE("trade.9997",C9999,E9999,A9999,"Receive")</f>
        <v/>
      </c>
      <c r="G9999" s="5"/>
      <c r="H9999" s="7" t="s">
        <v>10040</v>
      </c>
      <c r="I9999" s="9">
        <v>1999700</v>
      </c>
      <c r="J9999" s="10">
        <v>0.03970000000000001</v>
      </c>
    </row>
    <row r="10000" spans="1:10">
      <c r="A10000" s="7" t="s">
        <v>10034</v>
      </c>
      <c r="B10000" s="7" t="s">
        <v>11867</v>
      </c>
      <c r="C10000" s="8">
        <f>QS.CONTEXT.CREATE("market.9998",A10000,"USD","SOFR")</f>
        <v/>
      </c>
      <c r="D10000" s="8">
        <f>QS.CONTEXT.ADD.CURVE(C10000,"SOFR",$K$2:$K$7,$L$2:$L$7,,,"Actual360","LogLinear",TRUE)</f>
        <v/>
      </c>
      <c r="E10000" s="8">
        <f>QS.INSTRUMENT.SWAP("swap.9998",C10000,H10000,B10000,"USD","SOFR",I10000,J10000,0,"Actual360","Simple","Annual","Annual","Annual")</f>
        <v/>
      </c>
      <c r="F10000" s="8">
        <f>QS.TRADE.CREATE("trade.9998",C10000,E10000,A10000,"Receive")</f>
        <v/>
      </c>
      <c r="G10000" s="5"/>
      <c r="H10000" s="7" t="s">
        <v>10041</v>
      </c>
      <c r="I10000" s="9">
        <v>1999800</v>
      </c>
      <c r="J10000" s="10">
        <v>0.0398</v>
      </c>
    </row>
    <row r="10001" spans="1:10">
      <c r="A10001" s="7" t="s">
        <v>10035</v>
      </c>
      <c r="B10001" s="7" t="s">
        <v>11868</v>
      </c>
      <c r="C10001" s="8">
        <f>QS.CONTEXT.CREATE("market.9999",A10001,"USD","SOFR")</f>
        <v/>
      </c>
      <c r="D10001" s="8">
        <f>QS.CONTEXT.ADD.CURVE(C10001,"SOFR",$K$2:$K$7,$L$2:$L$7,,,"Actual360","LogLinear",TRUE)</f>
        <v/>
      </c>
      <c r="E10001" s="8">
        <f>QS.INSTRUMENT.SWAP("swap.9999",C10001,H10001,B10001,"USD","SOFR",I10001,J10001,0,"Actual360","Simple","Annual","Annual","Annual")</f>
        <v/>
      </c>
      <c r="F10001" s="8">
        <f>QS.TRADE.CREATE("trade.9999",C10001,E10001,A10001,"Receive")</f>
        <v/>
      </c>
      <c r="G10001" s="5"/>
      <c r="H10001" s="7" t="s">
        <v>10042</v>
      </c>
      <c r="I10001" s="9">
        <v>1999900</v>
      </c>
      <c r="J10001" s="10">
        <v>0.0399</v>
      </c>
    </row>
  </sheetData>
  <autoFilter ref="A1:J1000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Start Here</vt:lpstr>
      <vt:lpstr>Origination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10,000 valuations at origination</dc:title>
  <dc:creator>QuantSupport</dc:creator>
  <cp:lastModifiedBy>QuantSupport</cp:lastModifiedBy>
  <dcterms:created xsi:type="dcterms:W3CDTF">2026-10-27T05:38:40Z</dcterms:created>
  <dcterms:modified xsi:type="dcterms:W3CDTF">2026-10-27T05:38:40Z</dcterms:modified>
</cp:coreProperties>
</file>